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66925"/>
  <mc:AlternateContent xmlns:mc="http://schemas.openxmlformats.org/markup-compatibility/2006">
    <mc:Choice Requires="x15">
      <x15ac:absPath xmlns:x15ac="http://schemas.microsoft.com/office/spreadsheetml/2010/11/ac" url="https://wageningenur4-my.sharepoint.com/personal/georgios_pampoukis_wur_nl/Documents/PhD components/3rd year/pef_project/eda_interactive_plotting_code_database_mlr/"/>
    </mc:Choice>
  </mc:AlternateContent>
  <xr:revisionPtr revIDLastSave="549" documentId="13_ncr:1_{A82F4419-96AC-4681-8CB8-521EC9755AB6}" xr6:coauthVersionLast="47" xr6:coauthVersionMax="47" xr10:uidLastSave="{611E5EA0-1957-48EE-8F9B-CB3C0E7CC347}"/>
  <bookViews>
    <workbookView xWindow="-28920" yWindow="-120" windowWidth="29040" windowHeight="15720" xr2:uid="{551A9886-2B2E-4844-AD74-70B0B2402E8E}"/>
  </bookViews>
  <sheets>
    <sheet name="PEFInactivationData" sheetId="2" r:id="rId1"/>
    <sheet name="Notes" sheetId="3" r:id="rId2"/>
  </sheets>
  <definedNames>
    <definedName name="_xlnm._FilterDatabase" localSheetId="0" hidden="1">PEFInactivationData!$A$1:$CA$1726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7" i="2" l="1"/>
  <c r="CA3" i="2"/>
  <c r="CA4" i="2"/>
  <c r="CA5" i="2"/>
  <c r="CA6" i="2"/>
  <c r="CA7" i="2"/>
  <c r="CA8" i="2"/>
  <c r="CA9" i="2"/>
  <c r="CA10" i="2"/>
  <c r="CA11" i="2"/>
  <c r="CA12" i="2"/>
  <c r="CA13" i="2"/>
  <c r="CA14" i="2"/>
  <c r="CA15" i="2"/>
  <c r="CA16" i="2"/>
  <c r="CA17" i="2"/>
  <c r="CA18" i="2"/>
  <c r="CA19" i="2"/>
  <c r="CA20" i="2"/>
  <c r="CA21" i="2"/>
  <c r="CA22" i="2"/>
  <c r="CA23" i="2"/>
  <c r="CA24" i="2"/>
  <c r="CA25" i="2"/>
  <c r="CA26" i="2"/>
  <c r="CA27" i="2"/>
  <c r="CA28" i="2"/>
  <c r="CA29" i="2"/>
  <c r="CA30" i="2"/>
  <c r="CA31" i="2"/>
  <c r="CA32" i="2"/>
  <c r="CA33" i="2"/>
  <c r="CA34" i="2"/>
  <c r="CA35" i="2"/>
  <c r="CA36" i="2"/>
  <c r="CA37" i="2"/>
  <c r="CA38" i="2"/>
  <c r="CA39" i="2"/>
  <c r="CA40" i="2"/>
  <c r="CA41" i="2"/>
  <c r="CA42" i="2"/>
  <c r="CA43" i="2"/>
  <c r="CA44" i="2"/>
  <c r="CA45" i="2"/>
  <c r="CA46" i="2"/>
  <c r="CA47" i="2"/>
  <c r="CA48" i="2"/>
  <c r="CA49" i="2"/>
  <c r="CA50" i="2"/>
  <c r="CA51" i="2"/>
  <c r="CA52" i="2"/>
  <c r="CA53" i="2"/>
  <c r="CA54" i="2"/>
  <c r="CA55" i="2"/>
  <c r="CA56" i="2"/>
  <c r="CA57" i="2"/>
  <c r="CA58" i="2"/>
  <c r="CA59" i="2"/>
  <c r="CA60" i="2"/>
  <c r="CA61" i="2"/>
  <c r="CA62" i="2"/>
  <c r="CA63" i="2"/>
  <c r="CA64" i="2"/>
  <c r="CA65" i="2"/>
  <c r="CA66" i="2"/>
  <c r="CA67" i="2"/>
  <c r="CA68" i="2"/>
  <c r="CA69" i="2"/>
  <c r="CA70" i="2"/>
  <c r="CA71" i="2"/>
  <c r="CA72" i="2"/>
  <c r="CA73" i="2"/>
  <c r="CA74" i="2"/>
  <c r="CA75" i="2"/>
  <c r="CA76" i="2"/>
  <c r="CA77" i="2"/>
  <c r="CA78" i="2"/>
  <c r="CA79" i="2"/>
  <c r="CA80" i="2"/>
  <c r="CA81" i="2"/>
  <c r="CA82" i="2"/>
  <c r="CA83" i="2"/>
  <c r="CA84" i="2"/>
  <c r="CA85" i="2"/>
  <c r="CA86" i="2"/>
  <c r="CA87" i="2"/>
  <c r="CA88" i="2"/>
  <c r="CA89" i="2"/>
  <c r="CA90" i="2"/>
  <c r="CA91" i="2"/>
  <c r="CA92" i="2"/>
  <c r="CA93" i="2"/>
  <c r="CA94" i="2"/>
  <c r="CA95" i="2"/>
  <c r="CA96" i="2"/>
  <c r="CA97" i="2"/>
  <c r="CA98" i="2"/>
  <c r="CA99" i="2"/>
  <c r="CA100" i="2"/>
  <c r="CA101" i="2"/>
  <c r="CA102" i="2"/>
  <c r="CA103" i="2"/>
  <c r="CA104" i="2"/>
  <c r="CA105" i="2"/>
  <c r="CA106" i="2"/>
  <c r="CA107" i="2"/>
  <c r="CA108" i="2"/>
  <c r="CA109" i="2"/>
  <c r="CA110" i="2"/>
  <c r="CA111" i="2"/>
  <c r="CA112" i="2"/>
  <c r="CA113" i="2"/>
  <c r="CA114" i="2"/>
  <c r="CA115" i="2"/>
  <c r="CA116" i="2"/>
  <c r="CA117" i="2"/>
  <c r="CA118" i="2"/>
  <c r="CA119" i="2"/>
  <c r="CA120" i="2"/>
  <c r="CA121" i="2"/>
  <c r="CA122" i="2"/>
  <c r="CA123" i="2"/>
  <c r="CA124" i="2"/>
  <c r="CA125" i="2"/>
  <c r="CA126" i="2"/>
  <c r="CA127" i="2"/>
  <c r="CA128" i="2"/>
  <c r="CA129" i="2"/>
  <c r="CA130" i="2"/>
  <c r="CA131" i="2"/>
  <c r="CA132" i="2"/>
  <c r="CA133" i="2"/>
  <c r="CA134" i="2"/>
  <c r="CA135" i="2"/>
  <c r="CA136" i="2"/>
  <c r="CA137" i="2"/>
  <c r="CA138" i="2"/>
  <c r="CA139" i="2"/>
  <c r="CA140" i="2"/>
  <c r="CA141" i="2"/>
  <c r="CA142" i="2"/>
  <c r="CA143" i="2"/>
  <c r="CA144" i="2"/>
  <c r="CA145" i="2"/>
  <c r="CA146" i="2"/>
  <c r="CA147" i="2"/>
  <c r="CA148" i="2"/>
  <c r="CA149" i="2"/>
  <c r="CA150" i="2"/>
  <c r="CA151" i="2"/>
  <c r="CA152" i="2"/>
  <c r="CA153" i="2"/>
  <c r="CA154" i="2"/>
  <c r="CA155" i="2"/>
  <c r="CA156" i="2"/>
  <c r="CA157" i="2"/>
  <c r="CA158" i="2"/>
  <c r="CA159" i="2"/>
  <c r="CA160" i="2"/>
  <c r="CA161" i="2"/>
  <c r="CA162" i="2"/>
  <c r="CA163" i="2"/>
  <c r="CA164" i="2"/>
  <c r="CA165" i="2"/>
  <c r="CA166" i="2"/>
  <c r="CA167" i="2"/>
  <c r="CA168" i="2"/>
  <c r="CA169" i="2"/>
  <c r="CA170" i="2"/>
  <c r="CA171" i="2"/>
  <c r="CA172" i="2"/>
  <c r="CA173" i="2"/>
  <c r="CA174" i="2"/>
  <c r="CA175" i="2"/>
  <c r="CA176" i="2"/>
  <c r="CA177" i="2"/>
  <c r="CA178" i="2"/>
  <c r="CA179" i="2"/>
  <c r="CA180" i="2"/>
  <c r="CA181" i="2"/>
  <c r="CA182" i="2"/>
  <c r="CA183" i="2"/>
  <c r="CA184" i="2"/>
  <c r="CA185" i="2"/>
  <c r="CA186" i="2"/>
  <c r="CA187" i="2"/>
  <c r="CA188" i="2"/>
  <c r="CA189" i="2"/>
  <c r="CA190" i="2"/>
  <c r="CA191" i="2"/>
  <c r="CA192" i="2"/>
  <c r="CA193" i="2"/>
  <c r="CA194" i="2"/>
  <c r="CA195" i="2"/>
  <c r="CA196" i="2"/>
  <c r="CA197" i="2"/>
  <c r="CA198" i="2"/>
  <c r="CA199" i="2"/>
  <c r="CA200" i="2"/>
  <c r="CA201" i="2"/>
  <c r="CA202" i="2"/>
  <c r="CA203" i="2"/>
  <c r="CA204" i="2"/>
  <c r="CA205" i="2"/>
  <c r="CA206" i="2"/>
  <c r="CA207" i="2"/>
  <c r="CA208" i="2"/>
  <c r="CA209" i="2"/>
  <c r="CA210" i="2"/>
  <c r="CA211" i="2"/>
  <c r="CA212" i="2"/>
  <c r="CA213" i="2"/>
  <c r="CA214" i="2"/>
  <c r="CA215" i="2"/>
  <c r="CA216" i="2"/>
  <c r="CA217" i="2"/>
  <c r="CA218" i="2"/>
  <c r="CA219" i="2"/>
  <c r="CA220" i="2"/>
  <c r="CA221" i="2"/>
  <c r="CA222" i="2"/>
  <c r="CA223" i="2"/>
  <c r="CA224" i="2"/>
  <c r="CA225" i="2"/>
  <c r="CA226" i="2"/>
  <c r="CA227" i="2"/>
  <c r="CA228" i="2"/>
  <c r="CA229" i="2"/>
  <c r="CA230" i="2"/>
  <c r="CA231" i="2"/>
  <c r="CA232" i="2"/>
  <c r="CA233" i="2"/>
  <c r="CA234" i="2"/>
  <c r="CA235" i="2"/>
  <c r="CA236" i="2"/>
  <c r="CA237" i="2"/>
  <c r="CA238" i="2"/>
  <c r="CA239" i="2"/>
  <c r="CA240" i="2"/>
  <c r="CA241" i="2"/>
  <c r="CA242" i="2"/>
  <c r="CA243" i="2"/>
  <c r="CA244" i="2"/>
  <c r="CA245" i="2"/>
  <c r="CA246" i="2"/>
  <c r="CA247" i="2"/>
  <c r="CA248" i="2"/>
  <c r="CA249" i="2"/>
  <c r="CA250" i="2"/>
  <c r="CA251" i="2"/>
  <c r="CA252" i="2"/>
  <c r="CA253" i="2"/>
  <c r="CA254" i="2"/>
  <c r="CA255" i="2"/>
  <c r="CA256" i="2"/>
  <c r="CA257" i="2"/>
  <c r="CA258" i="2"/>
  <c r="CA259" i="2"/>
  <c r="CA260" i="2"/>
  <c r="CA261" i="2"/>
  <c r="CA262" i="2"/>
  <c r="CA263" i="2"/>
  <c r="CA264" i="2"/>
  <c r="CA265" i="2"/>
  <c r="CA266" i="2"/>
  <c r="CA267" i="2"/>
  <c r="CA268" i="2"/>
  <c r="CA269" i="2"/>
  <c r="CA270" i="2"/>
  <c r="CA271" i="2"/>
  <c r="CA272" i="2"/>
  <c r="CA273" i="2"/>
  <c r="CA274" i="2"/>
  <c r="CA275" i="2"/>
  <c r="CA276" i="2"/>
  <c r="CA277" i="2"/>
  <c r="CA278" i="2"/>
  <c r="CA279" i="2"/>
  <c r="CA280" i="2"/>
  <c r="CA281" i="2"/>
  <c r="CA282" i="2"/>
  <c r="CA283" i="2"/>
  <c r="CA284" i="2"/>
  <c r="CA285" i="2"/>
  <c r="CA286" i="2"/>
  <c r="CA287" i="2"/>
  <c r="CA288" i="2"/>
  <c r="CA289" i="2"/>
  <c r="CA290" i="2"/>
  <c r="CA291" i="2"/>
  <c r="CA292" i="2"/>
  <c r="CA293" i="2"/>
  <c r="CA294" i="2"/>
  <c r="CA295" i="2"/>
  <c r="CA296" i="2"/>
  <c r="CA297" i="2"/>
  <c r="CA298" i="2"/>
  <c r="CA299" i="2"/>
  <c r="CA300" i="2"/>
  <c r="CA301" i="2"/>
  <c r="CA302" i="2"/>
  <c r="CA303" i="2"/>
  <c r="CA304" i="2"/>
  <c r="CA305" i="2"/>
  <c r="CA306" i="2"/>
  <c r="CA307" i="2"/>
  <c r="CA308" i="2"/>
  <c r="CA309" i="2"/>
  <c r="CA310" i="2"/>
  <c r="CA311" i="2"/>
  <c r="CA312" i="2"/>
  <c r="CA313" i="2"/>
  <c r="CA314" i="2"/>
  <c r="CA315" i="2"/>
  <c r="CA316" i="2"/>
  <c r="CA317" i="2"/>
  <c r="CA318" i="2"/>
  <c r="CA319" i="2"/>
  <c r="CA320" i="2"/>
  <c r="CA321" i="2"/>
  <c r="CA322" i="2"/>
  <c r="CA323" i="2"/>
  <c r="CA324" i="2"/>
  <c r="CA325" i="2"/>
  <c r="CA326" i="2"/>
  <c r="CA327" i="2"/>
  <c r="CA328" i="2"/>
  <c r="CA329" i="2"/>
  <c r="CA330" i="2"/>
  <c r="CA331" i="2"/>
  <c r="CA332" i="2"/>
  <c r="CA333" i="2"/>
  <c r="CA334" i="2"/>
  <c r="CA335" i="2"/>
  <c r="CA336" i="2"/>
  <c r="CA337" i="2"/>
  <c r="CA338" i="2"/>
  <c r="CA339" i="2"/>
  <c r="CA340" i="2"/>
  <c r="CA341" i="2"/>
  <c r="CA342" i="2"/>
  <c r="CA343" i="2"/>
  <c r="CA344" i="2"/>
  <c r="CA345" i="2"/>
  <c r="CA346" i="2"/>
  <c r="CA347" i="2"/>
  <c r="CA348" i="2"/>
  <c r="CA349" i="2"/>
  <c r="CA350" i="2"/>
  <c r="CA351" i="2"/>
  <c r="CA352" i="2"/>
  <c r="CA353" i="2"/>
  <c r="CA354" i="2"/>
  <c r="CA355" i="2"/>
  <c r="CA356" i="2"/>
  <c r="CA357" i="2"/>
  <c r="CA358" i="2"/>
  <c r="CA359" i="2"/>
  <c r="CA360" i="2"/>
  <c r="CA361" i="2"/>
  <c r="CA362" i="2"/>
  <c r="CA363" i="2"/>
  <c r="CA364" i="2"/>
  <c r="CA365" i="2"/>
  <c r="CA366" i="2"/>
  <c r="CA367" i="2"/>
  <c r="CA368" i="2"/>
  <c r="CA369" i="2"/>
  <c r="CA370" i="2"/>
  <c r="CA371" i="2"/>
  <c r="CA372" i="2"/>
  <c r="CA373" i="2"/>
  <c r="CA374" i="2"/>
  <c r="CA375" i="2"/>
  <c r="CA376" i="2"/>
  <c r="CA377" i="2"/>
  <c r="CA378" i="2"/>
  <c r="CA379" i="2"/>
  <c r="CA380" i="2"/>
  <c r="CA381" i="2"/>
  <c r="CA382" i="2"/>
  <c r="CA383" i="2"/>
  <c r="CA384" i="2"/>
  <c r="CA385" i="2"/>
  <c r="CA386" i="2"/>
  <c r="CA387" i="2"/>
  <c r="CA388" i="2"/>
  <c r="CA389" i="2"/>
  <c r="CA390" i="2"/>
  <c r="CA391" i="2"/>
  <c r="CA392" i="2"/>
  <c r="CA393" i="2"/>
  <c r="CA394" i="2"/>
  <c r="CA395" i="2"/>
  <c r="CA396" i="2"/>
  <c r="CA397" i="2"/>
  <c r="CA398" i="2"/>
  <c r="CA399" i="2"/>
  <c r="CA400" i="2"/>
  <c r="CA401" i="2"/>
  <c r="CA402" i="2"/>
  <c r="CA403" i="2"/>
  <c r="CA404" i="2"/>
  <c r="CA405" i="2"/>
  <c r="CA406" i="2"/>
  <c r="CA407" i="2"/>
  <c r="CA408" i="2"/>
  <c r="CA409" i="2"/>
  <c r="CA410" i="2"/>
  <c r="CA411" i="2"/>
  <c r="CA412" i="2"/>
  <c r="CA413" i="2"/>
  <c r="CA414" i="2"/>
  <c r="CA415" i="2"/>
  <c r="CA416" i="2"/>
  <c r="CA417" i="2"/>
  <c r="CA418" i="2"/>
  <c r="CA419" i="2"/>
  <c r="CA420" i="2"/>
  <c r="CA421" i="2"/>
  <c r="CA422" i="2"/>
  <c r="CA423" i="2"/>
  <c r="CA424" i="2"/>
  <c r="CA425" i="2"/>
  <c r="CA426" i="2"/>
  <c r="CA427" i="2"/>
  <c r="CA428" i="2"/>
  <c r="CA429" i="2"/>
  <c r="CA430" i="2"/>
  <c r="CA431" i="2"/>
  <c r="CA432" i="2"/>
  <c r="CA433" i="2"/>
  <c r="CA434" i="2"/>
  <c r="CA435" i="2"/>
  <c r="CA436" i="2"/>
  <c r="CA437" i="2"/>
  <c r="CA438" i="2"/>
  <c r="CA439" i="2"/>
  <c r="CA440" i="2"/>
  <c r="CA441" i="2"/>
  <c r="CA442" i="2"/>
  <c r="CA443" i="2"/>
  <c r="CA444" i="2"/>
  <c r="CA445" i="2"/>
  <c r="CA446" i="2"/>
  <c r="CA447" i="2"/>
  <c r="CA448" i="2"/>
  <c r="CA449" i="2"/>
  <c r="CA450" i="2"/>
  <c r="CA451" i="2"/>
  <c r="CA452" i="2"/>
  <c r="CA453" i="2"/>
  <c r="CA454" i="2"/>
  <c r="CA455" i="2"/>
  <c r="CA456" i="2"/>
  <c r="CA457" i="2"/>
  <c r="CA458" i="2"/>
  <c r="CA459" i="2"/>
  <c r="CA460" i="2"/>
  <c r="CA461" i="2"/>
  <c r="CA462" i="2"/>
  <c r="CA463" i="2"/>
  <c r="CA464" i="2"/>
  <c r="CA465" i="2"/>
  <c r="CA466" i="2"/>
  <c r="CA467" i="2"/>
  <c r="CA468" i="2"/>
  <c r="CA469" i="2"/>
  <c r="CA470" i="2"/>
  <c r="CA471" i="2"/>
  <c r="CA472" i="2"/>
  <c r="CA473" i="2"/>
  <c r="CA474" i="2"/>
  <c r="CA475" i="2"/>
  <c r="CA476" i="2"/>
  <c r="CA477" i="2"/>
  <c r="CA478" i="2"/>
  <c r="CA479" i="2"/>
  <c r="CA480" i="2"/>
  <c r="CA481" i="2"/>
  <c r="CA482" i="2"/>
  <c r="CA483" i="2"/>
  <c r="CA484" i="2"/>
  <c r="CA485" i="2"/>
  <c r="CA486" i="2"/>
  <c r="CA487" i="2"/>
  <c r="CA488" i="2"/>
  <c r="CA489" i="2"/>
  <c r="CA490" i="2"/>
  <c r="CA491" i="2"/>
  <c r="CA492" i="2"/>
  <c r="CA493" i="2"/>
  <c r="CA494" i="2"/>
  <c r="CA495" i="2"/>
  <c r="CA496" i="2"/>
  <c r="CA497" i="2"/>
  <c r="CA498" i="2"/>
  <c r="CA499" i="2"/>
  <c r="CA500" i="2"/>
  <c r="CA501" i="2"/>
  <c r="CA502" i="2"/>
  <c r="CA503" i="2"/>
  <c r="CA504" i="2"/>
  <c r="CA505" i="2"/>
  <c r="CA506" i="2"/>
  <c r="CA507" i="2"/>
  <c r="CA508" i="2"/>
  <c r="CA509" i="2"/>
  <c r="CA510" i="2"/>
  <c r="CA511" i="2"/>
  <c r="CA512" i="2"/>
  <c r="CA513" i="2"/>
  <c r="CA514" i="2"/>
  <c r="CA515" i="2"/>
  <c r="CA516" i="2"/>
  <c r="CA517" i="2"/>
  <c r="CA518" i="2"/>
  <c r="CA519" i="2"/>
  <c r="CA520" i="2"/>
  <c r="CA521" i="2"/>
  <c r="CA522" i="2"/>
  <c r="CA523" i="2"/>
  <c r="CA524" i="2"/>
  <c r="CA525" i="2"/>
  <c r="CA526" i="2"/>
  <c r="CA527" i="2"/>
  <c r="CA528" i="2"/>
  <c r="CA529" i="2"/>
  <c r="CA530" i="2"/>
  <c r="CA531" i="2"/>
  <c r="CA532" i="2"/>
  <c r="CA533" i="2"/>
  <c r="CA534" i="2"/>
  <c r="CA535" i="2"/>
  <c r="CA536" i="2"/>
  <c r="CA537" i="2"/>
  <c r="CA538" i="2"/>
  <c r="CA539" i="2"/>
  <c r="CA540" i="2"/>
  <c r="CA541" i="2"/>
  <c r="CA542" i="2"/>
  <c r="CA543" i="2"/>
  <c r="CA544" i="2"/>
  <c r="CA545" i="2"/>
  <c r="CA546" i="2"/>
  <c r="CA547" i="2"/>
  <c r="CA548" i="2"/>
  <c r="CA549" i="2"/>
  <c r="CA550" i="2"/>
  <c r="CA551" i="2"/>
  <c r="CA552" i="2"/>
  <c r="CA553" i="2"/>
  <c r="CA554" i="2"/>
  <c r="CA555" i="2"/>
  <c r="CA556" i="2"/>
  <c r="CA557" i="2"/>
  <c r="CA558" i="2"/>
  <c r="CA559" i="2"/>
  <c r="CA560" i="2"/>
  <c r="CA561" i="2"/>
  <c r="CA562" i="2"/>
  <c r="CA563" i="2"/>
  <c r="CA564" i="2"/>
  <c r="CA565" i="2"/>
  <c r="CA566" i="2"/>
  <c r="CA567" i="2"/>
  <c r="CA568" i="2"/>
  <c r="CA569" i="2"/>
  <c r="CA570" i="2"/>
  <c r="CA571" i="2"/>
  <c r="CA572" i="2"/>
  <c r="CA573" i="2"/>
  <c r="CA574" i="2"/>
  <c r="CA575" i="2"/>
  <c r="CA576" i="2"/>
  <c r="CA577" i="2"/>
  <c r="CA578" i="2"/>
  <c r="CA579" i="2"/>
  <c r="CA580" i="2"/>
  <c r="CA581" i="2"/>
  <c r="CA582" i="2"/>
  <c r="CA583" i="2"/>
  <c r="CA584" i="2"/>
  <c r="CA585" i="2"/>
  <c r="CA586" i="2"/>
  <c r="CA587" i="2"/>
  <c r="CA588" i="2"/>
  <c r="CA589" i="2"/>
  <c r="CA590" i="2"/>
  <c r="CA591" i="2"/>
  <c r="CA592" i="2"/>
  <c r="CA593" i="2"/>
  <c r="CA594" i="2"/>
  <c r="CA595" i="2"/>
  <c r="CA596" i="2"/>
  <c r="CA597" i="2"/>
  <c r="CA598" i="2"/>
  <c r="CA599" i="2"/>
  <c r="CA600" i="2"/>
  <c r="CA601" i="2"/>
  <c r="CA602" i="2"/>
  <c r="CA603" i="2"/>
  <c r="CA604" i="2"/>
  <c r="CA605" i="2"/>
  <c r="CA606" i="2"/>
  <c r="CA607" i="2"/>
  <c r="CA608" i="2"/>
  <c r="CA609" i="2"/>
  <c r="CA610" i="2"/>
  <c r="CA611" i="2"/>
  <c r="CA612" i="2"/>
  <c r="CA613" i="2"/>
  <c r="CA614" i="2"/>
  <c r="CA615" i="2"/>
  <c r="CA616" i="2"/>
  <c r="CA617" i="2"/>
  <c r="CA618" i="2"/>
  <c r="CA619" i="2"/>
  <c r="CA620" i="2"/>
  <c r="CA621" i="2"/>
  <c r="CA622" i="2"/>
  <c r="CA623" i="2"/>
  <c r="CA624" i="2"/>
  <c r="CA625" i="2"/>
  <c r="CA626" i="2"/>
  <c r="CA627" i="2"/>
  <c r="CA628" i="2"/>
  <c r="CA629" i="2"/>
  <c r="CA630" i="2"/>
  <c r="CA631" i="2"/>
  <c r="CA632" i="2"/>
  <c r="CA633" i="2"/>
  <c r="CA634" i="2"/>
  <c r="CA635" i="2"/>
  <c r="CA636" i="2"/>
  <c r="CA637" i="2"/>
  <c r="CA638" i="2"/>
  <c r="CA639" i="2"/>
  <c r="CA640" i="2"/>
  <c r="CA641" i="2"/>
  <c r="CA642" i="2"/>
  <c r="CA643" i="2"/>
  <c r="CA644" i="2"/>
  <c r="CA645" i="2"/>
  <c r="CA646" i="2"/>
  <c r="CA647" i="2"/>
  <c r="CA648" i="2"/>
  <c r="CA649" i="2"/>
  <c r="CA650" i="2"/>
  <c r="CA651" i="2"/>
  <c r="CA652" i="2"/>
  <c r="CA653" i="2"/>
  <c r="CA654" i="2"/>
  <c r="CA655" i="2"/>
  <c r="CA656" i="2"/>
  <c r="CA657" i="2"/>
  <c r="CA658" i="2"/>
  <c r="CA659" i="2"/>
  <c r="CA660" i="2"/>
  <c r="CA661" i="2"/>
  <c r="CA662" i="2"/>
  <c r="CA663" i="2"/>
  <c r="CA664" i="2"/>
  <c r="CA665" i="2"/>
  <c r="CA666" i="2"/>
  <c r="CA667" i="2"/>
  <c r="CA668" i="2"/>
  <c r="CA669" i="2"/>
  <c r="CA670" i="2"/>
  <c r="CA671" i="2"/>
  <c r="CA672" i="2"/>
  <c r="CA673" i="2"/>
  <c r="CA674" i="2"/>
  <c r="CA675" i="2"/>
  <c r="CA676" i="2"/>
  <c r="CA677" i="2"/>
  <c r="CA678" i="2"/>
  <c r="CA679" i="2"/>
  <c r="CA680" i="2"/>
  <c r="CA681" i="2"/>
  <c r="CA682" i="2"/>
  <c r="CA683" i="2"/>
  <c r="CA684" i="2"/>
  <c r="CA685" i="2"/>
  <c r="CA686" i="2"/>
  <c r="CA687" i="2"/>
  <c r="CA688" i="2"/>
  <c r="CA689" i="2"/>
  <c r="CA690" i="2"/>
  <c r="CA691" i="2"/>
  <c r="CA692" i="2"/>
  <c r="CA693" i="2"/>
  <c r="CA694" i="2"/>
  <c r="CA695" i="2"/>
  <c r="CA696" i="2"/>
  <c r="CA697" i="2"/>
  <c r="CA698" i="2"/>
  <c r="CA699" i="2"/>
  <c r="CA700" i="2"/>
  <c r="CA701" i="2"/>
  <c r="CA702" i="2"/>
  <c r="CA703" i="2"/>
  <c r="CA704" i="2"/>
  <c r="CA705" i="2"/>
  <c r="CA706" i="2"/>
  <c r="CA707" i="2"/>
  <c r="CA708" i="2"/>
  <c r="CA709" i="2"/>
  <c r="CA710" i="2"/>
  <c r="CA711" i="2"/>
  <c r="CA712" i="2"/>
  <c r="CA713" i="2"/>
  <c r="CA714" i="2"/>
  <c r="CA715" i="2"/>
  <c r="CA716" i="2"/>
  <c r="CA717" i="2"/>
  <c r="CA718" i="2"/>
  <c r="CA719" i="2"/>
  <c r="CA720" i="2"/>
  <c r="CA721" i="2"/>
  <c r="CA722" i="2"/>
  <c r="CA723" i="2"/>
  <c r="CA724" i="2"/>
  <c r="CA725" i="2"/>
  <c r="CA726" i="2"/>
  <c r="CA727" i="2"/>
  <c r="CA728" i="2"/>
  <c r="CA729" i="2"/>
  <c r="CA730" i="2"/>
  <c r="CA731" i="2"/>
  <c r="CA732" i="2"/>
  <c r="CA733" i="2"/>
  <c r="CA734" i="2"/>
  <c r="CA735" i="2"/>
  <c r="CA736" i="2"/>
  <c r="CA737" i="2"/>
  <c r="CA738" i="2"/>
  <c r="CA739" i="2"/>
  <c r="CA740" i="2"/>
  <c r="CA741" i="2"/>
  <c r="CA742" i="2"/>
  <c r="CA743" i="2"/>
  <c r="CA744" i="2"/>
  <c r="CA745" i="2"/>
  <c r="CA746" i="2"/>
  <c r="CA747" i="2"/>
  <c r="CA748" i="2"/>
  <c r="CA749" i="2"/>
  <c r="CA750" i="2"/>
  <c r="CA751" i="2"/>
  <c r="CA752" i="2"/>
  <c r="CA753" i="2"/>
  <c r="CA754" i="2"/>
  <c r="CA755" i="2"/>
  <c r="CA756" i="2"/>
  <c r="CA757" i="2"/>
  <c r="CA758" i="2"/>
  <c r="CA759" i="2"/>
  <c r="CA760" i="2"/>
  <c r="CA761" i="2"/>
  <c r="CA762" i="2"/>
  <c r="CA763" i="2"/>
  <c r="CA764" i="2"/>
  <c r="CA765" i="2"/>
  <c r="CA766" i="2"/>
  <c r="CA767" i="2"/>
  <c r="CA768" i="2"/>
  <c r="CA769" i="2"/>
  <c r="CA770" i="2"/>
  <c r="CA771" i="2"/>
  <c r="CA772" i="2"/>
  <c r="CA773" i="2"/>
  <c r="CA774" i="2"/>
  <c r="CA775" i="2"/>
  <c r="CA776" i="2"/>
  <c r="CA777" i="2"/>
  <c r="CA778" i="2"/>
  <c r="CA779" i="2"/>
  <c r="CA780" i="2"/>
  <c r="CA781" i="2"/>
  <c r="CA782" i="2"/>
  <c r="CA783" i="2"/>
  <c r="CA784" i="2"/>
  <c r="CA785" i="2"/>
  <c r="CA786" i="2"/>
  <c r="CA787" i="2"/>
  <c r="CA788" i="2"/>
  <c r="CA789" i="2"/>
  <c r="CA790" i="2"/>
  <c r="CA791" i="2"/>
  <c r="CA792" i="2"/>
  <c r="CA793" i="2"/>
  <c r="CA794" i="2"/>
  <c r="CA795" i="2"/>
  <c r="CA796" i="2"/>
  <c r="CA797" i="2"/>
  <c r="CA798" i="2"/>
  <c r="CA799" i="2"/>
  <c r="CA800" i="2"/>
  <c r="CA801" i="2"/>
  <c r="CA802" i="2"/>
  <c r="CA803" i="2"/>
  <c r="CA804" i="2"/>
  <c r="CA805" i="2"/>
  <c r="CA806" i="2"/>
  <c r="CA807" i="2"/>
  <c r="CA808" i="2"/>
  <c r="CA809" i="2"/>
  <c r="CA810" i="2"/>
  <c r="CA811" i="2"/>
  <c r="CA812" i="2"/>
  <c r="CA813" i="2"/>
  <c r="CA814" i="2"/>
  <c r="CA815" i="2"/>
  <c r="CA816" i="2"/>
  <c r="CA817" i="2"/>
  <c r="CA818" i="2"/>
  <c r="CA819" i="2"/>
  <c r="CA820" i="2"/>
  <c r="CA821" i="2"/>
  <c r="CA822" i="2"/>
  <c r="CA823" i="2"/>
  <c r="CA824" i="2"/>
  <c r="CA825" i="2"/>
  <c r="CA826" i="2"/>
  <c r="CA827" i="2"/>
  <c r="CA828" i="2"/>
  <c r="CA829" i="2"/>
  <c r="CA830" i="2"/>
  <c r="CA831" i="2"/>
  <c r="CA832" i="2"/>
  <c r="CA833" i="2"/>
  <c r="CA834" i="2"/>
  <c r="CA835" i="2"/>
  <c r="CA836" i="2"/>
  <c r="CA837" i="2"/>
  <c r="CA838" i="2"/>
  <c r="CA839" i="2"/>
  <c r="CA840" i="2"/>
  <c r="CA841" i="2"/>
  <c r="CA842" i="2"/>
  <c r="CA843" i="2"/>
  <c r="CA844" i="2"/>
  <c r="CA845" i="2"/>
  <c r="CA846" i="2"/>
  <c r="CA847" i="2"/>
  <c r="CA848" i="2"/>
  <c r="CA849" i="2"/>
  <c r="CA850" i="2"/>
  <c r="CA851" i="2"/>
  <c r="CA852" i="2"/>
  <c r="CA853" i="2"/>
  <c r="CA854" i="2"/>
  <c r="CA855" i="2"/>
  <c r="CA856" i="2"/>
  <c r="CA857" i="2"/>
  <c r="CA858" i="2"/>
  <c r="CA859" i="2"/>
  <c r="CA860" i="2"/>
  <c r="CA861" i="2"/>
  <c r="CA862" i="2"/>
  <c r="CA863" i="2"/>
  <c r="CA864" i="2"/>
  <c r="CA865" i="2"/>
  <c r="CA866" i="2"/>
  <c r="CA867" i="2"/>
  <c r="CA868" i="2"/>
  <c r="CA869" i="2"/>
  <c r="CA870" i="2"/>
  <c r="CA871" i="2"/>
  <c r="CA872" i="2"/>
  <c r="CA873" i="2"/>
  <c r="CA874" i="2"/>
  <c r="CA875" i="2"/>
  <c r="CA876" i="2"/>
  <c r="CA877" i="2"/>
  <c r="CA878" i="2"/>
  <c r="CA879" i="2"/>
  <c r="CA880" i="2"/>
  <c r="CA881" i="2"/>
  <c r="CA882" i="2"/>
  <c r="CA883" i="2"/>
  <c r="CA884" i="2"/>
  <c r="CA885" i="2"/>
  <c r="CA886" i="2"/>
  <c r="CA887" i="2"/>
  <c r="CA888" i="2"/>
  <c r="CA889" i="2"/>
  <c r="CA890" i="2"/>
  <c r="CA891" i="2"/>
  <c r="CA892" i="2"/>
  <c r="CA893" i="2"/>
  <c r="CA894" i="2"/>
  <c r="CA895" i="2"/>
  <c r="CA896" i="2"/>
  <c r="CA897" i="2"/>
  <c r="CA898" i="2"/>
  <c r="CA899" i="2"/>
  <c r="CA900" i="2"/>
  <c r="CA901" i="2"/>
  <c r="CA902" i="2"/>
  <c r="CA903" i="2"/>
  <c r="CA904" i="2"/>
  <c r="CA905" i="2"/>
  <c r="CA906" i="2"/>
  <c r="CA907" i="2"/>
  <c r="CA908" i="2"/>
  <c r="CA909" i="2"/>
  <c r="CA910" i="2"/>
  <c r="CA911" i="2"/>
  <c r="CA912" i="2"/>
  <c r="CA913" i="2"/>
  <c r="CA914" i="2"/>
  <c r="CA915" i="2"/>
  <c r="CA916" i="2"/>
  <c r="CA917" i="2"/>
  <c r="CA918" i="2"/>
  <c r="CA919" i="2"/>
  <c r="CA920" i="2"/>
  <c r="CA921" i="2"/>
  <c r="CA922" i="2"/>
  <c r="CA923" i="2"/>
  <c r="CA924" i="2"/>
  <c r="CA925" i="2"/>
  <c r="CA926" i="2"/>
  <c r="CA927" i="2"/>
  <c r="CA928" i="2"/>
  <c r="CA929" i="2"/>
  <c r="CA930" i="2"/>
  <c r="CA931" i="2"/>
  <c r="CA932" i="2"/>
  <c r="CA933" i="2"/>
  <c r="CA934" i="2"/>
  <c r="CA935" i="2"/>
  <c r="CA936" i="2"/>
  <c r="CA937" i="2"/>
  <c r="CA938" i="2"/>
  <c r="CA939" i="2"/>
  <c r="CA940" i="2"/>
  <c r="CA941" i="2"/>
  <c r="CA942" i="2"/>
  <c r="CA943" i="2"/>
  <c r="CA944" i="2"/>
  <c r="CA945" i="2"/>
  <c r="CA946" i="2"/>
  <c r="CA947" i="2"/>
  <c r="CA948" i="2"/>
  <c r="CA949" i="2"/>
  <c r="CA950" i="2"/>
  <c r="CA951" i="2"/>
  <c r="CA952" i="2"/>
  <c r="CA953" i="2"/>
  <c r="CA954" i="2"/>
  <c r="CA955" i="2"/>
  <c r="CA956" i="2"/>
  <c r="CA957" i="2"/>
  <c r="CA958" i="2"/>
  <c r="CA959" i="2"/>
  <c r="CA960" i="2"/>
  <c r="CA961" i="2"/>
  <c r="CA962" i="2"/>
  <c r="CA963" i="2"/>
  <c r="CA964" i="2"/>
  <c r="CA965" i="2"/>
  <c r="CA966" i="2"/>
  <c r="CA967" i="2"/>
  <c r="CA968" i="2"/>
  <c r="CA969" i="2"/>
  <c r="CA970" i="2"/>
  <c r="CA971" i="2"/>
  <c r="CA972" i="2"/>
  <c r="CA973" i="2"/>
  <c r="CA974" i="2"/>
  <c r="CA975" i="2"/>
  <c r="CA976" i="2"/>
  <c r="CA977" i="2"/>
  <c r="CA978" i="2"/>
  <c r="CA979" i="2"/>
  <c r="CA980" i="2"/>
  <c r="CA981" i="2"/>
  <c r="CA982" i="2"/>
  <c r="CA983" i="2"/>
  <c r="CA984" i="2"/>
  <c r="CA985" i="2"/>
  <c r="CA986" i="2"/>
  <c r="CA987" i="2"/>
  <c r="CA988" i="2"/>
  <c r="CA989" i="2"/>
  <c r="CA990" i="2"/>
  <c r="CA991" i="2"/>
  <c r="CA992" i="2"/>
  <c r="CA993" i="2"/>
  <c r="CA994" i="2"/>
  <c r="CA995" i="2"/>
  <c r="CA996" i="2"/>
  <c r="CA997" i="2"/>
  <c r="CA998" i="2"/>
  <c r="CA999" i="2"/>
  <c r="CA1000" i="2"/>
  <c r="CA1001" i="2"/>
  <c r="CA1002" i="2"/>
  <c r="CA1003" i="2"/>
  <c r="CA1004" i="2"/>
  <c r="CA1005" i="2"/>
  <c r="CA1006" i="2"/>
  <c r="CA1007" i="2"/>
  <c r="CA1008" i="2"/>
  <c r="CA1009" i="2"/>
  <c r="CA1010" i="2"/>
  <c r="CA1011" i="2"/>
  <c r="CA1012" i="2"/>
  <c r="CA1013" i="2"/>
  <c r="CA1014" i="2"/>
  <c r="CA1015" i="2"/>
  <c r="CA1016" i="2"/>
  <c r="CA1017" i="2"/>
  <c r="CA1018" i="2"/>
  <c r="CA1019" i="2"/>
  <c r="CA1020" i="2"/>
  <c r="CA1021" i="2"/>
  <c r="CA1022" i="2"/>
  <c r="CA1023" i="2"/>
  <c r="CA1024" i="2"/>
  <c r="CA1025" i="2"/>
  <c r="CA1026" i="2"/>
  <c r="CA1027" i="2"/>
  <c r="CA1028" i="2"/>
  <c r="CA1029" i="2"/>
  <c r="CA1030" i="2"/>
  <c r="CA1031" i="2"/>
  <c r="CA1032" i="2"/>
  <c r="CA1033" i="2"/>
  <c r="CA1034" i="2"/>
  <c r="CA1035" i="2"/>
  <c r="CA1036" i="2"/>
  <c r="CA1037" i="2"/>
  <c r="CA1038" i="2"/>
  <c r="CA1039" i="2"/>
  <c r="CA1040" i="2"/>
  <c r="CA1041" i="2"/>
  <c r="CA1042" i="2"/>
  <c r="CA1043" i="2"/>
  <c r="CA1044" i="2"/>
  <c r="CA1045" i="2"/>
  <c r="CA1046" i="2"/>
  <c r="CA1047" i="2"/>
  <c r="CA1048" i="2"/>
  <c r="CA1049" i="2"/>
  <c r="CA1050" i="2"/>
  <c r="CA1051" i="2"/>
  <c r="CA1052" i="2"/>
  <c r="CA1053" i="2"/>
  <c r="CA1054" i="2"/>
  <c r="CA1055" i="2"/>
  <c r="CA1056" i="2"/>
  <c r="CA1057" i="2"/>
  <c r="CA1058" i="2"/>
  <c r="CA1059" i="2"/>
  <c r="CA1060" i="2"/>
  <c r="CA1061" i="2"/>
  <c r="CA1062" i="2"/>
  <c r="CA1063" i="2"/>
  <c r="CA1064" i="2"/>
  <c r="CA1065" i="2"/>
  <c r="CA1066" i="2"/>
  <c r="CA1067" i="2"/>
  <c r="CA1068" i="2"/>
  <c r="CA1069" i="2"/>
  <c r="CA1070" i="2"/>
  <c r="CA1071" i="2"/>
  <c r="CA1072" i="2"/>
  <c r="CA1073" i="2"/>
  <c r="CA1074" i="2"/>
  <c r="CA1075" i="2"/>
  <c r="CA1076" i="2"/>
  <c r="CA1077" i="2"/>
  <c r="CA1078" i="2"/>
  <c r="CA1079" i="2"/>
  <c r="CA1080" i="2"/>
  <c r="CA1081" i="2"/>
  <c r="CA1082" i="2"/>
  <c r="CA1083" i="2"/>
  <c r="CA1084" i="2"/>
  <c r="CA1085" i="2"/>
  <c r="CA1086" i="2"/>
  <c r="CA1087" i="2"/>
  <c r="CA1088" i="2"/>
  <c r="CA1089" i="2"/>
  <c r="CA1090" i="2"/>
  <c r="CA1091" i="2"/>
  <c r="CA1092" i="2"/>
  <c r="CA1093" i="2"/>
  <c r="CA1094" i="2"/>
  <c r="CA1095" i="2"/>
  <c r="CA1096" i="2"/>
  <c r="CA1097" i="2"/>
  <c r="CA1098" i="2"/>
  <c r="CA1099" i="2"/>
  <c r="CA1100" i="2"/>
  <c r="CA1101" i="2"/>
  <c r="CA1102" i="2"/>
  <c r="CA1103" i="2"/>
  <c r="CA1104" i="2"/>
  <c r="CA1105" i="2"/>
  <c r="CA1106" i="2"/>
  <c r="CA1107" i="2"/>
  <c r="CA1108" i="2"/>
  <c r="CA1109" i="2"/>
  <c r="CA1110" i="2"/>
  <c r="CA1111" i="2"/>
  <c r="CA1112" i="2"/>
  <c r="CA1113" i="2"/>
  <c r="CA1114" i="2"/>
  <c r="CA1115" i="2"/>
  <c r="CA1116" i="2"/>
  <c r="CA1117" i="2"/>
  <c r="CA1118" i="2"/>
  <c r="CA1119" i="2"/>
  <c r="CA1120" i="2"/>
  <c r="CA1121" i="2"/>
  <c r="CA1122" i="2"/>
  <c r="CA1123" i="2"/>
  <c r="CA1124" i="2"/>
  <c r="CA1125" i="2"/>
  <c r="CA1126" i="2"/>
  <c r="CA1127" i="2"/>
  <c r="CA1128" i="2"/>
  <c r="CA1129" i="2"/>
  <c r="CA1130" i="2"/>
  <c r="CA1131" i="2"/>
  <c r="CA1132" i="2"/>
  <c r="CA1133" i="2"/>
  <c r="CA1134" i="2"/>
  <c r="CA1135" i="2"/>
  <c r="CA1136" i="2"/>
  <c r="CA1137" i="2"/>
  <c r="CA1138" i="2"/>
  <c r="CA1139" i="2"/>
  <c r="CA1140" i="2"/>
  <c r="CA1141" i="2"/>
  <c r="CA1142" i="2"/>
  <c r="CA1143" i="2"/>
  <c r="CA1144" i="2"/>
  <c r="CA1145" i="2"/>
  <c r="CA1146" i="2"/>
  <c r="CA1147" i="2"/>
  <c r="CA1148" i="2"/>
  <c r="CA1149" i="2"/>
  <c r="CA1150" i="2"/>
  <c r="CA1151" i="2"/>
  <c r="CA1152" i="2"/>
  <c r="CA1153" i="2"/>
  <c r="CA1154" i="2"/>
  <c r="CA1155" i="2"/>
  <c r="CA1156" i="2"/>
  <c r="CA1157" i="2"/>
  <c r="CA1158" i="2"/>
  <c r="CA1159" i="2"/>
  <c r="CA1160" i="2"/>
  <c r="CA1161" i="2"/>
  <c r="CA1162" i="2"/>
  <c r="CA1163" i="2"/>
  <c r="CA1164" i="2"/>
  <c r="CA1165" i="2"/>
  <c r="CA1166" i="2"/>
  <c r="CA1167" i="2"/>
  <c r="CA1168" i="2"/>
  <c r="CA1169" i="2"/>
  <c r="CA1170" i="2"/>
  <c r="CA1171" i="2"/>
  <c r="CA1172" i="2"/>
  <c r="CA1173" i="2"/>
  <c r="CA1174" i="2"/>
  <c r="CA1175" i="2"/>
  <c r="CA1176" i="2"/>
  <c r="CA1177" i="2"/>
  <c r="CA1178" i="2"/>
  <c r="CA1179" i="2"/>
  <c r="CA1180" i="2"/>
  <c r="CA1181" i="2"/>
  <c r="CA1182" i="2"/>
  <c r="CA1183" i="2"/>
  <c r="CA1184" i="2"/>
  <c r="CA1185" i="2"/>
  <c r="CA1186" i="2"/>
  <c r="CA1187" i="2"/>
  <c r="CA1188" i="2"/>
  <c r="CA1189" i="2"/>
  <c r="CA1190" i="2"/>
  <c r="CA1191" i="2"/>
  <c r="CA1192" i="2"/>
  <c r="CA1193" i="2"/>
  <c r="CA1194" i="2"/>
  <c r="CA1195" i="2"/>
  <c r="CA1196" i="2"/>
  <c r="CA1197" i="2"/>
  <c r="CA1198" i="2"/>
  <c r="CA1199" i="2"/>
  <c r="CA1200" i="2"/>
  <c r="CA1201" i="2"/>
  <c r="CA1202" i="2"/>
  <c r="CA1203" i="2"/>
  <c r="CA1204" i="2"/>
  <c r="CA1205" i="2"/>
  <c r="CA1206" i="2"/>
  <c r="CA1207" i="2"/>
  <c r="CA1208" i="2"/>
  <c r="CA1209" i="2"/>
  <c r="CA1210" i="2"/>
  <c r="CA1211" i="2"/>
  <c r="CA1212" i="2"/>
  <c r="CA1213" i="2"/>
  <c r="CA1214" i="2"/>
  <c r="CA1215" i="2"/>
  <c r="CA1216" i="2"/>
  <c r="CA1217" i="2"/>
  <c r="CA1218" i="2"/>
  <c r="CA1219" i="2"/>
  <c r="CA1220" i="2"/>
  <c r="CA1221" i="2"/>
  <c r="CA1222" i="2"/>
  <c r="CA1223" i="2"/>
  <c r="CA1224" i="2"/>
  <c r="CA1225" i="2"/>
  <c r="CA1226" i="2"/>
  <c r="CA1227" i="2"/>
  <c r="CA1228" i="2"/>
  <c r="CA1229" i="2"/>
  <c r="CA1230" i="2"/>
  <c r="CA1231" i="2"/>
  <c r="CA1232" i="2"/>
  <c r="CA1233" i="2"/>
  <c r="CA1234" i="2"/>
  <c r="CA1235" i="2"/>
  <c r="CA1236" i="2"/>
  <c r="CA1237" i="2"/>
  <c r="CA1238" i="2"/>
  <c r="CA1239" i="2"/>
  <c r="CA1240" i="2"/>
  <c r="CA1241" i="2"/>
  <c r="CA1242" i="2"/>
  <c r="CA1243" i="2"/>
  <c r="CA1244" i="2"/>
  <c r="CA1245" i="2"/>
  <c r="CA1246" i="2"/>
  <c r="CA1247" i="2"/>
  <c r="CA1248" i="2"/>
  <c r="CA1249" i="2"/>
  <c r="CA1250" i="2"/>
  <c r="CA1251" i="2"/>
  <c r="CA1252" i="2"/>
  <c r="CA1253" i="2"/>
  <c r="CA1254" i="2"/>
  <c r="CA1255" i="2"/>
  <c r="CA1256" i="2"/>
  <c r="CA1257" i="2"/>
  <c r="CA1258" i="2"/>
  <c r="CA1259" i="2"/>
  <c r="CA1260" i="2"/>
  <c r="CA1261" i="2"/>
  <c r="CA1262" i="2"/>
  <c r="CA1263" i="2"/>
  <c r="CA1264" i="2"/>
  <c r="CA1265" i="2"/>
  <c r="CA1266" i="2"/>
  <c r="CA1267" i="2"/>
  <c r="CA1268" i="2"/>
  <c r="CA1269" i="2"/>
  <c r="CA1270" i="2"/>
  <c r="CA1271" i="2"/>
  <c r="CA1272" i="2"/>
  <c r="CA1273" i="2"/>
  <c r="CA1274" i="2"/>
  <c r="CA1275" i="2"/>
  <c r="CA1276" i="2"/>
  <c r="CA1277" i="2"/>
  <c r="CA1278" i="2"/>
  <c r="CA1279" i="2"/>
  <c r="CA1280" i="2"/>
  <c r="CA1281" i="2"/>
  <c r="CA1282" i="2"/>
  <c r="CA1283" i="2"/>
  <c r="CA1284" i="2"/>
  <c r="CA1285" i="2"/>
  <c r="CA1286" i="2"/>
  <c r="CA1287" i="2"/>
  <c r="CA1288" i="2"/>
  <c r="CA1289" i="2"/>
  <c r="CA1290" i="2"/>
  <c r="CA1291" i="2"/>
  <c r="CA1292" i="2"/>
  <c r="CA1293" i="2"/>
  <c r="CA1294" i="2"/>
  <c r="CA1295" i="2"/>
  <c r="CA1296" i="2"/>
  <c r="CA1297" i="2"/>
  <c r="CA1298" i="2"/>
  <c r="CA1299" i="2"/>
  <c r="CA1300" i="2"/>
  <c r="CA1301" i="2"/>
  <c r="CA1302" i="2"/>
  <c r="CA1303" i="2"/>
  <c r="CA1304" i="2"/>
  <c r="CA1305" i="2"/>
  <c r="CA1306" i="2"/>
  <c r="CA1307" i="2"/>
  <c r="CA1308" i="2"/>
  <c r="CA1309" i="2"/>
  <c r="CA1310" i="2"/>
  <c r="CA1311" i="2"/>
  <c r="CA1312" i="2"/>
  <c r="CA1313" i="2"/>
  <c r="CA1314" i="2"/>
  <c r="CA1315" i="2"/>
  <c r="CA1316" i="2"/>
  <c r="CA1317" i="2"/>
  <c r="CA1318" i="2"/>
  <c r="CA1319" i="2"/>
  <c r="CA1320" i="2"/>
  <c r="CA1321" i="2"/>
  <c r="CA1322" i="2"/>
  <c r="CA1323" i="2"/>
  <c r="CA1324" i="2"/>
  <c r="CA1325" i="2"/>
  <c r="CA1326" i="2"/>
  <c r="CA1327" i="2"/>
  <c r="CA1328" i="2"/>
  <c r="CA1329" i="2"/>
  <c r="CA1330" i="2"/>
  <c r="CA1331" i="2"/>
  <c r="CA1332" i="2"/>
  <c r="CA1333" i="2"/>
  <c r="CA1334" i="2"/>
  <c r="CA1335" i="2"/>
  <c r="CA1336" i="2"/>
  <c r="CA1337" i="2"/>
  <c r="CA1338" i="2"/>
  <c r="CA1339" i="2"/>
  <c r="CA1340" i="2"/>
  <c r="CA1341" i="2"/>
  <c r="CA1342" i="2"/>
  <c r="CA1343" i="2"/>
  <c r="CA1344" i="2"/>
  <c r="CA1345" i="2"/>
  <c r="CA1346" i="2"/>
  <c r="CA1347" i="2"/>
  <c r="CA1348" i="2"/>
  <c r="CA1349" i="2"/>
  <c r="CA1350" i="2"/>
  <c r="CA1351" i="2"/>
  <c r="CA1352" i="2"/>
  <c r="CA1353" i="2"/>
  <c r="CA1354" i="2"/>
  <c r="CA1355" i="2"/>
  <c r="CA1356" i="2"/>
  <c r="CA1357" i="2"/>
  <c r="CA1358" i="2"/>
  <c r="CA1359" i="2"/>
  <c r="CA1360" i="2"/>
  <c r="CA1361" i="2"/>
  <c r="CA1362" i="2"/>
  <c r="CA1363" i="2"/>
  <c r="CA1364" i="2"/>
  <c r="CA1365" i="2"/>
  <c r="CA1366" i="2"/>
  <c r="CA1367" i="2"/>
  <c r="CA1368" i="2"/>
  <c r="CA1369" i="2"/>
  <c r="CA1370" i="2"/>
  <c r="CA1371" i="2"/>
  <c r="CA1372" i="2"/>
  <c r="CA1373" i="2"/>
  <c r="CA1374" i="2"/>
  <c r="CA1375" i="2"/>
  <c r="CA1376" i="2"/>
  <c r="CA1377" i="2"/>
  <c r="CA1378" i="2"/>
  <c r="CA1379" i="2"/>
  <c r="CA1380" i="2"/>
  <c r="CA1381" i="2"/>
  <c r="CA1382" i="2"/>
  <c r="CA1383" i="2"/>
  <c r="CA1384" i="2"/>
  <c r="CA1385" i="2"/>
  <c r="CA1386" i="2"/>
  <c r="CA1387" i="2"/>
  <c r="CA1388" i="2"/>
  <c r="CA1389" i="2"/>
  <c r="CA1390" i="2"/>
  <c r="CA1391" i="2"/>
  <c r="CA1392" i="2"/>
  <c r="CA1393" i="2"/>
  <c r="CA1394" i="2"/>
  <c r="CA1395" i="2"/>
  <c r="CA1396" i="2"/>
  <c r="CA1397" i="2"/>
  <c r="CA1398" i="2"/>
  <c r="CA1399" i="2"/>
  <c r="CA1400" i="2"/>
  <c r="CA1401" i="2"/>
  <c r="CA1402" i="2"/>
  <c r="CA1403" i="2"/>
  <c r="CA1404" i="2"/>
  <c r="CA1405" i="2"/>
  <c r="CA1406" i="2"/>
  <c r="CA1407" i="2"/>
  <c r="CA1408" i="2"/>
  <c r="CA1409" i="2"/>
  <c r="CA1410" i="2"/>
  <c r="CA1411" i="2"/>
  <c r="CA1412" i="2"/>
  <c r="CA1413" i="2"/>
  <c r="CA1414" i="2"/>
  <c r="CA1415" i="2"/>
  <c r="CA1416" i="2"/>
  <c r="CA1417" i="2"/>
  <c r="CA1418" i="2"/>
  <c r="CA1419" i="2"/>
  <c r="CA1420" i="2"/>
  <c r="CA1421" i="2"/>
  <c r="CA1422" i="2"/>
  <c r="CA1423" i="2"/>
  <c r="CA1424" i="2"/>
  <c r="CA1425" i="2"/>
  <c r="CA1426" i="2"/>
  <c r="CA1427" i="2"/>
  <c r="CA1428" i="2"/>
  <c r="CA1429" i="2"/>
  <c r="CA1430" i="2"/>
  <c r="CA1431" i="2"/>
  <c r="CA1432" i="2"/>
  <c r="CA1433" i="2"/>
  <c r="CA1434" i="2"/>
  <c r="CA1435" i="2"/>
  <c r="CA1436" i="2"/>
  <c r="CA1437" i="2"/>
  <c r="CA1438" i="2"/>
  <c r="CA1439" i="2"/>
  <c r="CA1440" i="2"/>
  <c r="CA1441" i="2"/>
  <c r="CA1442" i="2"/>
  <c r="CA1443" i="2"/>
  <c r="CA1444" i="2"/>
  <c r="CA1445" i="2"/>
  <c r="CA1446" i="2"/>
  <c r="CA1447" i="2"/>
  <c r="CA1448" i="2"/>
  <c r="CA1449" i="2"/>
  <c r="CA1450" i="2"/>
  <c r="CA1451" i="2"/>
  <c r="CA1452" i="2"/>
  <c r="CA1453" i="2"/>
  <c r="CA1454" i="2"/>
  <c r="CA1455" i="2"/>
  <c r="CA1456" i="2"/>
  <c r="CA1457" i="2"/>
  <c r="CA1458" i="2"/>
  <c r="CA1459" i="2"/>
  <c r="CA1460" i="2"/>
  <c r="CA1461" i="2"/>
  <c r="CA1462" i="2"/>
  <c r="CA1463" i="2"/>
  <c r="CA1464" i="2"/>
  <c r="CA1465" i="2"/>
  <c r="CA1466" i="2"/>
  <c r="CA1467" i="2"/>
  <c r="CA1468" i="2"/>
  <c r="CA1469" i="2"/>
  <c r="CA1470" i="2"/>
  <c r="CA1471" i="2"/>
  <c r="CA1472" i="2"/>
  <c r="CA1473" i="2"/>
  <c r="CA1474" i="2"/>
  <c r="CA1475" i="2"/>
  <c r="CA1476" i="2"/>
  <c r="CA1477" i="2"/>
  <c r="CA1478" i="2"/>
  <c r="CA1479" i="2"/>
  <c r="CA1480" i="2"/>
  <c r="CA1481" i="2"/>
  <c r="CA1482" i="2"/>
  <c r="CA1483" i="2"/>
  <c r="CA1484" i="2"/>
  <c r="CA1485" i="2"/>
  <c r="CA1486" i="2"/>
  <c r="CA1487" i="2"/>
  <c r="CA1488" i="2"/>
  <c r="CA1489" i="2"/>
  <c r="CA1490" i="2"/>
  <c r="CA1491" i="2"/>
  <c r="CA1492" i="2"/>
  <c r="CA1493" i="2"/>
  <c r="CA1494" i="2"/>
  <c r="CA1495" i="2"/>
  <c r="CA1496" i="2"/>
  <c r="CA1497" i="2"/>
  <c r="CA1498" i="2"/>
  <c r="CA1499" i="2"/>
  <c r="CA1500" i="2"/>
  <c r="CA1501" i="2"/>
  <c r="CA1502" i="2"/>
  <c r="CA1503" i="2"/>
  <c r="CA1504" i="2"/>
  <c r="CA1505" i="2"/>
  <c r="CA1506" i="2"/>
  <c r="CA1507" i="2"/>
  <c r="CA1508" i="2"/>
  <c r="CA1509" i="2"/>
  <c r="CA1510" i="2"/>
  <c r="CA1511" i="2"/>
  <c r="CA1512" i="2"/>
  <c r="CA1513" i="2"/>
  <c r="CA1514" i="2"/>
  <c r="CA1515" i="2"/>
  <c r="CA1516" i="2"/>
  <c r="CA1517" i="2"/>
  <c r="CA1518" i="2"/>
  <c r="CA1519" i="2"/>
  <c r="CA1520" i="2"/>
  <c r="CA1521" i="2"/>
  <c r="CA1522" i="2"/>
  <c r="CA1523" i="2"/>
  <c r="CA1524" i="2"/>
  <c r="CA1525" i="2"/>
  <c r="CA1526" i="2"/>
  <c r="CA1527" i="2"/>
  <c r="CA1528" i="2"/>
  <c r="CA1529" i="2"/>
  <c r="CA1530" i="2"/>
  <c r="CA1531" i="2"/>
  <c r="CA1532" i="2"/>
  <c r="CA1533" i="2"/>
  <c r="CA1534" i="2"/>
  <c r="CA1535" i="2"/>
  <c r="CA1536" i="2"/>
  <c r="CA1537" i="2"/>
  <c r="CA1538" i="2"/>
  <c r="CA1539" i="2"/>
  <c r="CA1540" i="2"/>
  <c r="CA1541" i="2"/>
  <c r="CA1542" i="2"/>
  <c r="CA1543" i="2"/>
  <c r="CA1544" i="2"/>
  <c r="CA1545" i="2"/>
  <c r="CA1546" i="2"/>
  <c r="CA1547" i="2"/>
  <c r="CA1548" i="2"/>
  <c r="CA1549" i="2"/>
  <c r="CA1550" i="2"/>
  <c r="CA1551" i="2"/>
  <c r="CA1552" i="2"/>
  <c r="CA1553" i="2"/>
  <c r="CA1554" i="2"/>
  <c r="CA1555" i="2"/>
  <c r="CA1556" i="2"/>
  <c r="CA1557" i="2"/>
  <c r="CA1558" i="2"/>
  <c r="CA1559" i="2"/>
  <c r="CA1560" i="2"/>
  <c r="CA1561" i="2"/>
  <c r="CA1562" i="2"/>
  <c r="CA1563" i="2"/>
  <c r="CA1564" i="2"/>
  <c r="CA1565" i="2"/>
  <c r="CA1566" i="2"/>
  <c r="CA1567" i="2"/>
  <c r="CA1568" i="2"/>
  <c r="CA1569" i="2"/>
  <c r="CA1570" i="2"/>
  <c r="CA1571" i="2"/>
  <c r="CA1572" i="2"/>
  <c r="CA1573" i="2"/>
  <c r="CA1574" i="2"/>
  <c r="CA1575" i="2"/>
  <c r="CA1576" i="2"/>
  <c r="CA1577" i="2"/>
  <c r="CA1578" i="2"/>
  <c r="CA1579" i="2"/>
  <c r="CA1580" i="2"/>
  <c r="CA1581" i="2"/>
  <c r="CA1582" i="2"/>
  <c r="CA1583" i="2"/>
  <c r="CA1584" i="2"/>
  <c r="CA1585" i="2"/>
  <c r="CA1586" i="2"/>
  <c r="CA1587" i="2"/>
  <c r="CA1588" i="2"/>
  <c r="CA1589" i="2"/>
  <c r="CA1590" i="2"/>
  <c r="CA1591" i="2"/>
  <c r="CA1592" i="2"/>
  <c r="CA1593" i="2"/>
  <c r="CA1594" i="2"/>
  <c r="CA1595" i="2"/>
  <c r="CA1596" i="2"/>
  <c r="CA1597" i="2"/>
  <c r="CA1598" i="2"/>
  <c r="CA1599" i="2"/>
  <c r="CA1600" i="2"/>
  <c r="CA1601" i="2"/>
  <c r="CA1602" i="2"/>
  <c r="CA1603" i="2"/>
  <c r="CA1604" i="2"/>
  <c r="CA1605" i="2"/>
  <c r="CA1606" i="2"/>
  <c r="CA1607" i="2"/>
  <c r="CA1608" i="2"/>
  <c r="CA1609" i="2"/>
  <c r="CA1610" i="2"/>
  <c r="CA1611" i="2"/>
  <c r="CA1612" i="2"/>
  <c r="CA1613" i="2"/>
  <c r="CA1614" i="2"/>
  <c r="CA1615" i="2"/>
  <c r="CA1616" i="2"/>
  <c r="CA1617" i="2"/>
  <c r="CA1618" i="2"/>
  <c r="CA1619" i="2"/>
  <c r="CA1620" i="2"/>
  <c r="CA1621" i="2"/>
  <c r="CA1622" i="2"/>
  <c r="CA1623" i="2"/>
  <c r="CA1624" i="2"/>
  <c r="CA1625" i="2"/>
  <c r="CA1626" i="2"/>
  <c r="CA1627" i="2"/>
  <c r="CA1628" i="2"/>
  <c r="CA1629" i="2"/>
  <c r="CA1630" i="2"/>
  <c r="CA1631" i="2"/>
  <c r="CA1632" i="2"/>
  <c r="CA1633" i="2"/>
  <c r="CA1634" i="2"/>
  <c r="CA1635" i="2"/>
  <c r="CA1636" i="2"/>
  <c r="CA1637" i="2"/>
  <c r="CA1638" i="2"/>
  <c r="CA1639" i="2"/>
  <c r="CA1640" i="2"/>
  <c r="CA1641" i="2"/>
  <c r="CA1642" i="2"/>
  <c r="CA1643" i="2"/>
  <c r="CA1644" i="2"/>
  <c r="CA1645" i="2"/>
  <c r="CA1646" i="2"/>
  <c r="CA1647" i="2"/>
  <c r="CA1648" i="2"/>
  <c r="CA1649" i="2"/>
  <c r="CA1650" i="2"/>
  <c r="CA1651" i="2"/>
  <c r="CA1652" i="2"/>
  <c r="CA1653" i="2"/>
  <c r="CA1654" i="2"/>
  <c r="CA1655" i="2"/>
  <c r="CA1656" i="2"/>
  <c r="CA1657" i="2"/>
  <c r="CA1658" i="2"/>
  <c r="CA1659" i="2"/>
  <c r="CA1660" i="2"/>
  <c r="CA1661" i="2"/>
  <c r="CA1662" i="2"/>
  <c r="CA1663" i="2"/>
  <c r="CA1664" i="2"/>
  <c r="CA1665" i="2"/>
  <c r="CA1666" i="2"/>
  <c r="CA1667" i="2"/>
  <c r="CA1668" i="2"/>
  <c r="CA1669" i="2"/>
  <c r="CA1670" i="2"/>
  <c r="CA1671" i="2"/>
  <c r="CA1672" i="2"/>
  <c r="CA1673" i="2"/>
  <c r="CA1674" i="2"/>
  <c r="CA1675" i="2"/>
  <c r="CA1676" i="2"/>
  <c r="CA1677" i="2"/>
  <c r="CA1678" i="2"/>
  <c r="CA1679" i="2"/>
  <c r="CA1680" i="2"/>
  <c r="CA1681" i="2"/>
  <c r="CA1682" i="2"/>
  <c r="CA1683" i="2"/>
  <c r="CA1684" i="2"/>
  <c r="CA1685" i="2"/>
  <c r="CA1686" i="2"/>
  <c r="CA1687" i="2"/>
  <c r="CA1688" i="2"/>
  <c r="CA1689" i="2"/>
  <c r="CA1690" i="2"/>
  <c r="CA1691" i="2"/>
  <c r="CA1692" i="2"/>
  <c r="CA1693" i="2"/>
  <c r="CA1694" i="2"/>
  <c r="CA1695" i="2"/>
  <c r="CA1696" i="2"/>
  <c r="CA1697" i="2"/>
  <c r="CA1698" i="2"/>
  <c r="CA1699" i="2"/>
  <c r="CA1700" i="2"/>
  <c r="CA1701" i="2"/>
  <c r="CA1702" i="2"/>
  <c r="CA1703" i="2"/>
  <c r="CA1704" i="2"/>
  <c r="CA1705" i="2"/>
  <c r="CA1706" i="2"/>
  <c r="CA1707" i="2"/>
  <c r="CA1708" i="2"/>
  <c r="CA1709" i="2"/>
  <c r="CA1710" i="2"/>
  <c r="CA1711" i="2"/>
  <c r="CA1712" i="2"/>
  <c r="CA1713" i="2"/>
  <c r="CA1714" i="2"/>
  <c r="CA1715" i="2"/>
  <c r="CA1716" i="2"/>
  <c r="CA1717" i="2"/>
  <c r="CA1718" i="2"/>
  <c r="CA1719" i="2"/>
  <c r="CA1720" i="2"/>
  <c r="CA1721" i="2"/>
  <c r="CA1722" i="2"/>
  <c r="CA1723" i="2"/>
  <c r="CA1724" i="2"/>
  <c r="CA1725" i="2"/>
  <c r="CA1726" i="2"/>
  <c r="CA2" i="2"/>
  <c r="AO1652" i="2"/>
  <c r="AO1651" i="2"/>
  <c r="AO1645" i="2"/>
  <c r="AO1644" i="2"/>
  <c r="AO1613" i="2"/>
  <c r="AO1588" i="2"/>
  <c r="AO1371" i="2"/>
  <c r="AO1158" i="2"/>
  <c r="AU691" i="2"/>
  <c r="AT691" i="2" s="1"/>
  <c r="AU798" i="2"/>
  <c r="BJ798" i="2" s="1"/>
  <c r="BK798" i="2" s="1"/>
  <c r="AU1046" i="2"/>
  <c r="AT1046" i="2" s="1"/>
  <c r="AU1184" i="2"/>
  <c r="AT1184" i="2" s="1"/>
  <c r="AU1447" i="2"/>
  <c r="AT1447" i="2" s="1"/>
  <c r="AK1184" i="2"/>
  <c r="AK1046" i="2"/>
  <c r="AK798" i="2"/>
  <c r="AK691" i="2"/>
  <c r="AK1447" i="2"/>
  <c r="Y1184" i="2"/>
  <c r="Y1046" i="2"/>
  <c r="Y798" i="2"/>
  <c r="Y691" i="2"/>
  <c r="Y1447" i="2"/>
  <c r="X1447" i="2"/>
  <c r="W1447" i="2" s="1"/>
  <c r="X1184" i="2"/>
  <c r="W1184" i="2" s="1"/>
  <c r="X1046" i="2"/>
  <c r="W1046" i="2" s="1"/>
  <c r="X798" i="2"/>
  <c r="X691" i="2"/>
  <c r="Z691" i="2" s="1"/>
  <c r="AU576" i="2"/>
  <c r="AT576" i="2" s="1"/>
  <c r="AU692" i="2"/>
  <c r="AT692" i="2" s="1"/>
  <c r="AU784" i="2"/>
  <c r="AU888" i="2"/>
  <c r="BJ888" i="2" s="1"/>
  <c r="AU315" i="2"/>
  <c r="BJ315" i="2" s="1"/>
  <c r="AU514" i="2"/>
  <c r="BJ514" i="2" s="1"/>
  <c r="BK514" i="2" s="1"/>
  <c r="AU731" i="2"/>
  <c r="AT731" i="2" s="1"/>
  <c r="AU937" i="2"/>
  <c r="BJ937" i="2" s="1"/>
  <c r="BK937" i="2" s="1"/>
  <c r="AU1043" i="2"/>
  <c r="AT1043" i="2" s="1"/>
  <c r="Y1043" i="2"/>
  <c r="Y937" i="2"/>
  <c r="Y731" i="2"/>
  <c r="Y514" i="2"/>
  <c r="Y315" i="2"/>
  <c r="Y888" i="2"/>
  <c r="Y784" i="2"/>
  <c r="Y692" i="2"/>
  <c r="Y576" i="2"/>
  <c r="X1043" i="2"/>
  <c r="Z1043" i="2" s="1"/>
  <c r="Q1043" i="2" s="1"/>
  <c r="X937" i="2"/>
  <c r="X731" i="2"/>
  <c r="W731" i="2" s="1"/>
  <c r="X514" i="2"/>
  <c r="W514" i="2" s="1"/>
  <c r="X315" i="2"/>
  <c r="W315" i="2" s="1"/>
  <c r="X888" i="2"/>
  <c r="Z888" i="2" s="1"/>
  <c r="X784" i="2"/>
  <c r="Z784" i="2" s="1"/>
  <c r="X692" i="2"/>
  <c r="X576" i="2"/>
  <c r="Y1179" i="2"/>
  <c r="Y905" i="2"/>
  <c r="Z905" i="2" s="1"/>
  <c r="Y775" i="2"/>
  <c r="Z775" i="2" s="1"/>
  <c r="Y263" i="2"/>
  <c r="Z263" i="2" s="1"/>
  <c r="Y1055" i="2"/>
  <c r="Z1055" i="2" s="1"/>
  <c r="Y856" i="2"/>
  <c r="Z856" i="2" s="1"/>
  <c r="Y309" i="2"/>
  <c r="Z309" i="2" s="1"/>
  <c r="X1179" i="2"/>
  <c r="Z1179" i="2"/>
  <c r="AT1179" i="2"/>
  <c r="BJ1179" i="2"/>
  <c r="BK1179" i="2" s="1"/>
  <c r="X905" i="2"/>
  <c r="AT905" i="2"/>
  <c r="BJ905" i="2"/>
  <c r="BK905" i="2" s="1"/>
  <c r="X775" i="2"/>
  <c r="AT775" i="2"/>
  <c r="BJ775" i="2"/>
  <c r="BK775" i="2" s="1"/>
  <c r="X263" i="2"/>
  <c r="AT263" i="2"/>
  <c r="BJ263" i="2"/>
  <c r="BK263" i="2" s="1"/>
  <c r="X1055" i="2"/>
  <c r="AT1055" i="2"/>
  <c r="BJ1055" i="2"/>
  <c r="BK1055" i="2" s="1"/>
  <c r="X856" i="2"/>
  <c r="AT856" i="2"/>
  <c r="BJ856" i="2"/>
  <c r="BK856" i="2" s="1"/>
  <c r="X309" i="2"/>
  <c r="AT309" i="2"/>
  <c r="BJ309" i="2"/>
  <c r="BK309" i="2" s="1"/>
  <c r="Y1213" i="2"/>
  <c r="Z1213" i="2" s="1"/>
  <c r="Y1333" i="2"/>
  <c r="Z1333" i="2" s="1"/>
  <c r="Y1215" i="2"/>
  <c r="Z1215" i="2" s="1"/>
  <c r="Y1103" i="2"/>
  <c r="Z1103" i="2" s="1"/>
  <c r="Y1290" i="2"/>
  <c r="Z1290" i="2" s="1"/>
  <c r="Y1252" i="2"/>
  <c r="Z1252" i="2" s="1"/>
  <c r="Y1144" i="2"/>
  <c r="Z1144" i="2" s="1"/>
  <c r="Y1289" i="2"/>
  <c r="Z1289" i="2" s="1"/>
  <c r="Y1296" i="2"/>
  <c r="Z1296" i="2" s="1"/>
  <c r="Y1274" i="2"/>
  <c r="Z1274" i="2" s="1"/>
  <c r="Y1225" i="2"/>
  <c r="Z1225" i="2" s="1"/>
  <c r="Y1217" i="2"/>
  <c r="Y1183" i="2"/>
  <c r="Z1183" i="2" s="1"/>
  <c r="Y1207" i="2"/>
  <c r="Z1207" i="2" s="1"/>
  <c r="Y1174" i="2"/>
  <c r="Z1174" i="2" s="1"/>
  <c r="BJ1174" i="2"/>
  <c r="BK1174" i="2" s="1"/>
  <c r="AT1174" i="2"/>
  <c r="X1174" i="2"/>
  <c r="BJ1207" i="2"/>
  <c r="BK1207" i="2" s="1"/>
  <c r="AT1207" i="2"/>
  <c r="X1207" i="2"/>
  <c r="BJ1183" i="2"/>
  <c r="BK1183" i="2" s="1"/>
  <c r="AT1183" i="2"/>
  <c r="X1183" i="2"/>
  <c r="BJ1217" i="2"/>
  <c r="BK1217" i="2" s="1"/>
  <c r="AT1217" i="2"/>
  <c r="X1217" i="2"/>
  <c r="BJ1225" i="2"/>
  <c r="BK1225" i="2" s="1"/>
  <c r="AT1225" i="2"/>
  <c r="X1225" i="2"/>
  <c r="BJ1274" i="2"/>
  <c r="BK1274" i="2" s="1"/>
  <c r="AT1274" i="2"/>
  <c r="X1274" i="2"/>
  <c r="BJ1296" i="2"/>
  <c r="BK1296" i="2" s="1"/>
  <c r="AT1296" i="2"/>
  <c r="X1296" i="2"/>
  <c r="BJ1289" i="2"/>
  <c r="BK1289" i="2" s="1"/>
  <c r="AT1289" i="2"/>
  <c r="X1289" i="2"/>
  <c r="BJ1144" i="2"/>
  <c r="BK1144" i="2" s="1"/>
  <c r="AT1144" i="2"/>
  <c r="X1144" i="2"/>
  <c r="BJ1252" i="2"/>
  <c r="BK1252" i="2" s="1"/>
  <c r="AT1252" i="2"/>
  <c r="X1252" i="2"/>
  <c r="BJ1290" i="2"/>
  <c r="BK1290" i="2" s="1"/>
  <c r="AT1290" i="2"/>
  <c r="X1290" i="2"/>
  <c r="BJ1103" i="2"/>
  <c r="BK1103" i="2" s="1"/>
  <c r="AT1103" i="2"/>
  <c r="X1103" i="2"/>
  <c r="BJ1215" i="2"/>
  <c r="BK1215" i="2" s="1"/>
  <c r="AT1215" i="2"/>
  <c r="X1215" i="2"/>
  <c r="BJ1333" i="2"/>
  <c r="BK1333" i="2" s="1"/>
  <c r="AT1333" i="2"/>
  <c r="X1333" i="2"/>
  <c r="BJ1213" i="2"/>
  <c r="BK1213" i="2" s="1"/>
  <c r="AT1213" i="2"/>
  <c r="X1213" i="2"/>
  <c r="BJ1284" i="2"/>
  <c r="BK1284" i="2" s="1"/>
  <c r="BJ762" i="2"/>
  <c r="BK762" i="2" s="1"/>
  <c r="BJ682" i="2"/>
  <c r="BK682" i="2" s="1"/>
  <c r="BJ815" i="2"/>
  <c r="BK815" i="2" s="1"/>
  <c r="BJ972" i="2"/>
  <c r="BK972" i="2" s="1"/>
  <c r="BJ1019" i="2"/>
  <c r="BK1019" i="2" s="1"/>
  <c r="BJ1083" i="2"/>
  <c r="BK1083" i="2" s="1"/>
  <c r="AT1136" i="2"/>
  <c r="AT912" i="2"/>
  <c r="AT985" i="2"/>
  <c r="AT702" i="2"/>
  <c r="AT674" i="2"/>
  <c r="AT621" i="2"/>
  <c r="AT1083" i="2"/>
  <c r="AT1019" i="2"/>
  <c r="AT972" i="2"/>
  <c r="AT815" i="2"/>
  <c r="AT682" i="2"/>
  <c r="AT762" i="2"/>
  <c r="AT1284" i="2"/>
  <c r="BJ621" i="2"/>
  <c r="BK621" i="2" s="1"/>
  <c r="BJ674" i="2"/>
  <c r="BK674" i="2" s="1"/>
  <c r="BJ702" i="2"/>
  <c r="BK702" i="2" s="1"/>
  <c r="BJ985" i="2"/>
  <c r="BK985" i="2" s="1"/>
  <c r="BJ912" i="2"/>
  <c r="BK912" i="2" s="1"/>
  <c r="BJ1136" i="2"/>
  <c r="BK1136" i="2" s="1"/>
  <c r="X1136" i="2"/>
  <c r="X912" i="2"/>
  <c r="X985" i="2"/>
  <c r="X702" i="2"/>
  <c r="X674" i="2"/>
  <c r="X621" i="2"/>
  <c r="X1083" i="2"/>
  <c r="X1019" i="2"/>
  <c r="X972" i="2"/>
  <c r="X815" i="2"/>
  <c r="X682" i="2"/>
  <c r="X762" i="2"/>
  <c r="X1284" i="2"/>
  <c r="Y1136" i="2"/>
  <c r="Z1136" i="2" s="1"/>
  <c r="Y912" i="2"/>
  <c r="Y985" i="2"/>
  <c r="Y702" i="2"/>
  <c r="Z702" i="2" s="1"/>
  <c r="Y674" i="2"/>
  <c r="Z674" i="2" s="1"/>
  <c r="Y621" i="2"/>
  <c r="Z621" i="2" s="1"/>
  <c r="Y1083" i="2"/>
  <c r="Y1019" i="2"/>
  <c r="Y972" i="2"/>
  <c r="Z972" i="2" s="1"/>
  <c r="Y815" i="2"/>
  <c r="Z815" i="2" s="1"/>
  <c r="Y682" i="2"/>
  <c r="Z682" i="2" s="1"/>
  <c r="Y762" i="2"/>
  <c r="Y1284" i="2"/>
  <c r="Z1284" i="2" s="1"/>
  <c r="BJ1014" i="2"/>
  <c r="BK1014" i="2" s="1"/>
  <c r="BJ346" i="2"/>
  <c r="BK346" i="2" s="1"/>
  <c r="BJ356" i="2"/>
  <c r="BK356" i="2" s="1"/>
  <c r="BJ882" i="2"/>
  <c r="BK882" i="2" s="1"/>
  <c r="BJ807" i="2"/>
  <c r="BK807" i="2" s="1"/>
  <c r="AT807" i="2"/>
  <c r="AT882" i="2"/>
  <c r="AT356" i="2"/>
  <c r="AT1014" i="2"/>
  <c r="AT346" i="2"/>
  <c r="AG807" i="2"/>
  <c r="AH807" i="2" s="1"/>
  <c r="AG882" i="2"/>
  <c r="AH882" i="2" s="1"/>
  <c r="AG356" i="2"/>
  <c r="AH356" i="2" s="1"/>
  <c r="AG1014" i="2"/>
  <c r="AH1014" i="2" s="1"/>
  <c r="AG346" i="2"/>
  <c r="AH346" i="2" s="1"/>
  <c r="AC807" i="2"/>
  <c r="AC882" i="2"/>
  <c r="AC356" i="2"/>
  <c r="AC1014" i="2"/>
  <c r="AC346" i="2"/>
  <c r="Y807" i="2"/>
  <c r="Y882" i="2"/>
  <c r="Y356" i="2"/>
  <c r="Y1014" i="2"/>
  <c r="Y346" i="2"/>
  <c r="W807" i="2"/>
  <c r="W882" i="2"/>
  <c r="W356" i="2"/>
  <c r="W1014" i="2"/>
  <c r="W346" i="2"/>
  <c r="X807" i="2"/>
  <c r="X882" i="2"/>
  <c r="X356" i="2"/>
  <c r="Z356" i="2" s="1"/>
  <c r="X1014" i="2"/>
  <c r="Z1014" i="2" s="1"/>
  <c r="X346" i="2"/>
  <c r="Z346" i="2" s="1"/>
  <c r="BJ200" i="2"/>
  <c r="BK200" i="2" s="1"/>
  <c r="BJ59" i="2"/>
  <c r="AT59" i="2"/>
  <c r="AT200" i="2"/>
  <c r="X200" i="2"/>
  <c r="AB200" i="2" s="1"/>
  <c r="AD200" i="2" s="1"/>
  <c r="X59" i="2"/>
  <c r="Q59" i="2" s="1"/>
  <c r="P59" i="2" s="1"/>
  <c r="BJ1679" i="2"/>
  <c r="BK1679" i="2" s="1"/>
  <c r="BJ1680" i="2"/>
  <c r="BK1680" i="2" s="1"/>
  <c r="BJ1681" i="2"/>
  <c r="BK1681" i="2" s="1"/>
  <c r="BJ1682" i="2"/>
  <c r="BK1682" i="2" s="1"/>
  <c r="BJ1683" i="2"/>
  <c r="BK1683" i="2" s="1"/>
  <c r="BJ1684" i="2"/>
  <c r="BK1684" i="2" s="1"/>
  <c r="BJ1685" i="2"/>
  <c r="BK1685" i="2" s="1"/>
  <c r="BJ1686" i="2"/>
  <c r="BK1686" i="2" s="1"/>
  <c r="BJ1687" i="2"/>
  <c r="BK1687" i="2" s="1"/>
  <c r="BJ1688" i="2"/>
  <c r="BK1688" i="2" s="1"/>
  <c r="BJ1689" i="2"/>
  <c r="BK1689" i="2" s="1"/>
  <c r="BJ1690" i="2"/>
  <c r="BK1690" i="2" s="1"/>
  <c r="BJ1691" i="2"/>
  <c r="BK1691" i="2" s="1"/>
  <c r="BJ1692" i="2"/>
  <c r="BK1692" i="2" s="1"/>
  <c r="BJ1693" i="2"/>
  <c r="BK1693" i="2" s="1"/>
  <c r="Y1679" i="2"/>
  <c r="Y1680" i="2"/>
  <c r="Y1681" i="2"/>
  <c r="Y1682" i="2"/>
  <c r="Y1683" i="2"/>
  <c r="Y1684" i="2"/>
  <c r="Y1685" i="2"/>
  <c r="Y1686" i="2"/>
  <c r="Y1687" i="2"/>
  <c r="Y1688" i="2"/>
  <c r="Y1689" i="2"/>
  <c r="Y1690" i="2"/>
  <c r="Y1691" i="2"/>
  <c r="Y1692" i="2"/>
  <c r="Y1693" i="2"/>
  <c r="W1679" i="2"/>
  <c r="X1679" i="2" s="1"/>
  <c r="W1680" i="2"/>
  <c r="X1680" i="2" s="1"/>
  <c r="W1681" i="2"/>
  <c r="X1681" i="2" s="1"/>
  <c r="W1682" i="2"/>
  <c r="X1682" i="2" s="1"/>
  <c r="W1683" i="2"/>
  <c r="X1683" i="2" s="1"/>
  <c r="W1684" i="2"/>
  <c r="X1684" i="2" s="1"/>
  <c r="W1685" i="2"/>
  <c r="X1685" i="2" s="1"/>
  <c r="W1686" i="2"/>
  <c r="X1686" i="2" s="1"/>
  <c r="W1687" i="2"/>
  <c r="X1687" i="2" s="1"/>
  <c r="W1688" i="2"/>
  <c r="X1688" i="2" s="1"/>
  <c r="W1689" i="2"/>
  <c r="X1689" i="2" s="1"/>
  <c r="W1690" i="2"/>
  <c r="X1690" i="2" s="1"/>
  <c r="W1691" i="2"/>
  <c r="X1691" i="2" s="1"/>
  <c r="W1692" i="2"/>
  <c r="X1692" i="2" s="1"/>
  <c r="W1693" i="2"/>
  <c r="X1693" i="2" s="1"/>
  <c r="BJ1678" i="2"/>
  <c r="BK1678" i="2" s="1"/>
  <c r="BJ1677" i="2"/>
  <c r="BK1677" i="2" s="1"/>
  <c r="BJ1676" i="2"/>
  <c r="BK1676" i="2" s="1"/>
  <c r="BJ1675" i="2"/>
  <c r="BK1675" i="2" s="1"/>
  <c r="BJ1674" i="2"/>
  <c r="BK1674" i="2" s="1"/>
  <c r="BJ1673" i="2"/>
  <c r="BK1673" i="2" s="1"/>
  <c r="BJ1672" i="2"/>
  <c r="BK1672" i="2" s="1"/>
  <c r="BJ1671" i="2"/>
  <c r="BK1671" i="2" s="1"/>
  <c r="BJ1670" i="2"/>
  <c r="BK1670" i="2" s="1"/>
  <c r="BJ1669" i="2"/>
  <c r="BK1669" i="2" s="1"/>
  <c r="BJ1668" i="2"/>
  <c r="BK1668" i="2" s="1"/>
  <c r="BJ1667" i="2"/>
  <c r="BK1667" i="2" s="1"/>
  <c r="BJ1666" i="2"/>
  <c r="BK1666" i="2" s="1"/>
  <c r="BJ1665" i="2"/>
  <c r="BK1665" i="2" s="1"/>
  <c r="Y1665" i="2"/>
  <c r="Y1666" i="2"/>
  <c r="Y1667" i="2"/>
  <c r="Y1668" i="2"/>
  <c r="Y1669" i="2"/>
  <c r="Y1670" i="2"/>
  <c r="Y1671" i="2"/>
  <c r="Y1672" i="2"/>
  <c r="Y1673" i="2"/>
  <c r="Y1674" i="2"/>
  <c r="Y1675" i="2"/>
  <c r="Y1676" i="2"/>
  <c r="Y1677" i="2"/>
  <c r="Y1678" i="2"/>
  <c r="W1665" i="2"/>
  <c r="X1665" i="2" s="1"/>
  <c r="W1666" i="2"/>
  <c r="X1666" i="2" s="1"/>
  <c r="W1667" i="2"/>
  <c r="X1667" i="2" s="1"/>
  <c r="W1668" i="2"/>
  <c r="X1668" i="2" s="1"/>
  <c r="W1669" i="2"/>
  <c r="X1669" i="2" s="1"/>
  <c r="W1670" i="2"/>
  <c r="X1670" i="2" s="1"/>
  <c r="W1671" i="2"/>
  <c r="X1671" i="2" s="1"/>
  <c r="W1672" i="2"/>
  <c r="X1672" i="2" s="1"/>
  <c r="W1673" i="2"/>
  <c r="X1673" i="2" s="1"/>
  <c r="W1674" i="2"/>
  <c r="X1674" i="2" s="1"/>
  <c r="W1675" i="2"/>
  <c r="X1675" i="2" s="1"/>
  <c r="W1676" i="2"/>
  <c r="X1676" i="2" s="1"/>
  <c r="W1677" i="2"/>
  <c r="X1677" i="2" s="1"/>
  <c r="W1678" i="2"/>
  <c r="X1678" i="2" s="1"/>
  <c r="BJ1664" i="2"/>
  <c r="BK1664" i="2" s="1"/>
  <c r="BJ1663" i="2"/>
  <c r="BK1663" i="2" s="1"/>
  <c r="BJ1662" i="2"/>
  <c r="BK1662" i="2" s="1"/>
  <c r="BJ1661" i="2"/>
  <c r="BK1661" i="2" s="1"/>
  <c r="BJ1660" i="2"/>
  <c r="BK1660" i="2" s="1"/>
  <c r="BJ1659" i="2"/>
  <c r="BK1659" i="2" s="1"/>
  <c r="BJ1658" i="2"/>
  <c r="BK1658" i="2" s="1"/>
  <c r="BJ1657" i="2"/>
  <c r="BK1657" i="2" s="1"/>
  <c r="BJ1656" i="2"/>
  <c r="BK1656" i="2" s="1"/>
  <c r="BJ1655" i="2"/>
  <c r="BK1655" i="2" s="1"/>
  <c r="BJ1654" i="2"/>
  <c r="BK1654" i="2" s="1"/>
  <c r="BJ1653" i="2"/>
  <c r="BK1653" i="2" s="1"/>
  <c r="AC738" i="2"/>
  <c r="Y1653" i="2"/>
  <c r="Y1654" i="2"/>
  <c r="Y1655" i="2"/>
  <c r="Y1656" i="2"/>
  <c r="Y1657" i="2"/>
  <c r="Y1658" i="2"/>
  <c r="Y1659" i="2"/>
  <c r="Y1660" i="2"/>
  <c r="Y1661" i="2"/>
  <c r="Y1662" i="2"/>
  <c r="Y1663" i="2"/>
  <c r="Y1664" i="2"/>
  <c r="W1653" i="2"/>
  <c r="X1653" i="2" s="1"/>
  <c r="W1654" i="2"/>
  <c r="X1654" i="2" s="1"/>
  <c r="W1655" i="2"/>
  <c r="X1655" i="2" s="1"/>
  <c r="W1656" i="2"/>
  <c r="X1656" i="2" s="1"/>
  <c r="W1657" i="2"/>
  <c r="X1657" i="2" s="1"/>
  <c r="W1658" i="2"/>
  <c r="X1658" i="2" s="1"/>
  <c r="W1659" i="2"/>
  <c r="X1659" i="2" s="1"/>
  <c r="W1660" i="2"/>
  <c r="X1660" i="2" s="1"/>
  <c r="W1661" i="2"/>
  <c r="X1661" i="2" s="1"/>
  <c r="W1662" i="2"/>
  <c r="X1662" i="2" s="1"/>
  <c r="W1663" i="2"/>
  <c r="X1663" i="2" s="1"/>
  <c r="W1664" i="2"/>
  <c r="X1664" i="2" s="1"/>
  <c r="BJ738" i="2"/>
  <c r="BK738" i="2" s="1"/>
  <c r="AS738" i="2"/>
  <c r="AT738" i="2" s="1"/>
  <c r="AG738" i="2"/>
  <c r="AH738" i="2" s="1"/>
  <c r="Y738" i="2"/>
  <c r="W738" i="2"/>
  <c r="X738" i="2" s="1"/>
  <c r="BJ1571" i="2"/>
  <c r="BK1571" i="2" s="1"/>
  <c r="AS1571" i="2"/>
  <c r="AT1571" i="2" s="1"/>
  <c r="AG1571" i="2"/>
  <c r="AH1571" i="2" s="1"/>
  <c r="AC1571" i="2"/>
  <c r="Y1571" i="2"/>
  <c r="W1571" i="2"/>
  <c r="X1571" i="2" s="1"/>
  <c r="BJ641" i="2"/>
  <c r="BK641" i="2" s="1"/>
  <c r="AS641" i="2"/>
  <c r="AT641" i="2" s="1"/>
  <c r="AG641" i="2"/>
  <c r="AH641" i="2" s="1"/>
  <c r="AC641" i="2"/>
  <c r="Y641" i="2"/>
  <c r="W641" i="2"/>
  <c r="X641" i="2" s="1"/>
  <c r="BJ942" i="2"/>
  <c r="BK942" i="2" s="1"/>
  <c r="AS942" i="2"/>
  <c r="AT942" i="2" s="1"/>
  <c r="AG942" i="2"/>
  <c r="AH942" i="2" s="1"/>
  <c r="AC942" i="2"/>
  <c r="Y942" i="2"/>
  <c r="W942" i="2"/>
  <c r="X942" i="2" s="1"/>
  <c r="BJ1453" i="2"/>
  <c r="BK1453" i="2" s="1"/>
  <c r="AS1453" i="2"/>
  <c r="AT1453" i="2" s="1"/>
  <c r="AG1453" i="2"/>
  <c r="AH1453" i="2" s="1"/>
  <c r="AC1453" i="2"/>
  <c r="Y1453" i="2"/>
  <c r="W1453" i="2"/>
  <c r="X1453" i="2" s="1"/>
  <c r="BJ465" i="2"/>
  <c r="BK465" i="2" s="1"/>
  <c r="AS465" i="2"/>
  <c r="AT465" i="2" s="1"/>
  <c r="AG465" i="2"/>
  <c r="AH465" i="2" s="1"/>
  <c r="AC465" i="2"/>
  <c r="Y465" i="2"/>
  <c r="W465" i="2"/>
  <c r="X465" i="2" s="1"/>
  <c r="BJ638" i="2"/>
  <c r="BK638" i="2" s="1"/>
  <c r="AS638" i="2"/>
  <c r="AT638" i="2" s="1"/>
  <c r="AG638" i="2"/>
  <c r="AH638" i="2" s="1"/>
  <c r="AC638" i="2"/>
  <c r="Y638" i="2"/>
  <c r="W638" i="2"/>
  <c r="X638" i="2" s="1"/>
  <c r="BJ1264" i="2"/>
  <c r="BK1264" i="2" s="1"/>
  <c r="AS1264" i="2"/>
  <c r="AT1264" i="2" s="1"/>
  <c r="AG1264" i="2"/>
  <c r="AH1264" i="2" s="1"/>
  <c r="AC1264" i="2"/>
  <c r="Y1264" i="2"/>
  <c r="W1264" i="2"/>
  <c r="X1264" i="2" s="1"/>
  <c r="BJ409" i="2"/>
  <c r="BK409" i="2" s="1"/>
  <c r="AS409" i="2"/>
  <c r="AT409" i="2" s="1"/>
  <c r="AG409" i="2"/>
  <c r="AH409" i="2" s="1"/>
  <c r="AC409" i="2"/>
  <c r="Y409" i="2"/>
  <c r="W409" i="2"/>
  <c r="X409" i="2" s="1"/>
  <c r="BJ955" i="2"/>
  <c r="BK955" i="2" s="1"/>
  <c r="AS955" i="2"/>
  <c r="AT955" i="2" s="1"/>
  <c r="AG955" i="2"/>
  <c r="AH955" i="2" s="1"/>
  <c r="AC955" i="2"/>
  <c r="Y955" i="2"/>
  <c r="W955" i="2"/>
  <c r="X955" i="2" s="1"/>
  <c r="BJ1598" i="2"/>
  <c r="BK1598" i="2" s="1"/>
  <c r="AS1598" i="2"/>
  <c r="AT1598" i="2" s="1"/>
  <c r="AG1598" i="2"/>
  <c r="AH1598" i="2" s="1"/>
  <c r="AC1598" i="2"/>
  <c r="Y1598" i="2"/>
  <c r="W1598" i="2"/>
  <c r="X1598" i="2" s="1"/>
  <c r="BJ369" i="2"/>
  <c r="BK369" i="2" s="1"/>
  <c r="AS369" i="2"/>
  <c r="AT369" i="2" s="1"/>
  <c r="AG369" i="2"/>
  <c r="AH369" i="2" s="1"/>
  <c r="AC369" i="2"/>
  <c r="Y369" i="2"/>
  <c r="W369" i="2"/>
  <c r="X369" i="2" s="1"/>
  <c r="BJ1413" i="2"/>
  <c r="BK1413" i="2" s="1"/>
  <c r="AS1413" i="2"/>
  <c r="AT1413" i="2" s="1"/>
  <c r="AG1413" i="2"/>
  <c r="AH1413" i="2" s="1"/>
  <c r="AC1413" i="2"/>
  <c r="Y1413" i="2"/>
  <c r="W1413" i="2"/>
  <c r="X1413" i="2" s="1"/>
  <c r="BJ1628" i="2"/>
  <c r="BK1628" i="2" s="1"/>
  <c r="AS1628" i="2"/>
  <c r="AT1628" i="2" s="1"/>
  <c r="AG1628" i="2"/>
  <c r="AH1628" i="2" s="1"/>
  <c r="AC1628" i="2"/>
  <c r="Y1628" i="2"/>
  <c r="W1628" i="2"/>
  <c r="X1628" i="2" s="1"/>
  <c r="BJ341" i="2"/>
  <c r="BK341" i="2" s="1"/>
  <c r="AS341" i="2"/>
  <c r="AT341" i="2" s="1"/>
  <c r="AG341" i="2"/>
  <c r="AH341" i="2" s="1"/>
  <c r="AC341" i="2"/>
  <c r="Y341" i="2"/>
  <c r="W341" i="2"/>
  <c r="X341" i="2" s="1"/>
  <c r="BJ627" i="2"/>
  <c r="BK627" i="2" s="1"/>
  <c r="AS627" i="2"/>
  <c r="AT627" i="2" s="1"/>
  <c r="AG627" i="2"/>
  <c r="AH627" i="2" s="1"/>
  <c r="AC627" i="2"/>
  <c r="Y627" i="2"/>
  <c r="W627" i="2"/>
  <c r="X627" i="2" s="1"/>
  <c r="BJ1330" i="2"/>
  <c r="BK1330" i="2" s="1"/>
  <c r="AS1330" i="2"/>
  <c r="AT1330" i="2" s="1"/>
  <c r="AG1330" i="2"/>
  <c r="AH1330" i="2" s="1"/>
  <c r="AC1330" i="2"/>
  <c r="Y1330" i="2"/>
  <c r="W1330" i="2"/>
  <c r="X1330" i="2" s="1"/>
  <c r="BJ326" i="2"/>
  <c r="BK326" i="2" s="1"/>
  <c r="AS326" i="2"/>
  <c r="AT326" i="2" s="1"/>
  <c r="AG326" i="2"/>
  <c r="AH326" i="2" s="1"/>
  <c r="AC326" i="2"/>
  <c r="Y326" i="2"/>
  <c r="W326" i="2"/>
  <c r="X326" i="2" s="1"/>
  <c r="BJ1475" i="2"/>
  <c r="BK1475" i="2" s="1"/>
  <c r="AS1475" i="2"/>
  <c r="AT1475" i="2" s="1"/>
  <c r="AG1475" i="2"/>
  <c r="AH1475" i="2" s="1"/>
  <c r="AC1475" i="2"/>
  <c r="Y1475" i="2"/>
  <c r="W1475" i="2"/>
  <c r="X1475" i="2" s="1"/>
  <c r="BJ281" i="2"/>
  <c r="BK281" i="2" s="1"/>
  <c r="AS281" i="2"/>
  <c r="AT281" i="2" s="1"/>
  <c r="AG281" i="2"/>
  <c r="AH281" i="2" s="1"/>
  <c r="AC281" i="2"/>
  <c r="Y281" i="2"/>
  <c r="W281" i="2"/>
  <c r="X281" i="2" s="1"/>
  <c r="BJ1070" i="2"/>
  <c r="BK1070" i="2" s="1"/>
  <c r="AS1070" i="2"/>
  <c r="AT1070" i="2" s="1"/>
  <c r="AG1070" i="2"/>
  <c r="AH1070" i="2" s="1"/>
  <c r="AC1070" i="2"/>
  <c r="Y1070" i="2"/>
  <c r="W1070" i="2"/>
  <c r="X1070" i="2" s="1"/>
  <c r="BJ1562" i="2"/>
  <c r="BK1562" i="2" s="1"/>
  <c r="AS1562" i="2"/>
  <c r="AT1562" i="2" s="1"/>
  <c r="AG1562" i="2"/>
  <c r="AH1562" i="2" s="1"/>
  <c r="AC1562" i="2"/>
  <c r="Y1562" i="2"/>
  <c r="W1562" i="2"/>
  <c r="X1562" i="2" s="1"/>
  <c r="BJ214" i="2"/>
  <c r="BK214" i="2" s="1"/>
  <c r="AS214" i="2"/>
  <c r="AT214" i="2" s="1"/>
  <c r="AG214" i="2"/>
  <c r="AH214" i="2" s="1"/>
  <c r="AC214" i="2"/>
  <c r="Y214" i="2"/>
  <c r="W214" i="2"/>
  <c r="X214" i="2" s="1"/>
  <c r="BJ1151" i="2"/>
  <c r="BK1151" i="2" s="1"/>
  <c r="AS1151" i="2"/>
  <c r="AT1151" i="2" s="1"/>
  <c r="AG1151" i="2"/>
  <c r="AH1151" i="2" s="1"/>
  <c r="AC1151" i="2"/>
  <c r="Y1151" i="2"/>
  <c r="W1151" i="2"/>
  <c r="X1151" i="2" s="1"/>
  <c r="BJ1565" i="2"/>
  <c r="BK1565" i="2" s="1"/>
  <c r="AS1565" i="2"/>
  <c r="AT1565" i="2" s="1"/>
  <c r="AG1565" i="2"/>
  <c r="AH1565" i="2" s="1"/>
  <c r="AC1565" i="2"/>
  <c r="Y1565" i="2"/>
  <c r="W1565" i="2"/>
  <c r="X1565" i="2" s="1"/>
  <c r="BJ201" i="2"/>
  <c r="BK201" i="2" s="1"/>
  <c r="AS201" i="2"/>
  <c r="AT201" i="2" s="1"/>
  <c r="AG201" i="2"/>
  <c r="AH201" i="2" s="1"/>
  <c r="AC201" i="2"/>
  <c r="Y201" i="2"/>
  <c r="W201" i="2"/>
  <c r="X201" i="2" s="1"/>
  <c r="BJ918" i="2"/>
  <c r="BK918" i="2" s="1"/>
  <c r="AS918" i="2"/>
  <c r="AT918" i="2" s="1"/>
  <c r="AG918" i="2"/>
  <c r="AH918" i="2" s="1"/>
  <c r="AC918" i="2"/>
  <c r="Y918" i="2"/>
  <c r="W918" i="2"/>
  <c r="X918" i="2" s="1"/>
  <c r="BJ1007" i="2"/>
  <c r="BK1007" i="2" s="1"/>
  <c r="AS1007" i="2"/>
  <c r="AT1007" i="2" s="1"/>
  <c r="AG1007" i="2"/>
  <c r="AH1007" i="2" s="1"/>
  <c r="AC1007" i="2"/>
  <c r="Y1007" i="2"/>
  <c r="W1007" i="2"/>
  <c r="X1007" i="2" s="1"/>
  <c r="BJ701" i="2"/>
  <c r="BK701" i="2" s="1"/>
  <c r="AS701" i="2"/>
  <c r="AT701" i="2" s="1"/>
  <c r="AG701" i="2"/>
  <c r="AH701" i="2" s="1"/>
  <c r="AC701" i="2"/>
  <c r="Y701" i="2"/>
  <c r="W701" i="2"/>
  <c r="X701" i="2" s="1"/>
  <c r="BJ1206" i="2"/>
  <c r="BK1206" i="2" s="1"/>
  <c r="AS1206" i="2"/>
  <c r="AT1206" i="2" s="1"/>
  <c r="AG1206" i="2"/>
  <c r="AH1206" i="2" s="1"/>
  <c r="AC1206" i="2"/>
  <c r="Y1206" i="2"/>
  <c r="W1206" i="2"/>
  <c r="X1206" i="2" s="1"/>
  <c r="BJ1498" i="2"/>
  <c r="BK1498" i="2" s="1"/>
  <c r="AS1498" i="2"/>
  <c r="AT1498" i="2" s="1"/>
  <c r="AG1498" i="2"/>
  <c r="AH1498" i="2" s="1"/>
  <c r="AC1498" i="2"/>
  <c r="Y1498" i="2"/>
  <c r="W1498" i="2"/>
  <c r="X1498" i="2" s="1"/>
  <c r="Z1498" i="2" s="1"/>
  <c r="BJ728" i="2"/>
  <c r="BK728" i="2" s="1"/>
  <c r="AS728" i="2"/>
  <c r="AT728" i="2" s="1"/>
  <c r="AG728" i="2"/>
  <c r="AH728" i="2" s="1"/>
  <c r="AC728" i="2"/>
  <c r="Y728" i="2"/>
  <c r="W728" i="2"/>
  <c r="X728" i="2" s="1"/>
  <c r="BJ1356" i="2"/>
  <c r="BK1356" i="2" s="1"/>
  <c r="AS1356" i="2"/>
  <c r="AT1356" i="2" s="1"/>
  <c r="AG1356" i="2"/>
  <c r="AH1356" i="2" s="1"/>
  <c r="AC1356" i="2"/>
  <c r="Y1356" i="2"/>
  <c r="W1356" i="2"/>
  <c r="X1356" i="2" s="1"/>
  <c r="Z1356" i="2" s="1"/>
  <c r="BJ1608" i="2"/>
  <c r="BK1608" i="2" s="1"/>
  <c r="AS1608" i="2"/>
  <c r="AT1608" i="2" s="1"/>
  <c r="AG1608" i="2"/>
  <c r="AH1608" i="2" s="1"/>
  <c r="AC1608" i="2"/>
  <c r="Y1608" i="2"/>
  <c r="W1608" i="2"/>
  <c r="X1608" i="2" s="1"/>
  <c r="Z1608" i="2" s="1"/>
  <c r="BJ727" i="2"/>
  <c r="BK727" i="2" s="1"/>
  <c r="AS727" i="2"/>
  <c r="AT727" i="2" s="1"/>
  <c r="AG727" i="2"/>
  <c r="AH727" i="2" s="1"/>
  <c r="AC727" i="2"/>
  <c r="Y727" i="2"/>
  <c r="W727" i="2"/>
  <c r="X727" i="2" s="1"/>
  <c r="BJ884" i="2"/>
  <c r="BK884" i="2" s="1"/>
  <c r="AS884" i="2"/>
  <c r="AT884" i="2" s="1"/>
  <c r="AG884" i="2"/>
  <c r="AH884" i="2" s="1"/>
  <c r="AC884" i="2"/>
  <c r="Y884" i="2"/>
  <c r="W884" i="2"/>
  <c r="X884" i="2" s="1"/>
  <c r="BJ1311" i="2"/>
  <c r="BK1311" i="2" s="1"/>
  <c r="AS1311" i="2"/>
  <c r="AT1311" i="2" s="1"/>
  <c r="AG1311" i="2"/>
  <c r="AH1311" i="2" s="1"/>
  <c r="AC1311" i="2"/>
  <c r="Y1311" i="2"/>
  <c r="W1311" i="2"/>
  <c r="X1311" i="2" s="1"/>
  <c r="BJ677" i="2"/>
  <c r="BK677" i="2" s="1"/>
  <c r="AS677" i="2"/>
  <c r="AT677" i="2" s="1"/>
  <c r="AG677" i="2"/>
  <c r="AH677" i="2" s="1"/>
  <c r="AC677" i="2"/>
  <c r="Y677" i="2"/>
  <c r="W677" i="2"/>
  <c r="X677" i="2" s="1"/>
  <c r="BJ1340" i="2"/>
  <c r="BK1340" i="2" s="1"/>
  <c r="AS1340" i="2"/>
  <c r="AT1340" i="2" s="1"/>
  <c r="AG1340" i="2"/>
  <c r="AH1340" i="2" s="1"/>
  <c r="AC1340" i="2"/>
  <c r="Y1340" i="2"/>
  <c r="W1340" i="2"/>
  <c r="X1340" i="2" s="1"/>
  <c r="BJ1616" i="2"/>
  <c r="BK1616" i="2" s="1"/>
  <c r="AS1616" i="2"/>
  <c r="AT1616" i="2" s="1"/>
  <c r="AG1616" i="2"/>
  <c r="AH1616" i="2" s="1"/>
  <c r="AC1616" i="2"/>
  <c r="Y1616" i="2"/>
  <c r="W1616" i="2"/>
  <c r="X1616" i="2" s="1"/>
  <c r="BJ606" i="2"/>
  <c r="BK606" i="2" s="1"/>
  <c r="AS606" i="2"/>
  <c r="AT606" i="2" s="1"/>
  <c r="AG606" i="2"/>
  <c r="AH606" i="2" s="1"/>
  <c r="AC606" i="2"/>
  <c r="Y606" i="2"/>
  <c r="W606" i="2"/>
  <c r="X606" i="2" s="1"/>
  <c r="Z606" i="2" s="1"/>
  <c r="BJ988" i="2"/>
  <c r="BK988" i="2" s="1"/>
  <c r="AS988" i="2"/>
  <c r="AT988" i="2" s="1"/>
  <c r="AG988" i="2"/>
  <c r="AH988" i="2" s="1"/>
  <c r="AC988" i="2"/>
  <c r="Y988" i="2"/>
  <c r="W988" i="2"/>
  <c r="X988" i="2" s="1"/>
  <c r="Z988" i="2" s="1"/>
  <c r="BJ1458" i="2"/>
  <c r="BK1458" i="2" s="1"/>
  <c r="AS1458" i="2"/>
  <c r="AT1458" i="2" s="1"/>
  <c r="AG1458" i="2"/>
  <c r="AH1458" i="2" s="1"/>
  <c r="AC1458" i="2"/>
  <c r="Y1458" i="2"/>
  <c r="W1458" i="2"/>
  <c r="X1458" i="2" s="1"/>
  <c r="BJ557" i="2"/>
  <c r="BK557" i="2" s="1"/>
  <c r="AS557" i="2"/>
  <c r="AT557" i="2" s="1"/>
  <c r="AG557" i="2"/>
  <c r="AH557" i="2" s="1"/>
  <c r="AC557" i="2"/>
  <c r="Y557" i="2"/>
  <c r="W557" i="2"/>
  <c r="X557" i="2" s="1"/>
  <c r="BJ839" i="2"/>
  <c r="BK839" i="2" s="1"/>
  <c r="AS839" i="2"/>
  <c r="AT839" i="2" s="1"/>
  <c r="AG839" i="2"/>
  <c r="AH839" i="2" s="1"/>
  <c r="AC839" i="2"/>
  <c r="Y839" i="2"/>
  <c r="W839" i="2"/>
  <c r="X839" i="2" s="1"/>
  <c r="BJ1403" i="2"/>
  <c r="BK1403" i="2" s="1"/>
  <c r="AS1403" i="2"/>
  <c r="AT1403" i="2" s="1"/>
  <c r="AG1403" i="2"/>
  <c r="AH1403" i="2" s="1"/>
  <c r="AC1403" i="2"/>
  <c r="Y1403" i="2"/>
  <c r="W1403" i="2"/>
  <c r="X1403" i="2" s="1"/>
  <c r="BJ540" i="2"/>
  <c r="BK540" i="2" s="1"/>
  <c r="AS540" i="2"/>
  <c r="AT540" i="2" s="1"/>
  <c r="AG540" i="2"/>
  <c r="AH540" i="2" s="1"/>
  <c r="AC540" i="2"/>
  <c r="Y540" i="2"/>
  <c r="W540" i="2"/>
  <c r="X540" i="2" s="1"/>
  <c r="BJ863" i="2"/>
  <c r="BK863" i="2" s="1"/>
  <c r="AS863" i="2"/>
  <c r="AT863" i="2" s="1"/>
  <c r="AG863" i="2"/>
  <c r="AH863" i="2" s="1"/>
  <c r="AC863" i="2"/>
  <c r="Y863" i="2"/>
  <c r="W863" i="2"/>
  <c r="X863" i="2" s="1"/>
  <c r="BJ1398" i="2"/>
  <c r="BK1398" i="2" s="1"/>
  <c r="AS1398" i="2"/>
  <c r="AT1398" i="2" s="1"/>
  <c r="AG1398" i="2"/>
  <c r="AH1398" i="2" s="1"/>
  <c r="AC1398" i="2"/>
  <c r="Y1398" i="2"/>
  <c r="W1398" i="2"/>
  <c r="X1398" i="2" s="1"/>
  <c r="BJ487" i="2"/>
  <c r="BK487" i="2" s="1"/>
  <c r="AS487" i="2"/>
  <c r="AT487" i="2" s="1"/>
  <c r="AG487" i="2"/>
  <c r="AH487" i="2" s="1"/>
  <c r="AC487" i="2"/>
  <c r="Y487" i="2"/>
  <c r="W487" i="2"/>
  <c r="X487" i="2" s="1"/>
  <c r="BJ1418" i="2"/>
  <c r="BK1418" i="2" s="1"/>
  <c r="AS1418" i="2"/>
  <c r="AT1418" i="2" s="1"/>
  <c r="AG1418" i="2"/>
  <c r="AH1418" i="2" s="1"/>
  <c r="AC1418" i="2"/>
  <c r="Y1418" i="2"/>
  <c r="W1418" i="2"/>
  <c r="X1418" i="2" s="1"/>
  <c r="BJ288" i="2"/>
  <c r="BK288" i="2" s="1"/>
  <c r="AS288" i="2"/>
  <c r="AT288" i="2" s="1"/>
  <c r="AG288" i="2"/>
  <c r="AH288" i="2" s="1"/>
  <c r="AC288" i="2"/>
  <c r="Y288" i="2"/>
  <c r="W288" i="2"/>
  <c r="X288" i="2" s="1"/>
  <c r="BJ653" i="2"/>
  <c r="BK653" i="2" s="1"/>
  <c r="AS653" i="2"/>
  <c r="AT653" i="2" s="1"/>
  <c r="AG653" i="2"/>
  <c r="AH653" i="2" s="1"/>
  <c r="AC653" i="2"/>
  <c r="Y653" i="2"/>
  <c r="W653" i="2"/>
  <c r="X653" i="2" s="1"/>
  <c r="BJ1180" i="2"/>
  <c r="BK1180" i="2" s="1"/>
  <c r="AS1180" i="2"/>
  <c r="AT1180" i="2" s="1"/>
  <c r="AG1180" i="2"/>
  <c r="AH1180" i="2" s="1"/>
  <c r="AC1180" i="2"/>
  <c r="Y1180" i="2"/>
  <c r="W1180" i="2"/>
  <c r="X1180" i="2" s="1"/>
  <c r="BJ253" i="2"/>
  <c r="BK253" i="2" s="1"/>
  <c r="AS253" i="2"/>
  <c r="AT253" i="2" s="1"/>
  <c r="AG253" i="2"/>
  <c r="AH253" i="2" s="1"/>
  <c r="AC253" i="2"/>
  <c r="Y253" i="2"/>
  <c r="W253" i="2"/>
  <c r="X253" i="2" s="1"/>
  <c r="BJ613" i="2"/>
  <c r="BK613" i="2" s="1"/>
  <c r="AS613" i="2"/>
  <c r="AT613" i="2" s="1"/>
  <c r="AG613" i="2"/>
  <c r="AH613" i="2" s="1"/>
  <c r="AC613" i="2"/>
  <c r="Y613" i="2"/>
  <c r="W613" i="2"/>
  <c r="X613" i="2" s="1"/>
  <c r="BJ1273" i="2"/>
  <c r="BK1273" i="2" s="1"/>
  <c r="AS1273" i="2"/>
  <c r="AT1273" i="2" s="1"/>
  <c r="AG1273" i="2"/>
  <c r="AH1273" i="2" s="1"/>
  <c r="AC1273" i="2"/>
  <c r="Y1273" i="2"/>
  <c r="W1273" i="2"/>
  <c r="X1273" i="2" s="1"/>
  <c r="Z1273" i="2" s="1"/>
  <c r="BJ1572" i="2"/>
  <c r="BK1572" i="2" s="1"/>
  <c r="AS1572" i="2"/>
  <c r="AT1572" i="2" s="1"/>
  <c r="AG1572" i="2"/>
  <c r="AH1572" i="2" s="1"/>
  <c r="AC1572" i="2"/>
  <c r="Y1572" i="2"/>
  <c r="W1572" i="2"/>
  <c r="X1572" i="2" s="1"/>
  <c r="BJ1621" i="2"/>
  <c r="BK1621" i="2" s="1"/>
  <c r="AS1621" i="2"/>
  <c r="AT1621" i="2" s="1"/>
  <c r="AG1621" i="2"/>
  <c r="AH1621" i="2" s="1"/>
  <c r="AC1621" i="2"/>
  <c r="Y1621" i="2"/>
  <c r="W1621" i="2"/>
  <c r="X1621" i="2" s="1"/>
  <c r="BJ1507" i="2"/>
  <c r="BK1507" i="2" s="1"/>
  <c r="AS1507" i="2"/>
  <c r="AT1507" i="2" s="1"/>
  <c r="AG1507" i="2"/>
  <c r="AH1507" i="2" s="1"/>
  <c r="AC1507" i="2"/>
  <c r="Y1507" i="2"/>
  <c r="W1507" i="2"/>
  <c r="X1507" i="2" s="1"/>
  <c r="BJ1618" i="2"/>
  <c r="BK1618" i="2" s="1"/>
  <c r="AS1618" i="2"/>
  <c r="AT1618" i="2" s="1"/>
  <c r="AG1618" i="2"/>
  <c r="AH1618" i="2" s="1"/>
  <c r="AC1618" i="2"/>
  <c r="Y1618" i="2"/>
  <c r="W1618" i="2"/>
  <c r="X1618" i="2" s="1"/>
  <c r="BJ1471" i="2"/>
  <c r="BK1471" i="2" s="1"/>
  <c r="AS1471" i="2"/>
  <c r="AT1471" i="2" s="1"/>
  <c r="AG1471" i="2"/>
  <c r="AH1471" i="2" s="1"/>
  <c r="AC1471" i="2"/>
  <c r="Y1471" i="2"/>
  <c r="W1471" i="2"/>
  <c r="X1471" i="2" s="1"/>
  <c r="BJ1603" i="2"/>
  <c r="BK1603" i="2" s="1"/>
  <c r="AS1603" i="2"/>
  <c r="AT1603" i="2" s="1"/>
  <c r="AG1603" i="2"/>
  <c r="AH1603" i="2" s="1"/>
  <c r="AC1603" i="2"/>
  <c r="Y1603" i="2"/>
  <c r="W1603" i="2"/>
  <c r="X1603" i="2" s="1"/>
  <c r="BJ1465" i="2"/>
  <c r="BK1465" i="2" s="1"/>
  <c r="AS1465" i="2"/>
  <c r="AT1465" i="2" s="1"/>
  <c r="AG1465" i="2"/>
  <c r="AH1465" i="2" s="1"/>
  <c r="AC1465" i="2"/>
  <c r="Y1465" i="2"/>
  <c r="W1465" i="2"/>
  <c r="X1465" i="2" s="1"/>
  <c r="BJ1604" i="2"/>
  <c r="BK1604" i="2" s="1"/>
  <c r="AS1604" i="2"/>
  <c r="AT1604" i="2" s="1"/>
  <c r="AG1604" i="2"/>
  <c r="AH1604" i="2" s="1"/>
  <c r="AC1604" i="2"/>
  <c r="Y1604" i="2"/>
  <c r="W1604" i="2"/>
  <c r="X1604" i="2" s="1"/>
  <c r="BJ1629" i="2"/>
  <c r="BK1629" i="2" s="1"/>
  <c r="AS1629" i="2"/>
  <c r="AT1629" i="2" s="1"/>
  <c r="AG1629" i="2"/>
  <c r="AH1629" i="2" s="1"/>
  <c r="AC1629" i="2"/>
  <c r="Y1629" i="2"/>
  <c r="W1629" i="2"/>
  <c r="X1629" i="2" s="1"/>
  <c r="BJ1424" i="2"/>
  <c r="BK1424" i="2" s="1"/>
  <c r="AS1424" i="2"/>
  <c r="AT1424" i="2" s="1"/>
  <c r="AG1424" i="2"/>
  <c r="AH1424" i="2" s="1"/>
  <c r="AC1424" i="2"/>
  <c r="Y1424" i="2"/>
  <c r="W1424" i="2"/>
  <c r="X1424" i="2" s="1"/>
  <c r="BJ1612" i="2"/>
  <c r="BK1612" i="2" s="1"/>
  <c r="AS1612" i="2"/>
  <c r="AT1612" i="2" s="1"/>
  <c r="AG1612" i="2"/>
  <c r="AH1612" i="2" s="1"/>
  <c r="AC1612" i="2"/>
  <c r="Y1612" i="2"/>
  <c r="W1612" i="2"/>
  <c r="X1612" i="2" s="1"/>
  <c r="BJ1414" i="2"/>
  <c r="BK1414" i="2" s="1"/>
  <c r="AS1414" i="2"/>
  <c r="AT1414" i="2" s="1"/>
  <c r="AG1414" i="2"/>
  <c r="AH1414" i="2" s="1"/>
  <c r="AC1414" i="2"/>
  <c r="Y1414" i="2"/>
  <c r="W1414" i="2"/>
  <c r="X1414" i="2" s="1"/>
  <c r="BJ1615" i="2"/>
  <c r="BK1615" i="2" s="1"/>
  <c r="AS1615" i="2"/>
  <c r="AT1615" i="2" s="1"/>
  <c r="AG1615" i="2"/>
  <c r="AH1615" i="2" s="1"/>
  <c r="AC1615" i="2"/>
  <c r="Y1615" i="2"/>
  <c r="W1615" i="2"/>
  <c r="X1615" i="2" s="1"/>
  <c r="BJ1394" i="2"/>
  <c r="BK1394" i="2" s="1"/>
  <c r="AS1394" i="2"/>
  <c r="AT1394" i="2" s="1"/>
  <c r="AG1394" i="2"/>
  <c r="AH1394" i="2" s="1"/>
  <c r="AC1394" i="2"/>
  <c r="Y1394" i="2"/>
  <c r="W1394" i="2"/>
  <c r="X1394" i="2" s="1"/>
  <c r="BJ1607" i="2"/>
  <c r="BK1607" i="2" s="1"/>
  <c r="AS1607" i="2"/>
  <c r="AT1607" i="2" s="1"/>
  <c r="AG1607" i="2"/>
  <c r="AH1607" i="2" s="1"/>
  <c r="AC1607" i="2"/>
  <c r="Y1607" i="2"/>
  <c r="W1607" i="2"/>
  <c r="X1607" i="2" s="1"/>
  <c r="BJ1630" i="2"/>
  <c r="BK1630" i="2" s="1"/>
  <c r="AS1630" i="2"/>
  <c r="AT1630" i="2" s="1"/>
  <c r="AG1630" i="2"/>
  <c r="AH1630" i="2" s="1"/>
  <c r="AC1630" i="2"/>
  <c r="Y1630" i="2"/>
  <c r="W1630" i="2"/>
  <c r="X1630" i="2" s="1"/>
  <c r="BJ1306" i="2"/>
  <c r="BK1306" i="2" s="1"/>
  <c r="AS1306" i="2"/>
  <c r="AT1306" i="2" s="1"/>
  <c r="AG1306" i="2"/>
  <c r="AH1306" i="2" s="1"/>
  <c r="AC1306" i="2"/>
  <c r="Y1306" i="2"/>
  <c r="W1306" i="2"/>
  <c r="X1306" i="2" s="1"/>
  <c r="BJ1617" i="2"/>
  <c r="BK1617" i="2" s="1"/>
  <c r="AS1617" i="2"/>
  <c r="AT1617" i="2" s="1"/>
  <c r="AG1617" i="2"/>
  <c r="AH1617" i="2" s="1"/>
  <c r="AC1617" i="2"/>
  <c r="Y1617" i="2"/>
  <c r="W1617" i="2"/>
  <c r="X1617" i="2" s="1"/>
  <c r="BJ1633" i="2"/>
  <c r="BK1633" i="2" s="1"/>
  <c r="AS1633" i="2"/>
  <c r="AT1633" i="2" s="1"/>
  <c r="AG1633" i="2"/>
  <c r="AH1633" i="2" s="1"/>
  <c r="AC1633" i="2"/>
  <c r="Y1633" i="2"/>
  <c r="W1633" i="2"/>
  <c r="X1633" i="2" s="1"/>
  <c r="BJ1214" i="2"/>
  <c r="BK1214" i="2" s="1"/>
  <c r="AS1214" i="2"/>
  <c r="AT1214" i="2" s="1"/>
  <c r="AG1214" i="2"/>
  <c r="AH1214" i="2" s="1"/>
  <c r="AC1214" i="2"/>
  <c r="Y1214" i="2"/>
  <c r="W1214" i="2"/>
  <c r="X1214" i="2" s="1"/>
  <c r="BJ1596" i="2"/>
  <c r="BK1596" i="2" s="1"/>
  <c r="AS1596" i="2"/>
  <c r="AT1596" i="2" s="1"/>
  <c r="AG1596" i="2"/>
  <c r="AH1596" i="2" s="1"/>
  <c r="AC1596" i="2"/>
  <c r="Y1596" i="2"/>
  <c r="W1596" i="2"/>
  <c r="X1596" i="2" s="1"/>
  <c r="BJ1624" i="2"/>
  <c r="BK1624" i="2" s="1"/>
  <c r="AS1624" i="2"/>
  <c r="AT1624" i="2" s="1"/>
  <c r="AG1624" i="2"/>
  <c r="AH1624" i="2" s="1"/>
  <c r="AC1624" i="2"/>
  <c r="Y1624" i="2"/>
  <c r="W1624" i="2"/>
  <c r="X1624" i="2" s="1"/>
  <c r="BJ852" i="2"/>
  <c r="BK852" i="2" s="1"/>
  <c r="AS852" i="2"/>
  <c r="AT852" i="2" s="1"/>
  <c r="AG852" i="2"/>
  <c r="AH852" i="2" s="1"/>
  <c r="AC852" i="2"/>
  <c r="Y852" i="2"/>
  <c r="W852" i="2"/>
  <c r="X852" i="2" s="1"/>
  <c r="BJ1586" i="2"/>
  <c r="BK1586" i="2" s="1"/>
  <c r="AS1586" i="2"/>
  <c r="AT1586" i="2" s="1"/>
  <c r="AG1586" i="2"/>
  <c r="AH1586" i="2" s="1"/>
  <c r="AC1586" i="2"/>
  <c r="Y1586" i="2"/>
  <c r="W1586" i="2"/>
  <c r="X1586" i="2" s="1"/>
  <c r="BJ776" i="2"/>
  <c r="BK776" i="2" s="1"/>
  <c r="BJ547" i="2"/>
  <c r="BK547" i="2" s="1"/>
  <c r="BJ442" i="2"/>
  <c r="BJ828" i="2"/>
  <c r="BJ583" i="2"/>
  <c r="BJ451" i="2"/>
  <c r="BJ1127" i="2"/>
  <c r="BJ933" i="2"/>
  <c r="BK933" i="2" s="1"/>
  <c r="BJ466" i="2"/>
  <c r="BK466" i="2" s="1"/>
  <c r="BJ664" i="2"/>
  <c r="BJ640" i="2"/>
  <c r="BJ532" i="2"/>
  <c r="BJ714" i="2"/>
  <c r="BK714" i="2" s="1"/>
  <c r="BJ647" i="2"/>
  <c r="BJ548" i="2"/>
  <c r="BK548" i="2" s="1"/>
  <c r="BJ795" i="2"/>
  <c r="BK795" i="2" s="1"/>
  <c r="BJ648" i="2"/>
  <c r="BJ570" i="2"/>
  <c r="BK570" i="2" s="1"/>
  <c r="BJ1428" i="2"/>
  <c r="BJ1305" i="2"/>
  <c r="BK1305" i="2" s="1"/>
  <c r="BJ636" i="2"/>
  <c r="BK636" i="2" s="1"/>
  <c r="BJ1350" i="2"/>
  <c r="BK1350" i="2" s="1"/>
  <c r="BJ1084" i="2"/>
  <c r="BK1084" i="2" s="1"/>
  <c r="BJ644" i="2"/>
  <c r="BK644" i="2" s="1"/>
  <c r="BJ1130" i="2"/>
  <c r="BJ971" i="2"/>
  <c r="BJ670" i="2"/>
  <c r="BJ1432" i="2"/>
  <c r="BK1432" i="2" s="1"/>
  <c r="BJ1351" i="2"/>
  <c r="BK1351" i="2" s="1"/>
  <c r="BJ742" i="2"/>
  <c r="AS547" i="2"/>
  <c r="AT547" i="2" s="1"/>
  <c r="AS442" i="2"/>
  <c r="AT442" i="2" s="1"/>
  <c r="AS828" i="2"/>
  <c r="AT828" i="2" s="1"/>
  <c r="AS583" i="2"/>
  <c r="AT583" i="2" s="1"/>
  <c r="AS451" i="2"/>
  <c r="AT451" i="2" s="1"/>
  <c r="AS1127" i="2"/>
  <c r="AT1127" i="2" s="1"/>
  <c r="AS933" i="2"/>
  <c r="AT933" i="2" s="1"/>
  <c r="AS466" i="2"/>
  <c r="AT466" i="2" s="1"/>
  <c r="AS664" i="2"/>
  <c r="AT664" i="2" s="1"/>
  <c r="AS640" i="2"/>
  <c r="AT640" i="2" s="1"/>
  <c r="AS532" i="2"/>
  <c r="AT532" i="2" s="1"/>
  <c r="AS714" i="2"/>
  <c r="AT714" i="2" s="1"/>
  <c r="AS647" i="2"/>
  <c r="AT647" i="2" s="1"/>
  <c r="AS548" i="2"/>
  <c r="AT548" i="2" s="1"/>
  <c r="AS795" i="2"/>
  <c r="AT795" i="2" s="1"/>
  <c r="AS648" i="2"/>
  <c r="AT648" i="2" s="1"/>
  <c r="AS570" i="2"/>
  <c r="AT570" i="2" s="1"/>
  <c r="AS1428" i="2"/>
  <c r="AT1428" i="2" s="1"/>
  <c r="AS1305" i="2"/>
  <c r="AT1305" i="2" s="1"/>
  <c r="AS636" i="2"/>
  <c r="AT636" i="2" s="1"/>
  <c r="AS1350" i="2"/>
  <c r="AT1350" i="2" s="1"/>
  <c r="AS1084" i="2"/>
  <c r="AT1084" i="2" s="1"/>
  <c r="AS644" i="2"/>
  <c r="AT644" i="2" s="1"/>
  <c r="AS1130" i="2"/>
  <c r="AT1130" i="2" s="1"/>
  <c r="AS971" i="2"/>
  <c r="AT971" i="2" s="1"/>
  <c r="AS670" i="2"/>
  <c r="AT670" i="2" s="1"/>
  <c r="AS1432" i="2"/>
  <c r="AT1432" i="2" s="1"/>
  <c r="AS1351" i="2"/>
  <c r="AT1351" i="2" s="1"/>
  <c r="AS742" i="2"/>
  <c r="AT742" i="2" s="1"/>
  <c r="AS776" i="2"/>
  <c r="AT776" i="2" s="1"/>
  <c r="AG776" i="2"/>
  <c r="AH776" i="2" s="1"/>
  <c r="AG547" i="2"/>
  <c r="AH547" i="2" s="1"/>
  <c r="AG442" i="2"/>
  <c r="AH442" i="2" s="1"/>
  <c r="AG828" i="2"/>
  <c r="AH828" i="2" s="1"/>
  <c r="AG583" i="2"/>
  <c r="AH583" i="2" s="1"/>
  <c r="AG451" i="2"/>
  <c r="AH451" i="2" s="1"/>
  <c r="AG1127" i="2"/>
  <c r="AH1127" i="2" s="1"/>
  <c r="AG933" i="2"/>
  <c r="AH933" i="2" s="1"/>
  <c r="AG466" i="2"/>
  <c r="AH466" i="2" s="1"/>
  <c r="AG664" i="2"/>
  <c r="AH664" i="2" s="1"/>
  <c r="AG640" i="2"/>
  <c r="AH640" i="2" s="1"/>
  <c r="AG532" i="2"/>
  <c r="AH532" i="2" s="1"/>
  <c r="AG714" i="2"/>
  <c r="AH714" i="2" s="1"/>
  <c r="AG647" i="2"/>
  <c r="AH647" i="2" s="1"/>
  <c r="AG548" i="2"/>
  <c r="AH548" i="2" s="1"/>
  <c r="AG795" i="2"/>
  <c r="AH795" i="2" s="1"/>
  <c r="AG648" i="2"/>
  <c r="AH648" i="2" s="1"/>
  <c r="AG570" i="2"/>
  <c r="AH570" i="2" s="1"/>
  <c r="AG1428" i="2"/>
  <c r="AH1428" i="2" s="1"/>
  <c r="AG1305" i="2"/>
  <c r="AH1305" i="2" s="1"/>
  <c r="AG636" i="2"/>
  <c r="AH636" i="2" s="1"/>
  <c r="AG1350" i="2"/>
  <c r="AH1350" i="2" s="1"/>
  <c r="AG1084" i="2"/>
  <c r="AH1084" i="2" s="1"/>
  <c r="AG644" i="2"/>
  <c r="AH644" i="2" s="1"/>
  <c r="AG1130" i="2"/>
  <c r="AH1130" i="2" s="1"/>
  <c r="AG971" i="2"/>
  <c r="AH971" i="2" s="1"/>
  <c r="AG670" i="2"/>
  <c r="AH670" i="2" s="1"/>
  <c r="AG1432" i="2"/>
  <c r="AH1432" i="2" s="1"/>
  <c r="AG1351" i="2"/>
  <c r="AH1351" i="2" s="1"/>
  <c r="AG742" i="2"/>
  <c r="AH742" i="2" s="1"/>
  <c r="AC776" i="2"/>
  <c r="AC547" i="2"/>
  <c r="AC442" i="2"/>
  <c r="AC828" i="2"/>
  <c r="AC583" i="2"/>
  <c r="AC451" i="2"/>
  <c r="AC1127" i="2"/>
  <c r="AC933" i="2"/>
  <c r="AC466" i="2"/>
  <c r="AC664" i="2"/>
  <c r="AC640" i="2"/>
  <c r="AC532" i="2"/>
  <c r="AC714" i="2"/>
  <c r="AC647" i="2"/>
  <c r="AC548" i="2"/>
  <c r="AC795" i="2"/>
  <c r="AC648" i="2"/>
  <c r="AC570" i="2"/>
  <c r="AC1428" i="2"/>
  <c r="AC1305" i="2"/>
  <c r="AC636" i="2"/>
  <c r="AC1350" i="2"/>
  <c r="AC1084" i="2"/>
  <c r="AC644" i="2"/>
  <c r="AC1130" i="2"/>
  <c r="AC971" i="2"/>
  <c r="AC670" i="2"/>
  <c r="AC1432" i="2"/>
  <c r="AC1351" i="2"/>
  <c r="AC742" i="2"/>
  <c r="Y547" i="2"/>
  <c r="Y442" i="2"/>
  <c r="Y828" i="2"/>
  <c r="Y583" i="2"/>
  <c r="Y451" i="2"/>
  <c r="Y1127" i="2"/>
  <c r="Y933" i="2"/>
  <c r="Y466" i="2"/>
  <c r="Y664" i="2"/>
  <c r="Y640" i="2"/>
  <c r="Y532" i="2"/>
  <c r="Y714" i="2"/>
  <c r="Y647" i="2"/>
  <c r="Y548" i="2"/>
  <c r="Y795" i="2"/>
  <c r="Y648" i="2"/>
  <c r="Y570" i="2"/>
  <c r="Y1428" i="2"/>
  <c r="Y1305" i="2"/>
  <c r="Y636" i="2"/>
  <c r="Y1350" i="2"/>
  <c r="Y1084" i="2"/>
  <c r="Y644" i="2"/>
  <c r="Y1130" i="2"/>
  <c r="Y971" i="2"/>
  <c r="Y670" i="2"/>
  <c r="Y1432" i="2"/>
  <c r="Y1351" i="2"/>
  <c r="Y742" i="2"/>
  <c r="Y776" i="2"/>
  <c r="W547" i="2"/>
  <c r="X547" i="2" s="1"/>
  <c r="Z547" i="2" s="1"/>
  <c r="W442" i="2"/>
  <c r="X442" i="2" s="1"/>
  <c r="W828" i="2"/>
  <c r="X828" i="2" s="1"/>
  <c r="W583" i="2"/>
  <c r="X583" i="2" s="1"/>
  <c r="W451" i="2"/>
  <c r="X451" i="2" s="1"/>
  <c r="W1127" i="2"/>
  <c r="X1127" i="2" s="1"/>
  <c r="W933" i="2"/>
  <c r="X933" i="2" s="1"/>
  <c r="W466" i="2"/>
  <c r="X466" i="2" s="1"/>
  <c r="Z466" i="2" s="1"/>
  <c r="W664" i="2"/>
  <c r="X664" i="2" s="1"/>
  <c r="Z664" i="2" s="1"/>
  <c r="W640" i="2"/>
  <c r="X640" i="2" s="1"/>
  <c r="W532" i="2"/>
  <c r="X532" i="2" s="1"/>
  <c r="W714" i="2"/>
  <c r="X714" i="2" s="1"/>
  <c r="W647" i="2"/>
  <c r="X647" i="2" s="1"/>
  <c r="W548" i="2"/>
  <c r="X548" i="2" s="1"/>
  <c r="W795" i="2"/>
  <c r="X795" i="2" s="1"/>
  <c r="W648" i="2"/>
  <c r="X648" i="2" s="1"/>
  <c r="Z648" i="2" s="1"/>
  <c r="W570" i="2"/>
  <c r="X570" i="2" s="1"/>
  <c r="Z570" i="2" s="1"/>
  <c r="W1428" i="2"/>
  <c r="X1428" i="2" s="1"/>
  <c r="W1305" i="2"/>
  <c r="X1305" i="2" s="1"/>
  <c r="W636" i="2"/>
  <c r="X636" i="2" s="1"/>
  <c r="W1350" i="2"/>
  <c r="X1350" i="2" s="1"/>
  <c r="W1084" i="2"/>
  <c r="X1084" i="2" s="1"/>
  <c r="W644" i="2"/>
  <c r="X644" i="2" s="1"/>
  <c r="W1130" i="2"/>
  <c r="X1130" i="2" s="1"/>
  <c r="Z1130" i="2" s="1"/>
  <c r="W971" i="2"/>
  <c r="X971" i="2" s="1"/>
  <c r="Z971" i="2" s="1"/>
  <c r="W670" i="2"/>
  <c r="X670" i="2" s="1"/>
  <c r="W1432" i="2"/>
  <c r="X1432" i="2" s="1"/>
  <c r="W1351" i="2"/>
  <c r="X1351" i="2" s="1"/>
  <c r="W742" i="2"/>
  <c r="X742" i="2" s="1"/>
  <c r="W776" i="2"/>
  <c r="X776" i="2" s="1"/>
  <c r="AK1044" i="2"/>
  <c r="AK777" i="2"/>
  <c r="AK720" i="2"/>
  <c r="AK1513" i="2"/>
  <c r="AK1462" i="2"/>
  <c r="AK1327" i="2"/>
  <c r="AK1526" i="2"/>
  <c r="AK1438" i="2"/>
  <c r="AK1272" i="2"/>
  <c r="AK1012" i="2"/>
  <c r="AK1129" i="2"/>
  <c r="AK1539" i="2"/>
  <c r="AK1504" i="2"/>
  <c r="AK1382" i="2"/>
  <c r="AK1258" i="2"/>
  <c r="AK1529" i="2"/>
  <c r="AK1440" i="2"/>
  <c r="AK1550" i="2"/>
  <c r="AK1488" i="2"/>
  <c r="AK1426" i="2"/>
  <c r="AK1557" i="2"/>
  <c r="AK1501" i="2"/>
  <c r="Z1504" i="2"/>
  <c r="Z1382" i="2"/>
  <c r="Z1258" i="2"/>
  <c r="Z1529" i="2"/>
  <c r="Z1440" i="2"/>
  <c r="Z1550" i="2"/>
  <c r="Z1488" i="2"/>
  <c r="Z1426" i="2"/>
  <c r="Z1557" i="2"/>
  <c r="Z1501" i="2"/>
  <c r="Z1530" i="2"/>
  <c r="Z1315" i="2"/>
  <c r="Z1257" i="2"/>
  <c r="Z1113" i="2"/>
  <c r="Z1543" i="2"/>
  <c r="Z1491" i="2"/>
  <c r="Z1415" i="2"/>
  <c r="Z1519" i="2"/>
  <c r="Z1399" i="2"/>
  <c r="Z1343" i="2"/>
  <c r="Z1535" i="2"/>
  <c r="Z1479" i="2"/>
  <c r="Z1129" i="2"/>
  <c r="Z1044" i="2"/>
  <c r="Z777" i="2"/>
  <c r="Z720" i="2"/>
  <c r="Z1513" i="2"/>
  <c r="Z1462" i="2"/>
  <c r="Z1327" i="2"/>
  <c r="Z1526" i="2"/>
  <c r="Z1438" i="2"/>
  <c r="Z1272" i="2"/>
  <c r="Z1012" i="2"/>
  <c r="Z1508" i="2"/>
  <c r="Z1441" i="2"/>
  <c r="Z1539" i="2"/>
  <c r="AF1559" i="2"/>
  <c r="AG1122" i="2"/>
  <c r="AH1122" i="2" s="1"/>
  <c r="X1539" i="2"/>
  <c r="AB1539" i="2" s="1"/>
  <c r="Z1196" i="2"/>
  <c r="Z397" i="2"/>
  <c r="Z366" i="2"/>
  <c r="Z861" i="2"/>
  <c r="Z337" i="2"/>
  <c r="Q337" i="2" s="1"/>
  <c r="AE337" i="2" s="1"/>
  <c r="BO337" i="2" s="1"/>
  <c r="BM337" i="2" s="1"/>
  <c r="Z359" i="2"/>
  <c r="Q359" i="2" s="1"/>
  <c r="AE359" i="2" s="1"/>
  <c r="BO359" i="2" s="1"/>
  <c r="BM359" i="2" s="1"/>
  <c r="BK1196" i="2"/>
  <c r="BK397" i="2"/>
  <c r="BK366" i="2"/>
  <c r="BK861" i="2"/>
  <c r="BK337" i="2"/>
  <c r="BK359" i="2"/>
  <c r="BK338" i="2"/>
  <c r="BK360" i="2"/>
  <c r="BJ827" i="2"/>
  <c r="BK827" i="2" s="1"/>
  <c r="BJ983" i="2"/>
  <c r="BK983" i="2" s="1"/>
  <c r="BJ139" i="2"/>
  <c r="BK139" i="2" s="1"/>
  <c r="BJ234" i="2"/>
  <c r="BK234" i="2" s="1"/>
  <c r="BJ753" i="2"/>
  <c r="BK753" i="2" s="1"/>
  <c r="BJ901" i="2"/>
  <c r="BK901" i="2" s="1"/>
  <c r="BJ36" i="2"/>
  <c r="BK36" i="2" s="1"/>
  <c r="BJ98" i="2"/>
  <c r="BK98" i="2" s="1"/>
  <c r="BJ169" i="2"/>
  <c r="BK169" i="2" s="1"/>
  <c r="BJ589" i="2"/>
  <c r="BK589" i="2" s="1"/>
  <c r="BJ778" i="2"/>
  <c r="BK778" i="2" s="1"/>
  <c r="BJ1009" i="2"/>
  <c r="BK1009" i="2" s="1"/>
  <c r="BJ1347" i="2"/>
  <c r="BK1347" i="2" s="1"/>
  <c r="BJ1647" i="2"/>
  <c r="BK1647" i="2" s="1"/>
  <c r="BJ1649" i="2"/>
  <c r="BK1649" i="2" s="1"/>
  <c r="BJ1611" i="2"/>
  <c r="BK1611" i="2" s="1"/>
  <c r="BJ1648" i="2"/>
  <c r="BK1648" i="2" s="1"/>
  <c r="BJ1650" i="2"/>
  <c r="BK1650" i="2" s="1"/>
  <c r="BJ1646" i="2"/>
  <c r="BK1646" i="2" s="1"/>
  <c r="BJ354" i="2"/>
  <c r="BK354" i="2" s="1"/>
  <c r="BJ531" i="2"/>
  <c r="BK531" i="2" s="1"/>
  <c r="BJ875" i="2"/>
  <c r="BK875" i="2" s="1"/>
  <c r="BJ1008" i="2"/>
  <c r="BK1008" i="2" s="1"/>
  <c r="BJ1408" i="2"/>
  <c r="BK1408" i="2" s="1"/>
  <c r="BJ1520" i="2"/>
  <c r="BK1520" i="2" s="1"/>
  <c r="BJ492" i="2"/>
  <c r="BK492" i="2" s="1"/>
  <c r="BJ894" i="2"/>
  <c r="BK894" i="2" s="1"/>
  <c r="BJ1134" i="2"/>
  <c r="BK1134" i="2" s="1"/>
  <c r="BJ1168" i="2"/>
  <c r="BK1168" i="2" s="1"/>
  <c r="BJ1487" i="2"/>
  <c r="BK1487" i="2" s="1"/>
  <c r="BJ1563" i="2"/>
  <c r="BK1563" i="2" s="1"/>
  <c r="BJ968" i="2"/>
  <c r="BK968" i="2" s="1"/>
  <c r="BJ1234" i="2"/>
  <c r="BK1234" i="2" s="1"/>
  <c r="BJ1316" i="2"/>
  <c r="BK1316" i="2" s="1"/>
  <c r="BJ1416" i="2"/>
  <c r="BK1416" i="2" s="1"/>
  <c r="BJ1463" i="2"/>
  <c r="BK1463" i="2" s="1"/>
  <c r="BJ1516" i="2"/>
  <c r="BK1516" i="2" s="1"/>
  <c r="BJ1524" i="2"/>
  <c r="BK1524" i="2" s="1"/>
  <c r="BJ18" i="2"/>
  <c r="BK18" i="2" s="1"/>
  <c r="BJ87" i="2"/>
  <c r="BK87" i="2" s="1"/>
  <c r="BJ244" i="2"/>
  <c r="BK244" i="2" s="1"/>
  <c r="BJ475" i="2"/>
  <c r="BK475" i="2" s="1"/>
  <c r="BJ551" i="2"/>
  <c r="BK551" i="2" s="1"/>
  <c r="BJ467" i="2"/>
  <c r="BK467" i="2" s="1"/>
  <c r="BJ585" i="2"/>
  <c r="BK585" i="2" s="1"/>
  <c r="BJ756" i="2"/>
  <c r="BK756" i="2" s="1"/>
  <c r="BJ978" i="2"/>
  <c r="BK978" i="2" s="1"/>
  <c r="BJ1048" i="2"/>
  <c r="BK1048" i="2" s="1"/>
  <c r="BJ1107" i="2"/>
  <c r="BK1107" i="2" s="1"/>
  <c r="BJ1221" i="2"/>
  <c r="BK1221" i="2" s="1"/>
  <c r="BJ1373" i="2"/>
  <c r="BK1373" i="2" s="1"/>
  <c r="BJ1442" i="2"/>
  <c r="BK1442" i="2" s="1"/>
  <c r="BJ1573" i="2"/>
  <c r="BK1573" i="2" s="1"/>
  <c r="BJ1078" i="2"/>
  <c r="BK1078" i="2" s="1"/>
  <c r="BJ1185" i="2"/>
  <c r="BK1185" i="2" s="1"/>
  <c r="BJ1335" i="2"/>
  <c r="BK1335" i="2" s="1"/>
  <c r="BJ1460" i="2"/>
  <c r="BK1460" i="2" s="1"/>
  <c r="BJ1581" i="2"/>
  <c r="BK1581" i="2" s="1"/>
  <c r="BJ96" i="2"/>
  <c r="BK96" i="2" s="1"/>
  <c r="BJ128" i="2"/>
  <c r="BK128" i="2" s="1"/>
  <c r="BJ333" i="2"/>
  <c r="BK333" i="2" s="1"/>
  <c r="BJ873" i="2"/>
  <c r="BK873" i="2" s="1"/>
  <c r="BJ1100" i="2"/>
  <c r="BK1100" i="2" s="1"/>
  <c r="BJ1372" i="2"/>
  <c r="BK1372" i="2" s="1"/>
  <c r="BJ355" i="2"/>
  <c r="BK355" i="2" s="1"/>
  <c r="BJ438" i="2"/>
  <c r="BK438" i="2" s="1"/>
  <c r="BJ509" i="2"/>
  <c r="BK509" i="2" s="1"/>
  <c r="BJ733" i="2"/>
  <c r="BK733" i="2" s="1"/>
  <c r="BJ872" i="2"/>
  <c r="BK872" i="2" s="1"/>
  <c r="BJ1022" i="2"/>
  <c r="BK1022" i="2" s="1"/>
  <c r="BJ1260" i="2"/>
  <c r="BK1260" i="2" s="1"/>
  <c r="BJ1326" i="2"/>
  <c r="BK1326" i="2" s="1"/>
  <c r="BJ1506" i="2"/>
  <c r="BK1506" i="2" s="1"/>
  <c r="BJ474" i="2"/>
  <c r="BK474" i="2" s="1"/>
  <c r="BJ790" i="2"/>
  <c r="BK790" i="2" s="1"/>
  <c r="BJ973" i="2"/>
  <c r="BK973" i="2" s="1"/>
  <c r="BJ1092" i="2"/>
  <c r="BK1092" i="2" s="1"/>
  <c r="BJ1256" i="2"/>
  <c r="BK1256" i="2" s="1"/>
  <c r="BJ1412" i="2"/>
  <c r="BK1412" i="2" s="1"/>
  <c r="BJ1505" i="2"/>
  <c r="BK1505" i="2" s="1"/>
  <c r="BJ1584" i="2"/>
  <c r="BK1584" i="2" s="1"/>
  <c r="BJ1632" i="2"/>
  <c r="BK1632" i="2" s="1"/>
  <c r="BJ1386" i="2"/>
  <c r="BK1386" i="2" s="1"/>
  <c r="BJ1452" i="2"/>
  <c r="BK1452" i="2" s="1"/>
  <c r="BJ1585" i="2"/>
  <c r="BK1585" i="2" s="1"/>
  <c r="BJ1610" i="2"/>
  <c r="BK1610" i="2" s="1"/>
  <c r="BJ1627" i="2"/>
  <c r="BK1627" i="2" s="1"/>
  <c r="BJ1623" i="2"/>
  <c r="BK1623" i="2" s="1"/>
  <c r="BJ1636" i="2"/>
  <c r="BK1636" i="2" s="1"/>
  <c r="BJ1643" i="2"/>
  <c r="BK1643" i="2" s="1"/>
  <c r="BJ1642" i="2"/>
  <c r="BK1642" i="2" s="1"/>
  <c r="BJ1583" i="2"/>
  <c r="BK1583" i="2" s="1"/>
  <c r="BJ1606" i="2"/>
  <c r="BK1606" i="2" s="1"/>
  <c r="BJ1493" i="2"/>
  <c r="BK1493" i="2" s="1"/>
  <c r="BJ1595" i="2"/>
  <c r="BK1595" i="2" s="1"/>
  <c r="BJ1470" i="2"/>
  <c r="BK1470" i="2" s="1"/>
  <c r="BJ1577" i="2"/>
  <c r="BK1577" i="2" s="1"/>
  <c r="BJ1614" i="2"/>
  <c r="BK1614" i="2" s="1"/>
  <c r="BJ1582" i="2"/>
  <c r="BK1582" i="2" s="1"/>
  <c r="BJ1620" i="2"/>
  <c r="BK1620" i="2" s="1"/>
  <c r="BJ1638" i="2"/>
  <c r="BK1638" i="2" s="1"/>
  <c r="BJ1483" i="2"/>
  <c r="BK1483" i="2" s="1"/>
  <c r="BJ1600" i="2"/>
  <c r="BK1600" i="2" s="1"/>
  <c r="BJ1609" i="2"/>
  <c r="BK1609" i="2" s="1"/>
  <c r="BJ1635" i="2"/>
  <c r="BK1635" i="2" s="1"/>
  <c r="BJ1485" i="2"/>
  <c r="BK1485" i="2" s="1"/>
  <c r="BJ1587" i="2"/>
  <c r="BK1587" i="2" s="1"/>
  <c r="BJ1625" i="2"/>
  <c r="BK1625" i="2" s="1"/>
  <c r="BJ1637" i="2"/>
  <c r="BK1637" i="2" s="1"/>
  <c r="BJ1484" i="2"/>
  <c r="BK1484" i="2" s="1"/>
  <c r="BJ1631" i="2"/>
  <c r="BK1631" i="2" s="1"/>
  <c r="BJ1464" i="2"/>
  <c r="BK1464" i="2" s="1"/>
  <c r="BJ1576" i="2"/>
  <c r="BK1576" i="2" s="1"/>
  <c r="BJ1599" i="2"/>
  <c r="BK1599" i="2" s="1"/>
  <c r="BJ7" i="2"/>
  <c r="BK7" i="2" s="1"/>
  <c r="BJ31" i="2"/>
  <c r="BK31" i="2" s="1"/>
  <c r="BJ151" i="2"/>
  <c r="BK151" i="2" s="1"/>
  <c r="BJ209" i="2"/>
  <c r="BK209" i="2" s="1"/>
  <c r="BJ383" i="2"/>
  <c r="BK383" i="2" s="1"/>
  <c r="BJ34" i="2"/>
  <c r="BK34" i="2" s="1"/>
  <c r="BJ82" i="2"/>
  <c r="BK82" i="2" s="1"/>
  <c r="BJ181" i="2"/>
  <c r="BK181" i="2" s="1"/>
  <c r="BJ231" i="2"/>
  <c r="BK231" i="2" s="1"/>
  <c r="BJ404" i="2"/>
  <c r="BK404" i="2" s="1"/>
  <c r="BJ47" i="2"/>
  <c r="BK47" i="2" s="1"/>
  <c r="BJ100" i="2"/>
  <c r="BK100" i="2" s="1"/>
  <c r="BJ215" i="2"/>
  <c r="BK215" i="2" s="1"/>
  <c r="BJ332" i="2"/>
  <c r="BK332" i="2" s="1"/>
  <c r="BJ433" i="2"/>
  <c r="BK433" i="2" s="1"/>
  <c r="BJ118" i="2"/>
  <c r="BK118" i="2" s="1"/>
  <c r="BJ205" i="2"/>
  <c r="BK205" i="2" s="1"/>
  <c r="BJ276" i="2"/>
  <c r="BK276" i="2" s="1"/>
  <c r="BJ322" i="2"/>
  <c r="BK322" i="2" s="1"/>
  <c r="BJ432" i="2"/>
  <c r="BK432" i="2" s="1"/>
  <c r="BJ29" i="2"/>
  <c r="BK29" i="2" s="1"/>
  <c r="BJ112" i="2"/>
  <c r="BK112" i="2" s="1"/>
  <c r="BJ412" i="2"/>
  <c r="BK412" i="2" s="1"/>
  <c r="BJ61" i="2"/>
  <c r="BK61" i="2" s="1"/>
  <c r="BJ292" i="2"/>
  <c r="BK292" i="2" s="1"/>
  <c r="BJ667" i="2"/>
  <c r="BK667" i="2" s="1"/>
  <c r="BJ8" i="2"/>
  <c r="BK8" i="2" s="1"/>
  <c r="BJ52" i="2"/>
  <c r="BK52" i="2" s="1"/>
  <c r="BJ286" i="2"/>
  <c r="BK286" i="2" s="1"/>
  <c r="BJ19" i="2"/>
  <c r="BK19" i="2" s="1"/>
  <c r="BJ89" i="2"/>
  <c r="BK89" i="2" s="1"/>
  <c r="BJ710" i="2"/>
  <c r="BK710" i="2" s="1"/>
  <c r="BJ12" i="2"/>
  <c r="BK12" i="2" s="1"/>
  <c r="BJ184" i="2"/>
  <c r="BK184" i="2" s="1"/>
  <c r="BJ497" i="2"/>
  <c r="BK497" i="2" s="1"/>
  <c r="BJ38" i="2"/>
  <c r="BK38" i="2" s="1"/>
  <c r="BJ496" i="2"/>
  <c r="BK496" i="2" s="1"/>
  <c r="BJ774" i="2"/>
  <c r="BK774" i="2" s="1"/>
  <c r="BJ439" i="2"/>
  <c r="BK439" i="2" s="1"/>
  <c r="BJ413" i="2"/>
  <c r="BK413" i="2" s="1"/>
  <c r="BJ351" i="2"/>
  <c r="BK351" i="2" s="1"/>
  <c r="BJ340" i="2"/>
  <c r="BK340" i="2" s="1"/>
  <c r="BJ279" i="2"/>
  <c r="BK279" i="2" s="1"/>
  <c r="BJ358" i="2"/>
  <c r="BK358" i="2" s="1"/>
  <c r="BJ392" i="2"/>
  <c r="BK392" i="2" s="1"/>
  <c r="BJ552" i="2"/>
  <c r="BK552" i="2" s="1"/>
  <c r="BJ801" i="2"/>
  <c r="BK801" i="2" s="1"/>
  <c r="BJ1030" i="2"/>
  <c r="BK1030" i="2" s="1"/>
  <c r="BJ639" i="2"/>
  <c r="BK639" i="2" s="1"/>
  <c r="BJ666" i="2"/>
  <c r="BK666" i="2" s="1"/>
  <c r="BJ779" i="2"/>
  <c r="BK779" i="2" s="1"/>
  <c r="BJ857" i="2"/>
  <c r="BK857" i="2" s="1"/>
  <c r="BJ979" i="2"/>
  <c r="BK979" i="2" s="1"/>
  <c r="BJ1029" i="2"/>
  <c r="BK1029" i="2" s="1"/>
  <c r="BJ907" i="2"/>
  <c r="BK907" i="2" s="1"/>
  <c r="BJ939" i="2"/>
  <c r="BK939" i="2" s="1"/>
  <c r="BJ960" i="2"/>
  <c r="BK960" i="2" s="1"/>
  <c r="BJ959" i="2"/>
  <c r="BK959" i="2" s="1"/>
  <c r="BJ1028" i="2"/>
  <c r="BK1028" i="2" s="1"/>
  <c r="BJ1441" i="2"/>
  <c r="BK1441" i="2" s="1"/>
  <c r="BJ1508" i="2"/>
  <c r="BK1508" i="2" s="1"/>
  <c r="BJ1012" i="2"/>
  <c r="BK1012" i="2" s="1"/>
  <c r="BJ1272" i="2"/>
  <c r="BK1272" i="2" s="1"/>
  <c r="BJ1438" i="2"/>
  <c r="BK1438" i="2" s="1"/>
  <c r="BJ1526" i="2"/>
  <c r="BK1526" i="2" s="1"/>
  <c r="BJ1327" i="2"/>
  <c r="BK1327" i="2" s="1"/>
  <c r="BJ1462" i="2"/>
  <c r="BK1462" i="2" s="1"/>
  <c r="BJ1513" i="2"/>
  <c r="BK1513" i="2" s="1"/>
  <c r="BJ720" i="2"/>
  <c r="BK720" i="2" s="1"/>
  <c r="BJ777" i="2"/>
  <c r="BK777" i="2" s="1"/>
  <c r="BJ1044" i="2"/>
  <c r="BK1044" i="2" s="1"/>
  <c r="BJ1129" i="2"/>
  <c r="BK1129" i="2" s="1"/>
  <c r="BJ1479" i="2"/>
  <c r="BK1479" i="2" s="1"/>
  <c r="BJ1535" i="2"/>
  <c r="BK1535" i="2" s="1"/>
  <c r="BJ1343" i="2"/>
  <c r="BK1343" i="2" s="1"/>
  <c r="BJ1399" i="2"/>
  <c r="BK1399" i="2" s="1"/>
  <c r="BJ1519" i="2"/>
  <c r="BK1519" i="2" s="1"/>
  <c r="BJ1415" i="2"/>
  <c r="BK1415" i="2" s="1"/>
  <c r="BJ1491" i="2"/>
  <c r="BK1491" i="2" s="1"/>
  <c r="BJ1543" i="2"/>
  <c r="BK1543" i="2" s="1"/>
  <c r="BJ1113" i="2"/>
  <c r="BK1113" i="2" s="1"/>
  <c r="BJ1257" i="2"/>
  <c r="BK1257" i="2" s="1"/>
  <c r="BJ1315" i="2"/>
  <c r="BK1315" i="2" s="1"/>
  <c r="BJ1530" i="2"/>
  <c r="BK1530" i="2" s="1"/>
  <c r="BJ1501" i="2"/>
  <c r="BK1501" i="2" s="1"/>
  <c r="BJ1557" i="2"/>
  <c r="BK1557" i="2" s="1"/>
  <c r="BJ1426" i="2"/>
  <c r="BK1426" i="2" s="1"/>
  <c r="BJ1488" i="2"/>
  <c r="BK1488" i="2" s="1"/>
  <c r="BJ1550" i="2"/>
  <c r="BK1550" i="2" s="1"/>
  <c r="BJ1440" i="2"/>
  <c r="BK1440" i="2" s="1"/>
  <c r="BJ1529" i="2"/>
  <c r="BK1529" i="2" s="1"/>
  <c r="BJ1258" i="2"/>
  <c r="BK1258" i="2" s="1"/>
  <c r="BJ1382" i="2"/>
  <c r="BK1382" i="2" s="1"/>
  <c r="BJ1504" i="2"/>
  <c r="BK1504" i="2" s="1"/>
  <c r="BJ1539" i="2"/>
  <c r="BK1539" i="2" s="1"/>
  <c r="BJ204" i="2"/>
  <c r="BK204" i="2" s="1"/>
  <c r="BJ296" i="2"/>
  <c r="BK296" i="2" s="1"/>
  <c r="BJ559" i="2"/>
  <c r="BK559" i="2" s="1"/>
  <c r="BJ836" i="2"/>
  <c r="BK836" i="2" s="1"/>
  <c r="BJ1082" i="2"/>
  <c r="BK1082" i="2" s="1"/>
  <c r="BJ295" i="2"/>
  <c r="BK295" i="2" s="1"/>
  <c r="BJ484" i="2"/>
  <c r="BK484" i="2" s="1"/>
  <c r="BJ749" i="2"/>
  <c r="BK749" i="2" s="1"/>
  <c r="BJ941" i="2"/>
  <c r="BK941" i="2" s="1"/>
  <c r="BJ1161" i="2"/>
  <c r="BK1161" i="2" s="1"/>
  <c r="BJ426" i="2"/>
  <c r="BK426" i="2" s="1"/>
  <c r="BJ650" i="2"/>
  <c r="BK650" i="2" s="1"/>
  <c r="BJ835" i="2"/>
  <c r="BK835" i="2" s="1"/>
  <c r="BJ1081" i="2"/>
  <c r="BK1081" i="2" s="1"/>
  <c r="BJ604" i="2"/>
  <c r="BK604" i="2" s="1"/>
  <c r="BJ699" i="2"/>
  <c r="BK699" i="2" s="1"/>
  <c r="BJ890" i="2"/>
  <c r="BK890" i="2" s="1"/>
  <c r="BJ1139" i="2"/>
  <c r="BK1139" i="2" s="1"/>
  <c r="BJ53" i="2"/>
  <c r="BK53" i="2" s="1"/>
  <c r="BJ85" i="2"/>
  <c r="BK85" i="2" s="1"/>
  <c r="BJ110" i="2"/>
  <c r="BK110" i="2" s="1"/>
  <c r="BJ157" i="2"/>
  <c r="BK157" i="2" s="1"/>
  <c r="BJ324" i="2"/>
  <c r="BK324" i="2" s="1"/>
  <c r="BJ609" i="2"/>
  <c r="BK609" i="2" s="1"/>
  <c r="BJ247" i="2"/>
  <c r="BK247" i="2" s="1"/>
  <c r="BJ134" i="2"/>
  <c r="BK134" i="2" s="1"/>
  <c r="BJ323" i="2"/>
  <c r="BK323" i="2" s="1"/>
  <c r="BJ388" i="2"/>
  <c r="BK388" i="2" s="1"/>
  <c r="BJ705" i="2"/>
  <c r="BK705" i="2" s="1"/>
  <c r="BJ1106" i="2"/>
  <c r="BK1106" i="2" s="1"/>
  <c r="BJ106" i="2"/>
  <c r="BK106" i="2" s="1"/>
  <c r="BJ1308" i="2"/>
  <c r="BK1308" i="2" s="1"/>
  <c r="BJ285" i="2"/>
  <c r="BK285" i="2" s="1"/>
  <c r="BJ260" i="2"/>
  <c r="BK260" i="2" s="1"/>
  <c r="BJ486" i="2"/>
  <c r="BK486" i="2" s="1"/>
  <c r="BJ485" i="2"/>
  <c r="BK485" i="2" s="1"/>
  <c r="BJ1074" i="2"/>
  <c r="BK1074" i="2" s="1"/>
  <c r="BJ1480" i="2"/>
  <c r="BK1480" i="2" s="1"/>
  <c r="BJ528" i="2"/>
  <c r="BK528" i="2" s="1"/>
  <c r="BJ678" i="2"/>
  <c r="BK678" i="2" s="1"/>
  <c r="BJ730" i="2"/>
  <c r="BK730" i="2" s="1"/>
  <c r="BJ931" i="2"/>
  <c r="BK931" i="2" s="1"/>
  <c r="BJ1131" i="2"/>
  <c r="BK1131" i="2" s="1"/>
  <c r="BJ1560" i="2"/>
  <c r="BK1560" i="2" s="1"/>
  <c r="BJ837" i="2"/>
  <c r="BK837" i="2" s="1"/>
  <c r="BJ871" i="2"/>
  <c r="BK871" i="2" s="1"/>
  <c r="BJ1073" i="2"/>
  <c r="BK1073" i="2" s="1"/>
  <c r="BJ1275" i="2"/>
  <c r="BK1275" i="2" s="1"/>
  <c r="BJ1536" i="2"/>
  <c r="BK1536" i="2" s="1"/>
  <c r="BJ741" i="2"/>
  <c r="BK741" i="2" s="1"/>
  <c r="BJ1001" i="2"/>
  <c r="BK1001" i="2" s="1"/>
  <c r="BJ1102" i="2"/>
  <c r="BK1102" i="2" s="1"/>
  <c r="BJ1457" i="2"/>
  <c r="BK1457" i="2" s="1"/>
  <c r="BJ270" i="2"/>
  <c r="BK270" i="2" s="1"/>
  <c r="BJ280" i="2"/>
  <c r="BK280" i="2" s="1"/>
  <c r="BJ407" i="2"/>
  <c r="BK407" i="2" s="1"/>
  <c r="BJ656" i="2"/>
  <c r="BK656" i="2" s="1"/>
  <c r="BJ1172" i="2"/>
  <c r="BK1172" i="2" s="1"/>
  <c r="BJ1400" i="2"/>
  <c r="BK1400" i="2" s="1"/>
  <c r="BJ1411" i="2"/>
  <c r="BK1411" i="2" s="1"/>
  <c r="BJ1467" i="2"/>
  <c r="BK1467" i="2" s="1"/>
  <c r="BJ1489" i="2"/>
  <c r="BK1489" i="2" s="1"/>
  <c r="BJ1555" i="2"/>
  <c r="BK1555" i="2" s="1"/>
  <c r="BJ1551" i="2"/>
  <c r="BK1551" i="2" s="1"/>
  <c r="BJ1544" i="2"/>
  <c r="BK1544" i="2" s="1"/>
  <c r="BJ1567" i="2"/>
  <c r="BK1567" i="2" s="1"/>
  <c r="BJ1492" i="2"/>
  <c r="BK1492" i="2" s="1"/>
  <c r="BJ1288" i="2"/>
  <c r="BK1288" i="2" s="1"/>
  <c r="BJ1431" i="2"/>
  <c r="BK1431" i="2" s="1"/>
  <c r="BJ1511" i="2"/>
  <c r="BK1511" i="2" s="1"/>
  <c r="BJ1549" i="2"/>
  <c r="BK1549" i="2" s="1"/>
  <c r="BJ124" i="2"/>
  <c r="BK124" i="2" s="1"/>
  <c r="BJ163" i="2"/>
  <c r="BK163" i="2" s="1"/>
  <c r="BJ275" i="2"/>
  <c r="BK275" i="2" s="1"/>
  <c r="BJ386" i="2"/>
  <c r="BK386" i="2" s="1"/>
  <c r="BJ518" i="2"/>
  <c r="BK518" i="2" s="1"/>
  <c r="BJ744" i="2"/>
  <c r="BK744" i="2" s="1"/>
  <c r="BJ267" i="2"/>
  <c r="BK267" i="2" s="1"/>
  <c r="BJ305" i="2"/>
  <c r="BK305" i="2" s="1"/>
  <c r="BJ414" i="2"/>
  <c r="BK414" i="2" s="1"/>
  <c r="BJ478" i="2"/>
  <c r="BK478" i="2" s="1"/>
  <c r="BJ646" i="2"/>
  <c r="BK646" i="2" s="1"/>
  <c r="BJ820" i="2"/>
  <c r="BK820" i="2" s="1"/>
  <c r="BJ495" i="2"/>
  <c r="BK495" i="2" s="1"/>
  <c r="BJ534" i="2"/>
  <c r="BK534" i="2" s="1"/>
  <c r="BJ608" i="2"/>
  <c r="BK608" i="2" s="1"/>
  <c r="BJ703" i="2"/>
  <c r="BK703" i="2" s="1"/>
  <c r="BJ843" i="2"/>
  <c r="BK843" i="2" s="1"/>
  <c r="BJ900" i="2"/>
  <c r="BK900" i="2" s="1"/>
  <c r="BJ599" i="2"/>
  <c r="BK599" i="2" s="1"/>
  <c r="BJ622" i="2"/>
  <c r="BK622" i="2" s="1"/>
  <c r="BJ686" i="2"/>
  <c r="BK686" i="2" s="1"/>
  <c r="BJ848" i="2"/>
  <c r="BK848" i="2" s="1"/>
  <c r="BJ902" i="2"/>
  <c r="BK902" i="2" s="1"/>
  <c r="BJ1005" i="2"/>
  <c r="BK1005" i="2" s="1"/>
  <c r="BJ684" i="2"/>
  <c r="BK684" i="2" s="1"/>
  <c r="BJ719" i="2"/>
  <c r="BK719" i="2" s="1"/>
  <c r="BJ818" i="2"/>
  <c r="BK818" i="2" s="1"/>
  <c r="BJ915" i="2"/>
  <c r="BK915" i="2" s="1"/>
  <c r="BJ964" i="2"/>
  <c r="BK964" i="2" s="1"/>
  <c r="BJ793" i="2"/>
  <c r="BK793" i="2" s="1"/>
  <c r="BJ846" i="2"/>
  <c r="BK846" i="2" s="1"/>
  <c r="BJ934" i="2"/>
  <c r="BK934" i="2" s="1"/>
  <c r="BJ986" i="2"/>
  <c r="BK986" i="2" s="1"/>
  <c r="BJ989" i="2"/>
  <c r="BK989" i="2" s="1"/>
  <c r="BJ97" i="2"/>
  <c r="BK97" i="2" s="1"/>
  <c r="BJ230" i="2"/>
  <c r="BK230" i="2" s="1"/>
  <c r="BJ672" i="2"/>
  <c r="BK672" i="2" s="1"/>
  <c r="BJ1051" i="2"/>
  <c r="BK1051" i="2" s="1"/>
  <c r="BJ1118" i="2"/>
  <c r="BK1118" i="2" s="1"/>
  <c r="BJ1240" i="2"/>
  <c r="BK1240" i="2" s="1"/>
  <c r="BJ1323" i="2"/>
  <c r="BK1323" i="2" s="1"/>
  <c r="BJ111" i="2"/>
  <c r="BK111" i="2" s="1"/>
  <c r="BJ469" i="2"/>
  <c r="BK469" i="2" s="1"/>
  <c r="BJ1002" i="2"/>
  <c r="BK1002" i="2" s="1"/>
  <c r="BJ1110" i="2"/>
  <c r="BK1110" i="2" s="1"/>
  <c r="BJ1170" i="2"/>
  <c r="BK1170" i="2" s="1"/>
  <c r="BJ1346" i="2"/>
  <c r="BK1346" i="2" s="1"/>
  <c r="BJ411" i="2"/>
  <c r="BK411" i="2" s="1"/>
  <c r="BJ781" i="2"/>
  <c r="BK781" i="2" s="1"/>
  <c r="BJ936" i="2"/>
  <c r="BK936" i="2" s="1"/>
  <c r="BJ1149" i="2"/>
  <c r="BK1149" i="2" s="1"/>
  <c r="BJ1239" i="2"/>
  <c r="BK1239" i="2" s="1"/>
  <c r="BJ1309" i="2"/>
  <c r="BK1309" i="2" s="1"/>
  <c r="BJ427" i="2"/>
  <c r="BK427" i="2" s="1"/>
  <c r="BJ769" i="2"/>
  <c r="BK769" i="2" s="1"/>
  <c r="BJ935" i="2"/>
  <c r="BK935" i="2" s="1"/>
  <c r="BJ1148" i="2"/>
  <c r="BK1148" i="2" s="1"/>
  <c r="BJ1238" i="2"/>
  <c r="BK1238" i="2" s="1"/>
  <c r="BJ1300" i="2"/>
  <c r="BK1300" i="2" s="1"/>
  <c r="BJ603" i="2"/>
  <c r="BK603" i="2" s="1"/>
  <c r="BJ1023" i="2"/>
  <c r="BK1023" i="2" s="1"/>
  <c r="BJ1147" i="2"/>
  <c r="BK1147" i="2" s="1"/>
  <c r="BJ1334" i="2"/>
  <c r="BK1334" i="2" s="1"/>
  <c r="BJ1445" i="2"/>
  <c r="BK1445" i="2" s="1"/>
  <c r="BJ919" i="2"/>
  <c r="BK919" i="2" s="1"/>
  <c r="BJ1013" i="2"/>
  <c r="BK1013" i="2" s="1"/>
  <c r="BJ1169" i="2"/>
  <c r="BK1169" i="2" s="1"/>
  <c r="BJ1255" i="2"/>
  <c r="BK1255" i="2" s="1"/>
  <c r="BJ1406" i="2"/>
  <c r="BK1406" i="2" s="1"/>
  <c r="BJ1558" i="2"/>
  <c r="BK1558" i="2" s="1"/>
  <c r="BJ1626" i="2"/>
  <c r="BK1626" i="2" s="1"/>
  <c r="BJ1117" i="2"/>
  <c r="BK1117" i="2" s="1"/>
  <c r="BJ1378" i="2"/>
  <c r="BK1378" i="2" s="1"/>
  <c r="BJ1601" i="2"/>
  <c r="BK1601" i="2" s="1"/>
  <c r="BJ1605" i="2"/>
  <c r="BK1605" i="2" s="1"/>
  <c r="BJ1639" i="2"/>
  <c r="BK1639" i="2" s="1"/>
  <c r="BJ1640" i="2"/>
  <c r="BK1640" i="2" s="1"/>
  <c r="BJ78" i="2"/>
  <c r="BK78" i="2" s="1"/>
  <c r="BJ363" i="2"/>
  <c r="BK363" i="2" s="1"/>
  <c r="BJ711" i="2"/>
  <c r="BK711" i="2" s="1"/>
  <c r="BJ1198" i="2"/>
  <c r="BK1198" i="2" s="1"/>
  <c r="BJ1297" i="2"/>
  <c r="BK1297" i="2" s="1"/>
  <c r="BJ119" i="2"/>
  <c r="BK119" i="2" s="1"/>
  <c r="BJ213" i="2"/>
  <c r="BK213" i="2" s="1"/>
  <c r="BJ500" i="2"/>
  <c r="BK500" i="2" s="1"/>
  <c r="BJ1021" i="2"/>
  <c r="BK1021" i="2" s="1"/>
  <c r="BJ1099" i="2"/>
  <c r="BK1099" i="2" s="1"/>
  <c r="BJ199" i="2"/>
  <c r="BK199" i="2" s="1"/>
  <c r="BJ493" i="2"/>
  <c r="BK493" i="2" s="1"/>
  <c r="BJ969" i="2"/>
  <c r="BK969" i="2" s="1"/>
  <c r="BJ1020" i="2"/>
  <c r="BK1020" i="2" s="1"/>
  <c r="BJ1068" i="2"/>
  <c r="BK1068" i="2" s="1"/>
  <c r="BJ1228" i="2"/>
  <c r="BK1228" i="2" s="1"/>
  <c r="BJ277" i="2"/>
  <c r="BK277" i="2" s="1"/>
  <c r="BJ696" i="2"/>
  <c r="BK696" i="2" s="1"/>
  <c r="BJ1114" i="2"/>
  <c r="BK1114" i="2" s="1"/>
  <c r="BJ1173" i="2"/>
  <c r="BK1173" i="2" s="1"/>
  <c r="BJ1227" i="2"/>
  <c r="BK1227" i="2" s="1"/>
  <c r="BJ1354" i="2"/>
  <c r="BK1354" i="2" s="1"/>
  <c r="BJ584" i="2"/>
  <c r="BK584" i="2" s="1"/>
  <c r="BJ945" i="2"/>
  <c r="BK945" i="2" s="1"/>
  <c r="BJ1210" i="2"/>
  <c r="BK1210" i="2" s="1"/>
  <c r="BJ1281" i="2"/>
  <c r="BK1281" i="2" s="1"/>
  <c r="BJ1353" i="2"/>
  <c r="BK1353" i="2" s="1"/>
  <c r="BJ1510" i="2"/>
  <c r="BK1510" i="2" s="1"/>
  <c r="BJ1050" i="2"/>
  <c r="BK1050" i="2" s="1"/>
  <c r="BJ1220" i="2"/>
  <c r="BK1220" i="2" s="1"/>
  <c r="BJ1450" i="2"/>
  <c r="BK1450" i="2" s="1"/>
  <c r="BJ1546" i="2"/>
  <c r="BK1546" i="2" s="1"/>
  <c r="BJ1597" i="2"/>
  <c r="BK1597" i="2" s="1"/>
  <c r="BJ1634" i="2"/>
  <c r="BK1634" i="2" s="1"/>
  <c r="BJ1575" i="2"/>
  <c r="BK1575" i="2" s="1"/>
  <c r="BJ1619" i="2"/>
  <c r="BK1619" i="2" s="1"/>
  <c r="BJ1641" i="2"/>
  <c r="BK1641" i="2" s="1"/>
  <c r="BJ858" i="2"/>
  <c r="BK858" i="2" s="1"/>
  <c r="BJ993" i="2"/>
  <c r="BK993" i="2" s="1"/>
  <c r="BJ1248" i="2"/>
  <c r="BK1248" i="2" s="1"/>
  <c r="BJ1417" i="2"/>
  <c r="BK1417" i="2" s="1"/>
  <c r="BJ579" i="2"/>
  <c r="BK579" i="2" s="1"/>
  <c r="BJ724" i="2"/>
  <c r="BK724" i="2" s="1"/>
  <c r="BJ1143" i="2"/>
  <c r="BK1143" i="2" s="1"/>
  <c r="BJ1377" i="2"/>
  <c r="BK1377" i="2" s="1"/>
  <c r="BJ381" i="2"/>
  <c r="BK381" i="2" s="1"/>
  <c r="BJ619" i="2"/>
  <c r="BK619" i="2" s="1"/>
  <c r="BJ1142" i="2"/>
  <c r="BK1142" i="2" s="1"/>
  <c r="BJ1331" i="2"/>
  <c r="BK1331" i="2" s="1"/>
  <c r="BJ43" i="2"/>
  <c r="BK43" i="2" s="1"/>
  <c r="BJ126" i="2"/>
  <c r="BK126" i="2" s="1"/>
  <c r="BJ895" i="2"/>
  <c r="BK895" i="2" s="1"/>
  <c r="BJ1362" i="2"/>
  <c r="BK1362" i="2" s="1"/>
  <c r="BJ203" i="2"/>
  <c r="BK203" i="2" s="1"/>
  <c r="BJ174" i="2"/>
  <c r="BK174" i="2" s="1"/>
  <c r="BJ207" i="2"/>
  <c r="BK207" i="2" s="1"/>
  <c r="BJ224" i="2"/>
  <c r="BK224" i="2" s="1"/>
  <c r="BJ361" i="2"/>
  <c r="BK361" i="2" s="1"/>
  <c r="BJ595" i="2"/>
  <c r="BK595" i="2" s="1"/>
  <c r="BJ187" i="2"/>
  <c r="BK187" i="2" s="1"/>
  <c r="BJ246" i="2"/>
  <c r="BK246" i="2" s="1"/>
  <c r="BJ379" i="2"/>
  <c r="BK379" i="2" s="1"/>
  <c r="BJ951" i="2"/>
  <c r="BK951" i="2" s="1"/>
  <c r="BJ1141" i="2"/>
  <c r="BK1141" i="2" s="1"/>
  <c r="BJ165" i="2"/>
  <c r="BK165" i="2" s="1"/>
  <c r="BJ259" i="2"/>
  <c r="BK259" i="2" s="1"/>
  <c r="BJ217" i="2"/>
  <c r="BK217" i="2" s="1"/>
  <c r="BJ437" i="2"/>
  <c r="BK437" i="2" s="1"/>
  <c r="BJ434" i="2"/>
  <c r="BK434" i="2" s="1"/>
  <c r="BJ689" i="2"/>
  <c r="BK689" i="2" s="1"/>
  <c r="BJ202" i="2"/>
  <c r="BK202" i="2" s="1"/>
  <c r="BJ365" i="2"/>
  <c r="BK365" i="2" s="1"/>
  <c r="BJ400" i="2"/>
  <c r="BK400" i="2" s="1"/>
  <c r="BJ812" i="2"/>
  <c r="BK812" i="2" s="1"/>
  <c r="BJ1344" i="2"/>
  <c r="BK1344" i="2" s="1"/>
  <c r="BJ154" i="2"/>
  <c r="BK154" i="2" s="1"/>
  <c r="BJ258" i="2"/>
  <c r="BK258" i="2" s="1"/>
  <c r="BJ450" i="2"/>
  <c r="BK450" i="2" s="1"/>
  <c r="BJ545" i="2"/>
  <c r="BK545" i="2" s="1"/>
  <c r="BJ752" i="2"/>
  <c r="BK752" i="2" s="1"/>
  <c r="BJ823" i="2"/>
  <c r="BK823" i="2" s="1"/>
  <c r="BJ254" i="2"/>
  <c r="BK254" i="2" s="1"/>
  <c r="BJ402" i="2"/>
  <c r="BK402" i="2" s="1"/>
  <c r="BJ716" i="2"/>
  <c r="BK716" i="2" s="1"/>
  <c r="BJ1040" i="2"/>
  <c r="BK1040" i="2" s="1"/>
  <c r="BJ1243" i="2"/>
  <c r="BK1243" i="2" s="1"/>
  <c r="BJ1304" i="2"/>
  <c r="BK1304" i="2" s="1"/>
  <c r="BJ488" i="2"/>
  <c r="BK488" i="2" s="1"/>
  <c r="BJ473" i="2"/>
  <c r="BK473" i="2" s="1"/>
  <c r="BJ630" i="2"/>
  <c r="BK630" i="2" s="1"/>
  <c r="BJ688" i="2"/>
  <c r="BK688" i="2" s="1"/>
  <c r="BJ822" i="2"/>
  <c r="BK822" i="2" s="1"/>
  <c r="BJ1171" i="2"/>
  <c r="BK1171" i="2" s="1"/>
  <c r="BJ805" i="2"/>
  <c r="BK805" i="2" s="1"/>
  <c r="BJ944" i="2"/>
  <c r="BK944" i="2" s="1"/>
  <c r="BJ1031" i="2"/>
  <c r="BK1031" i="2" s="1"/>
  <c r="BJ1154" i="2"/>
  <c r="BK1154" i="2" s="1"/>
  <c r="BJ1375" i="2"/>
  <c r="BK1375" i="2" s="1"/>
  <c r="BJ1138" i="2"/>
  <c r="BK1138" i="2" s="1"/>
  <c r="BJ1237" i="2"/>
  <c r="BK1237" i="2" s="1"/>
  <c r="BJ1287" i="2"/>
  <c r="BK1287" i="2" s="1"/>
  <c r="BJ1358" i="2"/>
  <c r="BK1358" i="2" s="1"/>
  <c r="BJ1404" i="2"/>
  <c r="BK1404" i="2" s="1"/>
  <c r="BJ1476" i="2"/>
  <c r="BK1476" i="2" s="1"/>
  <c r="BJ1385" i="2"/>
  <c r="BK1385" i="2" s="1"/>
  <c r="BJ1474" i="2"/>
  <c r="BK1474" i="2" s="1"/>
  <c r="BJ1469" i="2"/>
  <c r="BK1469" i="2" s="1"/>
  <c r="BJ1494" i="2"/>
  <c r="BK1494" i="2" s="1"/>
  <c r="BJ1517" i="2"/>
  <c r="BK1517" i="2" s="1"/>
  <c r="BJ1548" i="2"/>
  <c r="BK1548" i="2" s="1"/>
  <c r="BJ233" i="2"/>
  <c r="BK233" i="2" s="1"/>
  <c r="BJ370" i="2"/>
  <c r="BK370" i="2" s="1"/>
  <c r="BJ499" i="2"/>
  <c r="BK499" i="2" s="1"/>
  <c r="BJ704" i="2"/>
  <c r="BK704" i="2" s="1"/>
  <c r="BJ831" i="2"/>
  <c r="BK831" i="2" s="1"/>
  <c r="BJ410" i="2"/>
  <c r="BK410" i="2" s="1"/>
  <c r="BJ446" i="2"/>
  <c r="BK446" i="2" s="1"/>
  <c r="BJ715" i="2"/>
  <c r="BK715" i="2" s="1"/>
  <c r="BJ1016" i="2"/>
  <c r="BK1016" i="2" s="1"/>
  <c r="BJ1231" i="2"/>
  <c r="BK1231" i="2" s="1"/>
  <c r="BJ405" i="2"/>
  <c r="BK405" i="2" s="1"/>
  <c r="BJ527" i="2"/>
  <c r="BK527" i="2" s="1"/>
  <c r="BJ588" i="2"/>
  <c r="BK588" i="2" s="1"/>
  <c r="BJ737" i="2"/>
  <c r="BK737" i="2" s="1"/>
  <c r="BJ1061" i="2"/>
  <c r="BK1061" i="2" s="1"/>
  <c r="BJ348" i="2"/>
  <c r="BK348" i="2" s="1"/>
  <c r="BJ504" i="2"/>
  <c r="BK504" i="2" s="1"/>
  <c r="BJ845" i="2"/>
  <c r="BK845" i="2" s="1"/>
  <c r="BJ1189" i="2"/>
  <c r="BK1189" i="2" s="1"/>
  <c r="BJ1329" i="2"/>
  <c r="BK1329" i="2" s="1"/>
  <c r="BJ436" i="2"/>
  <c r="BK436" i="2" s="1"/>
  <c r="BJ394" i="2"/>
  <c r="BK394" i="2" s="1"/>
  <c r="BJ416" i="2"/>
  <c r="BK416" i="2" s="1"/>
  <c r="BJ480" i="2"/>
  <c r="BK480" i="2" s="1"/>
  <c r="BJ803" i="2"/>
  <c r="BK803" i="2" s="1"/>
  <c r="BJ237" i="2"/>
  <c r="BK237" i="2" s="1"/>
  <c r="BJ415" i="2"/>
  <c r="BK415" i="2" s="1"/>
  <c r="BJ454" i="2"/>
  <c r="BK454" i="2" s="1"/>
  <c r="BJ785" i="2"/>
  <c r="BK785" i="2" s="1"/>
  <c r="BJ908" i="2"/>
  <c r="BK908" i="2" s="1"/>
  <c r="BJ541" i="2"/>
  <c r="BK541" i="2" s="1"/>
  <c r="BJ554" i="2"/>
  <c r="BK554" i="2" s="1"/>
  <c r="BJ870" i="2"/>
  <c r="BK870" i="2" s="1"/>
  <c r="BJ1146" i="2"/>
  <c r="BK1146" i="2" s="1"/>
  <c r="BJ1328" i="2"/>
  <c r="BK1328" i="2" s="1"/>
  <c r="BJ335" i="2"/>
  <c r="BK335" i="2" s="1"/>
  <c r="BJ445" i="2"/>
  <c r="BK445" i="2" s="1"/>
  <c r="BJ821" i="2"/>
  <c r="BK821" i="2" s="1"/>
  <c r="BJ1364" i="2"/>
  <c r="BK1364" i="2" s="1"/>
  <c r="BJ1374" i="2"/>
  <c r="BK1374" i="2" s="1"/>
  <c r="BJ747" i="2"/>
  <c r="BK747" i="2" s="1"/>
  <c r="BJ802" i="2"/>
  <c r="BK802" i="2" s="1"/>
  <c r="BJ1080" i="2"/>
  <c r="BK1080" i="2" s="1"/>
  <c r="BJ1388" i="2"/>
  <c r="BK1388" i="2" s="1"/>
  <c r="BJ1091" i="2"/>
  <c r="BK1091" i="2" s="1"/>
  <c r="BJ1112" i="2"/>
  <c r="BK1112" i="2" s="1"/>
  <c r="BJ1283" i="2"/>
  <c r="BK1283" i="2" s="1"/>
  <c r="BJ1402" i="2"/>
  <c r="BK1402" i="2" s="1"/>
  <c r="BJ1156" i="2"/>
  <c r="BK1156" i="2" s="1"/>
  <c r="BJ1236" i="2"/>
  <c r="BK1236" i="2" s="1"/>
  <c r="BJ1352" i="2"/>
  <c r="BK1352" i="2" s="1"/>
  <c r="BJ1436" i="2"/>
  <c r="BK1436" i="2" s="1"/>
  <c r="BJ1204" i="2"/>
  <c r="BK1204" i="2" s="1"/>
  <c r="BJ1282" i="2"/>
  <c r="BK1282" i="2" s="1"/>
  <c r="BJ1393" i="2"/>
  <c r="BK1393" i="2" s="1"/>
  <c r="BJ1534" i="2"/>
  <c r="BK1534" i="2" s="1"/>
  <c r="BJ1368" i="2"/>
  <c r="BK1368" i="2" s="1"/>
  <c r="BJ1387" i="2"/>
  <c r="BK1387" i="2" s="1"/>
  <c r="BJ1459" i="2"/>
  <c r="BK1459" i="2" s="1"/>
  <c r="BJ1556" i="2"/>
  <c r="BK1556" i="2" s="1"/>
  <c r="BJ1509" i="2"/>
  <c r="BK1509" i="2" s="1"/>
  <c r="BJ1533" i="2"/>
  <c r="BK1533" i="2" s="1"/>
  <c r="BJ1514" i="2"/>
  <c r="BK1514" i="2" s="1"/>
  <c r="BJ1481" i="2"/>
  <c r="BK1481" i="2" s="1"/>
  <c r="BJ1451" i="2"/>
  <c r="BK1451" i="2" s="1"/>
  <c r="BJ1355" i="2"/>
  <c r="BK1355" i="2" s="1"/>
  <c r="BJ1036" i="2"/>
  <c r="BK1036" i="2" s="1"/>
  <c r="BJ193" i="2"/>
  <c r="BK193" i="2" s="1"/>
  <c r="BJ142" i="2"/>
  <c r="BK142" i="2" s="1"/>
  <c r="BJ526" i="2"/>
  <c r="BK526" i="2" s="1"/>
  <c r="BJ83" i="2"/>
  <c r="BK83" i="2" s="1"/>
  <c r="BJ162" i="2"/>
  <c r="BK162" i="2" s="1"/>
  <c r="BJ228" i="2"/>
  <c r="BK228" i="2" s="1"/>
  <c r="BJ26" i="2"/>
  <c r="BK26" i="2" s="1"/>
  <c r="BJ127" i="2"/>
  <c r="BK127" i="2" s="1"/>
  <c r="BJ44" i="2"/>
  <c r="BK44" i="2" s="1"/>
  <c r="BJ294" i="2"/>
  <c r="BK294" i="2" s="1"/>
  <c r="BJ194" i="2"/>
  <c r="BK194" i="2" s="1"/>
  <c r="BJ283" i="2"/>
  <c r="BK283" i="2" s="1"/>
  <c r="BJ235" i="2"/>
  <c r="BK235" i="2" s="1"/>
  <c r="BJ343" i="2"/>
  <c r="BK343" i="2" s="1"/>
  <c r="BJ117" i="2"/>
  <c r="BK117" i="2" s="1"/>
  <c r="BJ95" i="2"/>
  <c r="BK95" i="2" s="1"/>
  <c r="BJ104" i="2"/>
  <c r="BK104" i="2" s="1"/>
  <c r="BJ94" i="2"/>
  <c r="BK94" i="2" s="1"/>
  <c r="BJ245" i="2"/>
  <c r="BK245" i="2" s="1"/>
  <c r="BJ538" i="2"/>
  <c r="BK538" i="2" s="1"/>
  <c r="BJ780" i="2"/>
  <c r="BK780" i="2" s="1"/>
  <c r="BJ88" i="2"/>
  <c r="BK88" i="2" s="1"/>
  <c r="BJ141" i="2"/>
  <c r="BK141" i="2" s="1"/>
  <c r="BJ687" i="2"/>
  <c r="BK687" i="2" s="1"/>
  <c r="BJ122" i="2"/>
  <c r="BK122" i="2" s="1"/>
  <c r="BJ206" i="2"/>
  <c r="BK206" i="2" s="1"/>
  <c r="BJ735" i="2"/>
  <c r="BK735" i="2" s="1"/>
  <c r="BJ419" i="2"/>
  <c r="BK419" i="2" s="1"/>
  <c r="BJ250" i="2"/>
  <c r="BK250" i="2" s="1"/>
  <c r="BJ892" i="2"/>
  <c r="BK892" i="2" s="1"/>
  <c r="BJ520" i="2"/>
  <c r="BK520" i="2" s="1"/>
  <c r="BJ661" i="2"/>
  <c r="BK661" i="2" s="1"/>
  <c r="BJ943" i="2"/>
  <c r="BK943" i="2" s="1"/>
  <c r="BJ220" i="2"/>
  <c r="BK220" i="2" s="1"/>
  <c r="BJ145" i="2"/>
  <c r="BK145" i="2" s="1"/>
  <c r="BJ722" i="2"/>
  <c r="BK722" i="2" s="1"/>
  <c r="BJ192" i="2"/>
  <c r="BK192" i="2" s="1"/>
  <c r="BJ268" i="2"/>
  <c r="BK268" i="2" s="1"/>
  <c r="BJ767" i="2"/>
  <c r="BK767" i="2" s="1"/>
  <c r="BJ293" i="2"/>
  <c r="BK293" i="2" s="1"/>
  <c r="BJ336" i="2"/>
  <c r="BK336" i="2" s="1"/>
  <c r="BJ868" i="2"/>
  <c r="BK868" i="2" s="1"/>
  <c r="BJ232" i="2"/>
  <c r="BK232" i="2" s="1"/>
  <c r="BJ313" i="2"/>
  <c r="BK313" i="2" s="1"/>
  <c r="BJ600" i="2"/>
  <c r="BK600" i="2" s="1"/>
  <c r="BJ212" i="2"/>
  <c r="BK212" i="2" s="1"/>
  <c r="BJ573" i="2"/>
  <c r="BK573" i="2" s="1"/>
  <c r="BJ695" i="2"/>
  <c r="BK695" i="2" s="1"/>
  <c r="BJ179" i="2"/>
  <c r="BK179" i="2" s="1"/>
  <c r="BJ167" i="2"/>
  <c r="BK167" i="2" s="1"/>
  <c r="BJ862" i="2"/>
  <c r="BK862" i="2" s="1"/>
  <c r="BJ367" i="2"/>
  <c r="BK367" i="2" s="1"/>
  <c r="BJ398" i="2"/>
  <c r="BK398" i="2" s="1"/>
  <c r="BJ1197" i="2"/>
  <c r="BK1197" i="2" s="1"/>
  <c r="BD387" i="2"/>
  <c r="BD539" i="2"/>
  <c r="BD723" i="2"/>
  <c r="BD1035" i="2"/>
  <c r="BD1313" i="2"/>
  <c r="BD634" i="2"/>
  <c r="BD859" i="2"/>
  <c r="BD998" i="2"/>
  <c r="BD1164" i="2"/>
  <c r="BD1303" i="2"/>
  <c r="BD578" i="2"/>
  <c r="BD740" i="2"/>
  <c r="BD810" i="2"/>
  <c r="BD1123" i="2"/>
  <c r="BD1363" i="2"/>
  <c r="BD563" i="2"/>
  <c r="BD1057" i="2"/>
  <c r="BD1318" i="2"/>
  <c r="BD1421" i="2"/>
  <c r="BD354" i="2"/>
  <c r="BD531" i="2"/>
  <c r="BD875" i="2"/>
  <c r="BD1008" i="2"/>
  <c r="BD1408" i="2"/>
  <c r="BD1520" i="2"/>
  <c r="BD492" i="2"/>
  <c r="BD894" i="2"/>
  <c r="BD1134" i="2"/>
  <c r="BD1168" i="2"/>
  <c r="BD1487" i="2"/>
  <c r="BD1563" i="2"/>
  <c r="BD968" i="2"/>
  <c r="BD1234" i="2"/>
  <c r="BD1316" i="2"/>
  <c r="BD1416" i="2"/>
  <c r="BD1463" i="2"/>
  <c r="BD1516" i="2"/>
  <c r="BD1524" i="2"/>
  <c r="BD444" i="2"/>
  <c r="BD962" i="2"/>
  <c r="BD1145" i="2"/>
  <c r="BD1222" i="2"/>
  <c r="BD1409" i="2"/>
  <c r="BD498" i="2"/>
  <c r="BD961" i="2"/>
  <c r="BD1271" i="2"/>
  <c r="BD164" i="2"/>
  <c r="BD225" i="2"/>
  <c r="BD536" i="2"/>
  <c r="BD916" i="2"/>
  <c r="BD1270" i="2"/>
  <c r="BD553" i="2"/>
  <c r="BD923" i="2"/>
  <c r="BD1247" i="2"/>
  <c r="BD1332" i="2"/>
  <c r="BD1502" i="2"/>
  <c r="BD204" i="2"/>
  <c r="BD296" i="2"/>
  <c r="BD559" i="2"/>
  <c r="BD836" i="2"/>
  <c r="BD1082" i="2"/>
  <c r="BD295" i="2"/>
  <c r="BD484" i="2"/>
  <c r="BD749" i="2"/>
  <c r="BD941" i="2"/>
  <c r="BD1161" i="2"/>
  <c r="BD426" i="2"/>
  <c r="BD650" i="2"/>
  <c r="BD835" i="2"/>
  <c r="BD1081" i="2"/>
  <c r="BD604" i="2"/>
  <c r="BD699" i="2"/>
  <c r="BD890" i="2"/>
  <c r="BD1139" i="2"/>
  <c r="AU387" i="2"/>
  <c r="BJ387" i="2" s="1"/>
  <c r="BK387" i="2" s="1"/>
  <c r="AU539" i="2"/>
  <c r="BJ539" i="2" s="1"/>
  <c r="BK539" i="2" s="1"/>
  <c r="AU723" i="2"/>
  <c r="BJ723" i="2" s="1"/>
  <c r="BK723" i="2" s="1"/>
  <c r="AU1035" i="2"/>
  <c r="BJ1035" i="2" s="1"/>
  <c r="BK1035" i="2" s="1"/>
  <c r="AU1313" i="2"/>
  <c r="BJ1313" i="2" s="1"/>
  <c r="BK1313" i="2" s="1"/>
  <c r="AU634" i="2"/>
  <c r="BJ634" i="2" s="1"/>
  <c r="BK634" i="2" s="1"/>
  <c r="AU859" i="2"/>
  <c r="BJ859" i="2" s="1"/>
  <c r="BK859" i="2" s="1"/>
  <c r="AU998" i="2"/>
  <c r="BJ998" i="2" s="1"/>
  <c r="BK998" i="2" s="1"/>
  <c r="AU1164" i="2"/>
  <c r="BJ1164" i="2" s="1"/>
  <c r="BK1164" i="2" s="1"/>
  <c r="AU1303" i="2"/>
  <c r="BJ1303" i="2" s="1"/>
  <c r="BK1303" i="2" s="1"/>
  <c r="AU578" i="2"/>
  <c r="BJ578" i="2" s="1"/>
  <c r="BK578" i="2" s="1"/>
  <c r="AU740" i="2"/>
  <c r="BJ740" i="2" s="1"/>
  <c r="BK740" i="2" s="1"/>
  <c r="AU810" i="2"/>
  <c r="BJ810" i="2" s="1"/>
  <c r="BK810" i="2" s="1"/>
  <c r="AU1123" i="2"/>
  <c r="BJ1123" i="2" s="1"/>
  <c r="BK1123" i="2" s="1"/>
  <c r="AU1363" i="2"/>
  <c r="BJ1363" i="2" s="1"/>
  <c r="BK1363" i="2" s="1"/>
  <c r="AU563" i="2"/>
  <c r="BJ563" i="2" s="1"/>
  <c r="BK563" i="2" s="1"/>
  <c r="AU1057" i="2"/>
  <c r="BJ1057" i="2" s="1"/>
  <c r="BK1057" i="2" s="1"/>
  <c r="AU1318" i="2"/>
  <c r="BJ1318" i="2" s="1"/>
  <c r="BK1318" i="2" s="1"/>
  <c r="AU1421" i="2"/>
  <c r="BJ1421" i="2" s="1"/>
  <c r="BK1421" i="2" s="1"/>
  <c r="AT827" i="2"/>
  <c r="AT983" i="2"/>
  <c r="AT139" i="2"/>
  <c r="AT234" i="2"/>
  <c r="AT753" i="2"/>
  <c r="AT901" i="2"/>
  <c r="AT36" i="2"/>
  <c r="AT98" i="2"/>
  <c r="AT169" i="2"/>
  <c r="AT589" i="2"/>
  <c r="AT778" i="2"/>
  <c r="AU41" i="2"/>
  <c r="BJ41" i="2" s="1"/>
  <c r="BK41" i="2" s="1"/>
  <c r="AU81" i="2"/>
  <c r="BJ81" i="2" s="1"/>
  <c r="BK81" i="2" s="1"/>
  <c r="AU32" i="2"/>
  <c r="BJ32" i="2" s="1"/>
  <c r="BK32" i="2" s="1"/>
  <c r="AU70" i="2"/>
  <c r="BJ70" i="2" s="1"/>
  <c r="BK70" i="2" s="1"/>
  <c r="AU131" i="2"/>
  <c r="BJ131" i="2" s="1"/>
  <c r="BK131" i="2" s="1"/>
  <c r="AU130" i="2"/>
  <c r="BJ130" i="2" s="1"/>
  <c r="BK130" i="2" s="1"/>
  <c r="AU265" i="2"/>
  <c r="BJ265" i="2" s="1"/>
  <c r="BK265" i="2" s="1"/>
  <c r="AU519" i="2"/>
  <c r="BJ519" i="2" s="1"/>
  <c r="BK519" i="2" s="1"/>
  <c r="AU198" i="2"/>
  <c r="BJ198" i="2" s="1"/>
  <c r="BK198" i="2" s="1"/>
  <c r="AU425" i="2"/>
  <c r="BJ425" i="2" s="1"/>
  <c r="BK425" i="2" s="1"/>
  <c r="AU618" i="2"/>
  <c r="BJ618" i="2" s="1"/>
  <c r="BK618" i="2" s="1"/>
  <c r="AT1009" i="2"/>
  <c r="AT1347" i="2"/>
  <c r="AT1647" i="2"/>
  <c r="AT1649" i="2"/>
  <c r="AT1611" i="2"/>
  <c r="AT1648" i="2"/>
  <c r="AT1650" i="2"/>
  <c r="AT1646" i="2"/>
  <c r="AT354" i="2"/>
  <c r="AT531" i="2"/>
  <c r="AT875" i="2"/>
  <c r="AT1008" i="2"/>
  <c r="AT1408" i="2"/>
  <c r="AT1520" i="2"/>
  <c r="AT492" i="2"/>
  <c r="AT894" i="2"/>
  <c r="AT1134" i="2"/>
  <c r="AT1168" i="2"/>
  <c r="AT1487" i="2"/>
  <c r="AT1563" i="2"/>
  <c r="AT968" i="2"/>
  <c r="AT1234" i="2"/>
  <c r="AT1316" i="2"/>
  <c r="AT1416" i="2"/>
  <c r="AT1463" i="2"/>
  <c r="AT1516" i="2"/>
  <c r="AT1524" i="2"/>
  <c r="AU444" i="2"/>
  <c r="BJ444" i="2" s="1"/>
  <c r="BK444" i="2" s="1"/>
  <c r="AU962" i="2"/>
  <c r="BJ962" i="2" s="1"/>
  <c r="BK962" i="2" s="1"/>
  <c r="AU1145" i="2"/>
  <c r="BJ1145" i="2" s="1"/>
  <c r="BK1145" i="2" s="1"/>
  <c r="AU1222" i="2"/>
  <c r="BJ1222" i="2" s="1"/>
  <c r="BK1222" i="2" s="1"/>
  <c r="AU1409" i="2"/>
  <c r="BJ1409" i="2" s="1"/>
  <c r="BK1409" i="2" s="1"/>
  <c r="AU498" i="2"/>
  <c r="BJ498" i="2" s="1"/>
  <c r="BK498" i="2" s="1"/>
  <c r="AU961" i="2"/>
  <c r="BJ961" i="2" s="1"/>
  <c r="BK961" i="2" s="1"/>
  <c r="AU1271" i="2"/>
  <c r="BJ1271" i="2" s="1"/>
  <c r="BK1271" i="2" s="1"/>
  <c r="AU164" i="2"/>
  <c r="BJ164" i="2" s="1"/>
  <c r="BK164" i="2" s="1"/>
  <c r="AU225" i="2"/>
  <c r="BJ225" i="2" s="1"/>
  <c r="BK225" i="2" s="1"/>
  <c r="AU536" i="2"/>
  <c r="BJ536" i="2" s="1"/>
  <c r="BK536" i="2" s="1"/>
  <c r="AU916" i="2"/>
  <c r="BJ916" i="2" s="1"/>
  <c r="BK916" i="2" s="1"/>
  <c r="AU1270" i="2"/>
  <c r="BJ1270" i="2" s="1"/>
  <c r="BK1270" i="2" s="1"/>
  <c r="AU553" i="2"/>
  <c r="BJ553" i="2" s="1"/>
  <c r="BK553" i="2" s="1"/>
  <c r="AU923" i="2"/>
  <c r="BJ923" i="2" s="1"/>
  <c r="BK923" i="2" s="1"/>
  <c r="AU1247" i="2"/>
  <c r="BJ1247" i="2" s="1"/>
  <c r="BK1247" i="2" s="1"/>
  <c r="AU1332" i="2"/>
  <c r="BJ1332" i="2" s="1"/>
  <c r="BK1332" i="2" s="1"/>
  <c r="AU1502" i="2"/>
  <c r="BJ1502" i="2" s="1"/>
  <c r="BK1502" i="2" s="1"/>
  <c r="AT1048" i="2"/>
  <c r="AT1107" i="2"/>
  <c r="AT1221" i="2"/>
  <c r="AT1373" i="2"/>
  <c r="AT1442" i="2"/>
  <c r="AT1573" i="2"/>
  <c r="AT1078" i="2"/>
  <c r="AT1185" i="2"/>
  <c r="AT1335" i="2"/>
  <c r="AT1460" i="2"/>
  <c r="AT1581" i="2"/>
  <c r="AT96" i="2"/>
  <c r="AT128" i="2"/>
  <c r="AT333" i="2"/>
  <c r="AT873" i="2"/>
  <c r="AT1100" i="2"/>
  <c r="AT1372" i="2"/>
  <c r="AT355" i="2"/>
  <c r="AT438" i="2"/>
  <c r="AT509" i="2"/>
  <c r="AT733" i="2"/>
  <c r="AT872" i="2"/>
  <c r="AT1022" i="2"/>
  <c r="AT1260" i="2"/>
  <c r="AT1326" i="2"/>
  <c r="AT1506" i="2"/>
  <c r="AT474" i="2"/>
  <c r="AT790" i="2"/>
  <c r="AT973" i="2"/>
  <c r="AT1092" i="2"/>
  <c r="AT1256" i="2"/>
  <c r="AT1412" i="2"/>
  <c r="AT1505" i="2"/>
  <c r="AT1584" i="2"/>
  <c r="AT1632" i="2"/>
  <c r="AT1386" i="2"/>
  <c r="AT1452" i="2"/>
  <c r="AT1585" i="2"/>
  <c r="AT1610" i="2"/>
  <c r="AT1627" i="2"/>
  <c r="AT1623" i="2"/>
  <c r="AT1636" i="2"/>
  <c r="AT1643" i="2"/>
  <c r="AT1642" i="2"/>
  <c r="AT1583" i="2"/>
  <c r="AT1606" i="2"/>
  <c r="AT1493" i="2"/>
  <c r="AT1595" i="2"/>
  <c r="AT1470" i="2"/>
  <c r="AT1577" i="2"/>
  <c r="AT1614" i="2"/>
  <c r="AT1582" i="2"/>
  <c r="AT1620" i="2"/>
  <c r="AT1638" i="2"/>
  <c r="AT1483" i="2"/>
  <c r="AT1600" i="2"/>
  <c r="AT1609" i="2"/>
  <c r="AT1635" i="2"/>
  <c r="AT1485" i="2"/>
  <c r="AT1587" i="2"/>
  <c r="AT1625" i="2"/>
  <c r="AT1637" i="2"/>
  <c r="AT1484" i="2"/>
  <c r="AT1631" i="2"/>
  <c r="AT1464" i="2"/>
  <c r="AT1576" i="2"/>
  <c r="AT1599" i="2"/>
  <c r="AT439" i="2"/>
  <c r="AT413" i="2"/>
  <c r="AT351" i="2"/>
  <c r="AT340" i="2"/>
  <c r="AT279" i="2"/>
  <c r="AT358" i="2"/>
  <c r="AT392" i="2"/>
  <c r="AT552" i="2"/>
  <c r="AT801" i="2"/>
  <c r="AT1030" i="2"/>
  <c r="AT639" i="2"/>
  <c r="AT666" i="2"/>
  <c r="AT779" i="2"/>
  <c r="AT857" i="2"/>
  <c r="AT979" i="2"/>
  <c r="AT1029" i="2"/>
  <c r="AT907" i="2"/>
  <c r="AT939" i="2"/>
  <c r="AT960" i="2"/>
  <c r="AT959" i="2"/>
  <c r="AT1028" i="2"/>
  <c r="AT1441" i="2"/>
  <c r="AT1508" i="2"/>
  <c r="AT1012" i="2"/>
  <c r="AT1272" i="2"/>
  <c r="AT1438" i="2"/>
  <c r="AT1526" i="2"/>
  <c r="AT1327" i="2"/>
  <c r="AT1462" i="2"/>
  <c r="AT1513" i="2"/>
  <c r="AT720" i="2"/>
  <c r="AT777" i="2"/>
  <c r="AT1044" i="2"/>
  <c r="AT1129" i="2"/>
  <c r="AT1479" i="2"/>
  <c r="AT1535" i="2"/>
  <c r="AT1343" i="2"/>
  <c r="AT1399" i="2"/>
  <c r="AT1519" i="2"/>
  <c r="AT1415" i="2"/>
  <c r="AT1491" i="2"/>
  <c r="AT1543" i="2"/>
  <c r="AT1113" i="2"/>
  <c r="AT1257" i="2"/>
  <c r="AT1315" i="2"/>
  <c r="AT1530" i="2"/>
  <c r="AT1501" i="2"/>
  <c r="AT1557" i="2"/>
  <c r="AT1426" i="2"/>
  <c r="AT1488" i="2"/>
  <c r="AT1550" i="2"/>
  <c r="AT1440" i="2"/>
  <c r="AT1529" i="2"/>
  <c r="AT1258" i="2"/>
  <c r="AT1382" i="2"/>
  <c r="AT1504" i="2"/>
  <c r="AT1539" i="2"/>
  <c r="AT204" i="2"/>
  <c r="AT296" i="2"/>
  <c r="AT559" i="2"/>
  <c r="AT836" i="2"/>
  <c r="AT1082" i="2"/>
  <c r="AT295" i="2"/>
  <c r="AT484" i="2"/>
  <c r="AT749" i="2"/>
  <c r="AT941" i="2"/>
  <c r="AT1161" i="2"/>
  <c r="AT426" i="2"/>
  <c r="AT650" i="2"/>
  <c r="AT835" i="2"/>
  <c r="AT1081" i="2"/>
  <c r="AT604" i="2"/>
  <c r="AT699" i="2"/>
  <c r="AT890" i="2"/>
  <c r="AT1139" i="2"/>
  <c r="AT53" i="2"/>
  <c r="AT85" i="2"/>
  <c r="AT110" i="2"/>
  <c r="AT157" i="2"/>
  <c r="AT324" i="2"/>
  <c r="AT609" i="2"/>
  <c r="AT247" i="2"/>
  <c r="AT134" i="2"/>
  <c r="AT323" i="2"/>
  <c r="AT388" i="2"/>
  <c r="AT705" i="2"/>
  <c r="AT1106" i="2"/>
  <c r="AT106" i="2"/>
  <c r="AT1308" i="2"/>
  <c r="AT285" i="2"/>
  <c r="AT260" i="2"/>
  <c r="AT486" i="2"/>
  <c r="AT485" i="2"/>
  <c r="AT1074" i="2"/>
  <c r="AT1480" i="2"/>
  <c r="AT528" i="2"/>
  <c r="AT678" i="2"/>
  <c r="AT730" i="2"/>
  <c r="AT931" i="2"/>
  <c r="AT1131" i="2"/>
  <c r="AT1560" i="2"/>
  <c r="AT837" i="2"/>
  <c r="AT871" i="2"/>
  <c r="AT1073" i="2"/>
  <c r="AT1275" i="2"/>
  <c r="AT1536" i="2"/>
  <c r="AT741" i="2"/>
  <c r="AT1001" i="2"/>
  <c r="AT1102" i="2"/>
  <c r="AT1457" i="2"/>
  <c r="AT270" i="2"/>
  <c r="AT280" i="2"/>
  <c r="AT407" i="2"/>
  <c r="AT656" i="2"/>
  <c r="AT1172" i="2"/>
  <c r="AT1400" i="2"/>
  <c r="AT1411" i="2"/>
  <c r="AT1467" i="2"/>
  <c r="AT1489" i="2"/>
  <c r="AT1555" i="2"/>
  <c r="AT1551" i="2"/>
  <c r="AT1544" i="2"/>
  <c r="AT1567" i="2"/>
  <c r="AT1492" i="2"/>
  <c r="AT1288" i="2"/>
  <c r="AT1431" i="2"/>
  <c r="AT1511" i="2"/>
  <c r="AT1549" i="2"/>
  <c r="AU899" i="2"/>
  <c r="BJ899" i="2" s="1"/>
  <c r="BK899" i="2" s="1"/>
  <c r="AU922" i="2"/>
  <c r="BJ922" i="2" s="1"/>
  <c r="BK922" i="2" s="1"/>
  <c r="AU997" i="2"/>
  <c r="BJ997" i="2" s="1"/>
  <c r="BK997" i="2" s="1"/>
  <c r="AT124" i="2"/>
  <c r="AT163" i="2"/>
  <c r="AT275" i="2"/>
  <c r="AT386" i="2"/>
  <c r="AT518" i="2"/>
  <c r="AT744" i="2"/>
  <c r="AT267" i="2"/>
  <c r="AT305" i="2"/>
  <c r="AT414" i="2"/>
  <c r="AT478" i="2"/>
  <c r="AT646" i="2"/>
  <c r="AT820" i="2"/>
  <c r="AT495" i="2"/>
  <c r="AT534" i="2"/>
  <c r="AT608" i="2"/>
  <c r="AT703" i="2"/>
  <c r="AT843" i="2"/>
  <c r="AT900" i="2"/>
  <c r="AT599" i="2"/>
  <c r="AT622" i="2"/>
  <c r="AT686" i="2"/>
  <c r="AT848" i="2"/>
  <c r="AT902" i="2"/>
  <c r="AT1005" i="2"/>
  <c r="AT684" i="2"/>
  <c r="AT719" i="2"/>
  <c r="AT818" i="2"/>
  <c r="AT915" i="2"/>
  <c r="AT964" i="2"/>
  <c r="AT793" i="2"/>
  <c r="AT846" i="2"/>
  <c r="AT934" i="2"/>
  <c r="AT986" i="2"/>
  <c r="AT989" i="2"/>
  <c r="AT97" i="2"/>
  <c r="AT230" i="2"/>
  <c r="AT672" i="2"/>
  <c r="AT1051" i="2"/>
  <c r="AT1118" i="2"/>
  <c r="AT1240" i="2"/>
  <c r="AT1323" i="2"/>
  <c r="AT111" i="2"/>
  <c r="AT469" i="2"/>
  <c r="AT1002" i="2"/>
  <c r="AT1110" i="2"/>
  <c r="AT1170" i="2"/>
  <c r="AT1346" i="2"/>
  <c r="AT411" i="2"/>
  <c r="AT781" i="2"/>
  <c r="AT936" i="2"/>
  <c r="AT1149" i="2"/>
  <c r="AT1239" i="2"/>
  <c r="AT1309" i="2"/>
  <c r="AT427" i="2"/>
  <c r="AT769" i="2"/>
  <c r="AT935" i="2"/>
  <c r="AT1148" i="2"/>
  <c r="AT1238" i="2"/>
  <c r="AT1300" i="2"/>
  <c r="AT603" i="2"/>
  <c r="AT1023" i="2"/>
  <c r="AT1147" i="2"/>
  <c r="AT1334" i="2"/>
  <c r="AT1445" i="2"/>
  <c r="AT919" i="2"/>
  <c r="AT1013" i="2"/>
  <c r="AT1169" i="2"/>
  <c r="AT1255" i="2"/>
  <c r="AT1406" i="2"/>
  <c r="AT1558" i="2"/>
  <c r="AT1626" i="2"/>
  <c r="AT1117" i="2"/>
  <c r="AT1378" i="2"/>
  <c r="AT1601" i="2"/>
  <c r="AT1605" i="2"/>
  <c r="AT1639" i="2"/>
  <c r="AT1640" i="2"/>
  <c r="AT78" i="2"/>
  <c r="AT363" i="2"/>
  <c r="AT711" i="2"/>
  <c r="AT1198" i="2"/>
  <c r="AT1297" i="2"/>
  <c r="AT119" i="2"/>
  <c r="AT213" i="2"/>
  <c r="AT500" i="2"/>
  <c r="AT1021" i="2"/>
  <c r="AT1099" i="2"/>
  <c r="AT199" i="2"/>
  <c r="AT493" i="2"/>
  <c r="AT969" i="2"/>
  <c r="AT1020" i="2"/>
  <c r="AT1068" i="2"/>
  <c r="AT1228" i="2"/>
  <c r="AT277" i="2"/>
  <c r="AT696" i="2"/>
  <c r="AT1114" i="2"/>
  <c r="AT1173" i="2"/>
  <c r="AT1227" i="2"/>
  <c r="AT1354" i="2"/>
  <c r="AT584" i="2"/>
  <c r="AT945" i="2"/>
  <c r="AT1210" i="2"/>
  <c r="AT1281" i="2"/>
  <c r="AT1353" i="2"/>
  <c r="AT1510" i="2"/>
  <c r="AT1050" i="2"/>
  <c r="AT1220" i="2"/>
  <c r="AT1450" i="2"/>
  <c r="AT1546" i="2"/>
  <c r="AT1597" i="2"/>
  <c r="AT1634" i="2"/>
  <c r="AT1575" i="2"/>
  <c r="AT1619" i="2"/>
  <c r="AT1641" i="2"/>
  <c r="AU49" i="2"/>
  <c r="BJ49" i="2" s="1"/>
  <c r="BK49" i="2" s="1"/>
  <c r="AU152" i="2"/>
  <c r="BJ152" i="2" s="1"/>
  <c r="BK152" i="2" s="1"/>
  <c r="AU168" i="2"/>
  <c r="BJ168" i="2" s="1"/>
  <c r="BK168" i="2" s="1"/>
  <c r="AU249" i="2"/>
  <c r="BJ249" i="2" s="1"/>
  <c r="BK249" i="2" s="1"/>
  <c r="AU508" i="2"/>
  <c r="BJ508" i="2" s="1"/>
  <c r="BK508" i="2" s="1"/>
  <c r="AU58" i="2"/>
  <c r="BJ58" i="2" s="1"/>
  <c r="BK58" i="2" s="1"/>
  <c r="AU150" i="2"/>
  <c r="BJ150" i="2" s="1"/>
  <c r="BK150" i="2" s="1"/>
  <c r="AU227" i="2"/>
  <c r="BJ227" i="2" s="1"/>
  <c r="BK227" i="2" s="1"/>
  <c r="AU382" i="2"/>
  <c r="BJ382" i="2" s="1"/>
  <c r="BK382" i="2" s="1"/>
  <c r="AU571" i="2"/>
  <c r="BJ571" i="2" s="1"/>
  <c r="BK571" i="2" s="1"/>
  <c r="AU91" i="2"/>
  <c r="BJ91" i="2" s="1"/>
  <c r="BK91" i="2" s="1"/>
  <c r="AU223" i="2"/>
  <c r="BJ223" i="2" s="1"/>
  <c r="BK223" i="2" s="1"/>
  <c r="AU349" i="2"/>
  <c r="BJ349" i="2" s="1"/>
  <c r="BK349" i="2" s="1"/>
  <c r="AU558" i="2"/>
  <c r="BJ558" i="2" s="1"/>
  <c r="BK558" i="2" s="1"/>
  <c r="AU743" i="2"/>
  <c r="BJ743" i="2" s="1"/>
  <c r="BK743" i="2" s="1"/>
  <c r="AU79" i="2"/>
  <c r="BJ79" i="2" s="1"/>
  <c r="BK79" i="2" s="1"/>
  <c r="AU256" i="2"/>
  <c r="BJ256" i="2" s="1"/>
  <c r="BK256" i="2" s="1"/>
  <c r="AU342" i="2"/>
  <c r="BJ342" i="2" s="1"/>
  <c r="BK342" i="2" s="1"/>
  <c r="AU494" i="2"/>
  <c r="BJ494" i="2" s="1"/>
  <c r="BK494" i="2" s="1"/>
  <c r="AU757" i="2"/>
  <c r="BJ757" i="2" s="1"/>
  <c r="BK757" i="2" s="1"/>
  <c r="AU102" i="2"/>
  <c r="BJ102" i="2" s="1"/>
  <c r="BK102" i="2" s="1"/>
  <c r="AU261" i="2"/>
  <c r="BJ261" i="2" s="1"/>
  <c r="BK261" i="2" s="1"/>
  <c r="AU430" i="2"/>
  <c r="BJ430" i="2" s="1"/>
  <c r="BK430" i="2" s="1"/>
  <c r="AU543" i="2"/>
  <c r="BJ543" i="2" s="1"/>
  <c r="BK543" i="2" s="1"/>
  <c r="AU817" i="2"/>
  <c r="BJ817" i="2" s="1"/>
  <c r="BK817" i="2" s="1"/>
  <c r="AU489" i="2"/>
  <c r="BJ489" i="2" s="1"/>
  <c r="BK489" i="2" s="1"/>
  <c r="AU612" i="2"/>
  <c r="BJ612" i="2" s="1"/>
  <c r="BK612" i="2" s="1"/>
  <c r="AU768" i="2"/>
  <c r="BJ768" i="2" s="1"/>
  <c r="BK768" i="2" s="1"/>
  <c r="AU920" i="2"/>
  <c r="BJ920" i="2" s="1"/>
  <c r="BK920" i="2" s="1"/>
  <c r="AU1076" i="2"/>
  <c r="BJ1076" i="2" s="1"/>
  <c r="BK1076" i="2" s="1"/>
  <c r="AU380" i="2"/>
  <c r="BJ380" i="2" s="1"/>
  <c r="AU577" i="2"/>
  <c r="BJ577" i="2" s="1"/>
  <c r="BK577" i="2" s="1"/>
  <c r="AU739" i="2"/>
  <c r="BJ739" i="2" s="1"/>
  <c r="BK739" i="2" s="1"/>
  <c r="AU860" i="2"/>
  <c r="BJ860" i="2" s="1"/>
  <c r="BK860" i="2" s="1"/>
  <c r="AU1088" i="2"/>
  <c r="BJ1088" i="2" s="1"/>
  <c r="BK1088" i="2" s="1"/>
  <c r="AT858" i="2"/>
  <c r="AT993" i="2"/>
  <c r="AT1248" i="2"/>
  <c r="AT1417" i="2"/>
  <c r="AT579" i="2"/>
  <c r="AT724" i="2"/>
  <c r="AT1143" i="2"/>
  <c r="AT1377" i="2"/>
  <c r="AT381" i="2"/>
  <c r="AT619" i="2"/>
  <c r="AT1142" i="2"/>
  <c r="AT1331" i="2"/>
  <c r="AT43" i="2"/>
  <c r="AT126" i="2"/>
  <c r="AT895" i="2"/>
  <c r="AT1362" i="2"/>
  <c r="AU844" i="2"/>
  <c r="BJ844" i="2" s="1"/>
  <c r="BK844" i="2" s="1"/>
  <c r="AU834" i="2"/>
  <c r="BJ834" i="2" s="1"/>
  <c r="BK834" i="2" s="1"/>
  <c r="AU751" i="2"/>
  <c r="BJ751" i="2" s="1"/>
  <c r="BK751" i="2" s="1"/>
  <c r="AU788" i="2"/>
  <c r="BJ788" i="2" s="1"/>
  <c r="BK788" i="2" s="1"/>
  <c r="AU819" i="2"/>
  <c r="BJ819" i="2" s="1"/>
  <c r="BK819" i="2" s="1"/>
  <c r="AU878" i="2"/>
  <c r="BJ878" i="2" s="1"/>
  <c r="BK878" i="2" s="1"/>
  <c r="AU885" i="2"/>
  <c r="BJ885" i="2" s="1"/>
  <c r="BK885" i="2" s="1"/>
  <c r="AT203" i="2"/>
  <c r="AT174" i="2"/>
  <c r="AT207" i="2"/>
  <c r="AT224" i="2"/>
  <c r="AT361" i="2"/>
  <c r="AT595" i="2"/>
  <c r="AT187" i="2"/>
  <c r="AT246" i="2"/>
  <c r="AT379" i="2"/>
  <c r="AT951" i="2"/>
  <c r="AT1141" i="2"/>
  <c r="AT165" i="2"/>
  <c r="AT259" i="2"/>
  <c r="AT217" i="2"/>
  <c r="AT437" i="2"/>
  <c r="AT434" i="2"/>
  <c r="AT689" i="2"/>
  <c r="AT202" i="2"/>
  <c r="AT365" i="2"/>
  <c r="AT400" i="2"/>
  <c r="AT812" i="2"/>
  <c r="AT1344" i="2"/>
  <c r="AT154" i="2"/>
  <c r="AT258" i="2"/>
  <c r="AT450" i="2"/>
  <c r="AT545" i="2"/>
  <c r="AT752" i="2"/>
  <c r="AT823" i="2"/>
  <c r="AT254" i="2"/>
  <c r="AT402" i="2"/>
  <c r="AT716" i="2"/>
  <c r="AT1040" i="2"/>
  <c r="AT1243" i="2"/>
  <c r="AT1304" i="2"/>
  <c r="AT488" i="2"/>
  <c r="AT473" i="2"/>
  <c r="AT630" i="2"/>
  <c r="AT688" i="2"/>
  <c r="AT822" i="2"/>
  <c r="AT1171" i="2"/>
  <c r="AT805" i="2"/>
  <c r="AT944" i="2"/>
  <c r="AT1031" i="2"/>
  <c r="AT1154" i="2"/>
  <c r="AT1375" i="2"/>
  <c r="AT1138" i="2"/>
  <c r="AT1237" i="2"/>
  <c r="AT1287" i="2"/>
  <c r="AT1358" i="2"/>
  <c r="AT1404" i="2"/>
  <c r="AT1476" i="2"/>
  <c r="AT1385" i="2"/>
  <c r="AT1474" i="2"/>
  <c r="AT1469" i="2"/>
  <c r="AT1494" i="2"/>
  <c r="AT1517" i="2"/>
  <c r="AT1548" i="2"/>
  <c r="AT233" i="2"/>
  <c r="AT370" i="2"/>
  <c r="AT499" i="2"/>
  <c r="AT704" i="2"/>
  <c r="AT831" i="2"/>
  <c r="AT410" i="2"/>
  <c r="AT446" i="2"/>
  <c r="AT715" i="2"/>
  <c r="AT1016" i="2"/>
  <c r="AT1231" i="2"/>
  <c r="AT405" i="2"/>
  <c r="AT527" i="2"/>
  <c r="AT588" i="2"/>
  <c r="AT737" i="2"/>
  <c r="AT1061" i="2"/>
  <c r="AT348" i="2"/>
  <c r="AT504" i="2"/>
  <c r="AT845" i="2"/>
  <c r="AT1189" i="2"/>
  <c r="AT1329" i="2"/>
  <c r="AT436" i="2"/>
  <c r="AT394" i="2"/>
  <c r="AT416" i="2"/>
  <c r="AT480" i="2"/>
  <c r="AT803" i="2"/>
  <c r="AT237" i="2"/>
  <c r="AT415" i="2"/>
  <c r="AT454" i="2"/>
  <c r="AT785" i="2"/>
  <c r="AT908" i="2"/>
  <c r="AT541" i="2"/>
  <c r="AT554" i="2"/>
  <c r="AT870" i="2"/>
  <c r="AT1146" i="2"/>
  <c r="AT1328" i="2"/>
  <c r="AT335" i="2"/>
  <c r="AT445" i="2"/>
  <c r="AT821" i="2"/>
  <c r="AT1364" i="2"/>
  <c r="AT1374" i="2"/>
  <c r="AT747" i="2"/>
  <c r="AT802" i="2"/>
  <c r="AT1080" i="2"/>
  <c r="AT1388" i="2"/>
  <c r="AT1091" i="2"/>
  <c r="AT1112" i="2"/>
  <c r="AT1283" i="2"/>
  <c r="AT1402" i="2"/>
  <c r="AT1156" i="2"/>
  <c r="AT1236" i="2"/>
  <c r="AT1352" i="2"/>
  <c r="AT1436" i="2"/>
  <c r="AT1204" i="2"/>
  <c r="AT1282" i="2"/>
  <c r="AT1393" i="2"/>
  <c r="AT1534" i="2"/>
  <c r="AT1368" i="2"/>
  <c r="AT1387" i="2"/>
  <c r="AT1459" i="2"/>
  <c r="AT1556" i="2"/>
  <c r="AT1509" i="2"/>
  <c r="AT1533" i="2"/>
  <c r="AT1514" i="2"/>
  <c r="AT1481" i="2"/>
  <c r="AT1451" i="2"/>
  <c r="AT1355" i="2"/>
  <c r="AT1036" i="2"/>
  <c r="AT193" i="2"/>
  <c r="AT142" i="2"/>
  <c r="AT526" i="2"/>
  <c r="AT83" i="2"/>
  <c r="AT162" i="2"/>
  <c r="AT228" i="2"/>
  <c r="AT26" i="2"/>
  <c r="AT127" i="2"/>
  <c r="AT44" i="2"/>
  <c r="AT294" i="2"/>
  <c r="AT194" i="2"/>
  <c r="AT283" i="2"/>
  <c r="AT235" i="2"/>
  <c r="AT343" i="2"/>
  <c r="AT117" i="2"/>
  <c r="AT95" i="2"/>
  <c r="AT104" i="2"/>
  <c r="AT94" i="2"/>
  <c r="AT360" i="2"/>
  <c r="AT338" i="2"/>
  <c r="AT245" i="2"/>
  <c r="AT538" i="2"/>
  <c r="AT780" i="2"/>
  <c r="AT88" i="2"/>
  <c r="AT141" i="2"/>
  <c r="AT687" i="2"/>
  <c r="AT122" i="2"/>
  <c r="AT206" i="2"/>
  <c r="AT735" i="2"/>
  <c r="AT419" i="2"/>
  <c r="AT250" i="2"/>
  <c r="AT892" i="2"/>
  <c r="AT520" i="2"/>
  <c r="AT661" i="2"/>
  <c r="AT943" i="2"/>
  <c r="AT220" i="2"/>
  <c r="AT145" i="2"/>
  <c r="AT722" i="2"/>
  <c r="AT192" i="2"/>
  <c r="AT268" i="2"/>
  <c r="AT767" i="2"/>
  <c r="AT293" i="2"/>
  <c r="AT336" i="2"/>
  <c r="AT868" i="2"/>
  <c r="AT232" i="2"/>
  <c r="AT313" i="2"/>
  <c r="AT600" i="2"/>
  <c r="AT212" i="2"/>
  <c r="AT573" i="2"/>
  <c r="AT695" i="2"/>
  <c r="AT179" i="2"/>
  <c r="AT167" i="2"/>
  <c r="AT862" i="2"/>
  <c r="AT367" i="2"/>
  <c r="AT398" i="2"/>
  <c r="AT1197" i="2"/>
  <c r="AK387" i="2"/>
  <c r="AK539" i="2"/>
  <c r="AK723" i="2"/>
  <c r="AK1035" i="2"/>
  <c r="AK1313" i="2"/>
  <c r="AK634" i="2"/>
  <c r="AK859" i="2"/>
  <c r="AK998" i="2"/>
  <c r="AK1164" i="2"/>
  <c r="AK1303" i="2"/>
  <c r="AK578" i="2"/>
  <c r="AK740" i="2"/>
  <c r="AK810" i="2"/>
  <c r="AK1123" i="2"/>
  <c r="AK1363" i="2"/>
  <c r="AK563" i="2"/>
  <c r="AK1057" i="2"/>
  <c r="AK1318" i="2"/>
  <c r="AK1421" i="2"/>
  <c r="AK444" i="2"/>
  <c r="AK962" i="2"/>
  <c r="AK1145" i="2"/>
  <c r="AK1222" i="2"/>
  <c r="AK1409" i="2"/>
  <c r="AK498" i="2"/>
  <c r="AK961" i="2"/>
  <c r="AK1271" i="2"/>
  <c r="AK164" i="2"/>
  <c r="AK225" i="2"/>
  <c r="AK536" i="2"/>
  <c r="AK916" i="2"/>
  <c r="AK1270" i="2"/>
  <c r="AK553" i="2"/>
  <c r="AK923" i="2"/>
  <c r="AK1247" i="2"/>
  <c r="AK1332" i="2"/>
  <c r="AK1502" i="2"/>
  <c r="AS18" i="2"/>
  <c r="AT18" i="2" s="1"/>
  <c r="AK18" i="2"/>
  <c r="AS87" i="2"/>
  <c r="AT87" i="2" s="1"/>
  <c r="AK87" i="2"/>
  <c r="AS244" i="2"/>
  <c r="AT244" i="2" s="1"/>
  <c r="AK244" i="2"/>
  <c r="AS475" i="2"/>
  <c r="AT475" i="2" s="1"/>
  <c r="AK475" i="2"/>
  <c r="AS551" i="2"/>
  <c r="AT551" i="2" s="1"/>
  <c r="AK551" i="2"/>
  <c r="AS467" i="2"/>
  <c r="AT467" i="2" s="1"/>
  <c r="AK467" i="2"/>
  <c r="AS585" i="2"/>
  <c r="AT585" i="2" s="1"/>
  <c r="AK585" i="2"/>
  <c r="AS756" i="2"/>
  <c r="AT756" i="2" s="1"/>
  <c r="AK756" i="2"/>
  <c r="AS978" i="2"/>
  <c r="AT978" i="2" s="1"/>
  <c r="AK978" i="2"/>
  <c r="AK1048" i="2"/>
  <c r="AS7" i="2"/>
  <c r="AT7" i="2" s="1"/>
  <c r="AS31" i="2"/>
  <c r="AT31" i="2" s="1"/>
  <c r="AS151" i="2"/>
  <c r="AT151" i="2" s="1"/>
  <c r="AS209" i="2"/>
  <c r="AT209" i="2" s="1"/>
  <c r="AS383" i="2"/>
  <c r="AT383" i="2" s="1"/>
  <c r="AS34" i="2"/>
  <c r="AT34" i="2" s="1"/>
  <c r="AS82" i="2"/>
  <c r="AT82" i="2" s="1"/>
  <c r="AS181" i="2"/>
  <c r="AT181" i="2" s="1"/>
  <c r="AS231" i="2"/>
  <c r="AT231" i="2" s="1"/>
  <c r="AS404" i="2"/>
  <c r="AT404" i="2" s="1"/>
  <c r="AS47" i="2"/>
  <c r="AT47" i="2" s="1"/>
  <c r="AS100" i="2"/>
  <c r="AT100" i="2" s="1"/>
  <c r="AS215" i="2"/>
  <c r="AT215" i="2" s="1"/>
  <c r="AS332" i="2"/>
  <c r="AT332" i="2" s="1"/>
  <c r="AS433" i="2"/>
  <c r="AT433" i="2" s="1"/>
  <c r="AS118" i="2"/>
  <c r="AT118" i="2" s="1"/>
  <c r="AS205" i="2"/>
  <c r="AT205" i="2" s="1"/>
  <c r="AS276" i="2"/>
  <c r="AT276" i="2" s="1"/>
  <c r="AS322" i="2"/>
  <c r="AT322" i="2" s="1"/>
  <c r="AS432" i="2"/>
  <c r="AT432" i="2" s="1"/>
  <c r="AS29" i="2"/>
  <c r="AT29" i="2" s="1"/>
  <c r="AS112" i="2"/>
  <c r="AT112" i="2" s="1"/>
  <c r="AS412" i="2"/>
  <c r="AT412" i="2" s="1"/>
  <c r="AS61" i="2"/>
  <c r="AT61" i="2" s="1"/>
  <c r="AS292" i="2"/>
  <c r="AT292" i="2" s="1"/>
  <c r="AS667" i="2"/>
  <c r="AT667" i="2" s="1"/>
  <c r="AS8" i="2"/>
  <c r="AT8" i="2" s="1"/>
  <c r="AS52" i="2"/>
  <c r="AT52" i="2" s="1"/>
  <c r="AS286" i="2"/>
  <c r="AT286" i="2" s="1"/>
  <c r="AS19" i="2"/>
  <c r="AT19" i="2" s="1"/>
  <c r="AS89" i="2"/>
  <c r="AT89" i="2" s="1"/>
  <c r="AS710" i="2"/>
  <c r="AT710" i="2" s="1"/>
  <c r="AS12" i="2"/>
  <c r="AT12" i="2" s="1"/>
  <c r="AS184" i="2"/>
  <c r="AT184" i="2" s="1"/>
  <c r="AS497" i="2"/>
  <c r="AT497" i="2" s="1"/>
  <c r="AS38" i="2"/>
  <c r="AT38" i="2" s="1"/>
  <c r="AS496" i="2"/>
  <c r="AT496" i="2" s="1"/>
  <c r="AS774" i="2"/>
  <c r="AT774" i="2" s="1"/>
  <c r="AK1441" i="2"/>
  <c r="AK1508" i="2"/>
  <c r="AK1479" i="2"/>
  <c r="AK1535" i="2"/>
  <c r="AK1343" i="2"/>
  <c r="AK1399" i="2"/>
  <c r="AK1519" i="2"/>
  <c r="AK1415" i="2"/>
  <c r="AK1491" i="2"/>
  <c r="AK1543" i="2"/>
  <c r="AK1113" i="2"/>
  <c r="AK1257" i="2"/>
  <c r="AK1315" i="2"/>
  <c r="AK1530" i="2"/>
  <c r="AC387" i="2"/>
  <c r="AC539" i="2"/>
  <c r="AC723" i="2"/>
  <c r="AC1035" i="2"/>
  <c r="AC1313" i="2"/>
  <c r="AC634" i="2"/>
  <c r="AC859" i="2"/>
  <c r="AC998" i="2"/>
  <c r="AC1164" i="2"/>
  <c r="AC1303" i="2"/>
  <c r="AC578" i="2"/>
  <c r="AC740" i="2"/>
  <c r="AC810" i="2"/>
  <c r="AC1123" i="2"/>
  <c r="AC1363" i="2"/>
  <c r="AC563" i="2"/>
  <c r="AC1057" i="2"/>
  <c r="AC1318" i="2"/>
  <c r="AC1421" i="2"/>
  <c r="AC827" i="2"/>
  <c r="AC983" i="2"/>
  <c r="AC139" i="2"/>
  <c r="AC234" i="2"/>
  <c r="AC753" i="2"/>
  <c r="AC901" i="2"/>
  <c r="AC36" i="2"/>
  <c r="AC98" i="2"/>
  <c r="AC169" i="2"/>
  <c r="AC589" i="2"/>
  <c r="AC778" i="2"/>
  <c r="AC41" i="2"/>
  <c r="AC81" i="2"/>
  <c r="AC32" i="2"/>
  <c r="AC70" i="2"/>
  <c r="AC131" i="2"/>
  <c r="AC130" i="2"/>
  <c r="AC265" i="2"/>
  <c r="AC519" i="2"/>
  <c r="AC198" i="2"/>
  <c r="AC425" i="2"/>
  <c r="AC618" i="2"/>
  <c r="AC1009" i="2"/>
  <c r="AC1347" i="2"/>
  <c r="AC1647" i="2"/>
  <c r="AC1649" i="2"/>
  <c r="AC1611" i="2"/>
  <c r="AC1648" i="2"/>
  <c r="AC1650" i="2"/>
  <c r="AC1646" i="2"/>
  <c r="AC354" i="2"/>
  <c r="AC531" i="2"/>
  <c r="AC875" i="2"/>
  <c r="AC1008" i="2"/>
  <c r="AC1408" i="2"/>
  <c r="AC1520" i="2"/>
  <c r="AC492" i="2"/>
  <c r="AC894" i="2"/>
  <c r="AC1134" i="2"/>
  <c r="AC1168" i="2"/>
  <c r="AC1487" i="2"/>
  <c r="AC1563" i="2"/>
  <c r="AC968" i="2"/>
  <c r="AC1234" i="2"/>
  <c r="AC1316" i="2"/>
  <c r="AC1416" i="2"/>
  <c r="AC1463" i="2"/>
  <c r="AC1516" i="2"/>
  <c r="AC1524" i="2"/>
  <c r="AC444" i="2"/>
  <c r="AC962" i="2"/>
  <c r="AC1145" i="2"/>
  <c r="AC1222" i="2"/>
  <c r="AC1409" i="2"/>
  <c r="AC498" i="2"/>
  <c r="AC961" i="2"/>
  <c r="AC1271" i="2"/>
  <c r="AC164" i="2"/>
  <c r="AC225" i="2"/>
  <c r="AC536" i="2"/>
  <c r="AC916" i="2"/>
  <c r="AC1270" i="2"/>
  <c r="AC553" i="2"/>
  <c r="AC923" i="2"/>
  <c r="AC1247" i="2"/>
  <c r="AC1332" i="2"/>
  <c r="AC1502" i="2"/>
  <c r="AC18" i="2"/>
  <c r="AC87" i="2"/>
  <c r="AC244" i="2"/>
  <c r="AC475" i="2"/>
  <c r="AC551" i="2"/>
  <c r="AC467" i="2"/>
  <c r="AC585" i="2"/>
  <c r="AC756" i="2"/>
  <c r="AC978" i="2"/>
  <c r="AC1048" i="2"/>
  <c r="AC1107" i="2"/>
  <c r="AC1221" i="2"/>
  <c r="AC1373" i="2"/>
  <c r="AC1442" i="2"/>
  <c r="AC1573" i="2"/>
  <c r="AC1078" i="2"/>
  <c r="AC1185" i="2"/>
  <c r="AC1335" i="2"/>
  <c r="AC1460" i="2"/>
  <c r="AC1581" i="2"/>
  <c r="AC96" i="2"/>
  <c r="AC128" i="2"/>
  <c r="AC333" i="2"/>
  <c r="AC873" i="2"/>
  <c r="AC1100" i="2"/>
  <c r="AC1372" i="2"/>
  <c r="AC355" i="2"/>
  <c r="AC438" i="2"/>
  <c r="AC509" i="2"/>
  <c r="AC733" i="2"/>
  <c r="AC872" i="2"/>
  <c r="AC1022" i="2"/>
  <c r="AC1260" i="2"/>
  <c r="AC1326" i="2"/>
  <c r="AC1506" i="2"/>
  <c r="AC474" i="2"/>
  <c r="AC790" i="2"/>
  <c r="AC973" i="2"/>
  <c r="AC1092" i="2"/>
  <c r="AC1256" i="2"/>
  <c r="AC1412" i="2"/>
  <c r="AC1505" i="2"/>
  <c r="AC1584" i="2"/>
  <c r="AC1632" i="2"/>
  <c r="AC1386" i="2"/>
  <c r="AC1452" i="2"/>
  <c r="AC1585" i="2"/>
  <c r="AC1610" i="2"/>
  <c r="AC1627" i="2"/>
  <c r="AC1623" i="2"/>
  <c r="AC1636" i="2"/>
  <c r="AC1643" i="2"/>
  <c r="AC1642" i="2"/>
  <c r="AC1583" i="2"/>
  <c r="AC1606" i="2"/>
  <c r="AC1493" i="2"/>
  <c r="AC1595" i="2"/>
  <c r="AC1470" i="2"/>
  <c r="AC1577" i="2"/>
  <c r="AC1614" i="2"/>
  <c r="AC1582" i="2"/>
  <c r="AC1620" i="2"/>
  <c r="AC1638" i="2"/>
  <c r="AC1483" i="2"/>
  <c r="AC1600" i="2"/>
  <c r="AC1609" i="2"/>
  <c r="AC1635" i="2"/>
  <c r="AC1485" i="2"/>
  <c r="AC1587" i="2"/>
  <c r="AC1625" i="2"/>
  <c r="AC1637" i="2"/>
  <c r="AC1484" i="2"/>
  <c r="AC1631" i="2"/>
  <c r="AC1464" i="2"/>
  <c r="AC1576" i="2"/>
  <c r="AC1599" i="2"/>
  <c r="AC7" i="2"/>
  <c r="AC31" i="2"/>
  <c r="AC151" i="2"/>
  <c r="AC209" i="2"/>
  <c r="AC383" i="2"/>
  <c r="AC34" i="2"/>
  <c r="AC82" i="2"/>
  <c r="AC181" i="2"/>
  <c r="AC231" i="2"/>
  <c r="AC404" i="2"/>
  <c r="AC47" i="2"/>
  <c r="AC100" i="2"/>
  <c r="AC215" i="2"/>
  <c r="AC332" i="2"/>
  <c r="AC433" i="2"/>
  <c r="AC118" i="2"/>
  <c r="AC205" i="2"/>
  <c r="AC276" i="2"/>
  <c r="AC322" i="2"/>
  <c r="AC432" i="2"/>
  <c r="AC29" i="2"/>
  <c r="AC112" i="2"/>
  <c r="AC412" i="2"/>
  <c r="AC61" i="2"/>
  <c r="AC292" i="2"/>
  <c r="AC667" i="2"/>
  <c r="AC8" i="2"/>
  <c r="AC52" i="2"/>
  <c r="AC286" i="2"/>
  <c r="AC19" i="2"/>
  <c r="AC89" i="2"/>
  <c r="AC710" i="2"/>
  <c r="AC12" i="2"/>
  <c r="AC184" i="2"/>
  <c r="AC497" i="2"/>
  <c r="AC38" i="2"/>
  <c r="AC496" i="2"/>
  <c r="AC774" i="2"/>
  <c r="AC439" i="2"/>
  <c r="AC413" i="2"/>
  <c r="AC351" i="2"/>
  <c r="AC340" i="2"/>
  <c r="AC279" i="2"/>
  <c r="AC358" i="2"/>
  <c r="AC392" i="2"/>
  <c r="AC552" i="2"/>
  <c r="AC801" i="2"/>
  <c r="AC1030" i="2"/>
  <c r="AC639" i="2"/>
  <c r="AC666" i="2"/>
  <c r="AC779" i="2"/>
  <c r="AC857" i="2"/>
  <c r="AC979" i="2"/>
  <c r="AC1029" i="2"/>
  <c r="AC907" i="2"/>
  <c r="AC939" i="2"/>
  <c r="AC960" i="2"/>
  <c r="AC959" i="2"/>
  <c r="AC1028" i="2"/>
  <c r="AC1441" i="2"/>
  <c r="AC1508" i="2"/>
  <c r="AC1012" i="2"/>
  <c r="AC1272" i="2"/>
  <c r="AC1438" i="2"/>
  <c r="AC1526" i="2"/>
  <c r="AC1327" i="2"/>
  <c r="AC1462" i="2"/>
  <c r="AC1513" i="2"/>
  <c r="AC720" i="2"/>
  <c r="AC777" i="2"/>
  <c r="AC1044" i="2"/>
  <c r="AC1129" i="2"/>
  <c r="AC1479" i="2"/>
  <c r="AC1535" i="2"/>
  <c r="AC1343" i="2"/>
  <c r="AC1399" i="2"/>
  <c r="AC1519" i="2"/>
  <c r="AC1415" i="2"/>
  <c r="AC1491" i="2"/>
  <c r="AC1543" i="2"/>
  <c r="AC1113" i="2"/>
  <c r="AC1257" i="2"/>
  <c r="AC1315" i="2"/>
  <c r="AC1530" i="2"/>
  <c r="AC1501" i="2"/>
  <c r="AC1557" i="2"/>
  <c r="AC1426" i="2"/>
  <c r="AC1488" i="2"/>
  <c r="AC1550" i="2"/>
  <c r="AC1440" i="2"/>
  <c r="AC1529" i="2"/>
  <c r="AC1258" i="2"/>
  <c r="AC1382" i="2"/>
  <c r="AC1504" i="2"/>
  <c r="AC1539" i="2"/>
  <c r="AC204" i="2"/>
  <c r="AC296" i="2"/>
  <c r="AC559" i="2"/>
  <c r="AC836" i="2"/>
  <c r="AC1082" i="2"/>
  <c r="AC295" i="2"/>
  <c r="AC484" i="2"/>
  <c r="AC749" i="2"/>
  <c r="AC941" i="2"/>
  <c r="AC1161" i="2"/>
  <c r="AC426" i="2"/>
  <c r="AC650" i="2"/>
  <c r="AC835" i="2"/>
  <c r="AC1081" i="2"/>
  <c r="AC604" i="2"/>
  <c r="AC699" i="2"/>
  <c r="AC890" i="2"/>
  <c r="AC1139" i="2"/>
  <c r="AC53" i="2"/>
  <c r="AC85" i="2"/>
  <c r="AC110" i="2"/>
  <c r="AC157" i="2"/>
  <c r="AC324" i="2"/>
  <c r="AC609" i="2"/>
  <c r="AC247" i="2"/>
  <c r="AC134" i="2"/>
  <c r="AC323" i="2"/>
  <c r="AC388" i="2"/>
  <c r="AC705" i="2"/>
  <c r="AC1106" i="2"/>
  <c r="AC106" i="2"/>
  <c r="AC1308" i="2"/>
  <c r="AC285" i="2"/>
  <c r="AC260" i="2"/>
  <c r="AC486" i="2"/>
  <c r="AC485" i="2"/>
  <c r="AC1074" i="2"/>
  <c r="AC1480" i="2"/>
  <c r="AC528" i="2"/>
  <c r="AC678" i="2"/>
  <c r="AC730" i="2"/>
  <c r="AC931" i="2"/>
  <c r="AC1131" i="2"/>
  <c r="AC1560" i="2"/>
  <c r="AC837" i="2"/>
  <c r="AC871" i="2"/>
  <c r="AC1073" i="2"/>
  <c r="AC1275" i="2"/>
  <c r="AC1536" i="2"/>
  <c r="AC741" i="2"/>
  <c r="AC1001" i="2"/>
  <c r="AC1102" i="2"/>
  <c r="AC1457" i="2"/>
  <c r="AC270" i="2"/>
  <c r="AC280" i="2"/>
  <c r="AC407" i="2"/>
  <c r="AC656" i="2"/>
  <c r="AC1172" i="2"/>
  <c r="AC1400" i="2"/>
  <c r="AC1411" i="2"/>
  <c r="AC1467" i="2"/>
  <c r="AC1489" i="2"/>
  <c r="AC1555" i="2"/>
  <c r="AC1551" i="2"/>
  <c r="AC1544" i="2"/>
  <c r="AC1567" i="2"/>
  <c r="AC1492" i="2"/>
  <c r="AC1288" i="2"/>
  <c r="AC1431" i="2"/>
  <c r="AC1511" i="2"/>
  <c r="AC1549" i="2"/>
  <c r="AC899" i="2"/>
  <c r="AC922" i="2"/>
  <c r="AC997" i="2"/>
  <c r="AC124" i="2"/>
  <c r="AC163" i="2"/>
  <c r="AC275" i="2"/>
  <c r="AC386" i="2"/>
  <c r="AC518" i="2"/>
  <c r="AC744" i="2"/>
  <c r="AC267" i="2"/>
  <c r="AC305" i="2"/>
  <c r="AC414" i="2"/>
  <c r="AC478" i="2"/>
  <c r="AC646" i="2"/>
  <c r="AC820" i="2"/>
  <c r="AC495" i="2"/>
  <c r="AC534" i="2"/>
  <c r="AC608" i="2"/>
  <c r="AC703" i="2"/>
  <c r="AC843" i="2"/>
  <c r="AC900" i="2"/>
  <c r="AC599" i="2"/>
  <c r="AC622" i="2"/>
  <c r="AC686" i="2"/>
  <c r="AC848" i="2"/>
  <c r="AC902" i="2"/>
  <c r="AC1005" i="2"/>
  <c r="AC684" i="2"/>
  <c r="AC719" i="2"/>
  <c r="AC818" i="2"/>
  <c r="AC915" i="2"/>
  <c r="AC964" i="2"/>
  <c r="AC793" i="2"/>
  <c r="AC846" i="2"/>
  <c r="AC934" i="2"/>
  <c r="AC986" i="2"/>
  <c r="AC989" i="2"/>
  <c r="AC97" i="2"/>
  <c r="AC230" i="2"/>
  <c r="AC672" i="2"/>
  <c r="AC1051" i="2"/>
  <c r="AC1118" i="2"/>
  <c r="AC1240" i="2"/>
  <c r="AC1323" i="2"/>
  <c r="AC111" i="2"/>
  <c r="AC469" i="2"/>
  <c r="AC1002" i="2"/>
  <c r="AC1110" i="2"/>
  <c r="AC1170" i="2"/>
  <c r="AC1346" i="2"/>
  <c r="AC411" i="2"/>
  <c r="AC781" i="2"/>
  <c r="AC936" i="2"/>
  <c r="AC1149" i="2"/>
  <c r="AC1239" i="2"/>
  <c r="AC1309" i="2"/>
  <c r="AC427" i="2"/>
  <c r="AC769" i="2"/>
  <c r="AC935" i="2"/>
  <c r="AC1148" i="2"/>
  <c r="AC1238" i="2"/>
  <c r="AC1300" i="2"/>
  <c r="AC603" i="2"/>
  <c r="AC1023" i="2"/>
  <c r="AC1147" i="2"/>
  <c r="AC1334" i="2"/>
  <c r="AC1445" i="2"/>
  <c r="AC919" i="2"/>
  <c r="AC1013" i="2"/>
  <c r="AC1169" i="2"/>
  <c r="AC1255" i="2"/>
  <c r="AC1406" i="2"/>
  <c r="AC1558" i="2"/>
  <c r="AC1626" i="2"/>
  <c r="AC1117" i="2"/>
  <c r="AC1378" i="2"/>
  <c r="AC1601" i="2"/>
  <c r="AC1605" i="2"/>
  <c r="AC1639" i="2"/>
  <c r="AC1640" i="2"/>
  <c r="AC78" i="2"/>
  <c r="AC363" i="2"/>
  <c r="AC711" i="2"/>
  <c r="AC1198" i="2"/>
  <c r="AC1297" i="2"/>
  <c r="AC119" i="2"/>
  <c r="AC213" i="2"/>
  <c r="AC500" i="2"/>
  <c r="AC1021" i="2"/>
  <c r="AC1099" i="2"/>
  <c r="AC199" i="2"/>
  <c r="AC493" i="2"/>
  <c r="AC969" i="2"/>
  <c r="AC1020" i="2"/>
  <c r="AC1068" i="2"/>
  <c r="AC1228" i="2"/>
  <c r="AC277" i="2"/>
  <c r="AC696" i="2"/>
  <c r="AC1114" i="2"/>
  <c r="AC1173" i="2"/>
  <c r="AC1227" i="2"/>
  <c r="AC1354" i="2"/>
  <c r="AC584" i="2"/>
  <c r="AC945" i="2"/>
  <c r="AC1210" i="2"/>
  <c r="AC1281" i="2"/>
  <c r="AC1353" i="2"/>
  <c r="AC1510" i="2"/>
  <c r="AC1050" i="2"/>
  <c r="AC1220" i="2"/>
  <c r="AC1450" i="2"/>
  <c r="AC1546" i="2"/>
  <c r="AC1597" i="2"/>
  <c r="AC1634" i="2"/>
  <c r="AC1575" i="2"/>
  <c r="AC1619" i="2"/>
  <c r="AC1641" i="2"/>
  <c r="AC49" i="2"/>
  <c r="AC152" i="2"/>
  <c r="AC168" i="2"/>
  <c r="AC249" i="2"/>
  <c r="AC508" i="2"/>
  <c r="AC58" i="2"/>
  <c r="AC150" i="2"/>
  <c r="AC227" i="2"/>
  <c r="AC382" i="2"/>
  <c r="AC571" i="2"/>
  <c r="AC91" i="2"/>
  <c r="AC223" i="2"/>
  <c r="AC349" i="2"/>
  <c r="AC558" i="2"/>
  <c r="AC743" i="2"/>
  <c r="AC79" i="2"/>
  <c r="AC256" i="2"/>
  <c r="AC342" i="2"/>
  <c r="AC494" i="2"/>
  <c r="AC757" i="2"/>
  <c r="AC102" i="2"/>
  <c r="AC261" i="2"/>
  <c r="AC430" i="2"/>
  <c r="AC543" i="2"/>
  <c r="AC817" i="2"/>
  <c r="AC489" i="2"/>
  <c r="AC612" i="2"/>
  <c r="AC768" i="2"/>
  <c r="AC920" i="2"/>
  <c r="AC1076" i="2"/>
  <c r="AC380" i="2"/>
  <c r="AC577" i="2"/>
  <c r="AC739" i="2"/>
  <c r="AC860" i="2"/>
  <c r="AC1088" i="2"/>
  <c r="AC858" i="2"/>
  <c r="AC993" i="2"/>
  <c r="AC1248" i="2"/>
  <c r="AC1417" i="2"/>
  <c r="AC579" i="2"/>
  <c r="AC724" i="2"/>
  <c r="AC1143" i="2"/>
  <c r="AC1377" i="2"/>
  <c r="AC381" i="2"/>
  <c r="AC619" i="2"/>
  <c r="AC1142" i="2"/>
  <c r="AC1331" i="2"/>
  <c r="AC43" i="2"/>
  <c r="AC126" i="2"/>
  <c r="AC895" i="2"/>
  <c r="AC1362" i="2"/>
  <c r="AC844" i="2"/>
  <c r="AC834" i="2"/>
  <c r="AC751" i="2"/>
  <c r="AC788" i="2"/>
  <c r="AC819" i="2"/>
  <c r="AC878" i="2"/>
  <c r="AC885" i="2"/>
  <c r="AC203" i="2"/>
  <c r="AC174" i="2"/>
  <c r="AC207" i="2"/>
  <c r="AC224" i="2"/>
  <c r="AC361" i="2"/>
  <c r="AC595" i="2"/>
  <c r="AC187" i="2"/>
  <c r="AC246" i="2"/>
  <c r="AC379" i="2"/>
  <c r="AC951" i="2"/>
  <c r="AC1141" i="2"/>
  <c r="AC165" i="2"/>
  <c r="AC259" i="2"/>
  <c r="AC217" i="2"/>
  <c r="AC437" i="2"/>
  <c r="AC434" i="2"/>
  <c r="AC689" i="2"/>
  <c r="AC202" i="2"/>
  <c r="AC365" i="2"/>
  <c r="AC400" i="2"/>
  <c r="AC812" i="2"/>
  <c r="AC1344" i="2"/>
  <c r="AC154" i="2"/>
  <c r="AC258" i="2"/>
  <c r="AC450" i="2"/>
  <c r="AC545" i="2"/>
  <c r="AC752" i="2"/>
  <c r="AC823" i="2"/>
  <c r="AC254" i="2"/>
  <c r="AC402" i="2"/>
  <c r="AC716" i="2"/>
  <c r="AC1040" i="2"/>
  <c r="AC1243" i="2"/>
  <c r="AC1304" i="2"/>
  <c r="AC488" i="2"/>
  <c r="AC473" i="2"/>
  <c r="AC630" i="2"/>
  <c r="AC688" i="2"/>
  <c r="AC822" i="2"/>
  <c r="AC1171" i="2"/>
  <c r="AC805" i="2"/>
  <c r="AC944" i="2"/>
  <c r="AC1031" i="2"/>
  <c r="AC1154" i="2"/>
  <c r="AC1375" i="2"/>
  <c r="AC1138" i="2"/>
  <c r="AC1237" i="2"/>
  <c r="AC1287" i="2"/>
  <c r="AC1358" i="2"/>
  <c r="AC1404" i="2"/>
  <c r="AC1476" i="2"/>
  <c r="AC1385" i="2"/>
  <c r="AC1474" i="2"/>
  <c r="AC1469" i="2"/>
  <c r="AC1494" i="2"/>
  <c r="AC1517" i="2"/>
  <c r="AC1548" i="2"/>
  <c r="AC233" i="2"/>
  <c r="AC370" i="2"/>
  <c r="AC499" i="2"/>
  <c r="AC704" i="2"/>
  <c r="AC831" i="2"/>
  <c r="AC410" i="2"/>
  <c r="AC446" i="2"/>
  <c r="AC715" i="2"/>
  <c r="AC1016" i="2"/>
  <c r="AC1231" i="2"/>
  <c r="AC405" i="2"/>
  <c r="AC527" i="2"/>
  <c r="AC588" i="2"/>
  <c r="AC737" i="2"/>
  <c r="AC1061" i="2"/>
  <c r="AC348" i="2"/>
  <c r="AC504" i="2"/>
  <c r="AC845" i="2"/>
  <c r="AC1189" i="2"/>
  <c r="AC1329" i="2"/>
  <c r="AC436" i="2"/>
  <c r="AC394" i="2"/>
  <c r="AC416" i="2"/>
  <c r="AC480" i="2"/>
  <c r="AC803" i="2"/>
  <c r="AC237" i="2"/>
  <c r="AC415" i="2"/>
  <c r="AC454" i="2"/>
  <c r="AC785" i="2"/>
  <c r="AC908" i="2"/>
  <c r="AC541" i="2"/>
  <c r="AC554" i="2"/>
  <c r="AC870" i="2"/>
  <c r="AC1146" i="2"/>
  <c r="AC1328" i="2"/>
  <c r="AC335" i="2"/>
  <c r="AC445" i="2"/>
  <c r="AC821" i="2"/>
  <c r="AC1364" i="2"/>
  <c r="AC1374" i="2"/>
  <c r="AC747" i="2"/>
  <c r="AC802" i="2"/>
  <c r="AC1080" i="2"/>
  <c r="AC1388" i="2"/>
  <c r="AC1091" i="2"/>
  <c r="AC1112" i="2"/>
  <c r="AC1283" i="2"/>
  <c r="AC1402" i="2"/>
  <c r="AC1156" i="2"/>
  <c r="AC1236" i="2"/>
  <c r="AC1352" i="2"/>
  <c r="AC1436" i="2"/>
  <c r="AC1204" i="2"/>
  <c r="AC1282" i="2"/>
  <c r="AC1393" i="2"/>
  <c r="AC1534" i="2"/>
  <c r="AC1368" i="2"/>
  <c r="AC1387" i="2"/>
  <c r="AC1459" i="2"/>
  <c r="AC1556" i="2"/>
  <c r="AC1509" i="2"/>
  <c r="AC1533" i="2"/>
  <c r="AC1514" i="2"/>
  <c r="AC1481" i="2"/>
  <c r="AC1451" i="2"/>
  <c r="AC1355" i="2"/>
  <c r="AC1036" i="2"/>
  <c r="AC193" i="2"/>
  <c r="AC142" i="2"/>
  <c r="AC526" i="2"/>
  <c r="AC83" i="2"/>
  <c r="AC162" i="2"/>
  <c r="AC228" i="2"/>
  <c r="AC26" i="2"/>
  <c r="AC127" i="2"/>
  <c r="AC44" i="2"/>
  <c r="AC294" i="2"/>
  <c r="AC194" i="2"/>
  <c r="AC283" i="2"/>
  <c r="AC235" i="2"/>
  <c r="AC343" i="2"/>
  <c r="AC117" i="2"/>
  <c r="AC95" i="2"/>
  <c r="AC104" i="2"/>
  <c r="AC94" i="2"/>
  <c r="AC360" i="2"/>
  <c r="AC338" i="2"/>
  <c r="AC861" i="2"/>
  <c r="AC366" i="2"/>
  <c r="AC397" i="2"/>
  <c r="AC1196" i="2"/>
  <c r="X387" i="2"/>
  <c r="X539" i="2"/>
  <c r="Z539" i="2" s="1"/>
  <c r="X723" i="2"/>
  <c r="N723" i="2" s="1"/>
  <c r="X1035" i="2"/>
  <c r="N1035" i="2" s="1"/>
  <c r="X1313" i="2"/>
  <c r="N1313" i="2" s="1"/>
  <c r="X634" i="2"/>
  <c r="Z634" i="2" s="1"/>
  <c r="X859" i="2"/>
  <c r="X998" i="2"/>
  <c r="Z998" i="2" s="1"/>
  <c r="X1164" i="2"/>
  <c r="Z1164" i="2" s="1"/>
  <c r="X1303" i="2"/>
  <c r="Z1303" i="2" s="1"/>
  <c r="X578" i="2"/>
  <c r="N578" i="2" s="1"/>
  <c r="X740" i="2"/>
  <c r="N740" i="2" s="1"/>
  <c r="X810" i="2"/>
  <c r="Z810" i="2" s="1"/>
  <c r="X1123" i="2"/>
  <c r="Z1123" i="2" s="1"/>
  <c r="X1363" i="2"/>
  <c r="X563" i="2"/>
  <c r="Z563" i="2" s="1"/>
  <c r="X1057" i="2"/>
  <c r="Z1057" i="2" s="1"/>
  <c r="X1318" i="2"/>
  <c r="Z1318" i="2" s="1"/>
  <c r="X1421" i="2"/>
  <c r="N1421" i="2" s="1"/>
  <c r="X827" i="2"/>
  <c r="N827" i="2" s="1"/>
  <c r="X983" i="2"/>
  <c r="N983" i="2" s="1"/>
  <c r="X139" i="2"/>
  <c r="Z139" i="2" s="1"/>
  <c r="X234" i="2"/>
  <c r="X753" i="2"/>
  <c r="Z753" i="2" s="1"/>
  <c r="X901" i="2"/>
  <c r="Z901" i="2" s="1"/>
  <c r="X36" i="2"/>
  <c r="Z36" i="2" s="1"/>
  <c r="X98" i="2"/>
  <c r="N98" i="2" s="1"/>
  <c r="X169" i="2"/>
  <c r="N169" i="2" s="1"/>
  <c r="X589" i="2"/>
  <c r="N589" i="2" s="1"/>
  <c r="X778" i="2"/>
  <c r="Z778" i="2" s="1"/>
  <c r="X41" i="2"/>
  <c r="N41" i="2" s="1"/>
  <c r="X81" i="2"/>
  <c r="X32" i="2"/>
  <c r="Z32" i="2" s="1"/>
  <c r="X70" i="2"/>
  <c r="N70" i="2" s="1"/>
  <c r="X131" i="2"/>
  <c r="N131" i="2" s="1"/>
  <c r="X130" i="2"/>
  <c r="Z130" i="2" s="1"/>
  <c r="X265" i="2"/>
  <c r="Z265" i="2" s="1"/>
  <c r="X519" i="2"/>
  <c r="X198" i="2"/>
  <c r="Z198" i="2" s="1"/>
  <c r="X425" i="2"/>
  <c r="Z425" i="2" s="1"/>
  <c r="X618" i="2"/>
  <c r="Z618" i="2" s="1"/>
  <c r="X1009" i="2"/>
  <c r="N1009" i="2" s="1"/>
  <c r="X1347" i="2"/>
  <c r="N1347" i="2" s="1"/>
  <c r="X1647" i="2"/>
  <c r="N1647" i="2" s="1"/>
  <c r="X1649" i="2"/>
  <c r="Z1649" i="2" s="1"/>
  <c r="X1611" i="2"/>
  <c r="X1648" i="2"/>
  <c r="Z1648" i="2" s="1"/>
  <c r="X1650" i="2"/>
  <c r="Z1650" i="2" s="1"/>
  <c r="X1646" i="2"/>
  <c r="Z1646" i="2" s="1"/>
  <c r="X354" i="2"/>
  <c r="Z354" i="2" s="1"/>
  <c r="X531" i="2"/>
  <c r="N531" i="2" s="1"/>
  <c r="X875" i="2"/>
  <c r="N875" i="2" s="1"/>
  <c r="X1008" i="2"/>
  <c r="N1008" i="2" s="1"/>
  <c r="X1408" i="2"/>
  <c r="Z1408" i="2" s="1"/>
  <c r="X1520" i="2"/>
  <c r="X492" i="2"/>
  <c r="Z492" i="2" s="1"/>
  <c r="X894" i="2"/>
  <c r="Z894" i="2" s="1"/>
  <c r="X1134" i="2"/>
  <c r="Z1134" i="2" s="1"/>
  <c r="X1168" i="2"/>
  <c r="X1487" i="2"/>
  <c r="N1487" i="2" s="1"/>
  <c r="X1563" i="2"/>
  <c r="N1563" i="2" s="1"/>
  <c r="X968" i="2"/>
  <c r="N968" i="2" s="1"/>
  <c r="X1234" i="2"/>
  <c r="X1316" i="2"/>
  <c r="Z1316" i="2" s="1"/>
  <c r="X1416" i="2"/>
  <c r="Z1416" i="2" s="1"/>
  <c r="X1463" i="2"/>
  <c r="Z1463" i="2" s="1"/>
  <c r="X1516" i="2"/>
  <c r="X1524" i="2"/>
  <c r="N1524" i="2" s="1"/>
  <c r="X444" i="2"/>
  <c r="N444" i="2" s="1"/>
  <c r="X962" i="2"/>
  <c r="Z962" i="2" s="1"/>
  <c r="X1145" i="2"/>
  <c r="X1222" i="2"/>
  <c r="Z1222" i="2" s="1"/>
  <c r="X1409" i="2"/>
  <c r="X498" i="2"/>
  <c r="Z498" i="2" s="1"/>
  <c r="X961" i="2"/>
  <c r="X1271" i="2"/>
  <c r="N1271" i="2" s="1"/>
  <c r="X164" i="2"/>
  <c r="N164" i="2" s="1"/>
  <c r="X225" i="2"/>
  <c r="Z225" i="2" s="1"/>
  <c r="X536" i="2"/>
  <c r="X916" i="2"/>
  <c r="Z916" i="2" s="1"/>
  <c r="X1270" i="2"/>
  <c r="X553" i="2"/>
  <c r="Z553" i="2" s="1"/>
  <c r="X923" i="2"/>
  <c r="X1247" i="2"/>
  <c r="N1247" i="2" s="1"/>
  <c r="X1332" i="2"/>
  <c r="Z1332" i="2" s="1"/>
  <c r="X1502" i="2"/>
  <c r="Z1502" i="2" s="1"/>
  <c r="X18" i="2"/>
  <c r="Z18" i="2" s="1"/>
  <c r="X87" i="2"/>
  <c r="Z87" i="2" s="1"/>
  <c r="X244" i="2"/>
  <c r="X475" i="2"/>
  <c r="X551" i="2"/>
  <c r="N551" i="2" s="1"/>
  <c r="X467" i="2"/>
  <c r="N467" i="2" s="1"/>
  <c r="X585" i="2"/>
  <c r="Z585" i="2" s="1"/>
  <c r="X756" i="2"/>
  <c r="X978" i="2"/>
  <c r="Z978" i="2" s="1"/>
  <c r="X1048" i="2"/>
  <c r="Z1048" i="2" s="1"/>
  <c r="X1107" i="2"/>
  <c r="X1221" i="2"/>
  <c r="X1373" i="2"/>
  <c r="N1373" i="2" s="1"/>
  <c r="X1442" i="2"/>
  <c r="N1442" i="2" s="1"/>
  <c r="X1573" i="2"/>
  <c r="N1573" i="2" s="1"/>
  <c r="X1078" i="2"/>
  <c r="X1185" i="2"/>
  <c r="Z1185" i="2" s="1"/>
  <c r="X1335" i="2"/>
  <c r="Z1335" i="2" s="1"/>
  <c r="X1460" i="2"/>
  <c r="Z1460" i="2" s="1"/>
  <c r="X1581" i="2"/>
  <c r="X96" i="2"/>
  <c r="N96" i="2" s="1"/>
  <c r="X128" i="2"/>
  <c r="N128" i="2" s="1"/>
  <c r="X333" i="2"/>
  <c r="Z333" i="2" s="1"/>
  <c r="X873" i="2"/>
  <c r="X1100" i="2"/>
  <c r="N1100" i="2" s="1"/>
  <c r="X1372" i="2"/>
  <c r="Z1372" i="2" s="1"/>
  <c r="X355" i="2"/>
  <c r="Z355" i="2" s="1"/>
  <c r="X438" i="2"/>
  <c r="Z438" i="2" s="1"/>
  <c r="X509" i="2"/>
  <c r="N509" i="2" s="1"/>
  <c r="X733" i="2"/>
  <c r="Z733" i="2" s="1"/>
  <c r="X872" i="2"/>
  <c r="Z872" i="2" s="1"/>
  <c r="X1022" i="2"/>
  <c r="X1260" i="2"/>
  <c r="Z1260" i="2" s="1"/>
  <c r="X1326" i="2"/>
  <c r="Z1326" i="2" s="1"/>
  <c r="X1506" i="2"/>
  <c r="Z1506" i="2" s="1"/>
  <c r="X474" i="2"/>
  <c r="X790" i="2"/>
  <c r="N790" i="2" s="1"/>
  <c r="X973" i="2"/>
  <c r="N973" i="2" s="1"/>
  <c r="X1092" i="2"/>
  <c r="Z1092" i="2" s="1"/>
  <c r="X1256" i="2"/>
  <c r="X1412" i="2"/>
  <c r="Z1412" i="2" s="1"/>
  <c r="X1505" i="2"/>
  <c r="Z1505" i="2" s="1"/>
  <c r="X1584" i="2"/>
  <c r="Z1584" i="2" s="1"/>
  <c r="X1632" i="2"/>
  <c r="X1386" i="2"/>
  <c r="N1386" i="2" s="1"/>
  <c r="X1452" i="2"/>
  <c r="N1452" i="2" s="1"/>
  <c r="X1585" i="2"/>
  <c r="Z1585" i="2" s="1"/>
  <c r="X1610" i="2"/>
  <c r="X1627" i="2"/>
  <c r="Z1627" i="2" s="1"/>
  <c r="X1623" i="2"/>
  <c r="Z1623" i="2" s="1"/>
  <c r="X1636" i="2"/>
  <c r="X1643" i="2"/>
  <c r="X1642" i="2"/>
  <c r="N1642" i="2" s="1"/>
  <c r="X1583" i="2"/>
  <c r="N1583" i="2" s="1"/>
  <c r="X1606" i="2"/>
  <c r="Z1606" i="2" s="1"/>
  <c r="X1493" i="2"/>
  <c r="X1595" i="2"/>
  <c r="N1595" i="2" s="1"/>
  <c r="X1470" i="2"/>
  <c r="Z1470" i="2" s="1"/>
  <c r="X1577" i="2"/>
  <c r="Z1577" i="2" s="1"/>
  <c r="X1614" i="2"/>
  <c r="X1582" i="2"/>
  <c r="N1582" i="2" s="1"/>
  <c r="X1620" i="2"/>
  <c r="Z1620" i="2" s="1"/>
  <c r="X1638" i="2"/>
  <c r="X1483" i="2"/>
  <c r="Z1483" i="2" s="1"/>
  <c r="X1600" i="2"/>
  <c r="Z1600" i="2" s="1"/>
  <c r="X1609" i="2"/>
  <c r="Z1609" i="2" s="1"/>
  <c r="X1635" i="2"/>
  <c r="X1485" i="2"/>
  <c r="N1485" i="2" s="1"/>
  <c r="X1587" i="2"/>
  <c r="Z1587" i="2" s="1"/>
  <c r="X1625" i="2"/>
  <c r="Z1625" i="2" s="1"/>
  <c r="X1637" i="2"/>
  <c r="X1484" i="2"/>
  <c r="Z1484" i="2" s="1"/>
  <c r="X1631" i="2"/>
  <c r="Z1631" i="2" s="1"/>
  <c r="X1464" i="2"/>
  <c r="Z1464" i="2" s="1"/>
  <c r="X1576" i="2"/>
  <c r="X1599" i="2"/>
  <c r="N1599" i="2" s="1"/>
  <c r="X31" i="2"/>
  <c r="Z31" i="2" s="1"/>
  <c r="X151" i="2"/>
  <c r="X209" i="2"/>
  <c r="Z209" i="2" s="1"/>
  <c r="X383" i="2"/>
  <c r="Z383" i="2" s="1"/>
  <c r="X34" i="2"/>
  <c r="Z34" i="2" s="1"/>
  <c r="X82" i="2"/>
  <c r="X181" i="2"/>
  <c r="N181" i="2" s="1"/>
  <c r="X231" i="2"/>
  <c r="N231" i="2" s="1"/>
  <c r="X404" i="2"/>
  <c r="Z404" i="2" s="1"/>
  <c r="X47" i="2"/>
  <c r="X100" i="2"/>
  <c r="N100" i="2" s="1"/>
  <c r="X215" i="2"/>
  <c r="Z215" i="2" s="1"/>
  <c r="X332" i="2"/>
  <c r="Z332" i="2" s="1"/>
  <c r="X433" i="2"/>
  <c r="X118" i="2"/>
  <c r="X205" i="2"/>
  <c r="Z205" i="2" s="1"/>
  <c r="X276" i="2"/>
  <c r="Z276" i="2" s="1"/>
  <c r="X322" i="2"/>
  <c r="X432" i="2"/>
  <c r="Z432" i="2" s="1"/>
  <c r="X29" i="2"/>
  <c r="Z29" i="2" s="1"/>
  <c r="X112" i="2"/>
  <c r="Z112" i="2" s="1"/>
  <c r="X412" i="2"/>
  <c r="X61" i="2"/>
  <c r="X292" i="2"/>
  <c r="N292" i="2" s="1"/>
  <c r="X667" i="2"/>
  <c r="N667" i="2" s="1"/>
  <c r="X8" i="2"/>
  <c r="X52" i="2"/>
  <c r="Z52" i="2" s="1"/>
  <c r="X286" i="2"/>
  <c r="Z286" i="2" s="1"/>
  <c r="X19" i="2"/>
  <c r="X89" i="2"/>
  <c r="X710" i="2"/>
  <c r="X12" i="2"/>
  <c r="N12" i="2" s="1"/>
  <c r="X184" i="2"/>
  <c r="Z184" i="2" s="1"/>
  <c r="X497" i="2"/>
  <c r="Z497" i="2" s="1"/>
  <c r="X38" i="2"/>
  <c r="Z38" i="2" s="1"/>
  <c r="X496" i="2"/>
  <c r="Z496" i="2" s="1"/>
  <c r="X774" i="2"/>
  <c r="Z774" i="2" s="1"/>
  <c r="X439" i="2"/>
  <c r="X413" i="2"/>
  <c r="X351" i="2"/>
  <c r="N351" i="2" s="1"/>
  <c r="X340" i="2"/>
  <c r="Z340" i="2" s="1"/>
  <c r="X279" i="2"/>
  <c r="X358" i="2"/>
  <c r="Z358" i="2" s="1"/>
  <c r="X392" i="2"/>
  <c r="Z392" i="2" s="1"/>
  <c r="X552" i="2"/>
  <c r="Z552" i="2" s="1"/>
  <c r="X801" i="2"/>
  <c r="Z801" i="2" s="1"/>
  <c r="X1030" i="2"/>
  <c r="Z1030" i="2" s="1"/>
  <c r="X639" i="2"/>
  <c r="Z639" i="2" s="1"/>
  <c r="X666" i="2"/>
  <c r="Z666" i="2" s="1"/>
  <c r="X779" i="2"/>
  <c r="X857" i="2"/>
  <c r="Z857" i="2" s="1"/>
  <c r="X979" i="2"/>
  <c r="Z979" i="2" s="1"/>
  <c r="X1029" i="2"/>
  <c r="Z1029" i="2" s="1"/>
  <c r="X907" i="2"/>
  <c r="X939" i="2"/>
  <c r="X960" i="2"/>
  <c r="N960" i="2" s="1"/>
  <c r="X959" i="2"/>
  <c r="Z959" i="2" s="1"/>
  <c r="X1028" i="2"/>
  <c r="Z1028" i="2" s="1"/>
  <c r="X1441" i="2"/>
  <c r="N1441" i="2" s="1"/>
  <c r="X1508" i="2"/>
  <c r="AB1508" i="2" s="1"/>
  <c r="X1012" i="2"/>
  <c r="AB1012" i="2" s="1"/>
  <c r="X1272" i="2"/>
  <c r="AB1272" i="2" s="1"/>
  <c r="X1438" i="2"/>
  <c r="AB1438" i="2" s="1"/>
  <c r="X1526" i="2"/>
  <c r="N1526" i="2" s="1"/>
  <c r="X1327" i="2"/>
  <c r="N1327" i="2" s="1"/>
  <c r="X1462" i="2"/>
  <c r="AB1462" i="2" s="1"/>
  <c r="X1513" i="2"/>
  <c r="AB1513" i="2" s="1"/>
  <c r="X720" i="2"/>
  <c r="AB720" i="2" s="1"/>
  <c r="X777" i="2"/>
  <c r="AB777" i="2" s="1"/>
  <c r="X1044" i="2"/>
  <c r="AB1044" i="2" s="1"/>
  <c r="X1129" i="2"/>
  <c r="AB1129" i="2" s="1"/>
  <c r="X1479" i="2"/>
  <c r="N1479" i="2" s="1"/>
  <c r="X1535" i="2"/>
  <c r="AB1535" i="2" s="1"/>
  <c r="X1343" i="2"/>
  <c r="AB1343" i="2" s="1"/>
  <c r="X1399" i="2"/>
  <c r="AB1399" i="2" s="1"/>
  <c r="X1519" i="2"/>
  <c r="AB1519" i="2" s="1"/>
  <c r="X1415" i="2"/>
  <c r="AB1415" i="2" s="1"/>
  <c r="X1491" i="2"/>
  <c r="AB1491" i="2" s="1"/>
  <c r="X1543" i="2"/>
  <c r="AB1543" i="2" s="1"/>
  <c r="X1113" i="2"/>
  <c r="AB1113" i="2" s="1"/>
  <c r="X1257" i="2"/>
  <c r="AB1257" i="2" s="1"/>
  <c r="X1315" i="2"/>
  <c r="AB1315" i="2" s="1"/>
  <c r="X1530" i="2"/>
  <c r="AB1530" i="2" s="1"/>
  <c r="X1501" i="2"/>
  <c r="AB1501" i="2" s="1"/>
  <c r="X1557" i="2"/>
  <c r="AB1557" i="2" s="1"/>
  <c r="X1426" i="2"/>
  <c r="AB1426" i="2" s="1"/>
  <c r="X1488" i="2"/>
  <c r="AB1488" i="2" s="1"/>
  <c r="X1550" i="2"/>
  <c r="N1550" i="2" s="1"/>
  <c r="X1440" i="2"/>
  <c r="AB1440" i="2" s="1"/>
  <c r="X1529" i="2"/>
  <c r="AB1529" i="2" s="1"/>
  <c r="X1258" i="2"/>
  <c r="AB1258" i="2" s="1"/>
  <c r="X1382" i="2"/>
  <c r="AB1382" i="2" s="1"/>
  <c r="X1504" i="2"/>
  <c r="AB1504" i="2" s="1"/>
  <c r="X204" i="2"/>
  <c r="X296" i="2"/>
  <c r="N296" i="2" s="1"/>
  <c r="X559" i="2"/>
  <c r="Z559" i="2" s="1"/>
  <c r="X836" i="2"/>
  <c r="X1082" i="2"/>
  <c r="Z1082" i="2" s="1"/>
  <c r="X295" i="2"/>
  <c r="Z295" i="2" s="1"/>
  <c r="X484" i="2"/>
  <c r="X749" i="2"/>
  <c r="X941" i="2"/>
  <c r="X1161" i="2"/>
  <c r="N1161" i="2" s="1"/>
  <c r="X426" i="2"/>
  <c r="N426" i="2" s="1"/>
  <c r="X650" i="2"/>
  <c r="X835" i="2"/>
  <c r="Z835" i="2" s="1"/>
  <c r="X1081" i="2"/>
  <c r="Z1081" i="2" s="1"/>
  <c r="X604" i="2"/>
  <c r="Z604" i="2" s="1"/>
  <c r="X699" i="2"/>
  <c r="X890" i="2"/>
  <c r="X1139" i="2"/>
  <c r="N1139" i="2" s="1"/>
  <c r="X53" i="2"/>
  <c r="Z53" i="2" s="1"/>
  <c r="X85" i="2"/>
  <c r="X110" i="2"/>
  <c r="N110" i="2" s="1"/>
  <c r="X157" i="2"/>
  <c r="X324" i="2"/>
  <c r="Z324" i="2" s="1"/>
  <c r="X609" i="2"/>
  <c r="X247" i="2"/>
  <c r="X134" i="2"/>
  <c r="Z134" i="2" s="1"/>
  <c r="X323" i="2"/>
  <c r="N323" i="2" s="1"/>
  <c r="X388" i="2"/>
  <c r="X705" i="2"/>
  <c r="N705" i="2" s="1"/>
  <c r="X1106" i="2"/>
  <c r="Z1106" i="2" s="1"/>
  <c r="X106" i="2"/>
  <c r="Z106" i="2" s="1"/>
  <c r="X1308" i="2"/>
  <c r="Z1308" i="2" s="1"/>
  <c r="X285" i="2"/>
  <c r="X260" i="2"/>
  <c r="N260" i="2" s="1"/>
  <c r="X486" i="2"/>
  <c r="Z486" i="2" s="1"/>
  <c r="X485" i="2"/>
  <c r="X1074" i="2"/>
  <c r="Z1074" i="2" s="1"/>
  <c r="X1480" i="2"/>
  <c r="Z1480" i="2" s="1"/>
  <c r="X528" i="2"/>
  <c r="Z528" i="2" s="1"/>
  <c r="X678" i="2"/>
  <c r="X730" i="2"/>
  <c r="X931" i="2"/>
  <c r="N931" i="2" s="1"/>
  <c r="X1131" i="2"/>
  <c r="N1131" i="2" s="1"/>
  <c r="X1560" i="2"/>
  <c r="X837" i="2"/>
  <c r="Z837" i="2" s="1"/>
  <c r="X871" i="2"/>
  <c r="Z871" i="2" s="1"/>
  <c r="X1073" i="2"/>
  <c r="Z1073" i="2" s="1"/>
  <c r="X1275" i="2"/>
  <c r="X1536" i="2"/>
  <c r="X741" i="2"/>
  <c r="N741" i="2" s="1"/>
  <c r="X1001" i="2"/>
  <c r="Z1001" i="2" s="1"/>
  <c r="X1102" i="2"/>
  <c r="X1457" i="2"/>
  <c r="Z1457" i="2" s="1"/>
  <c r="X270" i="2"/>
  <c r="Z270" i="2" s="1"/>
  <c r="X280" i="2"/>
  <c r="Z280" i="2" s="1"/>
  <c r="X407" i="2"/>
  <c r="X656" i="2"/>
  <c r="X1172" i="2"/>
  <c r="N1172" i="2" s="1"/>
  <c r="X1400" i="2"/>
  <c r="Z1400" i="2" s="1"/>
  <c r="X1411" i="2"/>
  <c r="X1467" i="2"/>
  <c r="Z1467" i="2" s="1"/>
  <c r="X1489" i="2"/>
  <c r="Z1489" i="2" s="1"/>
  <c r="X1555" i="2"/>
  <c r="Z1555" i="2" s="1"/>
  <c r="X1551" i="2"/>
  <c r="X1544" i="2"/>
  <c r="X1567" i="2"/>
  <c r="N1567" i="2" s="1"/>
  <c r="X1492" i="2"/>
  <c r="Z1492" i="2" s="1"/>
  <c r="X1288" i="2"/>
  <c r="X1431" i="2"/>
  <c r="Z1431" i="2" s="1"/>
  <c r="X1511" i="2"/>
  <c r="Z1511" i="2" s="1"/>
  <c r="X1549" i="2"/>
  <c r="Z1549" i="2" s="1"/>
  <c r="X899" i="2"/>
  <c r="N899" i="2" s="1"/>
  <c r="X922" i="2"/>
  <c r="N922" i="2" s="1"/>
  <c r="X997" i="2"/>
  <c r="X124" i="2"/>
  <c r="Z124" i="2" s="1"/>
  <c r="X163" i="2"/>
  <c r="Z163" i="2" s="1"/>
  <c r="X275" i="2"/>
  <c r="Z275" i="2" s="1"/>
  <c r="X386" i="2"/>
  <c r="X518" i="2"/>
  <c r="X744" i="2"/>
  <c r="N744" i="2" s="1"/>
  <c r="X267" i="2"/>
  <c r="Z267" i="2" s="1"/>
  <c r="X305" i="2"/>
  <c r="X414" i="2"/>
  <c r="Z414" i="2" s="1"/>
  <c r="X478" i="2"/>
  <c r="Z478" i="2" s="1"/>
  <c r="X646" i="2"/>
  <c r="Z646" i="2" s="1"/>
  <c r="X820" i="2"/>
  <c r="X495" i="2"/>
  <c r="X534" i="2"/>
  <c r="X608" i="2"/>
  <c r="N608" i="2" s="1"/>
  <c r="X703" i="2"/>
  <c r="X843" i="2"/>
  <c r="Z843" i="2" s="1"/>
  <c r="X900" i="2"/>
  <c r="Z900" i="2" s="1"/>
  <c r="X599" i="2"/>
  <c r="Z599" i="2" s="1"/>
  <c r="X622" i="2"/>
  <c r="X686" i="2"/>
  <c r="X848" i="2"/>
  <c r="X902" i="2"/>
  <c r="Z902" i="2" s="1"/>
  <c r="X1005" i="2"/>
  <c r="X684" i="2"/>
  <c r="N684" i="2" s="1"/>
  <c r="X719" i="2"/>
  <c r="Z719" i="2" s="1"/>
  <c r="X818" i="2"/>
  <c r="Z818" i="2" s="1"/>
  <c r="X915" i="2"/>
  <c r="X964" i="2"/>
  <c r="X793" i="2"/>
  <c r="Z793" i="2" s="1"/>
  <c r="X846" i="2"/>
  <c r="N846" i="2" s="1"/>
  <c r="X934" i="2"/>
  <c r="X986" i="2"/>
  <c r="Z986" i="2" s="1"/>
  <c r="X989" i="2"/>
  <c r="X97" i="2"/>
  <c r="Z97" i="2" s="1"/>
  <c r="X230" i="2"/>
  <c r="X672" i="2"/>
  <c r="X1051" i="2"/>
  <c r="X1118" i="2"/>
  <c r="Z1118" i="2" s="1"/>
  <c r="X1240" i="2"/>
  <c r="X1323" i="2"/>
  <c r="Z1323" i="2" s="1"/>
  <c r="X111" i="2"/>
  <c r="Z111" i="2" s="1"/>
  <c r="X469" i="2"/>
  <c r="Z469" i="2" s="1"/>
  <c r="X1002" i="2"/>
  <c r="X1110" i="2"/>
  <c r="X1170" i="2"/>
  <c r="X1346" i="2"/>
  <c r="Z1346" i="2" s="1"/>
  <c r="X411" i="2"/>
  <c r="Z411" i="2" s="1"/>
  <c r="X781" i="2"/>
  <c r="Z781" i="2" s="1"/>
  <c r="X936" i="2"/>
  <c r="Z936" i="2" s="1"/>
  <c r="X1149" i="2"/>
  <c r="Z1149" i="2" s="1"/>
  <c r="X1239" i="2"/>
  <c r="X1309" i="2"/>
  <c r="X427" i="2"/>
  <c r="X769" i="2"/>
  <c r="N769" i="2" s="1"/>
  <c r="X935" i="2"/>
  <c r="X1148" i="2"/>
  <c r="Z1148" i="2" s="1"/>
  <c r="X1238" i="2"/>
  <c r="Z1238" i="2" s="1"/>
  <c r="X1300" i="2"/>
  <c r="Z1300" i="2" s="1"/>
  <c r="X603" i="2"/>
  <c r="X1023" i="2"/>
  <c r="X1147" i="2"/>
  <c r="X1334" i="2"/>
  <c r="Z1334" i="2" s="1"/>
  <c r="X1445" i="2"/>
  <c r="Z1445" i="2" s="1"/>
  <c r="X919" i="2"/>
  <c r="N919" i="2" s="1"/>
  <c r="X1013" i="2"/>
  <c r="Z1013" i="2" s="1"/>
  <c r="X1169" i="2"/>
  <c r="Z1169" i="2" s="1"/>
  <c r="X1255" i="2"/>
  <c r="X1406" i="2"/>
  <c r="X1558" i="2"/>
  <c r="X1626" i="2"/>
  <c r="Z1626" i="2" s="1"/>
  <c r="X1117" i="2"/>
  <c r="X1378" i="2"/>
  <c r="Z1378" i="2" s="1"/>
  <c r="X1601" i="2"/>
  <c r="Z1601" i="2" s="1"/>
  <c r="X1605" i="2"/>
  <c r="Z1605" i="2" s="1"/>
  <c r="X1639" i="2"/>
  <c r="X1640" i="2"/>
  <c r="X78" i="2"/>
  <c r="X363" i="2"/>
  <c r="Z363" i="2" s="1"/>
  <c r="X711" i="2"/>
  <c r="X1198" i="2"/>
  <c r="Z1198" i="2" s="1"/>
  <c r="X1297" i="2"/>
  <c r="Z1297" i="2" s="1"/>
  <c r="X119" i="2"/>
  <c r="Z119" i="2" s="1"/>
  <c r="X213" i="2"/>
  <c r="X500" i="2"/>
  <c r="X1021" i="2"/>
  <c r="X1099" i="2"/>
  <c r="Z1099" i="2" s="1"/>
  <c r="X199" i="2"/>
  <c r="Z199" i="2" s="1"/>
  <c r="X493" i="2"/>
  <c r="Z493" i="2" s="1"/>
  <c r="X969" i="2"/>
  <c r="Z969" i="2" s="1"/>
  <c r="X1020" i="2"/>
  <c r="X1068" i="2"/>
  <c r="X1228" i="2"/>
  <c r="X277" i="2"/>
  <c r="X696" i="2"/>
  <c r="Z696" i="2" s="1"/>
  <c r="X1114" i="2"/>
  <c r="X1173" i="2"/>
  <c r="Z1173" i="2" s="1"/>
  <c r="X1227" i="2"/>
  <c r="Z1227" i="2" s="1"/>
  <c r="X1354" i="2"/>
  <c r="Z1354" i="2" s="1"/>
  <c r="X584" i="2"/>
  <c r="X945" i="2"/>
  <c r="X1210" i="2"/>
  <c r="X1281" i="2"/>
  <c r="Z1281" i="2" s="1"/>
  <c r="X1353" i="2"/>
  <c r="Z1353" i="2" s="1"/>
  <c r="X1510" i="2"/>
  <c r="Z1510" i="2" s="1"/>
  <c r="X1050" i="2"/>
  <c r="Z1050" i="2" s="1"/>
  <c r="X1220" i="2"/>
  <c r="Z1220" i="2" s="1"/>
  <c r="X1450" i="2"/>
  <c r="X1546" i="2"/>
  <c r="X1597" i="2"/>
  <c r="X1634" i="2"/>
  <c r="Z1634" i="2" s="1"/>
  <c r="X1575" i="2"/>
  <c r="X1619" i="2"/>
  <c r="Z1619" i="2" s="1"/>
  <c r="X1641" i="2"/>
  <c r="Z1641" i="2" s="1"/>
  <c r="X49" i="2"/>
  <c r="Z49" i="2" s="1"/>
  <c r="X152" i="2"/>
  <c r="Z152" i="2" s="1"/>
  <c r="X168" i="2"/>
  <c r="X249" i="2"/>
  <c r="Z249" i="2" s="1"/>
  <c r="X508" i="2"/>
  <c r="Z508" i="2" s="1"/>
  <c r="X58" i="2"/>
  <c r="X150" i="2"/>
  <c r="Z150" i="2" s="1"/>
  <c r="X227" i="2"/>
  <c r="Z227" i="2" s="1"/>
  <c r="X382" i="2"/>
  <c r="Z382" i="2" s="1"/>
  <c r="X571" i="2"/>
  <c r="X91" i="2"/>
  <c r="X223" i="2"/>
  <c r="X349" i="2"/>
  <c r="Z349" i="2" s="1"/>
  <c r="X558" i="2"/>
  <c r="X743" i="2"/>
  <c r="Z743" i="2" s="1"/>
  <c r="X79" i="2"/>
  <c r="Z79" i="2" s="1"/>
  <c r="X256" i="2"/>
  <c r="Z256" i="2" s="1"/>
  <c r="X342" i="2"/>
  <c r="X494" i="2"/>
  <c r="X757" i="2"/>
  <c r="X102" i="2"/>
  <c r="Z102" i="2" s="1"/>
  <c r="X261" i="2"/>
  <c r="Z261" i="2" s="1"/>
  <c r="X430" i="2"/>
  <c r="Z430" i="2" s="1"/>
  <c r="X543" i="2"/>
  <c r="Z543" i="2" s="1"/>
  <c r="X817" i="2"/>
  <c r="Z817" i="2" s="1"/>
  <c r="X489" i="2"/>
  <c r="Z489" i="2" s="1"/>
  <c r="X612" i="2"/>
  <c r="X768" i="2"/>
  <c r="X920" i="2"/>
  <c r="Z920" i="2" s="1"/>
  <c r="X1076" i="2"/>
  <c r="X380" i="2"/>
  <c r="Z380" i="2" s="1"/>
  <c r="X577" i="2"/>
  <c r="Z577" i="2" s="1"/>
  <c r="X739" i="2"/>
  <c r="Z739" i="2" s="1"/>
  <c r="X860" i="2"/>
  <c r="X1088" i="2"/>
  <c r="X858" i="2"/>
  <c r="X993" i="2"/>
  <c r="Z993" i="2" s="1"/>
  <c r="X1248" i="2"/>
  <c r="X1417" i="2"/>
  <c r="N1417" i="2" s="1"/>
  <c r="X579" i="2"/>
  <c r="Z579" i="2" s="1"/>
  <c r="X724" i="2"/>
  <c r="Z724" i="2" s="1"/>
  <c r="X1143" i="2"/>
  <c r="X1377" i="2"/>
  <c r="X381" i="2"/>
  <c r="X619" i="2"/>
  <c r="Z619" i="2" s="1"/>
  <c r="X1142" i="2"/>
  <c r="X1331" i="2"/>
  <c r="Z1331" i="2" s="1"/>
  <c r="X43" i="2"/>
  <c r="Z43" i="2" s="1"/>
  <c r="X126" i="2"/>
  <c r="Z126" i="2" s="1"/>
  <c r="X895" i="2"/>
  <c r="X1362" i="2"/>
  <c r="X844" i="2"/>
  <c r="X834" i="2"/>
  <c r="Z834" i="2" s="1"/>
  <c r="X751" i="2"/>
  <c r="Z751" i="2" s="1"/>
  <c r="X788" i="2"/>
  <c r="Z788" i="2" s="1"/>
  <c r="X819" i="2"/>
  <c r="Z819" i="2" s="1"/>
  <c r="X878" i="2"/>
  <c r="Z878" i="2" s="1"/>
  <c r="X885" i="2"/>
  <c r="X203" i="2"/>
  <c r="X174" i="2"/>
  <c r="X207" i="2"/>
  <c r="Z207" i="2" s="1"/>
  <c r="X224" i="2"/>
  <c r="X361" i="2"/>
  <c r="Z361" i="2" s="1"/>
  <c r="X595" i="2"/>
  <c r="Z595" i="2" s="1"/>
  <c r="X187" i="2"/>
  <c r="Z187" i="2" s="1"/>
  <c r="X246" i="2"/>
  <c r="X379" i="2"/>
  <c r="X951" i="2"/>
  <c r="X1141" i="2"/>
  <c r="Z1141" i="2" s="1"/>
  <c r="X165" i="2"/>
  <c r="Z165" i="2" s="1"/>
  <c r="X259" i="2"/>
  <c r="Z259" i="2" s="1"/>
  <c r="X217" i="2"/>
  <c r="Z217" i="2" s="1"/>
  <c r="X437" i="2"/>
  <c r="X434" i="2"/>
  <c r="X689" i="2"/>
  <c r="X202" i="2"/>
  <c r="X365" i="2"/>
  <c r="Z365" i="2" s="1"/>
  <c r="X400" i="2"/>
  <c r="X812" i="2"/>
  <c r="Z812" i="2" s="1"/>
  <c r="X1344" i="2"/>
  <c r="Z1344" i="2" s="1"/>
  <c r="X154" i="2"/>
  <c r="Z154" i="2" s="1"/>
  <c r="X258" i="2"/>
  <c r="Z258" i="2" s="1"/>
  <c r="X450" i="2"/>
  <c r="X545" i="2"/>
  <c r="X752" i="2"/>
  <c r="Z752" i="2" s="1"/>
  <c r="X823" i="2"/>
  <c r="Z823" i="2" s="1"/>
  <c r="X254" i="2"/>
  <c r="N254" i="2" s="1"/>
  <c r="X402" i="2"/>
  <c r="Z402" i="2" s="1"/>
  <c r="X716" i="2"/>
  <c r="Z716" i="2" s="1"/>
  <c r="X1040" i="2"/>
  <c r="X1243" i="2"/>
  <c r="X1304" i="2"/>
  <c r="X488" i="2"/>
  <c r="Z488" i="2" s="1"/>
  <c r="X473" i="2"/>
  <c r="X630" i="2"/>
  <c r="Z630" i="2" s="1"/>
  <c r="X688" i="2"/>
  <c r="Z688" i="2" s="1"/>
  <c r="X822" i="2"/>
  <c r="Z822" i="2" s="1"/>
  <c r="X1171" i="2"/>
  <c r="X805" i="2"/>
  <c r="X944" i="2"/>
  <c r="X1031" i="2"/>
  <c r="Z1031" i="2" s="1"/>
  <c r="X1154" i="2"/>
  <c r="X1375" i="2"/>
  <c r="Z1375" i="2" s="1"/>
  <c r="X1138" i="2"/>
  <c r="Z1138" i="2" s="1"/>
  <c r="X1237" i="2"/>
  <c r="Z1237" i="2" s="1"/>
  <c r="X1287" i="2"/>
  <c r="Z1287" i="2" s="1"/>
  <c r="X1358" i="2"/>
  <c r="X1404" i="2"/>
  <c r="X1476" i="2"/>
  <c r="Z1476" i="2" s="1"/>
  <c r="X1385" i="2"/>
  <c r="X1474" i="2"/>
  <c r="Z1474" i="2" s="1"/>
  <c r="X1469" i="2"/>
  <c r="Z1469" i="2" s="1"/>
  <c r="X1494" i="2"/>
  <c r="Z1494" i="2" s="1"/>
  <c r="X1517" i="2"/>
  <c r="X1548" i="2"/>
  <c r="X233" i="2"/>
  <c r="X370" i="2"/>
  <c r="Z370" i="2" s="1"/>
  <c r="X499" i="2"/>
  <c r="Z499" i="2" s="1"/>
  <c r="X704" i="2"/>
  <c r="N704" i="2" s="1"/>
  <c r="X831" i="2"/>
  <c r="Z831" i="2" s="1"/>
  <c r="X410" i="2"/>
  <c r="Z410" i="2" s="1"/>
  <c r="X446" i="2"/>
  <c r="X715" i="2"/>
  <c r="X1016" i="2"/>
  <c r="X1231" i="2"/>
  <c r="Z1231" i="2" s="1"/>
  <c r="X405" i="2"/>
  <c r="X527" i="2"/>
  <c r="Z527" i="2" s="1"/>
  <c r="X588" i="2"/>
  <c r="Z588" i="2" s="1"/>
  <c r="X737" i="2"/>
  <c r="Z737" i="2" s="1"/>
  <c r="X1061" i="2"/>
  <c r="X348" i="2"/>
  <c r="X504" i="2"/>
  <c r="X845" i="2"/>
  <c r="Z845" i="2" s="1"/>
  <c r="X1189" i="2"/>
  <c r="X1329" i="2"/>
  <c r="Z1329" i="2" s="1"/>
  <c r="X436" i="2"/>
  <c r="Z436" i="2" s="1"/>
  <c r="X394" i="2"/>
  <c r="Z394" i="2" s="1"/>
  <c r="X416" i="2"/>
  <c r="X480" i="2"/>
  <c r="X803" i="2"/>
  <c r="X237" i="2"/>
  <c r="Z237" i="2" s="1"/>
  <c r="X415" i="2"/>
  <c r="Z415" i="2" s="1"/>
  <c r="X454" i="2"/>
  <c r="Z454" i="2" s="1"/>
  <c r="X785" i="2"/>
  <c r="Z785" i="2" s="1"/>
  <c r="X908" i="2"/>
  <c r="Z908" i="2" s="1"/>
  <c r="X541" i="2"/>
  <c r="X554" i="2"/>
  <c r="X870" i="2"/>
  <c r="X1146" i="2"/>
  <c r="Z1146" i="2" s="1"/>
  <c r="X1328" i="2"/>
  <c r="Z1328" i="2" s="1"/>
  <c r="X335" i="2"/>
  <c r="N335" i="2" s="1"/>
  <c r="X445" i="2"/>
  <c r="Z445" i="2" s="1"/>
  <c r="X821" i="2"/>
  <c r="Z821" i="2" s="1"/>
  <c r="X1364" i="2"/>
  <c r="X1374" i="2"/>
  <c r="X747" i="2"/>
  <c r="Z747" i="2" s="1"/>
  <c r="X802" i="2"/>
  <c r="Z802" i="2" s="1"/>
  <c r="X1080" i="2"/>
  <c r="X1388" i="2"/>
  <c r="Z1388" i="2" s="1"/>
  <c r="X1091" i="2"/>
  <c r="Z1091" i="2" s="1"/>
  <c r="X1112" i="2"/>
  <c r="Z1112" i="2" s="1"/>
  <c r="X1283" i="2"/>
  <c r="X1402" i="2"/>
  <c r="X1156" i="2"/>
  <c r="X1236" i="2"/>
  <c r="Z1236" i="2" s="1"/>
  <c r="X1352" i="2"/>
  <c r="X1436" i="2"/>
  <c r="Z1436" i="2" s="1"/>
  <c r="X1204" i="2"/>
  <c r="Z1204" i="2" s="1"/>
  <c r="X1282" i="2"/>
  <c r="Z1282" i="2" s="1"/>
  <c r="X1393" i="2"/>
  <c r="X1534" i="2"/>
  <c r="X1368" i="2"/>
  <c r="X1387" i="2"/>
  <c r="Z1387" i="2" s="1"/>
  <c r="X1459" i="2"/>
  <c r="Z1459" i="2" s="1"/>
  <c r="X1556" i="2"/>
  <c r="Z1556" i="2" s="1"/>
  <c r="X1509" i="2"/>
  <c r="Z1509" i="2" s="1"/>
  <c r="X1533" i="2"/>
  <c r="Z1533" i="2" s="1"/>
  <c r="X1514" i="2"/>
  <c r="X1481" i="2"/>
  <c r="X1451" i="2"/>
  <c r="X1355" i="2"/>
  <c r="Z1355" i="2" s="1"/>
  <c r="X1036" i="2"/>
  <c r="X193" i="2"/>
  <c r="N193" i="2" s="1"/>
  <c r="X142" i="2"/>
  <c r="Z142" i="2" s="1"/>
  <c r="X526" i="2"/>
  <c r="Z526" i="2" s="1"/>
  <c r="X83" i="2"/>
  <c r="X162" i="2"/>
  <c r="X228" i="2"/>
  <c r="X26" i="2"/>
  <c r="Z26" i="2" s="1"/>
  <c r="X127" i="2"/>
  <c r="Z127" i="2" s="1"/>
  <c r="X44" i="2"/>
  <c r="Z44" i="2" s="1"/>
  <c r="X294" i="2"/>
  <c r="Z294" i="2" s="1"/>
  <c r="X194" i="2"/>
  <c r="Z194" i="2" s="1"/>
  <c r="X283" i="2"/>
  <c r="X235" i="2"/>
  <c r="X343" i="2"/>
  <c r="Z343" i="2" s="1"/>
  <c r="X117" i="2"/>
  <c r="Z117" i="2" s="1"/>
  <c r="X95" i="2"/>
  <c r="X104" i="2"/>
  <c r="N104" i="2" s="1"/>
  <c r="X94" i="2"/>
  <c r="Z94" i="2" s="1"/>
  <c r="X360" i="2"/>
  <c r="Z360" i="2" s="1"/>
  <c r="X338" i="2"/>
  <c r="X245" i="2"/>
  <c r="X538" i="2"/>
  <c r="X780" i="2"/>
  <c r="Z780" i="2" s="1"/>
  <c r="X88" i="2"/>
  <c r="X141" i="2"/>
  <c r="X687" i="2"/>
  <c r="Z687" i="2" s="1"/>
  <c r="X122" i="2"/>
  <c r="Z122" i="2" s="1"/>
  <c r="X206" i="2"/>
  <c r="X735" i="2"/>
  <c r="X419" i="2"/>
  <c r="X250" i="2"/>
  <c r="Z250" i="2" s="1"/>
  <c r="X892" i="2"/>
  <c r="X520" i="2"/>
  <c r="Z520" i="2" s="1"/>
  <c r="X661" i="2"/>
  <c r="Z661" i="2" s="1"/>
  <c r="X943" i="2"/>
  <c r="Z943" i="2" s="1"/>
  <c r="X220" i="2"/>
  <c r="X145" i="2"/>
  <c r="X722" i="2"/>
  <c r="X192" i="2"/>
  <c r="Z192" i="2" s="1"/>
  <c r="X268" i="2"/>
  <c r="X767" i="2"/>
  <c r="X293" i="2"/>
  <c r="Z293" i="2" s="1"/>
  <c r="X336" i="2"/>
  <c r="Z336" i="2" s="1"/>
  <c r="X868" i="2"/>
  <c r="X232" i="2"/>
  <c r="X313" i="2"/>
  <c r="X600" i="2"/>
  <c r="Z600" i="2" s="1"/>
  <c r="X212" i="2"/>
  <c r="Z212" i="2" s="1"/>
  <c r="X573" i="2"/>
  <c r="X695" i="2"/>
  <c r="Z695" i="2" s="1"/>
  <c r="X179" i="2"/>
  <c r="Z179" i="2" s="1"/>
  <c r="X167" i="2"/>
  <c r="X862" i="2"/>
  <c r="X367" i="2"/>
  <c r="X398" i="2"/>
  <c r="Z398" i="2" s="1"/>
  <c r="X1197" i="2"/>
  <c r="Z1197" i="2" s="1"/>
  <c r="P245" i="2"/>
  <c r="AC245" i="2" s="1"/>
  <c r="P538" i="2"/>
  <c r="AC538" i="2" s="1"/>
  <c r="P780" i="2"/>
  <c r="AC780" i="2" s="1"/>
  <c r="P88" i="2"/>
  <c r="AC88" i="2" s="1"/>
  <c r="P141" i="2"/>
  <c r="AC141" i="2" s="1"/>
  <c r="P687" i="2"/>
  <c r="AC687" i="2" s="1"/>
  <c r="P122" i="2"/>
  <c r="AC122" i="2" s="1"/>
  <c r="P206" i="2"/>
  <c r="AC206" i="2" s="1"/>
  <c r="P735" i="2"/>
  <c r="AC735" i="2" s="1"/>
  <c r="P419" i="2"/>
  <c r="AC419" i="2" s="1"/>
  <c r="P250" i="2"/>
  <c r="AC250" i="2" s="1"/>
  <c r="P892" i="2"/>
  <c r="AC892" i="2" s="1"/>
  <c r="P520" i="2"/>
  <c r="AC520" i="2" s="1"/>
  <c r="P661" i="2"/>
  <c r="AC661" i="2" s="1"/>
  <c r="P943" i="2"/>
  <c r="AC943" i="2" s="1"/>
  <c r="P220" i="2"/>
  <c r="AC220" i="2" s="1"/>
  <c r="P145" i="2"/>
  <c r="AC145" i="2" s="1"/>
  <c r="P722" i="2"/>
  <c r="AC722" i="2" s="1"/>
  <c r="P192" i="2"/>
  <c r="AC192" i="2" s="1"/>
  <c r="P268" i="2"/>
  <c r="AC268" i="2" s="1"/>
  <c r="P767" i="2"/>
  <c r="AC767" i="2" s="1"/>
  <c r="P293" i="2"/>
  <c r="AC293" i="2" s="1"/>
  <c r="P336" i="2"/>
  <c r="AC336" i="2" s="1"/>
  <c r="P868" i="2"/>
  <c r="AC868" i="2" s="1"/>
  <c r="P232" i="2"/>
  <c r="AC232" i="2" s="1"/>
  <c r="P313" i="2"/>
  <c r="AC313" i="2" s="1"/>
  <c r="P600" i="2"/>
  <c r="AC600" i="2" s="1"/>
  <c r="P212" i="2"/>
  <c r="AC212" i="2" s="1"/>
  <c r="P573" i="2"/>
  <c r="AC573" i="2" s="1"/>
  <c r="P695" i="2"/>
  <c r="AC695" i="2" s="1"/>
  <c r="P179" i="2"/>
  <c r="AC179" i="2" s="1"/>
  <c r="P167" i="2"/>
  <c r="AC167" i="2" s="1"/>
  <c r="P862" i="2"/>
  <c r="AC862" i="2" s="1"/>
  <c r="P367" i="2"/>
  <c r="AC367" i="2" s="1"/>
  <c r="P398" i="2"/>
  <c r="AC398" i="2" s="1"/>
  <c r="P1197" i="2"/>
  <c r="AC1197" i="2" s="1"/>
  <c r="N861" i="2"/>
  <c r="N366" i="2"/>
  <c r="N397" i="2"/>
  <c r="N1196" i="2"/>
  <c r="H18" i="2"/>
  <c r="H87" i="2"/>
  <c r="H244" i="2"/>
  <c r="H475" i="2"/>
  <c r="H551" i="2"/>
  <c r="H467" i="2"/>
  <c r="H585" i="2"/>
  <c r="H756" i="2"/>
  <c r="H978" i="2"/>
  <c r="H1048" i="2"/>
  <c r="G899" i="2"/>
  <c r="G922" i="2"/>
  <c r="G997" i="2"/>
  <c r="P1181" i="2"/>
  <c r="AG1181" i="2" s="1"/>
  <c r="AU1613" i="2"/>
  <c r="BJ1613" i="2" s="1"/>
  <c r="BK1613" i="2" s="1"/>
  <c r="AU1158" i="2"/>
  <c r="AU1371" i="2"/>
  <c r="BJ1371" i="2" s="1"/>
  <c r="BK1371" i="2" s="1"/>
  <c r="AU1588" i="2"/>
  <c r="BJ1588" i="2" s="1"/>
  <c r="BK1588" i="2" s="1"/>
  <c r="AF1538" i="2"/>
  <c r="X1699" i="2"/>
  <c r="X1697" i="2"/>
  <c r="X1695" i="2"/>
  <c r="X1715" i="2"/>
  <c r="X1713" i="2"/>
  <c r="X1711" i="2"/>
  <c r="X1709" i="2"/>
  <c r="X1714" i="2"/>
  <c r="X1700" i="2"/>
  <c r="X1698" i="2"/>
  <c r="X1712" i="2"/>
  <c r="X1710" i="2"/>
  <c r="X1696" i="2"/>
  <c r="X1708" i="2"/>
  <c r="X1694" i="2"/>
  <c r="X1701" i="2"/>
  <c r="X555" i="2"/>
  <c r="Z555" i="2" s="1"/>
  <c r="AC555" i="2"/>
  <c r="AG555" i="2"/>
  <c r="AH555" i="2" s="1"/>
  <c r="AS555" i="2"/>
  <c r="AT555" i="2" s="1"/>
  <c r="BJ555" i="2"/>
  <c r="BK555" i="2" s="1"/>
  <c r="X316" i="2"/>
  <c r="Y316" i="2"/>
  <c r="AC316" i="2"/>
  <c r="AG316" i="2"/>
  <c r="AH316" i="2" s="1"/>
  <c r="AT316" i="2"/>
  <c r="BD316" i="2"/>
  <c r="BF316" i="2"/>
  <c r="BJ316" i="2"/>
  <c r="BK316" i="2" s="1"/>
  <c r="X334" i="2"/>
  <c r="Y334" i="2"/>
  <c r="AC334" i="2"/>
  <c r="AG334" i="2"/>
  <c r="AH334" i="2" s="1"/>
  <c r="AT334" i="2"/>
  <c r="BD334" i="2"/>
  <c r="BF334" i="2"/>
  <c r="BJ334" i="2"/>
  <c r="BK334" i="2" s="1"/>
  <c r="X364" i="2"/>
  <c r="Z364" i="2" s="1"/>
  <c r="Y364" i="2"/>
  <c r="AC364" i="2"/>
  <c r="AG364" i="2"/>
  <c r="AH364" i="2" s="1"/>
  <c r="AT364" i="2"/>
  <c r="BD364" i="2"/>
  <c r="BF364" i="2"/>
  <c r="BJ364" i="2"/>
  <c r="BK364" i="2" s="1"/>
  <c r="X302" i="2"/>
  <c r="Z302" i="2" s="1"/>
  <c r="Y302" i="2"/>
  <c r="AC302" i="2"/>
  <c r="AG302" i="2"/>
  <c r="AH302" i="2" s="1"/>
  <c r="AT302" i="2"/>
  <c r="BD302" i="2"/>
  <c r="BF302" i="2"/>
  <c r="BJ302" i="2"/>
  <c r="BK302" i="2" s="1"/>
  <c r="BJ35" i="2"/>
  <c r="BK35" i="2" s="1"/>
  <c r="BJ66" i="2"/>
  <c r="BK66" i="2" s="1"/>
  <c r="AS35" i="2"/>
  <c r="AT35" i="2" s="1"/>
  <c r="AS66" i="2"/>
  <c r="AT66" i="2" s="1"/>
  <c r="AG66" i="2"/>
  <c r="AH66" i="2" s="1"/>
  <c r="AG35" i="2"/>
  <c r="AH35" i="2" s="1"/>
  <c r="AC66" i="2"/>
  <c r="AC35" i="2"/>
  <c r="X66" i="2"/>
  <c r="Z66" i="2" s="1"/>
  <c r="Y66" i="2"/>
  <c r="X35" i="2"/>
  <c r="Y35" i="2"/>
  <c r="H35" i="2"/>
  <c r="H66" i="2"/>
  <c r="H136" i="2"/>
  <c r="X136" i="2"/>
  <c r="Z136" i="2" s="1"/>
  <c r="Y136" i="2"/>
  <c r="AC136" i="2"/>
  <c r="AG136" i="2"/>
  <c r="AH136" i="2" s="1"/>
  <c r="AS136" i="2"/>
  <c r="AT136" i="2" s="1"/>
  <c r="BJ136" i="2"/>
  <c r="BK136" i="2" s="1"/>
  <c r="H320" i="2"/>
  <c r="X320" i="2"/>
  <c r="Z320" i="2" s="1"/>
  <c r="Y320" i="2"/>
  <c r="AC320" i="2"/>
  <c r="AG320" i="2"/>
  <c r="AH320" i="2" s="1"/>
  <c r="AS320" i="2"/>
  <c r="AT320" i="2" s="1"/>
  <c r="BJ320" i="2"/>
  <c r="BK320" i="2" s="1"/>
  <c r="H524" i="2"/>
  <c r="X524" i="2"/>
  <c r="Y524" i="2"/>
  <c r="AC524" i="2"/>
  <c r="AG524" i="2"/>
  <c r="AH524" i="2" s="1"/>
  <c r="AS524" i="2"/>
  <c r="AT524" i="2" s="1"/>
  <c r="BJ524" i="2"/>
  <c r="BK524" i="2" s="1"/>
  <c r="H1119" i="2"/>
  <c r="X1119" i="2"/>
  <c r="Y1119" i="2"/>
  <c r="AC1119" i="2"/>
  <c r="AG1119" i="2"/>
  <c r="AH1119" i="2" s="1"/>
  <c r="AS1119" i="2"/>
  <c r="AT1119" i="2" s="1"/>
  <c r="BJ1119" i="2"/>
  <c r="BK1119" i="2" s="1"/>
  <c r="H766" i="2"/>
  <c r="X766" i="2"/>
  <c r="Z766" i="2" s="1"/>
  <c r="Y766" i="2"/>
  <c r="AC766" i="2"/>
  <c r="AG766" i="2"/>
  <c r="AH766" i="2" s="1"/>
  <c r="AS766" i="2"/>
  <c r="AT766" i="2" s="1"/>
  <c r="BJ766" i="2"/>
  <c r="BK766" i="2" s="1"/>
  <c r="H73" i="2"/>
  <c r="X73" i="2"/>
  <c r="Z73" i="2" s="1"/>
  <c r="Y73" i="2"/>
  <c r="AC73" i="2"/>
  <c r="AG73" i="2"/>
  <c r="AH73" i="2" s="1"/>
  <c r="AS73" i="2"/>
  <c r="AT73" i="2" s="1"/>
  <c r="BJ73" i="2"/>
  <c r="BK73" i="2" s="1"/>
  <c r="H287" i="2"/>
  <c r="X287" i="2"/>
  <c r="Z287" i="2" s="1"/>
  <c r="Y287" i="2"/>
  <c r="AC287" i="2"/>
  <c r="AG287" i="2"/>
  <c r="AH287" i="2" s="1"/>
  <c r="AS287" i="2"/>
  <c r="AT287" i="2" s="1"/>
  <c r="BJ287" i="2"/>
  <c r="BK287" i="2" s="1"/>
  <c r="H189" i="2"/>
  <c r="X189" i="2"/>
  <c r="Z189" i="2" s="1"/>
  <c r="Y189" i="2"/>
  <c r="AC189" i="2"/>
  <c r="AG189" i="2"/>
  <c r="AH189" i="2" s="1"/>
  <c r="AS189" i="2"/>
  <c r="AT189" i="2" s="1"/>
  <c r="BJ189" i="2"/>
  <c r="BK189" i="2" s="1"/>
  <c r="H115" i="2"/>
  <c r="X115" i="2"/>
  <c r="Y115" i="2"/>
  <c r="AC115" i="2"/>
  <c r="AG115" i="2"/>
  <c r="AH115" i="2" s="1"/>
  <c r="AS115" i="2"/>
  <c r="AT115" i="2" s="1"/>
  <c r="BJ115" i="2"/>
  <c r="BK115" i="2" s="1"/>
  <c r="H101" i="2"/>
  <c r="X101" i="2"/>
  <c r="Z101" i="2" s="1"/>
  <c r="Y101" i="2"/>
  <c r="AC101" i="2"/>
  <c r="AG101" i="2"/>
  <c r="AH101" i="2" s="1"/>
  <c r="AS101" i="2"/>
  <c r="AT101" i="2" s="1"/>
  <c r="BJ101" i="2"/>
  <c r="BK101" i="2" s="1"/>
  <c r="BJ1405" i="2"/>
  <c r="BK1405" i="2" s="1"/>
  <c r="BJ1108" i="2"/>
  <c r="BK1108" i="2" s="1"/>
  <c r="AS1405" i="2"/>
  <c r="AT1405" i="2" s="1"/>
  <c r="AS1108" i="2"/>
  <c r="AT1108" i="2" s="1"/>
  <c r="AK1405" i="2"/>
  <c r="AK1108" i="2"/>
  <c r="Y1405" i="2"/>
  <c r="Y1108" i="2"/>
  <c r="X1405" i="2"/>
  <c r="X1108" i="2"/>
  <c r="Z1108" i="2" s="1"/>
  <c r="P1405" i="2"/>
  <c r="AC1405" i="2" s="1"/>
  <c r="P1108" i="2"/>
  <c r="AG1108" i="2" s="1"/>
  <c r="AH1108" i="2" s="1"/>
  <c r="AS1401" i="2"/>
  <c r="AT1401" i="2" s="1"/>
  <c r="AS1209" i="2"/>
  <c r="AT1209" i="2" s="1"/>
  <c r="AS1027" i="2"/>
  <c r="AT1027" i="2" s="1"/>
  <c r="AS804" i="2"/>
  <c r="AT804" i="2" s="1"/>
  <c r="AS1496" i="2"/>
  <c r="AT1496" i="2" s="1"/>
  <c r="BJ1496" i="2"/>
  <c r="BK1496" i="2" s="1"/>
  <c r="BJ1401" i="2"/>
  <c r="BK1401" i="2" s="1"/>
  <c r="BJ1209" i="2"/>
  <c r="BK1209" i="2" s="1"/>
  <c r="BJ1027" i="2"/>
  <c r="BK1027" i="2" s="1"/>
  <c r="BJ804" i="2"/>
  <c r="BK804" i="2" s="1"/>
  <c r="AG1496" i="2"/>
  <c r="AH1496" i="2" s="1"/>
  <c r="AG1401" i="2"/>
  <c r="AH1401" i="2" s="1"/>
  <c r="AG1209" i="2"/>
  <c r="AH1209" i="2" s="1"/>
  <c r="AG1027" i="2"/>
  <c r="AH1027" i="2" s="1"/>
  <c r="AG804" i="2"/>
  <c r="AH804" i="2" s="1"/>
  <c r="AC1496" i="2"/>
  <c r="AC1401" i="2"/>
  <c r="AC1209" i="2"/>
  <c r="AC1027" i="2"/>
  <c r="AC804" i="2"/>
  <c r="X1496" i="2"/>
  <c r="N1496" i="2" s="1"/>
  <c r="X1401" i="2"/>
  <c r="Z1401" i="2" s="1"/>
  <c r="X1209" i="2"/>
  <c r="AB1209" i="2" s="1"/>
  <c r="AD1209" i="2" s="1"/>
  <c r="X1027" i="2"/>
  <c r="Z1027" i="2" s="1"/>
  <c r="X804" i="2"/>
  <c r="Z804" i="2" s="1"/>
  <c r="BJ529" i="2"/>
  <c r="BK529" i="2" s="1"/>
  <c r="BJ390" i="2"/>
  <c r="BK390" i="2" s="1"/>
  <c r="BJ297" i="2"/>
  <c r="BK297" i="2" s="1"/>
  <c r="BJ222" i="2"/>
  <c r="BK222" i="2" s="1"/>
  <c r="BJ188" i="2"/>
  <c r="BK188" i="2" s="1"/>
  <c r="BJ155" i="2"/>
  <c r="BK155" i="2" s="1"/>
  <c r="BJ140" i="2"/>
  <c r="BK140" i="2" s="1"/>
  <c r="BJ129" i="2"/>
  <c r="BK129" i="2" s="1"/>
  <c r="BJ624" i="2"/>
  <c r="BK624" i="2" s="1"/>
  <c r="BJ391" i="2"/>
  <c r="BK391" i="2" s="1"/>
  <c r="BJ300" i="2"/>
  <c r="BK300" i="2" s="1"/>
  <c r="BJ243" i="2"/>
  <c r="BK243" i="2" s="1"/>
  <c r="BJ208" i="2"/>
  <c r="BK208" i="2" s="1"/>
  <c r="BJ156" i="2"/>
  <c r="BK156" i="2" s="1"/>
  <c r="BJ125" i="2"/>
  <c r="BK125" i="2" s="1"/>
  <c r="BJ121" i="2"/>
  <c r="BK121" i="2" s="1"/>
  <c r="AS390" i="2"/>
  <c r="AT390" i="2" s="1"/>
  <c r="AS297" i="2"/>
  <c r="AT297" i="2" s="1"/>
  <c r="AS222" i="2"/>
  <c r="AT222" i="2" s="1"/>
  <c r="AS188" i="2"/>
  <c r="AT188" i="2" s="1"/>
  <c r="AS155" i="2"/>
  <c r="AT155" i="2" s="1"/>
  <c r="AS140" i="2"/>
  <c r="AT140" i="2" s="1"/>
  <c r="AS129" i="2"/>
  <c r="AT129" i="2" s="1"/>
  <c r="AS624" i="2"/>
  <c r="AT624" i="2" s="1"/>
  <c r="AS391" i="2"/>
  <c r="AT391" i="2" s="1"/>
  <c r="AS300" i="2"/>
  <c r="AT300" i="2" s="1"/>
  <c r="AS243" i="2"/>
  <c r="AT243" i="2" s="1"/>
  <c r="AS208" i="2"/>
  <c r="AT208" i="2" s="1"/>
  <c r="AS156" i="2"/>
  <c r="AT156" i="2" s="1"/>
  <c r="AS125" i="2"/>
  <c r="AT125" i="2" s="1"/>
  <c r="AS121" i="2"/>
  <c r="AT121" i="2" s="1"/>
  <c r="AS529" i="2"/>
  <c r="AT529" i="2" s="1"/>
  <c r="AG529" i="2"/>
  <c r="AH529" i="2" s="1"/>
  <c r="AG390" i="2"/>
  <c r="AH390" i="2" s="1"/>
  <c r="AG297" i="2"/>
  <c r="AH297" i="2" s="1"/>
  <c r="AG222" i="2"/>
  <c r="AH222" i="2" s="1"/>
  <c r="AG188" i="2"/>
  <c r="AH188" i="2" s="1"/>
  <c r="AG155" i="2"/>
  <c r="AH155" i="2" s="1"/>
  <c r="AG140" i="2"/>
  <c r="AH140" i="2" s="1"/>
  <c r="AG129" i="2"/>
  <c r="AH129" i="2" s="1"/>
  <c r="AG624" i="2"/>
  <c r="AH624" i="2" s="1"/>
  <c r="AG391" i="2"/>
  <c r="AH391" i="2" s="1"/>
  <c r="AG300" i="2"/>
  <c r="AH300" i="2" s="1"/>
  <c r="AG243" i="2"/>
  <c r="AH243" i="2" s="1"/>
  <c r="AG208" i="2"/>
  <c r="AH208" i="2" s="1"/>
  <c r="AG156" i="2"/>
  <c r="AH156" i="2" s="1"/>
  <c r="AG125" i="2"/>
  <c r="AH125" i="2" s="1"/>
  <c r="AG121" i="2"/>
  <c r="AH121" i="2" s="1"/>
  <c r="AC390" i="2"/>
  <c r="AC297" i="2"/>
  <c r="AC222" i="2"/>
  <c r="AC188" i="2"/>
  <c r="AC155" i="2"/>
  <c r="AC140" i="2"/>
  <c r="AC129" i="2"/>
  <c r="AC624" i="2"/>
  <c r="AC391" i="2"/>
  <c r="AC300" i="2"/>
  <c r="AC243" i="2"/>
  <c r="AC208" i="2"/>
  <c r="AC156" i="2"/>
  <c r="AC125" i="2"/>
  <c r="AC121" i="2"/>
  <c r="X390" i="2"/>
  <c r="N390" i="2" s="1"/>
  <c r="X297" i="2"/>
  <c r="AB297" i="2" s="1"/>
  <c r="AD297" i="2" s="1"/>
  <c r="X222" i="2"/>
  <c r="N222" i="2" s="1"/>
  <c r="X188" i="2"/>
  <c r="AB188" i="2" s="1"/>
  <c r="AD188" i="2" s="1"/>
  <c r="X155" i="2"/>
  <c r="AB155" i="2" s="1"/>
  <c r="AD155" i="2" s="1"/>
  <c r="X140" i="2"/>
  <c r="N140" i="2" s="1"/>
  <c r="X129" i="2"/>
  <c r="AB129" i="2" s="1"/>
  <c r="AD129" i="2" s="1"/>
  <c r="X624" i="2"/>
  <c r="AB624" i="2" s="1"/>
  <c r="AD624" i="2" s="1"/>
  <c r="X391" i="2"/>
  <c r="N391" i="2" s="1"/>
  <c r="X300" i="2"/>
  <c r="AB300" i="2" s="1"/>
  <c r="AD300" i="2" s="1"/>
  <c r="X243" i="2"/>
  <c r="N243" i="2" s="1"/>
  <c r="X208" i="2"/>
  <c r="AB208" i="2" s="1"/>
  <c r="AD208" i="2" s="1"/>
  <c r="X156" i="2"/>
  <c r="AB156" i="2" s="1"/>
  <c r="AD156" i="2" s="1"/>
  <c r="X125" i="2"/>
  <c r="N125" i="2" s="1"/>
  <c r="X121" i="2"/>
  <c r="AB121" i="2" s="1"/>
  <c r="AD121" i="2" s="1"/>
  <c r="X529" i="2"/>
  <c r="AC529" i="2"/>
  <c r="BJ1622" i="2"/>
  <c r="BK1622" i="2" s="1"/>
  <c r="BJ1381" i="2"/>
  <c r="BK1381" i="2" s="1"/>
  <c r="BJ1069" i="2"/>
  <c r="BK1069" i="2" s="1"/>
  <c r="AS1622" i="2"/>
  <c r="AT1622" i="2" s="1"/>
  <c r="AS1381" i="2"/>
  <c r="AT1381" i="2" s="1"/>
  <c r="AS1069" i="2"/>
  <c r="AT1069" i="2" s="1"/>
  <c r="AS1580" i="2"/>
  <c r="AT1580" i="2" s="1"/>
  <c r="X1580" i="2"/>
  <c r="AB1580" i="2" s="1"/>
  <c r="AD1580" i="2" s="1"/>
  <c r="X1622" i="2"/>
  <c r="X1381" i="2"/>
  <c r="AB1381" i="2" s="1"/>
  <c r="AD1381" i="2" s="1"/>
  <c r="X1069" i="2"/>
  <c r="AB1069" i="2" s="1"/>
  <c r="AD1069" i="2" s="1"/>
  <c r="P1439" i="2"/>
  <c r="AC1439" i="2" s="1"/>
  <c r="P1622" i="2"/>
  <c r="AC1622" i="2" s="1"/>
  <c r="P1381" i="2"/>
  <c r="AG1381" i="2" s="1"/>
  <c r="AH1381" i="2" s="1"/>
  <c r="P1069" i="2"/>
  <c r="AG1069" i="2" s="1"/>
  <c r="AH1069" i="2" s="1"/>
  <c r="P1580" i="2"/>
  <c r="AC1580" i="2" s="1"/>
  <c r="BJ1580" i="2"/>
  <c r="BK1580" i="2" s="1"/>
  <c r="BJ1439" i="2"/>
  <c r="BK1439" i="2" s="1"/>
  <c r="AS1439" i="2"/>
  <c r="AT1439" i="2" s="1"/>
  <c r="Y1439" i="2"/>
  <c r="X1439" i="2"/>
  <c r="BJ1503" i="2"/>
  <c r="BK1503" i="2" s="1"/>
  <c r="BJ1468" i="2"/>
  <c r="BK1468" i="2" s="1"/>
  <c r="BJ1391" i="2"/>
  <c r="BK1391" i="2" s="1"/>
  <c r="BJ1359" i="2"/>
  <c r="BK1359" i="2" s="1"/>
  <c r="BJ1212" i="2"/>
  <c r="BK1212" i="2" s="1"/>
  <c r="BJ1116" i="2"/>
  <c r="BK1116" i="2" s="1"/>
  <c r="BJ1054" i="2"/>
  <c r="BK1054" i="2" s="1"/>
  <c r="BJ1026" i="2"/>
  <c r="BK1026" i="2" s="1"/>
  <c r="BJ1181" i="2"/>
  <c r="BK1181" i="2" s="1"/>
  <c r="BJ721" i="2"/>
  <c r="BK721" i="2" s="1"/>
  <c r="BJ693" i="2"/>
  <c r="BK693" i="2" s="1"/>
  <c r="BJ658" i="2"/>
  <c r="BK658" i="2" s="1"/>
  <c r="BJ594" i="2"/>
  <c r="BK594" i="2" s="1"/>
  <c r="BJ560" i="2"/>
  <c r="BK560" i="2" s="1"/>
  <c r="BJ483" i="2"/>
  <c r="BK483" i="2" s="1"/>
  <c r="AS1503" i="2"/>
  <c r="AT1503" i="2" s="1"/>
  <c r="AS1468" i="2"/>
  <c r="AT1468" i="2" s="1"/>
  <c r="AS1391" i="2"/>
  <c r="AT1391" i="2" s="1"/>
  <c r="AS1359" i="2"/>
  <c r="AT1359" i="2" s="1"/>
  <c r="AS1212" i="2"/>
  <c r="AT1212" i="2" s="1"/>
  <c r="AS1116" i="2"/>
  <c r="AT1116" i="2" s="1"/>
  <c r="AS1054" i="2"/>
  <c r="AT1054" i="2" s="1"/>
  <c r="AS1026" i="2"/>
  <c r="AT1026" i="2" s="1"/>
  <c r="AS1181" i="2"/>
  <c r="AT1181" i="2" s="1"/>
  <c r="AS721" i="2"/>
  <c r="AT721" i="2" s="1"/>
  <c r="AS693" i="2"/>
  <c r="AT693" i="2" s="1"/>
  <c r="AS658" i="2"/>
  <c r="AT658" i="2" s="1"/>
  <c r="AS594" i="2"/>
  <c r="AT594" i="2" s="1"/>
  <c r="AS560" i="2"/>
  <c r="AT560" i="2" s="1"/>
  <c r="AS483" i="2"/>
  <c r="AT483" i="2" s="1"/>
  <c r="AF483" i="2"/>
  <c r="AF560" i="2"/>
  <c r="AF594" i="2"/>
  <c r="AF658" i="2"/>
  <c r="AF693" i="2"/>
  <c r="AF721" i="2"/>
  <c r="AF1181" i="2"/>
  <c r="AF1026" i="2"/>
  <c r="AF1054" i="2"/>
  <c r="AF1116" i="2"/>
  <c r="AF1212" i="2"/>
  <c r="AF1359" i="2"/>
  <c r="AF1391" i="2"/>
  <c r="AF1468" i="2"/>
  <c r="AF1503" i="2"/>
  <c r="Y1503" i="2"/>
  <c r="Y1468" i="2"/>
  <c r="Y1391" i="2"/>
  <c r="Y1359" i="2"/>
  <c r="Y1212" i="2"/>
  <c r="Y1116" i="2"/>
  <c r="Y1054" i="2"/>
  <c r="Y1026" i="2"/>
  <c r="Y1181" i="2"/>
  <c r="Y721" i="2"/>
  <c r="Y693" i="2"/>
  <c r="Y658" i="2"/>
  <c r="Y594" i="2"/>
  <c r="Y560" i="2"/>
  <c r="Y483" i="2"/>
  <c r="X1503" i="2"/>
  <c r="X1468" i="2"/>
  <c r="X1391" i="2"/>
  <c r="X1359" i="2"/>
  <c r="X1212" i="2"/>
  <c r="X1116" i="2"/>
  <c r="X1054" i="2"/>
  <c r="X1026" i="2"/>
  <c r="X1181" i="2"/>
  <c r="X721" i="2"/>
  <c r="X693" i="2"/>
  <c r="X658" i="2"/>
  <c r="X594" i="2"/>
  <c r="X560" i="2"/>
  <c r="X483" i="2"/>
  <c r="P1503" i="2"/>
  <c r="AG1503" i="2" s="1"/>
  <c r="P1468" i="2"/>
  <c r="AC1468" i="2" s="1"/>
  <c r="P1391" i="2"/>
  <c r="AG1391" i="2" s="1"/>
  <c r="P1359" i="2"/>
  <c r="AC1359" i="2" s="1"/>
  <c r="P1212" i="2"/>
  <c r="AC1212" i="2" s="1"/>
  <c r="P1116" i="2"/>
  <c r="AC1116" i="2" s="1"/>
  <c r="P1054" i="2"/>
  <c r="AC1054" i="2" s="1"/>
  <c r="P1026" i="2"/>
  <c r="AG1026" i="2" s="1"/>
  <c r="P721" i="2"/>
  <c r="AC721" i="2" s="1"/>
  <c r="P693" i="2"/>
  <c r="AG693" i="2" s="1"/>
  <c r="P658" i="2"/>
  <c r="AC658" i="2" s="1"/>
  <c r="P594" i="2"/>
  <c r="AC594" i="2" s="1"/>
  <c r="P560" i="2"/>
  <c r="AC560" i="2" s="1"/>
  <c r="P483" i="2"/>
  <c r="AC483" i="2" s="1"/>
  <c r="P841" i="2"/>
  <c r="P809" i="2"/>
  <c r="P826" i="2"/>
  <c r="P1265" i="2"/>
  <c r="P1125" i="2"/>
  <c r="P874" i="2"/>
  <c r="P468" i="2"/>
  <c r="P1448" i="2"/>
  <c r="P1150" i="2"/>
  <c r="P1086" i="2"/>
  <c r="P958" i="2"/>
  <c r="P1420" i="2"/>
  <c r="P906" i="2"/>
  <c r="P996" i="2"/>
  <c r="P629" i="2"/>
  <c r="P1312" i="2"/>
  <c r="P1230" i="2"/>
  <c r="P1094" i="2"/>
  <c r="P429" i="2"/>
  <c r="P1342" i="2"/>
  <c r="P1128" i="2"/>
  <c r="P1067" i="2"/>
  <c r="P525" i="2"/>
  <c r="P1111" i="2"/>
  <c r="P697" i="2"/>
  <c r="P679" i="2"/>
  <c r="P479" i="2"/>
  <c r="P1186" i="2"/>
  <c r="P1015" i="2"/>
  <c r="P891" i="2"/>
  <c r="P842" i="2"/>
  <c r="P1314" i="2"/>
  <c r="P1109" i="2"/>
  <c r="P1137" i="2"/>
  <c r="P1187" i="2"/>
  <c r="P1153" i="2"/>
  <c r="P976" i="2"/>
  <c r="P898" i="2"/>
  <c r="P748" i="2"/>
  <c r="P1434" i="2"/>
  <c r="P1302" i="2"/>
  <c r="P1200" i="2"/>
  <c r="P1079" i="2"/>
  <c r="P1433" i="2"/>
  <c r="P1124" i="2"/>
  <c r="P1077" i="2"/>
  <c r="P1087" i="2"/>
  <c r="P1446" i="2"/>
  <c r="P1325" i="2"/>
  <c r="P1203" i="2"/>
  <c r="P1178" i="2"/>
  <c r="P967" i="2"/>
  <c r="BJ1178" i="2"/>
  <c r="BK1178" i="2" s="1"/>
  <c r="BJ1203" i="2"/>
  <c r="BK1203" i="2" s="1"/>
  <c r="BJ1325" i="2"/>
  <c r="BK1325" i="2" s="1"/>
  <c r="BJ1446" i="2"/>
  <c r="BK1446" i="2" s="1"/>
  <c r="BJ1087" i="2"/>
  <c r="BK1087" i="2" s="1"/>
  <c r="BJ1077" i="2"/>
  <c r="BK1077" i="2" s="1"/>
  <c r="BJ1124" i="2"/>
  <c r="BK1124" i="2" s="1"/>
  <c r="BJ1433" i="2"/>
  <c r="BK1433" i="2" s="1"/>
  <c r="BJ1079" i="2"/>
  <c r="BK1079" i="2" s="1"/>
  <c r="BJ1200" i="2"/>
  <c r="BK1200" i="2" s="1"/>
  <c r="BJ1302" i="2"/>
  <c r="BK1302" i="2" s="1"/>
  <c r="BJ1434" i="2"/>
  <c r="BK1434" i="2" s="1"/>
  <c r="BJ748" i="2"/>
  <c r="BK748" i="2" s="1"/>
  <c r="BJ898" i="2"/>
  <c r="BK898" i="2" s="1"/>
  <c r="BJ976" i="2"/>
  <c r="BK976" i="2" s="1"/>
  <c r="BJ1153" i="2"/>
  <c r="BK1153" i="2" s="1"/>
  <c r="BJ1187" i="2"/>
  <c r="BK1187" i="2" s="1"/>
  <c r="BJ1137" i="2"/>
  <c r="BK1137" i="2" s="1"/>
  <c r="BJ1109" i="2"/>
  <c r="BK1109" i="2" s="1"/>
  <c r="BJ1314" i="2"/>
  <c r="BK1314" i="2" s="1"/>
  <c r="BJ842" i="2"/>
  <c r="BK842" i="2" s="1"/>
  <c r="BJ891" i="2"/>
  <c r="BK891" i="2" s="1"/>
  <c r="BJ1015" i="2"/>
  <c r="BK1015" i="2" s="1"/>
  <c r="BJ1186" i="2"/>
  <c r="BK1186" i="2" s="1"/>
  <c r="BJ479" i="2"/>
  <c r="BK479" i="2" s="1"/>
  <c r="BJ679" i="2"/>
  <c r="BK679" i="2" s="1"/>
  <c r="BJ697" i="2"/>
  <c r="BK697" i="2" s="1"/>
  <c r="BJ1111" i="2"/>
  <c r="BK1111" i="2" s="1"/>
  <c r="BJ525" i="2"/>
  <c r="BK525" i="2" s="1"/>
  <c r="BJ1067" i="2"/>
  <c r="BK1067" i="2" s="1"/>
  <c r="BJ1128" i="2"/>
  <c r="BK1128" i="2" s="1"/>
  <c r="BJ1342" i="2"/>
  <c r="BK1342" i="2" s="1"/>
  <c r="BJ429" i="2"/>
  <c r="BK429" i="2" s="1"/>
  <c r="BJ1094" i="2"/>
  <c r="BK1094" i="2" s="1"/>
  <c r="BJ1230" i="2"/>
  <c r="BK1230" i="2" s="1"/>
  <c r="BJ1312" i="2"/>
  <c r="BK1312" i="2" s="1"/>
  <c r="BJ629" i="2"/>
  <c r="BK629" i="2" s="1"/>
  <c r="BJ996" i="2"/>
  <c r="BK996" i="2" s="1"/>
  <c r="BJ906" i="2"/>
  <c r="BK906" i="2" s="1"/>
  <c r="BJ1420" i="2"/>
  <c r="BK1420" i="2" s="1"/>
  <c r="BJ958" i="2"/>
  <c r="BK958" i="2" s="1"/>
  <c r="BJ1086" i="2"/>
  <c r="BK1086" i="2" s="1"/>
  <c r="BJ1150" i="2"/>
  <c r="BK1150" i="2" s="1"/>
  <c r="BJ1448" i="2"/>
  <c r="BK1448" i="2" s="1"/>
  <c r="BJ468" i="2"/>
  <c r="BK468" i="2" s="1"/>
  <c r="BJ874" i="2"/>
  <c r="BK874" i="2" s="1"/>
  <c r="BJ1125" i="2"/>
  <c r="BK1125" i="2" s="1"/>
  <c r="BJ1265" i="2"/>
  <c r="BK1265" i="2" s="1"/>
  <c r="BJ826" i="2"/>
  <c r="BK826" i="2" s="1"/>
  <c r="BJ809" i="2"/>
  <c r="BK809" i="2" s="1"/>
  <c r="BJ841" i="2"/>
  <c r="BK841" i="2" s="1"/>
  <c r="BJ967" i="2"/>
  <c r="BK967" i="2" s="1"/>
  <c r="AS1125" i="2"/>
  <c r="AT1125" i="2" s="1"/>
  <c r="AS874" i="2"/>
  <c r="AT874" i="2" s="1"/>
  <c r="AS468" i="2"/>
  <c r="AT468" i="2" s="1"/>
  <c r="AS1448" i="2"/>
  <c r="AT1448" i="2" s="1"/>
  <c r="AS1150" i="2"/>
  <c r="AT1150" i="2" s="1"/>
  <c r="AS1086" i="2"/>
  <c r="AT1086" i="2" s="1"/>
  <c r="AS958" i="2"/>
  <c r="AT958" i="2" s="1"/>
  <c r="AS1420" i="2"/>
  <c r="AT1420" i="2" s="1"/>
  <c r="AS906" i="2"/>
  <c r="AT906" i="2" s="1"/>
  <c r="AS996" i="2"/>
  <c r="AT996" i="2" s="1"/>
  <c r="AS629" i="2"/>
  <c r="AT629" i="2" s="1"/>
  <c r="AS1312" i="2"/>
  <c r="AT1312" i="2" s="1"/>
  <c r="AS1230" i="2"/>
  <c r="AT1230" i="2" s="1"/>
  <c r="AS1094" i="2"/>
  <c r="AT1094" i="2" s="1"/>
  <c r="AS429" i="2"/>
  <c r="AT429" i="2" s="1"/>
  <c r="AS1342" i="2"/>
  <c r="AT1342" i="2" s="1"/>
  <c r="AS1128" i="2"/>
  <c r="AT1128" i="2" s="1"/>
  <c r="AS1067" i="2"/>
  <c r="AT1067" i="2" s="1"/>
  <c r="AS525" i="2"/>
  <c r="AT525" i="2" s="1"/>
  <c r="AS1111" i="2"/>
  <c r="AT1111" i="2" s="1"/>
  <c r="AS697" i="2"/>
  <c r="AT697" i="2" s="1"/>
  <c r="AS679" i="2"/>
  <c r="AT679" i="2" s="1"/>
  <c r="AS479" i="2"/>
  <c r="AT479" i="2" s="1"/>
  <c r="AS1186" i="2"/>
  <c r="AT1186" i="2" s="1"/>
  <c r="AS1015" i="2"/>
  <c r="AT1015" i="2" s="1"/>
  <c r="AS891" i="2"/>
  <c r="AT891" i="2" s="1"/>
  <c r="AS842" i="2"/>
  <c r="AT842" i="2" s="1"/>
  <c r="AS1314" i="2"/>
  <c r="AT1314" i="2" s="1"/>
  <c r="AS1109" i="2"/>
  <c r="AT1109" i="2" s="1"/>
  <c r="AS1137" i="2"/>
  <c r="AT1137" i="2" s="1"/>
  <c r="AS1187" i="2"/>
  <c r="AT1187" i="2" s="1"/>
  <c r="AS1153" i="2"/>
  <c r="AT1153" i="2" s="1"/>
  <c r="AS976" i="2"/>
  <c r="AT976" i="2" s="1"/>
  <c r="AS898" i="2"/>
  <c r="AT898" i="2" s="1"/>
  <c r="AS748" i="2"/>
  <c r="AT748" i="2" s="1"/>
  <c r="AS1434" i="2"/>
  <c r="AT1434" i="2" s="1"/>
  <c r="AS1302" i="2"/>
  <c r="AT1302" i="2" s="1"/>
  <c r="AS1200" i="2"/>
  <c r="AT1200" i="2" s="1"/>
  <c r="AS1079" i="2"/>
  <c r="AT1079" i="2" s="1"/>
  <c r="AS1433" i="2"/>
  <c r="AT1433" i="2" s="1"/>
  <c r="AS1124" i="2"/>
  <c r="AT1124" i="2" s="1"/>
  <c r="AS1077" i="2"/>
  <c r="AT1077" i="2" s="1"/>
  <c r="AS1087" i="2"/>
  <c r="AT1087" i="2" s="1"/>
  <c r="AS1446" i="2"/>
  <c r="AT1446" i="2" s="1"/>
  <c r="AS1325" i="2"/>
  <c r="AT1325" i="2" s="1"/>
  <c r="AS1203" i="2"/>
  <c r="AT1203" i="2" s="1"/>
  <c r="AS1178" i="2"/>
  <c r="AT1178" i="2" s="1"/>
  <c r="AS1265" i="2"/>
  <c r="AT1265" i="2" s="1"/>
  <c r="AS841" i="2"/>
  <c r="AT841" i="2" s="1"/>
  <c r="AS809" i="2"/>
  <c r="AT809" i="2" s="1"/>
  <c r="AS826" i="2"/>
  <c r="AT826" i="2" s="1"/>
  <c r="AS967" i="2"/>
  <c r="AT967" i="2" s="1"/>
  <c r="Y841" i="2"/>
  <c r="Y809" i="2"/>
  <c r="Y826" i="2"/>
  <c r="Y1265" i="2"/>
  <c r="Y1125" i="2"/>
  <c r="Y874" i="2"/>
  <c r="Y468" i="2"/>
  <c r="Y1448" i="2"/>
  <c r="Y1150" i="2"/>
  <c r="Y1086" i="2"/>
  <c r="Y958" i="2"/>
  <c r="Y1420" i="2"/>
  <c r="Y906" i="2"/>
  <c r="Y996" i="2"/>
  <c r="Y629" i="2"/>
  <c r="Y1312" i="2"/>
  <c r="Y1230" i="2"/>
  <c r="Y1094" i="2"/>
  <c r="Y429" i="2"/>
  <c r="Y1342" i="2"/>
  <c r="Y1128" i="2"/>
  <c r="Y1067" i="2"/>
  <c r="Y525" i="2"/>
  <c r="Y1111" i="2"/>
  <c r="Y697" i="2"/>
  <c r="Y679" i="2"/>
  <c r="Y479" i="2"/>
  <c r="Y1186" i="2"/>
  <c r="Y1015" i="2"/>
  <c r="Y891" i="2"/>
  <c r="Y842" i="2"/>
  <c r="Y1314" i="2"/>
  <c r="Y1109" i="2"/>
  <c r="Y1137" i="2"/>
  <c r="Y1187" i="2"/>
  <c r="Y1153" i="2"/>
  <c r="Y976" i="2"/>
  <c r="Y898" i="2"/>
  <c r="Y748" i="2"/>
  <c r="Y1434" i="2"/>
  <c r="Y1302" i="2"/>
  <c r="Y1200" i="2"/>
  <c r="Y1079" i="2"/>
  <c r="Y1433" i="2"/>
  <c r="Y1124" i="2"/>
  <c r="Y1077" i="2"/>
  <c r="Y1087" i="2"/>
  <c r="Y1446" i="2"/>
  <c r="Y1325" i="2"/>
  <c r="Y1203" i="2"/>
  <c r="Y1178" i="2"/>
  <c r="Y967" i="2"/>
  <c r="X841" i="2"/>
  <c r="X809" i="2"/>
  <c r="X826" i="2"/>
  <c r="X1265" i="2"/>
  <c r="X1125" i="2"/>
  <c r="X874" i="2"/>
  <c r="X468" i="2"/>
  <c r="X1448" i="2"/>
  <c r="X1150" i="2"/>
  <c r="X1086" i="2"/>
  <c r="X958" i="2"/>
  <c r="X1420" i="2"/>
  <c r="X906" i="2"/>
  <c r="X996" i="2"/>
  <c r="X629" i="2"/>
  <c r="X1312" i="2"/>
  <c r="X1230" i="2"/>
  <c r="X1094" i="2"/>
  <c r="X429" i="2"/>
  <c r="X1342" i="2"/>
  <c r="X1128" i="2"/>
  <c r="X1067" i="2"/>
  <c r="X525" i="2"/>
  <c r="X1111" i="2"/>
  <c r="X697" i="2"/>
  <c r="X679" i="2"/>
  <c r="X479" i="2"/>
  <c r="X1186" i="2"/>
  <c r="X1015" i="2"/>
  <c r="X891" i="2"/>
  <c r="X842" i="2"/>
  <c r="X1314" i="2"/>
  <c r="X1109" i="2"/>
  <c r="X1137" i="2"/>
  <c r="X1187" i="2"/>
  <c r="X1153" i="2"/>
  <c r="X976" i="2"/>
  <c r="X898" i="2"/>
  <c r="X748" i="2"/>
  <c r="X1434" i="2"/>
  <c r="X1302" i="2"/>
  <c r="X1200" i="2"/>
  <c r="X1079" i="2"/>
  <c r="X1433" i="2"/>
  <c r="X1124" i="2"/>
  <c r="X1077" i="2"/>
  <c r="X1087" i="2"/>
  <c r="X1446" i="2"/>
  <c r="X1325" i="2"/>
  <c r="X1203" i="2"/>
  <c r="X1178" i="2"/>
  <c r="X967" i="2"/>
  <c r="Y561" i="2"/>
  <c r="Z561" i="2" s="1"/>
  <c r="X569" i="2"/>
  <c r="N569" i="2" s="1"/>
  <c r="BJ569" i="2"/>
  <c r="BK569" i="2" s="1"/>
  <c r="BJ457" i="2"/>
  <c r="BK457" i="2" s="1"/>
  <c r="BJ459" i="2"/>
  <c r="BK459" i="2" s="1"/>
  <c r="BJ458" i="2"/>
  <c r="BK458" i="2" s="1"/>
  <c r="BJ460" i="2"/>
  <c r="BK460" i="2" s="1"/>
  <c r="BJ272" i="2"/>
  <c r="BK272" i="2" s="1"/>
  <c r="BJ607" i="2"/>
  <c r="BK607" i="2" s="1"/>
  <c r="BJ160" i="2"/>
  <c r="BK160" i="2" s="1"/>
  <c r="AS457" i="2"/>
  <c r="AT457" i="2" s="1"/>
  <c r="AS459" i="2"/>
  <c r="AT459" i="2" s="1"/>
  <c r="AS458" i="2"/>
  <c r="AT458" i="2" s="1"/>
  <c r="AS460" i="2"/>
  <c r="AT460" i="2" s="1"/>
  <c r="AS272" i="2"/>
  <c r="AT272" i="2" s="1"/>
  <c r="AS607" i="2"/>
  <c r="AT607" i="2" s="1"/>
  <c r="AS160" i="2"/>
  <c r="AT160" i="2" s="1"/>
  <c r="AS569" i="2"/>
  <c r="AT569" i="2" s="1"/>
  <c r="AG569" i="2"/>
  <c r="AH569" i="2" s="1"/>
  <c r="AG457" i="2"/>
  <c r="AH457" i="2" s="1"/>
  <c r="AG459" i="2"/>
  <c r="AH459" i="2" s="1"/>
  <c r="AG458" i="2"/>
  <c r="AH458" i="2" s="1"/>
  <c r="AG460" i="2"/>
  <c r="AH460" i="2" s="1"/>
  <c r="AG272" i="2"/>
  <c r="AH272" i="2" s="1"/>
  <c r="AG607" i="2"/>
  <c r="AH607" i="2" s="1"/>
  <c r="AG160" i="2"/>
  <c r="AH160" i="2" s="1"/>
  <c r="AC569" i="2"/>
  <c r="AC457" i="2"/>
  <c r="AC459" i="2"/>
  <c r="AC458" i="2"/>
  <c r="AC460" i="2"/>
  <c r="AC272" i="2"/>
  <c r="AC607" i="2"/>
  <c r="AC160" i="2"/>
  <c r="X457" i="2"/>
  <c r="N457" i="2" s="1"/>
  <c r="X459" i="2"/>
  <c r="N459" i="2" s="1"/>
  <c r="X458" i="2"/>
  <c r="Z458" i="2" s="1"/>
  <c r="X460" i="2"/>
  <c r="N460" i="2" s="1"/>
  <c r="X272" i="2"/>
  <c r="N272" i="2" s="1"/>
  <c r="X607" i="2"/>
  <c r="AB607" i="2" s="1"/>
  <c r="AD607" i="2" s="1"/>
  <c r="X160" i="2"/>
  <c r="N160" i="2" s="1"/>
  <c r="BJ1241" i="2"/>
  <c r="BK1241" i="2" s="1"/>
  <c r="AS1241" i="2"/>
  <c r="AT1241" i="2" s="1"/>
  <c r="AG1241" i="2"/>
  <c r="AH1241" i="2" s="1"/>
  <c r="AC1241" i="2"/>
  <c r="X1241" i="2"/>
  <c r="AB1241" i="2" s="1"/>
  <c r="AD1241" i="2" s="1"/>
  <c r="AC913" i="2"/>
  <c r="BJ913" i="2"/>
  <c r="BK913" i="2" s="1"/>
  <c r="BJ927" i="2"/>
  <c r="BK927" i="2" s="1"/>
  <c r="BJ665" i="2"/>
  <c r="BK665" i="2" s="1"/>
  <c r="BJ1254" i="2"/>
  <c r="BK1254" i="2" s="1"/>
  <c r="BJ611" i="2"/>
  <c r="BK611" i="2" s="1"/>
  <c r="BJ463" i="2"/>
  <c r="BK463" i="2" s="1"/>
  <c r="BJ312" i="2"/>
  <c r="BK312" i="2" s="1"/>
  <c r="BJ542" i="2"/>
  <c r="BK542" i="2" s="1"/>
  <c r="BJ373" i="2"/>
  <c r="BK373" i="2" s="1"/>
  <c r="BJ37" i="2"/>
  <c r="BK37" i="2" s="1"/>
  <c r="BJ13" i="2"/>
  <c r="BK13" i="2" s="1"/>
  <c r="AS913" i="2"/>
  <c r="AT913" i="2" s="1"/>
  <c r="AS927" i="2"/>
  <c r="AT927" i="2" s="1"/>
  <c r="AS665" i="2"/>
  <c r="AT665" i="2" s="1"/>
  <c r="AS1254" i="2"/>
  <c r="AT1254" i="2" s="1"/>
  <c r="AS611" i="2"/>
  <c r="AT611" i="2" s="1"/>
  <c r="AS463" i="2"/>
  <c r="AT463" i="2" s="1"/>
  <c r="AS312" i="2"/>
  <c r="AT312" i="2" s="1"/>
  <c r="AS542" i="2"/>
  <c r="AT542" i="2" s="1"/>
  <c r="AS373" i="2"/>
  <c r="AT373" i="2" s="1"/>
  <c r="AS37" i="2"/>
  <c r="AT37" i="2" s="1"/>
  <c r="AS13" i="2"/>
  <c r="AT13" i="2" s="1"/>
  <c r="AG913" i="2"/>
  <c r="AH913" i="2" s="1"/>
  <c r="AG927" i="2"/>
  <c r="AH927" i="2" s="1"/>
  <c r="AG665" i="2"/>
  <c r="AH665" i="2" s="1"/>
  <c r="AG1254" i="2"/>
  <c r="AH1254" i="2" s="1"/>
  <c r="AG611" i="2"/>
  <c r="AH611" i="2" s="1"/>
  <c r="AG463" i="2"/>
  <c r="AH463" i="2" s="1"/>
  <c r="AG312" i="2"/>
  <c r="AH312" i="2" s="1"/>
  <c r="AG542" i="2"/>
  <c r="AH542" i="2" s="1"/>
  <c r="AG373" i="2"/>
  <c r="AH373" i="2" s="1"/>
  <c r="AG37" i="2"/>
  <c r="AH37" i="2" s="1"/>
  <c r="AG13" i="2"/>
  <c r="AH13" i="2" s="1"/>
  <c r="AC927" i="2"/>
  <c r="AC665" i="2"/>
  <c r="AC1254" i="2"/>
  <c r="AC611" i="2"/>
  <c r="AC463" i="2"/>
  <c r="AC312" i="2"/>
  <c r="AC542" i="2"/>
  <c r="AC373" i="2"/>
  <c r="AC37" i="2"/>
  <c r="AC13" i="2"/>
  <c r="X913" i="2"/>
  <c r="AB913" i="2" s="1"/>
  <c r="AD913" i="2" s="1"/>
  <c r="X927" i="2"/>
  <c r="AB927" i="2" s="1"/>
  <c r="AD927" i="2" s="1"/>
  <c r="X665" i="2"/>
  <c r="N665" i="2" s="1"/>
  <c r="X1254" i="2"/>
  <c r="Z1254" i="2" s="1"/>
  <c r="X611" i="2"/>
  <c r="N611" i="2" s="1"/>
  <c r="X463" i="2"/>
  <c r="AB463" i="2" s="1"/>
  <c r="AD463" i="2" s="1"/>
  <c r="X312" i="2"/>
  <c r="AB312" i="2" s="1"/>
  <c r="AD312" i="2" s="1"/>
  <c r="X542" i="2"/>
  <c r="AB542" i="2" s="1"/>
  <c r="AD542" i="2" s="1"/>
  <c r="X373" i="2"/>
  <c r="AB373" i="2" s="1"/>
  <c r="AD373" i="2" s="1"/>
  <c r="X37" i="2"/>
  <c r="AB37" i="2" s="1"/>
  <c r="AD37" i="2" s="1"/>
  <c r="X13" i="2"/>
  <c r="N13" i="2" s="1"/>
  <c r="AG21" i="2"/>
  <c r="AH21" i="2" s="1"/>
  <c r="BJ1310" i="2"/>
  <c r="BK1310" i="2" s="1"/>
  <c r="BJ1269" i="2"/>
  <c r="BK1269" i="2" s="1"/>
  <c r="BJ1262" i="2"/>
  <c r="BK1262" i="2" s="1"/>
  <c r="BJ625" i="2"/>
  <c r="BK625" i="2" s="1"/>
  <c r="BJ372" i="2"/>
  <c r="BK372" i="2" s="1"/>
  <c r="BJ51" i="2"/>
  <c r="BK51" i="2" s="1"/>
  <c r="BJ22" i="2"/>
  <c r="BK22" i="2" s="1"/>
  <c r="BJ40" i="2"/>
  <c r="BK40" i="2" s="1"/>
  <c r="BJ27" i="2"/>
  <c r="BK27" i="2" s="1"/>
  <c r="BJ21" i="2"/>
  <c r="BK21" i="2" s="1"/>
  <c r="AT1310" i="2"/>
  <c r="AT1269" i="2"/>
  <c r="AT1262" i="2"/>
  <c r="AT625" i="2"/>
  <c r="AT372" i="2"/>
  <c r="AT51" i="2"/>
  <c r="AT22" i="2"/>
  <c r="AT40" i="2"/>
  <c r="AT27" i="2"/>
  <c r="AT21" i="2"/>
  <c r="AG1310" i="2"/>
  <c r="AH1310" i="2" s="1"/>
  <c r="AG1269" i="2"/>
  <c r="AH1269" i="2" s="1"/>
  <c r="AG1262" i="2"/>
  <c r="AH1262" i="2" s="1"/>
  <c r="AG625" i="2"/>
  <c r="AH625" i="2" s="1"/>
  <c r="AG372" i="2"/>
  <c r="AH372" i="2" s="1"/>
  <c r="AG51" i="2"/>
  <c r="AH51" i="2" s="1"/>
  <c r="AG22" i="2"/>
  <c r="AH22" i="2" s="1"/>
  <c r="AG40" i="2"/>
  <c r="AH40" i="2" s="1"/>
  <c r="AG27" i="2"/>
  <c r="AH27" i="2" s="1"/>
  <c r="AC1310" i="2"/>
  <c r="AC1269" i="2"/>
  <c r="AC1262" i="2"/>
  <c r="AC625" i="2"/>
  <c r="AC372" i="2"/>
  <c r="AC51" i="2"/>
  <c r="AC22" i="2"/>
  <c r="AC40" i="2"/>
  <c r="AC27" i="2"/>
  <c r="AC21" i="2"/>
  <c r="Y1269" i="2"/>
  <c r="Y1262" i="2"/>
  <c r="Y625" i="2"/>
  <c r="Y372" i="2"/>
  <c r="Y51" i="2"/>
  <c r="Y22" i="2"/>
  <c r="Y40" i="2"/>
  <c r="Y27" i="2"/>
  <c r="Y21" i="2"/>
  <c r="Y1310" i="2"/>
  <c r="X1269" i="2"/>
  <c r="Z1269" i="2" s="1"/>
  <c r="X1262" i="2"/>
  <c r="X625" i="2"/>
  <c r="X372" i="2"/>
  <c r="X51" i="2"/>
  <c r="Z51" i="2" s="1"/>
  <c r="Q51" i="2" s="1"/>
  <c r="AE51" i="2" s="1"/>
  <c r="X22" i="2"/>
  <c r="X40" i="2"/>
  <c r="X27" i="2"/>
  <c r="X21" i="2"/>
  <c r="Z21" i="2" s="1"/>
  <c r="X1310" i="2"/>
  <c r="BJ240" i="2"/>
  <c r="BK240" i="2" s="1"/>
  <c r="BJ389" i="2"/>
  <c r="BK389" i="2" s="1"/>
  <c r="BJ561" i="2"/>
  <c r="BK561" i="2" s="1"/>
  <c r="BJ929" i="2"/>
  <c r="BK929" i="2" s="1"/>
  <c r="BJ1157" i="2"/>
  <c r="BK1157" i="2" s="1"/>
  <c r="AS1157" i="2"/>
  <c r="AT1157" i="2" s="1"/>
  <c r="AS929" i="2"/>
  <c r="AT929" i="2" s="1"/>
  <c r="AS561" i="2"/>
  <c r="AT561" i="2" s="1"/>
  <c r="AS389" i="2"/>
  <c r="AT389" i="2" s="1"/>
  <c r="AS240" i="2"/>
  <c r="AT240" i="2" s="1"/>
  <c r="AK1157" i="2"/>
  <c r="AK929" i="2"/>
  <c r="AK561" i="2"/>
  <c r="AK389" i="2"/>
  <c r="AK240" i="2"/>
  <c r="AI240" i="2"/>
  <c r="AF240" i="2" s="1"/>
  <c r="AI389" i="2"/>
  <c r="AF389" i="2" s="1"/>
  <c r="AI561" i="2"/>
  <c r="AF561" i="2" s="1"/>
  <c r="AI929" i="2"/>
  <c r="AI1157" i="2"/>
  <c r="AF1157" i="2" s="1"/>
  <c r="AG1157" i="2"/>
  <c r="AG929" i="2"/>
  <c r="AG561" i="2"/>
  <c r="AG389" i="2"/>
  <c r="AG240" i="2"/>
  <c r="AC1157" i="2"/>
  <c r="AC929" i="2"/>
  <c r="AC561" i="2"/>
  <c r="AC389" i="2"/>
  <c r="AC240" i="2"/>
  <c r="Y1157" i="2"/>
  <c r="Z1157" i="2" s="1"/>
  <c r="Y929" i="2"/>
  <c r="Z929" i="2" s="1"/>
  <c r="Y389" i="2"/>
  <c r="Z389" i="2" s="1"/>
  <c r="Y240" i="2"/>
  <c r="Z240" i="2" s="1"/>
  <c r="X1157" i="2"/>
  <c r="X929" i="2"/>
  <c r="X561" i="2"/>
  <c r="X389" i="2"/>
  <c r="X240" i="2"/>
  <c r="BJ25" i="2"/>
  <c r="BK25" i="2" s="1"/>
  <c r="BJ108" i="2"/>
  <c r="BK108" i="2" s="1"/>
  <c r="BJ849" i="2"/>
  <c r="BK849" i="2" s="1"/>
  <c r="BJ329" i="2"/>
  <c r="BK329" i="2" s="1"/>
  <c r="BJ924" i="2"/>
  <c r="BK924" i="2" s="1"/>
  <c r="BJ1430" i="2"/>
  <c r="BK1430" i="2" s="1"/>
  <c r="BJ601" i="2"/>
  <c r="BK601" i="2" s="1"/>
  <c r="BJ1219" i="2"/>
  <c r="BK1219" i="2" s="1"/>
  <c r="BJ1568" i="2"/>
  <c r="BK1568" i="2" s="1"/>
  <c r="AS1219" i="2"/>
  <c r="AT1219" i="2" s="1"/>
  <c r="AS601" i="2"/>
  <c r="AT601" i="2" s="1"/>
  <c r="AS1430" i="2"/>
  <c r="AT1430" i="2" s="1"/>
  <c r="AS924" i="2"/>
  <c r="AT924" i="2" s="1"/>
  <c r="AS329" i="2"/>
  <c r="AT329" i="2" s="1"/>
  <c r="AS849" i="2"/>
  <c r="AT849" i="2" s="1"/>
  <c r="AS108" i="2"/>
  <c r="AT108" i="2" s="1"/>
  <c r="AS25" i="2"/>
  <c r="AT25" i="2" s="1"/>
  <c r="AS1568" i="2"/>
  <c r="AT1568" i="2" s="1"/>
  <c r="AG1568" i="2"/>
  <c r="AH1568" i="2" s="1"/>
  <c r="AG1219" i="2"/>
  <c r="AH1219" i="2" s="1"/>
  <c r="AG601" i="2"/>
  <c r="AH601" i="2" s="1"/>
  <c r="AG1430" i="2"/>
  <c r="AH1430" i="2" s="1"/>
  <c r="AG924" i="2"/>
  <c r="AH924" i="2" s="1"/>
  <c r="AG329" i="2"/>
  <c r="AH329" i="2" s="1"/>
  <c r="AG849" i="2"/>
  <c r="AH849" i="2" s="1"/>
  <c r="AG108" i="2"/>
  <c r="AH108" i="2" s="1"/>
  <c r="AG25" i="2"/>
  <c r="AH25" i="2" s="1"/>
  <c r="AC1568" i="2"/>
  <c r="AC1219" i="2"/>
  <c r="AC601" i="2"/>
  <c r="AC1430" i="2"/>
  <c r="AC924" i="2"/>
  <c r="AC329" i="2"/>
  <c r="AC849" i="2"/>
  <c r="AC108" i="2"/>
  <c r="AC25" i="2"/>
  <c r="AA25" i="2"/>
  <c r="AF25" i="2" s="1"/>
  <c r="AA108" i="2"/>
  <c r="AF108" i="2" s="1"/>
  <c r="AA849" i="2"/>
  <c r="AF849" i="2" s="1"/>
  <c r="AA329" i="2"/>
  <c r="AA924" i="2"/>
  <c r="AA1430" i="2"/>
  <c r="AA601" i="2"/>
  <c r="AA1219" i="2"/>
  <c r="AF1219" i="2" s="1"/>
  <c r="AA1568" i="2"/>
  <c r="AF1568" i="2" s="1"/>
  <c r="Y1219" i="2"/>
  <c r="Y601" i="2"/>
  <c r="Y1430" i="2"/>
  <c r="Y924" i="2"/>
  <c r="Y329" i="2"/>
  <c r="Y849" i="2"/>
  <c r="Y108" i="2"/>
  <c r="Y25" i="2"/>
  <c r="Y1568" i="2"/>
  <c r="X1219" i="2"/>
  <c r="X601" i="2"/>
  <c r="X1430" i="2"/>
  <c r="X924" i="2"/>
  <c r="X329" i="2"/>
  <c r="X849" i="2"/>
  <c r="X108" i="2"/>
  <c r="X25" i="2"/>
  <c r="X1568" i="2"/>
  <c r="BJ1324" i="2"/>
  <c r="BK1324" i="2" s="1"/>
  <c r="BJ511" i="2"/>
  <c r="BK511" i="2" s="1"/>
  <c r="BJ947" i="2"/>
  <c r="BK947" i="2" s="1"/>
  <c r="BJ797" i="2"/>
  <c r="BK797" i="2" s="1"/>
  <c r="BJ1115" i="2"/>
  <c r="BK1115" i="2" s="1"/>
  <c r="BJ1025" i="2"/>
  <c r="BK1025" i="2" s="1"/>
  <c r="AS511" i="2"/>
  <c r="AT511" i="2" s="1"/>
  <c r="AS947" i="2"/>
  <c r="AT947" i="2" s="1"/>
  <c r="AS797" i="2"/>
  <c r="AT797" i="2" s="1"/>
  <c r="AS1115" i="2"/>
  <c r="AT1115" i="2" s="1"/>
  <c r="AS1025" i="2"/>
  <c r="AT1025" i="2" s="1"/>
  <c r="AS1324" i="2"/>
  <c r="AT1324" i="2" s="1"/>
  <c r="AG1324" i="2"/>
  <c r="AH1324" i="2" s="1"/>
  <c r="AG511" i="2"/>
  <c r="AH511" i="2" s="1"/>
  <c r="AG947" i="2"/>
  <c r="AH947" i="2" s="1"/>
  <c r="AG797" i="2"/>
  <c r="AH797" i="2" s="1"/>
  <c r="AG1115" i="2"/>
  <c r="AH1115" i="2" s="1"/>
  <c r="AG1025" i="2"/>
  <c r="AH1025" i="2" s="1"/>
  <c r="AC1324" i="2"/>
  <c r="AC511" i="2"/>
  <c r="AC947" i="2"/>
  <c r="AC797" i="2"/>
  <c r="AC1115" i="2"/>
  <c r="AC1025" i="2"/>
  <c r="Y511" i="2"/>
  <c r="Y947" i="2"/>
  <c r="Y797" i="2"/>
  <c r="Y1115" i="2"/>
  <c r="Y1025" i="2"/>
  <c r="Y1324" i="2"/>
  <c r="X511" i="2"/>
  <c r="X947" i="2"/>
  <c r="X797" i="2"/>
  <c r="X1115" i="2"/>
  <c r="Z1115" i="2" s="1"/>
  <c r="Q1115" i="2" s="1"/>
  <c r="AE1115" i="2" s="1"/>
  <c r="X1025" i="2"/>
  <c r="Z1025" i="2" s="1"/>
  <c r="X1324" i="2"/>
  <c r="Z1324" i="2" s="1"/>
  <c r="BJ9" i="2"/>
  <c r="BK9" i="2" s="1"/>
  <c r="BJ103" i="2"/>
  <c r="BK103" i="2" s="1"/>
  <c r="BJ144" i="2"/>
  <c r="BK144" i="2" s="1"/>
  <c r="AT144" i="2"/>
  <c r="AT103" i="2"/>
  <c r="AT9" i="2"/>
  <c r="AG144" i="2"/>
  <c r="AH144" i="2" s="1"/>
  <c r="AG103" i="2"/>
  <c r="AH103" i="2" s="1"/>
  <c r="AG9" i="2"/>
  <c r="AH9" i="2" s="1"/>
  <c r="AC144" i="2"/>
  <c r="AC103" i="2"/>
  <c r="AC9" i="2"/>
  <c r="Y144" i="2"/>
  <c r="Y103" i="2"/>
  <c r="Y9" i="2"/>
  <c r="X144" i="2"/>
  <c r="X103" i="2"/>
  <c r="X9" i="2"/>
  <c r="X93" i="2"/>
  <c r="AT93" i="2"/>
  <c r="BJ93" i="2"/>
  <c r="BK93" i="2" s="1"/>
  <c r="Y93" i="2"/>
  <c r="AC93" i="2"/>
  <c r="AG93" i="2"/>
  <c r="AH93" i="2" s="1"/>
  <c r="AT1714" i="2"/>
  <c r="AT1591" i="2"/>
  <c r="AT1592" i="2"/>
  <c r="AT353" i="2"/>
  <c r="AT1590" i="2"/>
  <c r="AT1589" i="2"/>
  <c r="AT328" i="2"/>
  <c r="AT1725" i="2"/>
  <c r="AT1574" i="2"/>
  <c r="AT706" i="2"/>
  <c r="AT1133" i="2"/>
  <c r="AT299" i="2"/>
  <c r="AT1121" i="2"/>
  <c r="AT1700" i="2"/>
  <c r="AT1135" i="2"/>
  <c r="AT1726" i="2"/>
  <c r="AT1429" i="2"/>
  <c r="AT970" i="2"/>
  <c r="AT1554" i="2"/>
  <c r="AT1101" i="2"/>
  <c r="AT1062" i="2"/>
  <c r="AT1578" i="2"/>
  <c r="AT1569" i="2"/>
  <c r="AT262" i="2"/>
  <c r="AT1089" i="2"/>
  <c r="AT1724" i="2"/>
  <c r="AT1060" i="2"/>
  <c r="AT229" i="2"/>
  <c r="AT1038" i="2"/>
  <c r="AT1034" i="2"/>
  <c r="AT1545" i="2"/>
  <c r="AT1166" i="2"/>
  <c r="AT1277" i="2"/>
  <c r="AT1723" i="2"/>
  <c r="AT954" i="2"/>
  <c r="AT1602" i="2"/>
  <c r="AT1721" i="2"/>
  <c r="AT669" i="2"/>
  <c r="AT1594" i="2"/>
  <c r="AT1042" i="2"/>
  <c r="AT1720" i="2"/>
  <c r="AT1190" i="2"/>
  <c r="AT1718" i="2"/>
  <c r="AT755" i="2"/>
  <c r="AT926" i="2"/>
  <c r="AT153" i="2"/>
  <c r="AT866" i="2"/>
  <c r="AT1122" i="2"/>
  <c r="AT987" i="2"/>
  <c r="AT1307" i="2"/>
  <c r="AT138" i="2"/>
  <c r="AT1449" i="2"/>
  <c r="AT847" i="2"/>
  <c r="AT707" i="2"/>
  <c r="AT123" i="2"/>
  <c r="AT1716" i="2"/>
  <c r="AT1251" i="2"/>
  <c r="AT879" i="2"/>
  <c r="AT1698" i="2"/>
  <c r="AT1712" i="2"/>
  <c r="AT1722" i="2"/>
  <c r="AT116" i="2"/>
  <c r="AT1259" i="2"/>
  <c r="AT1383" i="2"/>
  <c r="AT773" i="2"/>
  <c r="AT1531" i="2"/>
  <c r="AT1295" i="2"/>
  <c r="AT758" i="2"/>
  <c r="AT792" i="2"/>
  <c r="AT99" i="2"/>
  <c r="AT1291" i="2"/>
  <c r="AT824" i="2"/>
  <c r="AT1286" i="2"/>
  <c r="AT1527" i="2"/>
  <c r="AT1205" i="2"/>
  <c r="AT470" i="2"/>
  <c r="AT1298" i="2"/>
  <c r="AT750" i="2"/>
  <c r="AT1263" i="2"/>
  <c r="AT1063" i="2"/>
  <c r="AT1710" i="2"/>
  <c r="AT1246" i="2"/>
  <c r="AT1242" i="2"/>
  <c r="AT1490" i="2"/>
  <c r="AT76" i="2"/>
  <c r="AT980" i="2"/>
  <c r="AT1218" i="2"/>
  <c r="AT698" i="2"/>
  <c r="AT1719" i="2"/>
  <c r="AT652" i="2"/>
  <c r="AT1195" i="2"/>
  <c r="AT1188" i="2"/>
  <c r="AT515" i="2"/>
  <c r="AT708" i="2"/>
  <c r="AT1182" i="2"/>
  <c r="AT659" i="2"/>
  <c r="AT65" i="2"/>
  <c r="AT1443" i="2"/>
  <c r="AT1267" i="2"/>
  <c r="AT64" i="2"/>
  <c r="AT1199" i="2"/>
  <c r="AT1717" i="2"/>
  <c r="AT628" i="2"/>
  <c r="AT1140" i="2"/>
  <c r="AT327" i="2"/>
  <c r="AT1167" i="2"/>
  <c r="AT911" i="2"/>
  <c r="AT55" i="2"/>
  <c r="AT1006" i="2"/>
  <c r="AT854" i="2"/>
  <c r="AT1390" i="2"/>
  <c r="AT1193" i="2"/>
  <c r="AT1701" i="2"/>
  <c r="AT1696" i="2"/>
  <c r="AT403" i="2"/>
  <c r="AT771" i="2"/>
  <c r="AT1072" i="2"/>
  <c r="AT1369" i="2"/>
  <c r="AT1097" i="2"/>
  <c r="AT522" i="2"/>
  <c r="AT505" i="2"/>
  <c r="AT1162" i="2"/>
  <c r="AT1336" i="2"/>
  <c r="AT1120" i="2"/>
  <c r="AT946" i="2"/>
  <c r="AT726" i="2"/>
  <c r="AT1317" i="2"/>
  <c r="AT471" i="2"/>
  <c r="AT311" i="2"/>
  <c r="AT675" i="2"/>
  <c r="AT303" i="2"/>
  <c r="AT1292" i="2"/>
  <c r="AT431" i="2"/>
  <c r="AT424" i="2"/>
  <c r="AT995" i="2"/>
  <c r="AT1098" i="2"/>
  <c r="AT1276" i="2"/>
  <c r="AT725" i="2"/>
  <c r="AT408" i="2"/>
  <c r="AT401" i="2"/>
  <c r="AT645" i="2"/>
  <c r="AT378" i="2"/>
  <c r="AT376" i="2"/>
  <c r="AT880" i="2"/>
  <c r="AT1699" i="2"/>
  <c r="AT999" i="2"/>
  <c r="AT1208" i="2"/>
  <c r="AT1163" i="2"/>
  <c r="AT1041" i="2"/>
  <c r="AT307" i="2"/>
  <c r="AT596" i="2"/>
  <c r="AT850" i="2"/>
  <c r="AT546" i="2"/>
  <c r="AT713" i="2"/>
  <c r="AT787" i="2"/>
  <c r="AT269" i="2"/>
  <c r="AT925" i="2"/>
  <c r="AT867" i="2"/>
  <c r="AT273" i="2"/>
  <c r="AT248" i="2"/>
  <c r="AT1715" i="2"/>
  <c r="AT1024" i="2"/>
  <c r="AT700" i="2"/>
  <c r="AT1697" i="2"/>
  <c r="AT813" i="2"/>
  <c r="AT574" i="2"/>
  <c r="AT1033" i="2"/>
  <c r="AT1713" i="2"/>
  <c r="AT1708" i="2"/>
  <c r="AT655" i="2"/>
  <c r="AT838" i="2"/>
  <c r="AT754" i="2"/>
  <c r="AT662" i="2"/>
  <c r="AT196" i="2"/>
  <c r="AT339" i="2"/>
  <c r="AT591" i="2"/>
  <c r="AT572" i="2"/>
  <c r="AT602" i="2"/>
  <c r="AT544" i="2"/>
  <c r="AT893" i="2"/>
  <c r="AT533" i="2"/>
  <c r="AT109" i="2"/>
  <c r="AT567" i="2"/>
  <c r="AT1694" i="2"/>
  <c r="AT869" i="2"/>
  <c r="AT507" i="2"/>
  <c r="AT1695" i="2"/>
  <c r="AT290" i="2"/>
  <c r="AT344" i="2"/>
  <c r="AT1711" i="2"/>
  <c r="AT84" i="2"/>
  <c r="AT72" i="2"/>
  <c r="AT694" i="2"/>
  <c r="AT1709" i="2"/>
  <c r="AT57" i="2"/>
  <c r="AT289" i="2"/>
  <c r="AT63" i="2"/>
  <c r="AT218" i="2"/>
  <c r="AT24" i="2"/>
  <c r="AT23" i="2"/>
  <c r="AT399" i="2"/>
  <c r="AT143" i="2"/>
  <c r="AT10" i="2"/>
  <c r="AT137" i="2"/>
  <c r="AT50" i="2"/>
  <c r="AT28" i="2"/>
  <c r="AT190" i="2"/>
  <c r="AT5" i="2"/>
  <c r="AT56" i="2"/>
  <c r="AT48" i="2"/>
  <c r="AT3" i="2"/>
  <c r="AT4" i="2"/>
  <c r="AT120" i="2"/>
  <c r="AT15" i="2"/>
  <c r="AT16" i="2"/>
  <c r="AT14" i="2"/>
  <c r="AT2" i="2"/>
  <c r="AT6" i="2"/>
  <c r="BJ764" i="2"/>
  <c r="BK764" i="2" s="1"/>
  <c r="BJ829" i="2"/>
  <c r="BK829" i="2" s="1"/>
  <c r="BJ1004" i="2"/>
  <c r="BK1004" i="2" s="1"/>
  <c r="BJ1349" i="2"/>
  <c r="BK1349" i="2" s="1"/>
  <c r="BJ1512" i="2"/>
  <c r="BK1512" i="2" s="1"/>
  <c r="AS764" i="2"/>
  <c r="AT764" i="2" s="1"/>
  <c r="AS829" i="2"/>
  <c r="AT829" i="2" s="1"/>
  <c r="AS1004" i="2"/>
  <c r="AT1004" i="2" s="1"/>
  <c r="AS1349" i="2"/>
  <c r="AT1349" i="2" s="1"/>
  <c r="AS1512" i="2"/>
  <c r="AT1512" i="2" s="1"/>
  <c r="AG764" i="2"/>
  <c r="AH764" i="2" s="1"/>
  <c r="AG829" i="2"/>
  <c r="AH829" i="2" s="1"/>
  <c r="AG1004" i="2"/>
  <c r="AH1004" i="2" s="1"/>
  <c r="AG1349" i="2"/>
  <c r="AH1349" i="2" s="1"/>
  <c r="AG1512" i="2"/>
  <c r="AH1512" i="2" s="1"/>
  <c r="AC764" i="2"/>
  <c r="AC829" i="2"/>
  <c r="AC1004" i="2"/>
  <c r="AC1349" i="2"/>
  <c r="AC1512" i="2"/>
  <c r="X764" i="2"/>
  <c r="Z764" i="2" s="1"/>
  <c r="AB764" i="2" s="1"/>
  <c r="AD764" i="2" s="1"/>
  <c r="X829" i="2"/>
  <c r="Z829" i="2" s="1"/>
  <c r="AB829" i="2" s="1"/>
  <c r="AD829" i="2" s="1"/>
  <c r="X1004" i="2"/>
  <c r="N1004" i="2" s="1"/>
  <c r="X1349" i="2"/>
  <c r="N1349" i="2" s="1"/>
  <c r="X1512" i="2"/>
  <c r="Z1512" i="2" s="1"/>
  <c r="BJ928" i="2"/>
  <c r="BK928" i="2" s="1"/>
  <c r="BJ1010" i="2"/>
  <c r="BK1010" i="2" s="1"/>
  <c r="BJ1003" i="2"/>
  <c r="BK1003" i="2" s="1"/>
  <c r="BJ1266" i="2"/>
  <c r="BK1266" i="2" s="1"/>
  <c r="BJ1370" i="2"/>
  <c r="BK1370" i="2" s="1"/>
  <c r="AS928" i="2"/>
  <c r="AT928" i="2" s="1"/>
  <c r="AS1010" i="2"/>
  <c r="AT1010" i="2" s="1"/>
  <c r="AS1003" i="2"/>
  <c r="AT1003" i="2" s="1"/>
  <c r="AS1266" i="2"/>
  <c r="AT1266" i="2" s="1"/>
  <c r="AS1370" i="2"/>
  <c r="AT1370" i="2" s="1"/>
  <c r="AG928" i="2"/>
  <c r="AH928" i="2" s="1"/>
  <c r="AG1010" i="2"/>
  <c r="AH1010" i="2" s="1"/>
  <c r="AG1003" i="2"/>
  <c r="AH1003" i="2" s="1"/>
  <c r="AG1266" i="2"/>
  <c r="AH1266" i="2" s="1"/>
  <c r="AG1370" i="2"/>
  <c r="AH1370" i="2" s="1"/>
  <c r="AC928" i="2"/>
  <c r="AC1010" i="2"/>
  <c r="AC1003" i="2"/>
  <c r="AC1266" i="2"/>
  <c r="AC1370" i="2"/>
  <c r="X928" i="2"/>
  <c r="Z928" i="2" s="1"/>
  <c r="AB928" i="2" s="1"/>
  <c r="AD928" i="2" s="1"/>
  <c r="X1010" i="2"/>
  <c r="N1010" i="2" s="1"/>
  <c r="X1003" i="2"/>
  <c r="Z1003" i="2" s="1"/>
  <c r="Q1003" i="2" s="1"/>
  <c r="AE1003" i="2" s="1"/>
  <c r="X1266" i="2"/>
  <c r="N1266" i="2" s="1"/>
  <c r="X1370" i="2"/>
  <c r="Z1370" i="2" s="1"/>
  <c r="BJ1515" i="2"/>
  <c r="BK1515" i="2" s="1"/>
  <c r="BJ1566" i="2"/>
  <c r="BK1566" i="2" s="1"/>
  <c r="BJ1321" i="2"/>
  <c r="BK1321" i="2" s="1"/>
  <c r="BJ1366" i="2"/>
  <c r="BK1366" i="2" s="1"/>
  <c r="BJ1245" i="2"/>
  <c r="BK1245" i="2" s="1"/>
  <c r="BJ1477" i="2"/>
  <c r="BK1477" i="2" s="1"/>
  <c r="BJ914" i="2"/>
  <c r="BK914" i="2" s="1"/>
  <c r="BJ963" i="2"/>
  <c r="BK963" i="2" s="1"/>
  <c r="BJ791" i="2"/>
  <c r="BK791" i="2" s="1"/>
  <c r="BJ1392" i="2"/>
  <c r="BK1392" i="2" s="1"/>
  <c r="BJ562" i="2"/>
  <c r="BK562" i="2" s="1"/>
  <c r="BJ506" i="2"/>
  <c r="BK506" i="2" s="1"/>
  <c r="BJ352" i="2"/>
  <c r="BK352" i="2" s="1"/>
  <c r="BJ1261" i="2"/>
  <c r="BK1261" i="2" s="1"/>
  <c r="BJ321" i="2"/>
  <c r="BK321" i="2" s="1"/>
  <c r="BJ298" i="2"/>
  <c r="BK298" i="2" s="1"/>
  <c r="BJ219" i="2"/>
  <c r="BK219" i="2" s="1"/>
  <c r="BJ1478" i="2"/>
  <c r="BK1478" i="2" s="1"/>
  <c r="BJ1499" i="2"/>
  <c r="BK1499" i="2" s="1"/>
  <c r="BJ1345" i="2"/>
  <c r="BK1345" i="2" s="1"/>
  <c r="BJ1367" i="2"/>
  <c r="BK1367" i="2" s="1"/>
  <c r="BJ1175" i="2"/>
  <c r="BK1175" i="2" s="1"/>
  <c r="BJ1384" i="2"/>
  <c r="BK1384" i="2" s="1"/>
  <c r="BJ952" i="2"/>
  <c r="BK952" i="2" s="1"/>
  <c r="BJ990" i="2"/>
  <c r="BK990" i="2" s="1"/>
  <c r="BJ643" i="2"/>
  <c r="BK643" i="2" s="1"/>
  <c r="BJ1226" i="2"/>
  <c r="BK1226" i="2" s="1"/>
  <c r="BJ597" i="2"/>
  <c r="BK597" i="2" s="1"/>
  <c r="BJ580" i="2"/>
  <c r="BK580" i="2" s="1"/>
  <c r="BJ182" i="2"/>
  <c r="BK182" i="2" s="1"/>
  <c r="BJ1047" i="2"/>
  <c r="BK1047" i="2" s="1"/>
  <c r="BJ456" i="2"/>
  <c r="BK456" i="2" s="1"/>
  <c r="BJ377" i="2"/>
  <c r="BK377" i="2" s="1"/>
  <c r="BJ75" i="2"/>
  <c r="BK75" i="2" s="1"/>
  <c r="AS1515" i="2"/>
  <c r="AT1515" i="2" s="1"/>
  <c r="AS1566" i="2"/>
  <c r="AT1566" i="2" s="1"/>
  <c r="AS1321" i="2"/>
  <c r="AT1321" i="2" s="1"/>
  <c r="AS1366" i="2"/>
  <c r="AT1366" i="2" s="1"/>
  <c r="AS1245" i="2"/>
  <c r="AT1245" i="2" s="1"/>
  <c r="AS1477" i="2"/>
  <c r="AT1477" i="2" s="1"/>
  <c r="AS914" i="2"/>
  <c r="AT914" i="2" s="1"/>
  <c r="AS963" i="2"/>
  <c r="AT963" i="2" s="1"/>
  <c r="AS791" i="2"/>
  <c r="AT791" i="2" s="1"/>
  <c r="AS1392" i="2"/>
  <c r="AT1392" i="2" s="1"/>
  <c r="AS562" i="2"/>
  <c r="AT562" i="2" s="1"/>
  <c r="AS506" i="2"/>
  <c r="AT506" i="2" s="1"/>
  <c r="AS352" i="2"/>
  <c r="AT352" i="2" s="1"/>
  <c r="AS1261" i="2"/>
  <c r="AT1261" i="2" s="1"/>
  <c r="AS321" i="2"/>
  <c r="AT321" i="2" s="1"/>
  <c r="AS298" i="2"/>
  <c r="AT298" i="2" s="1"/>
  <c r="AS219" i="2"/>
  <c r="AT219" i="2" s="1"/>
  <c r="AS1478" i="2"/>
  <c r="AT1478" i="2" s="1"/>
  <c r="AS1499" i="2"/>
  <c r="AT1499" i="2" s="1"/>
  <c r="AS1345" i="2"/>
  <c r="AT1345" i="2" s="1"/>
  <c r="AS1367" i="2"/>
  <c r="AT1367" i="2" s="1"/>
  <c r="AS1175" i="2"/>
  <c r="AT1175" i="2" s="1"/>
  <c r="AS1384" i="2"/>
  <c r="AT1384" i="2" s="1"/>
  <c r="AS952" i="2"/>
  <c r="AT952" i="2" s="1"/>
  <c r="AS990" i="2"/>
  <c r="AT990" i="2" s="1"/>
  <c r="AS643" i="2"/>
  <c r="AT643" i="2" s="1"/>
  <c r="AS1226" i="2"/>
  <c r="AT1226" i="2" s="1"/>
  <c r="AS597" i="2"/>
  <c r="AT597" i="2" s="1"/>
  <c r="AS580" i="2"/>
  <c r="AT580" i="2" s="1"/>
  <c r="AS182" i="2"/>
  <c r="AT182" i="2" s="1"/>
  <c r="AS1047" i="2"/>
  <c r="AT1047" i="2" s="1"/>
  <c r="AS456" i="2"/>
  <c r="AT456" i="2" s="1"/>
  <c r="AS377" i="2"/>
  <c r="AT377" i="2" s="1"/>
  <c r="AS75" i="2"/>
  <c r="AT75" i="2" s="1"/>
  <c r="AG1515" i="2"/>
  <c r="AH1515" i="2" s="1"/>
  <c r="AG1566" i="2"/>
  <c r="AH1566" i="2" s="1"/>
  <c r="AG1321" i="2"/>
  <c r="AH1321" i="2" s="1"/>
  <c r="AG1366" i="2"/>
  <c r="AH1366" i="2" s="1"/>
  <c r="AG1245" i="2"/>
  <c r="AH1245" i="2" s="1"/>
  <c r="AG1477" i="2"/>
  <c r="AH1477" i="2" s="1"/>
  <c r="AG914" i="2"/>
  <c r="AH914" i="2" s="1"/>
  <c r="AG963" i="2"/>
  <c r="AH963" i="2" s="1"/>
  <c r="AG791" i="2"/>
  <c r="AH791" i="2" s="1"/>
  <c r="AG1392" i="2"/>
  <c r="AH1392" i="2" s="1"/>
  <c r="AG562" i="2"/>
  <c r="AH562" i="2" s="1"/>
  <c r="AG506" i="2"/>
  <c r="AH506" i="2" s="1"/>
  <c r="AG352" i="2"/>
  <c r="AH352" i="2" s="1"/>
  <c r="AG1261" i="2"/>
  <c r="AH1261" i="2" s="1"/>
  <c r="AG321" i="2"/>
  <c r="AH321" i="2" s="1"/>
  <c r="AG298" i="2"/>
  <c r="AH298" i="2" s="1"/>
  <c r="AG219" i="2"/>
  <c r="AH219" i="2" s="1"/>
  <c r="AG1478" i="2"/>
  <c r="AH1478" i="2" s="1"/>
  <c r="AG1499" i="2"/>
  <c r="AH1499" i="2" s="1"/>
  <c r="AG1345" i="2"/>
  <c r="AH1345" i="2" s="1"/>
  <c r="AG1367" i="2"/>
  <c r="AH1367" i="2" s="1"/>
  <c r="AG1175" i="2"/>
  <c r="AH1175" i="2" s="1"/>
  <c r="AG1384" i="2"/>
  <c r="AH1384" i="2" s="1"/>
  <c r="AG952" i="2"/>
  <c r="AH952" i="2" s="1"/>
  <c r="AG990" i="2"/>
  <c r="AH990" i="2" s="1"/>
  <c r="AG643" i="2"/>
  <c r="AH643" i="2" s="1"/>
  <c r="AG1226" i="2"/>
  <c r="AH1226" i="2" s="1"/>
  <c r="AG597" i="2"/>
  <c r="AH597" i="2" s="1"/>
  <c r="AG580" i="2"/>
  <c r="AH580" i="2" s="1"/>
  <c r="AG182" i="2"/>
  <c r="AH182" i="2" s="1"/>
  <c r="AG1047" i="2"/>
  <c r="AH1047" i="2" s="1"/>
  <c r="AG456" i="2"/>
  <c r="AH456" i="2" s="1"/>
  <c r="AG377" i="2"/>
  <c r="AH377" i="2" s="1"/>
  <c r="AG75" i="2"/>
  <c r="AH75" i="2" s="1"/>
  <c r="AC1226" i="2"/>
  <c r="AC597" i="2"/>
  <c r="AC580" i="2"/>
  <c r="AC182" i="2"/>
  <c r="AC1047" i="2"/>
  <c r="AC456" i="2"/>
  <c r="AC377" i="2"/>
  <c r="AC75" i="2"/>
  <c r="X1226" i="2"/>
  <c r="Z1226" i="2" s="1"/>
  <c r="AB1226" i="2" s="1"/>
  <c r="AD1226" i="2" s="1"/>
  <c r="X597" i="2"/>
  <c r="N597" i="2" s="1"/>
  <c r="X580" i="2"/>
  <c r="Z580" i="2" s="1"/>
  <c r="X182" i="2"/>
  <c r="N182" i="2" s="1"/>
  <c r="X1047" i="2"/>
  <c r="Z1047" i="2" s="1"/>
  <c r="X456" i="2"/>
  <c r="N456" i="2" s="1"/>
  <c r="X377" i="2"/>
  <c r="Z377" i="2" s="1"/>
  <c r="AB377" i="2" s="1"/>
  <c r="AD377" i="2" s="1"/>
  <c r="X75" i="2"/>
  <c r="Z75" i="2" s="1"/>
  <c r="AB75" i="2" s="1"/>
  <c r="AD75" i="2" s="1"/>
  <c r="AC1515" i="2"/>
  <c r="AC1566" i="2"/>
  <c r="AC1321" i="2"/>
  <c r="AC1366" i="2"/>
  <c r="AC1245" i="2"/>
  <c r="AC1477" i="2"/>
  <c r="AC914" i="2"/>
  <c r="AC963" i="2"/>
  <c r="AC791" i="2"/>
  <c r="AC1392" i="2"/>
  <c r="AC562" i="2"/>
  <c r="AC506" i="2"/>
  <c r="AC352" i="2"/>
  <c r="AC1261" i="2"/>
  <c r="AC321" i="2"/>
  <c r="AC298" i="2"/>
  <c r="AC219" i="2"/>
  <c r="AC1478" i="2"/>
  <c r="AC1499" i="2"/>
  <c r="AC1345" i="2"/>
  <c r="AC1367" i="2"/>
  <c r="AC1175" i="2"/>
  <c r="AC1384" i="2"/>
  <c r="AC952" i="2"/>
  <c r="AC990" i="2"/>
  <c r="AC643" i="2"/>
  <c r="X1515" i="2"/>
  <c r="Z1515" i="2" s="1"/>
  <c r="Q1515" i="2" s="1"/>
  <c r="AE1515" i="2" s="1"/>
  <c r="X1566" i="2"/>
  <c r="Z1566" i="2" s="1"/>
  <c r="Q1566" i="2" s="1"/>
  <c r="AE1566" i="2" s="1"/>
  <c r="X1321" i="2"/>
  <c r="Z1321" i="2" s="1"/>
  <c r="AB1321" i="2" s="1"/>
  <c r="AD1321" i="2" s="1"/>
  <c r="X1366" i="2"/>
  <c r="Z1366" i="2" s="1"/>
  <c r="AB1366" i="2" s="1"/>
  <c r="AD1366" i="2" s="1"/>
  <c r="X1245" i="2"/>
  <c r="N1245" i="2" s="1"/>
  <c r="X1477" i="2"/>
  <c r="Z1477" i="2" s="1"/>
  <c r="X914" i="2"/>
  <c r="Z914" i="2" s="1"/>
  <c r="X963" i="2"/>
  <c r="Z963" i="2" s="1"/>
  <c r="AB963" i="2" s="1"/>
  <c r="AD963" i="2" s="1"/>
  <c r="X791" i="2"/>
  <c r="Z791" i="2" s="1"/>
  <c r="AB791" i="2" s="1"/>
  <c r="AD791" i="2" s="1"/>
  <c r="X1392" i="2"/>
  <c r="N1392" i="2" s="1"/>
  <c r="X562" i="2"/>
  <c r="Z562" i="2" s="1"/>
  <c r="AB562" i="2" s="1"/>
  <c r="AD562" i="2" s="1"/>
  <c r="X506" i="2"/>
  <c r="Z506" i="2" s="1"/>
  <c r="Q506" i="2" s="1"/>
  <c r="AE506" i="2" s="1"/>
  <c r="X352" i="2"/>
  <c r="N352" i="2" s="1"/>
  <c r="X1261" i="2"/>
  <c r="N1261" i="2" s="1"/>
  <c r="X321" i="2"/>
  <c r="N321" i="2" s="1"/>
  <c r="X298" i="2"/>
  <c r="N298" i="2" s="1"/>
  <c r="X219" i="2"/>
  <c r="Z219" i="2" s="1"/>
  <c r="Q219" i="2" s="1"/>
  <c r="AE219" i="2" s="1"/>
  <c r="X1478" i="2"/>
  <c r="N1478" i="2" s="1"/>
  <c r="X1499" i="2"/>
  <c r="N1499" i="2" s="1"/>
  <c r="X1345" i="2"/>
  <c r="Z1345" i="2" s="1"/>
  <c r="X1367" i="2"/>
  <c r="N1367" i="2" s="1"/>
  <c r="X1175" i="2"/>
  <c r="Z1175" i="2" s="1"/>
  <c r="Q1175" i="2" s="1"/>
  <c r="AE1175" i="2" s="1"/>
  <c r="X1384" i="2"/>
  <c r="Z1384" i="2" s="1"/>
  <c r="AB1384" i="2" s="1"/>
  <c r="AD1384" i="2" s="1"/>
  <c r="X952" i="2"/>
  <c r="N952" i="2" s="1"/>
  <c r="X990" i="2"/>
  <c r="N990" i="2" s="1"/>
  <c r="X643" i="2"/>
  <c r="Z643" i="2" s="1"/>
  <c r="AB643" i="2" s="1"/>
  <c r="AD643" i="2" s="1"/>
  <c r="BJ992" i="2"/>
  <c r="BK992" i="2" s="1"/>
  <c r="BJ1090" i="2"/>
  <c r="BK1090" i="2" s="1"/>
  <c r="AS992" i="2"/>
  <c r="AT992" i="2" s="1"/>
  <c r="AS1090" i="2"/>
  <c r="AT1090" i="2" s="1"/>
  <c r="AP992" i="2"/>
  <c r="AP1090" i="2"/>
  <c r="X992" i="2"/>
  <c r="Z992" i="2" s="1"/>
  <c r="AB992" i="2" s="1"/>
  <c r="AD992" i="2" s="1"/>
  <c r="X1090" i="2"/>
  <c r="Z1090" i="2" s="1"/>
  <c r="AC992" i="2"/>
  <c r="AG992" i="2"/>
  <c r="AH992" i="2" s="1"/>
  <c r="AC1090" i="2"/>
  <c r="AG1090" i="2"/>
  <c r="AH1090" i="2" s="1"/>
  <c r="BJ1472" i="2"/>
  <c r="BK1472" i="2" s="1"/>
  <c r="BJ1201" i="2"/>
  <c r="BK1201" i="2" s="1"/>
  <c r="BJ1000" i="2"/>
  <c r="BK1000" i="2" s="1"/>
  <c r="BJ917" i="2"/>
  <c r="BK917" i="2" s="1"/>
  <c r="BJ1165" i="2"/>
  <c r="BK1165" i="2" s="1"/>
  <c r="BJ441" i="2"/>
  <c r="BK441" i="2" s="1"/>
  <c r="BJ301" i="2"/>
  <c r="BK301" i="2" s="1"/>
  <c r="BJ132" i="2"/>
  <c r="BK132" i="2" s="1"/>
  <c r="BJ1707" i="2"/>
  <c r="BK1707" i="2" s="1"/>
  <c r="BJ1705" i="2"/>
  <c r="BK1705" i="2" s="1"/>
  <c r="BJ1704" i="2"/>
  <c r="BK1704" i="2" s="1"/>
  <c r="BJ1706" i="2"/>
  <c r="BK1706" i="2" s="1"/>
  <c r="BJ30" i="2"/>
  <c r="BK30" i="2" s="1"/>
  <c r="BJ1702" i="2"/>
  <c r="BK1702" i="2" s="1"/>
  <c r="BJ1703" i="2"/>
  <c r="BK1703" i="2" s="1"/>
  <c r="BJ1540" i="2"/>
  <c r="BK1540" i="2" s="1"/>
  <c r="AS1540" i="2"/>
  <c r="AT1540" i="2" s="1"/>
  <c r="AT1707" i="2"/>
  <c r="AT1705" i="2"/>
  <c r="AT1704" i="2"/>
  <c r="AT1706" i="2"/>
  <c r="AS30" i="2"/>
  <c r="AT30" i="2" s="1"/>
  <c r="AT1702" i="2"/>
  <c r="AT1703" i="2"/>
  <c r="AS132" i="2"/>
  <c r="AT132" i="2" s="1"/>
  <c r="AS1472" i="2"/>
  <c r="AT1472" i="2" s="1"/>
  <c r="AS1201" i="2"/>
  <c r="AT1201" i="2" s="1"/>
  <c r="AS1000" i="2"/>
  <c r="AT1000" i="2" s="1"/>
  <c r="AS917" i="2"/>
  <c r="AT917" i="2" s="1"/>
  <c r="AS1165" i="2"/>
  <c r="AT1165" i="2" s="1"/>
  <c r="AS441" i="2"/>
  <c r="AT441" i="2" s="1"/>
  <c r="AS301" i="2"/>
  <c r="AT301" i="2" s="1"/>
  <c r="Y1472" i="2"/>
  <c r="Y1201" i="2"/>
  <c r="Y1000" i="2"/>
  <c r="Y917" i="2"/>
  <c r="Y1165" i="2"/>
  <c r="Y441" i="2"/>
  <c r="Y301" i="2"/>
  <c r="Y132" i="2"/>
  <c r="Y1707" i="2"/>
  <c r="Y1705" i="2"/>
  <c r="Y1704" i="2"/>
  <c r="Y1706" i="2"/>
  <c r="Y30" i="2"/>
  <c r="Y1702" i="2"/>
  <c r="Y1703" i="2"/>
  <c r="Y1540" i="2"/>
  <c r="AA1472" i="2"/>
  <c r="AF1472" i="2" s="1"/>
  <c r="AA1201" i="2"/>
  <c r="AA1000" i="2"/>
  <c r="AF1000" i="2" s="1"/>
  <c r="AA917" i="2"/>
  <c r="AF917" i="2" s="1"/>
  <c r="AA1165" i="2"/>
  <c r="AA441" i="2"/>
  <c r="AF441" i="2" s="1"/>
  <c r="AA301" i="2"/>
  <c r="AA132" i="2"/>
  <c r="AF132" i="2" s="1"/>
  <c r="AA1707" i="2"/>
  <c r="AF1707" i="2" s="1"/>
  <c r="AA1705" i="2"/>
  <c r="AA1704" i="2"/>
  <c r="AA1706" i="2"/>
  <c r="AF1706" i="2" s="1"/>
  <c r="AA30" i="2"/>
  <c r="AF30" i="2" s="1"/>
  <c r="AA1702" i="2"/>
  <c r="AA1703" i="2"/>
  <c r="AF1703" i="2" s="1"/>
  <c r="AA1540" i="2"/>
  <c r="AG1472" i="2"/>
  <c r="AH1472" i="2" s="1"/>
  <c r="AG1201" i="2"/>
  <c r="AH1201" i="2" s="1"/>
  <c r="AG1000" i="2"/>
  <c r="AH1000" i="2" s="1"/>
  <c r="AG917" i="2"/>
  <c r="AH917" i="2" s="1"/>
  <c r="AG1165" i="2"/>
  <c r="AH1165" i="2" s="1"/>
  <c r="AG441" i="2"/>
  <c r="AH441" i="2" s="1"/>
  <c r="AG301" i="2"/>
  <c r="AH301" i="2" s="1"/>
  <c r="AG132" i="2"/>
  <c r="AH132" i="2" s="1"/>
  <c r="AG1707" i="2"/>
  <c r="AH1707" i="2" s="1"/>
  <c r="AG1705" i="2"/>
  <c r="AH1705" i="2" s="1"/>
  <c r="AG1704" i="2"/>
  <c r="AH1704" i="2" s="1"/>
  <c r="AG1706" i="2"/>
  <c r="AH1706" i="2" s="1"/>
  <c r="AG30" i="2"/>
  <c r="AH30" i="2" s="1"/>
  <c r="AG1702" i="2"/>
  <c r="AH1702" i="2" s="1"/>
  <c r="AG1703" i="2"/>
  <c r="AH1703" i="2" s="1"/>
  <c r="AG1540" i="2"/>
  <c r="AH1540" i="2" s="1"/>
  <c r="AC1472" i="2"/>
  <c r="AC1201" i="2"/>
  <c r="AC1000" i="2"/>
  <c r="AC917" i="2"/>
  <c r="AC1165" i="2"/>
  <c r="AC441" i="2"/>
  <c r="AC301" i="2"/>
  <c r="AC132" i="2"/>
  <c r="AC1707" i="2"/>
  <c r="AC1705" i="2"/>
  <c r="AC1704" i="2"/>
  <c r="AC1706" i="2"/>
  <c r="AC30" i="2"/>
  <c r="AC1702" i="2"/>
  <c r="AC1703" i="2"/>
  <c r="AC1540" i="2"/>
  <c r="X1472" i="2"/>
  <c r="X1201" i="2"/>
  <c r="X1000" i="2"/>
  <c r="X917" i="2"/>
  <c r="X1165" i="2"/>
  <c r="X441" i="2"/>
  <c r="X301" i="2"/>
  <c r="X132" i="2"/>
  <c r="X1707" i="2"/>
  <c r="X1705" i="2"/>
  <c r="X1704" i="2"/>
  <c r="X1706" i="2"/>
  <c r="X30" i="2"/>
  <c r="X1702" i="2"/>
  <c r="X1703" i="2"/>
  <c r="X1540" i="2"/>
  <c r="AU1644" i="2"/>
  <c r="BJ1644" i="2" s="1"/>
  <c r="BK1644" i="2" s="1"/>
  <c r="AS1588" i="2"/>
  <c r="AS1371" i="2"/>
  <c r="AS1644" i="2"/>
  <c r="X1588" i="2"/>
  <c r="X1645" i="2"/>
  <c r="X1371" i="2"/>
  <c r="X1158" i="2"/>
  <c r="X1613" i="2"/>
  <c r="X1652" i="2"/>
  <c r="X1651" i="2"/>
  <c r="X1644" i="2"/>
  <c r="Y1588" i="2"/>
  <c r="Y1645" i="2"/>
  <c r="Y1371" i="2"/>
  <c r="Y1158" i="2"/>
  <c r="Y1613" i="2"/>
  <c r="Y1652" i="2"/>
  <c r="Y1651" i="2"/>
  <c r="Y1644" i="2"/>
  <c r="AC1588" i="2"/>
  <c r="AC1645" i="2"/>
  <c r="AC1371" i="2"/>
  <c r="AC1158" i="2"/>
  <c r="AC1613" i="2"/>
  <c r="AC1652" i="2"/>
  <c r="AC1651" i="2"/>
  <c r="AC1644" i="2"/>
  <c r="AG1588" i="2"/>
  <c r="AH1588" i="2" s="1"/>
  <c r="AG1645" i="2"/>
  <c r="AH1645" i="2" s="1"/>
  <c r="AG1371" i="2"/>
  <c r="AH1371" i="2" s="1"/>
  <c r="AG1158" i="2"/>
  <c r="AH1158" i="2" s="1"/>
  <c r="AG1613" i="2"/>
  <c r="AH1613" i="2" s="1"/>
  <c r="AG1652" i="2"/>
  <c r="AH1652" i="2" s="1"/>
  <c r="AG1651" i="2"/>
  <c r="AH1651" i="2" s="1"/>
  <c r="AG1644" i="2"/>
  <c r="AH1644" i="2" s="1"/>
  <c r="AS1645" i="2"/>
  <c r="AT1645" i="2" s="1"/>
  <c r="AS1158" i="2"/>
  <c r="AS1613" i="2"/>
  <c r="AS1652" i="2"/>
  <c r="AT1652" i="2" s="1"/>
  <c r="AS1651" i="2"/>
  <c r="AT1651" i="2" s="1"/>
  <c r="BJ1651" i="2"/>
  <c r="BK1651" i="2" s="1"/>
  <c r="BJ1652" i="2"/>
  <c r="BK1652" i="2" s="1"/>
  <c r="BJ1645" i="2"/>
  <c r="BK1645" i="2" s="1"/>
  <c r="AA135" i="2"/>
  <c r="AF135" i="2" s="1"/>
  <c r="AA909" i="2"/>
  <c r="AF909" i="2" s="1"/>
  <c r="AA910" i="2"/>
  <c r="AF910" i="2" s="1"/>
  <c r="AA903" i="2"/>
  <c r="AA865" i="2"/>
  <c r="AF865" i="2" s="1"/>
  <c r="AA266" i="2"/>
  <c r="AF266" i="2" s="1"/>
  <c r="AA238" i="2"/>
  <c r="AF238" i="2" s="1"/>
  <c r="BJ903" i="2"/>
  <c r="BK903" i="2" s="1"/>
  <c r="BJ865" i="2"/>
  <c r="BK865" i="2" s="1"/>
  <c r="BJ266" i="2"/>
  <c r="BK266" i="2" s="1"/>
  <c r="BJ238" i="2"/>
  <c r="BK238" i="2" s="1"/>
  <c r="BJ910" i="2"/>
  <c r="BK910" i="2" s="1"/>
  <c r="BJ909" i="2"/>
  <c r="BK909" i="2" s="1"/>
  <c r="BJ135" i="2"/>
  <c r="BK135" i="2" s="1"/>
  <c r="AS903" i="2"/>
  <c r="AT903" i="2" s="1"/>
  <c r="AS865" i="2"/>
  <c r="AT865" i="2" s="1"/>
  <c r="AS266" i="2"/>
  <c r="AT266" i="2" s="1"/>
  <c r="AS238" i="2"/>
  <c r="AT238" i="2" s="1"/>
  <c r="AS910" i="2"/>
  <c r="AT910" i="2" s="1"/>
  <c r="AS909" i="2"/>
  <c r="AT909" i="2" s="1"/>
  <c r="AS135" i="2"/>
  <c r="AT135" i="2" s="1"/>
  <c r="AG903" i="2"/>
  <c r="AH903" i="2" s="1"/>
  <c r="AG865" i="2"/>
  <c r="AH865" i="2" s="1"/>
  <c r="AG266" i="2"/>
  <c r="AH266" i="2" s="1"/>
  <c r="AG238" i="2"/>
  <c r="AH238" i="2" s="1"/>
  <c r="AG910" i="2"/>
  <c r="AH910" i="2" s="1"/>
  <c r="AG909" i="2"/>
  <c r="AH909" i="2" s="1"/>
  <c r="AG135" i="2"/>
  <c r="AH135" i="2" s="1"/>
  <c r="AC903" i="2"/>
  <c r="AC865" i="2"/>
  <c r="AC266" i="2"/>
  <c r="AC238" i="2"/>
  <c r="AC910" i="2"/>
  <c r="AC909" i="2"/>
  <c r="AC135" i="2"/>
  <c r="Y903" i="2"/>
  <c r="Y865" i="2"/>
  <c r="Y266" i="2"/>
  <c r="Y238" i="2"/>
  <c r="Y910" i="2"/>
  <c r="Y909" i="2"/>
  <c r="Y135" i="2"/>
  <c r="X903" i="2"/>
  <c r="X865" i="2"/>
  <c r="X266" i="2"/>
  <c r="X238" i="2"/>
  <c r="X910" i="2"/>
  <c r="X909" i="2"/>
  <c r="X135" i="2"/>
  <c r="W1166" i="2"/>
  <c r="Y1166" i="2" s="1"/>
  <c r="X1166" i="2"/>
  <c r="Z1166" i="2" s="1"/>
  <c r="BJ1166" i="2"/>
  <c r="BK1166" i="2" s="1"/>
  <c r="AG1166" i="2"/>
  <c r="AH1166" i="2" s="1"/>
  <c r="AC1166" i="2"/>
  <c r="BJ63" i="2"/>
  <c r="BK63" i="2" s="1"/>
  <c r="AG63" i="2"/>
  <c r="AH63" i="2" s="1"/>
  <c r="AC63" i="2"/>
  <c r="Y63" i="2"/>
  <c r="X63" i="2"/>
  <c r="Z63" i="2" s="1"/>
  <c r="BJ1034" i="2"/>
  <c r="BK1034" i="2" s="1"/>
  <c r="BJ750" i="2"/>
  <c r="BK750" i="2" s="1"/>
  <c r="BJ522" i="2"/>
  <c r="BK522" i="2" s="1"/>
  <c r="BJ248" i="2"/>
  <c r="BK248" i="2" s="1"/>
  <c r="BJ72" i="2"/>
  <c r="BK72" i="2" s="1"/>
  <c r="AG1034" i="2"/>
  <c r="AH1034" i="2" s="1"/>
  <c r="AG16" i="2"/>
  <c r="AH16" i="2" s="1"/>
  <c r="AG750" i="2"/>
  <c r="AH750" i="2" s="1"/>
  <c r="AG522" i="2"/>
  <c r="AH522" i="2" s="1"/>
  <c r="AG248" i="2"/>
  <c r="AH248" i="2" s="1"/>
  <c r="AG72" i="2"/>
  <c r="AH72" i="2" s="1"/>
  <c r="AC1034" i="2"/>
  <c r="AC750" i="2"/>
  <c r="AC522" i="2"/>
  <c r="AC248" i="2"/>
  <c r="AC72" i="2"/>
  <c r="X1034" i="2"/>
  <c r="N1034" i="2" s="1"/>
  <c r="X750" i="2"/>
  <c r="N750" i="2" s="1"/>
  <c r="X522" i="2"/>
  <c r="N522" i="2" s="1"/>
  <c r="X248" i="2"/>
  <c r="N248" i="2" s="1"/>
  <c r="X72" i="2"/>
  <c r="N72" i="2" s="1"/>
  <c r="BJ1163" i="2"/>
  <c r="BK1163" i="2" s="1"/>
  <c r="BJ694" i="2"/>
  <c r="BK694" i="2" s="1"/>
  <c r="BJ14" i="2"/>
  <c r="BK14" i="2" s="1"/>
  <c r="BJ16" i="2"/>
  <c r="BK16" i="2" s="1"/>
  <c r="AG1163" i="2"/>
  <c r="AH1163" i="2" s="1"/>
  <c r="AG694" i="2"/>
  <c r="AH694" i="2" s="1"/>
  <c r="AG14" i="2"/>
  <c r="AH14" i="2" s="1"/>
  <c r="AC1163" i="2"/>
  <c r="AC694" i="2"/>
  <c r="AC14" i="2"/>
  <c r="AC16" i="2"/>
  <c r="X694" i="2"/>
  <c r="Y694" i="2"/>
  <c r="X14" i="2"/>
  <c r="Y14" i="2"/>
  <c r="X16" i="2"/>
  <c r="Y16" i="2"/>
  <c r="Y1163" i="2"/>
  <c r="X1163" i="2"/>
  <c r="BJ1454" i="2"/>
  <c r="BK1454" i="2" s="1"/>
  <c r="BJ1250" i="2"/>
  <c r="BK1250" i="2" s="1"/>
  <c r="BJ765" i="2"/>
  <c r="BK765" i="2" s="1"/>
  <c r="AS1454" i="2"/>
  <c r="AT1454" i="2" s="1"/>
  <c r="AS1250" i="2"/>
  <c r="AT1250" i="2" s="1"/>
  <c r="AS765" i="2"/>
  <c r="AT765" i="2" s="1"/>
  <c r="AG1454" i="2"/>
  <c r="AH1454" i="2" s="1"/>
  <c r="AG1250" i="2"/>
  <c r="AH1250" i="2" s="1"/>
  <c r="AG765" i="2"/>
  <c r="AH765" i="2" s="1"/>
  <c r="AC1454" i="2"/>
  <c r="AC1250" i="2"/>
  <c r="AC765" i="2"/>
  <c r="X1250" i="2"/>
  <c r="N1250" i="2" s="1"/>
  <c r="X765" i="2"/>
  <c r="Z765" i="2" s="1"/>
  <c r="Q765" i="2" s="1"/>
  <c r="AE765" i="2" s="1"/>
  <c r="X1454" i="2"/>
  <c r="N1454" i="2" s="1"/>
  <c r="BJ1521" i="2"/>
  <c r="BK1521" i="2" s="1"/>
  <c r="BJ1379" i="2"/>
  <c r="BK1379" i="2" s="1"/>
  <c r="BJ1294" i="2"/>
  <c r="BK1294" i="2" s="1"/>
  <c r="BJ1473" i="2"/>
  <c r="BK1473" i="2" s="1"/>
  <c r="BJ1357" i="2"/>
  <c r="BK1357" i="2" s="1"/>
  <c r="BJ1192" i="2"/>
  <c r="BK1192" i="2" s="1"/>
  <c r="BJ1435" i="2"/>
  <c r="BK1435" i="2" s="1"/>
  <c r="BJ1216" i="2"/>
  <c r="BK1216" i="2" s="1"/>
  <c r="BJ1085" i="2"/>
  <c r="BK1085" i="2" s="1"/>
  <c r="BJ1561" i="2"/>
  <c r="BK1561" i="2" s="1"/>
  <c r="BJ1419" i="2"/>
  <c r="BK1419" i="2" s="1"/>
  <c r="BJ1037" i="2"/>
  <c r="BK1037" i="2" s="1"/>
  <c r="BJ816" i="2"/>
  <c r="BK816" i="2" s="1"/>
  <c r="BJ1532" i="2"/>
  <c r="BK1532" i="2" s="1"/>
  <c r="BJ1268" i="2"/>
  <c r="BK1268" i="2" s="1"/>
  <c r="BJ796" i="2"/>
  <c r="BK796" i="2" s="1"/>
  <c r="BJ587" i="2"/>
  <c r="BK587" i="2" s="1"/>
  <c r="BJ1541" i="2"/>
  <c r="BK1541" i="2" s="1"/>
  <c r="BJ1285" i="2"/>
  <c r="BK1285" i="2" s="1"/>
  <c r="BJ981" i="2"/>
  <c r="BK981" i="2" s="1"/>
  <c r="BJ712" i="2"/>
  <c r="BK712" i="2" s="1"/>
  <c r="AS1379" i="2"/>
  <c r="AT1379" i="2" s="1"/>
  <c r="AS1294" i="2"/>
  <c r="AT1294" i="2" s="1"/>
  <c r="AS1473" i="2"/>
  <c r="AT1473" i="2" s="1"/>
  <c r="AS1357" i="2"/>
  <c r="AT1357" i="2" s="1"/>
  <c r="AS1192" i="2"/>
  <c r="AT1192" i="2" s="1"/>
  <c r="AS1435" i="2"/>
  <c r="AT1435" i="2" s="1"/>
  <c r="AS1216" i="2"/>
  <c r="AT1216" i="2" s="1"/>
  <c r="AS1085" i="2"/>
  <c r="AT1085" i="2" s="1"/>
  <c r="AS1561" i="2"/>
  <c r="AT1561" i="2" s="1"/>
  <c r="AS1419" i="2"/>
  <c r="AT1419" i="2" s="1"/>
  <c r="AS1037" i="2"/>
  <c r="AT1037" i="2" s="1"/>
  <c r="AS816" i="2"/>
  <c r="AT816" i="2" s="1"/>
  <c r="AS1532" i="2"/>
  <c r="AT1532" i="2" s="1"/>
  <c r="AS1268" i="2"/>
  <c r="AT1268" i="2" s="1"/>
  <c r="AS796" i="2"/>
  <c r="AT796" i="2" s="1"/>
  <c r="AS587" i="2"/>
  <c r="AT587" i="2" s="1"/>
  <c r="AS1541" i="2"/>
  <c r="AT1541" i="2" s="1"/>
  <c r="AS1285" i="2"/>
  <c r="AT1285" i="2" s="1"/>
  <c r="AS981" i="2"/>
  <c r="AT981" i="2" s="1"/>
  <c r="AS712" i="2"/>
  <c r="AT712" i="2" s="1"/>
  <c r="AG1521" i="2"/>
  <c r="AH1521" i="2" s="1"/>
  <c r="AG1379" i="2"/>
  <c r="AH1379" i="2" s="1"/>
  <c r="AG1294" i="2"/>
  <c r="AH1294" i="2" s="1"/>
  <c r="AG1473" i="2"/>
  <c r="AH1473" i="2" s="1"/>
  <c r="AG1357" i="2"/>
  <c r="AH1357" i="2" s="1"/>
  <c r="AG1192" i="2"/>
  <c r="AH1192" i="2" s="1"/>
  <c r="AG1435" i="2"/>
  <c r="AH1435" i="2" s="1"/>
  <c r="AG1216" i="2"/>
  <c r="AH1216" i="2" s="1"/>
  <c r="AG1085" i="2"/>
  <c r="AH1085" i="2" s="1"/>
  <c r="AG1561" i="2"/>
  <c r="AH1561" i="2" s="1"/>
  <c r="AG1419" i="2"/>
  <c r="AH1419" i="2" s="1"/>
  <c r="AG1037" i="2"/>
  <c r="AH1037" i="2" s="1"/>
  <c r="AG816" i="2"/>
  <c r="AH816" i="2" s="1"/>
  <c r="AG1532" i="2"/>
  <c r="AH1532" i="2" s="1"/>
  <c r="AG1268" i="2"/>
  <c r="AH1268" i="2" s="1"/>
  <c r="AG796" i="2"/>
  <c r="AH796" i="2" s="1"/>
  <c r="AG587" i="2"/>
  <c r="AH587" i="2" s="1"/>
  <c r="AG1541" i="2"/>
  <c r="AH1541" i="2" s="1"/>
  <c r="AG1285" i="2"/>
  <c r="AH1285" i="2" s="1"/>
  <c r="AG981" i="2"/>
  <c r="AH981" i="2" s="1"/>
  <c r="AG712" i="2"/>
  <c r="AH712" i="2" s="1"/>
  <c r="AC1521" i="2"/>
  <c r="AC1379" i="2"/>
  <c r="AC1294" i="2"/>
  <c r="AC1473" i="2"/>
  <c r="AC1357" i="2"/>
  <c r="AC1192" i="2"/>
  <c r="AC1435" i="2"/>
  <c r="AC1216" i="2"/>
  <c r="AC1085" i="2"/>
  <c r="AC1561" i="2"/>
  <c r="AC1419" i="2"/>
  <c r="AC1037" i="2"/>
  <c r="AC816" i="2"/>
  <c r="AC1532" i="2"/>
  <c r="AC1268" i="2"/>
  <c r="AC796" i="2"/>
  <c r="AC587" i="2"/>
  <c r="AC1541" i="2"/>
  <c r="AC1285" i="2"/>
  <c r="AC981" i="2"/>
  <c r="AC712" i="2"/>
  <c r="Y1379" i="2"/>
  <c r="Y1294" i="2"/>
  <c r="Y1473" i="2"/>
  <c r="Y1357" i="2"/>
  <c r="Y1192" i="2"/>
  <c r="Y1435" i="2"/>
  <c r="Y1216" i="2"/>
  <c r="Y1085" i="2"/>
  <c r="Y1561" i="2"/>
  <c r="Y1419" i="2"/>
  <c r="Y1037" i="2"/>
  <c r="Y816" i="2"/>
  <c r="Y1532" i="2"/>
  <c r="Y1268" i="2"/>
  <c r="Y796" i="2"/>
  <c r="Y587" i="2"/>
  <c r="Y1541" i="2"/>
  <c r="Y1285" i="2"/>
  <c r="Y981" i="2"/>
  <c r="Y712" i="2"/>
  <c r="X1379" i="2"/>
  <c r="X1294" i="2"/>
  <c r="Z1294" i="2" s="1"/>
  <c r="X1473" i="2"/>
  <c r="X1357" i="2"/>
  <c r="X1192" i="2"/>
  <c r="Z1192" i="2" s="1"/>
  <c r="AB1192" i="2" s="1"/>
  <c r="X1435" i="2"/>
  <c r="Z1435" i="2" s="1"/>
  <c r="X1216" i="2"/>
  <c r="Z1216" i="2" s="1"/>
  <c r="AB1216" i="2" s="1"/>
  <c r="X1085" i="2"/>
  <c r="Z1085" i="2" s="1"/>
  <c r="X1561" i="2"/>
  <c r="Z1561" i="2" s="1"/>
  <c r="X1419" i="2"/>
  <c r="Z1419" i="2" s="1"/>
  <c r="AB1419" i="2" s="1"/>
  <c r="X1037" i="2"/>
  <c r="Z1037" i="2" s="1"/>
  <c r="Q1037" i="2" s="1"/>
  <c r="AE1037" i="2" s="1"/>
  <c r="X816" i="2"/>
  <c r="Z816" i="2" s="1"/>
  <c r="AB816" i="2" s="1"/>
  <c r="X1532" i="2"/>
  <c r="Z1532" i="2" s="1"/>
  <c r="AB1532" i="2" s="1"/>
  <c r="X1268" i="2"/>
  <c r="Z1268" i="2" s="1"/>
  <c r="X796" i="2"/>
  <c r="Z796" i="2" s="1"/>
  <c r="Q796" i="2" s="1"/>
  <c r="AE796" i="2" s="1"/>
  <c r="X587" i="2"/>
  <c r="Z587" i="2" s="1"/>
  <c r="X1541" i="2"/>
  <c r="Z1541" i="2" s="1"/>
  <c r="X1285" i="2"/>
  <c r="Z1285" i="2" s="1"/>
  <c r="AB1285" i="2" s="1"/>
  <c r="X981" i="2"/>
  <c r="Z981" i="2" s="1"/>
  <c r="Q981" i="2" s="1"/>
  <c r="AE981" i="2" s="1"/>
  <c r="X712" i="2"/>
  <c r="Z712" i="2" s="1"/>
  <c r="AB712" i="2" s="1"/>
  <c r="AS1521" i="2"/>
  <c r="AT1521" i="2" s="1"/>
  <c r="Y1521" i="2"/>
  <c r="X1521" i="2"/>
  <c r="AG1542" i="2"/>
  <c r="AH1542" i="2" s="1"/>
  <c r="AG1456" i="2"/>
  <c r="AH1456" i="2" s="1"/>
  <c r="AG1361" i="2"/>
  <c r="AH1361" i="2" s="1"/>
  <c r="AG1522" i="2"/>
  <c r="AH1522" i="2" s="1"/>
  <c r="AG1427" i="2"/>
  <c r="AH1427" i="2" s="1"/>
  <c r="AG1279" i="2"/>
  <c r="AH1279" i="2" s="1"/>
  <c r="AG1559" i="2"/>
  <c r="AH1559" i="2" s="1"/>
  <c r="AG1525" i="2"/>
  <c r="AH1525" i="2" s="1"/>
  <c r="AG1486" i="2"/>
  <c r="AH1486" i="2" s="1"/>
  <c r="AG1500" i="2"/>
  <c r="AH1500" i="2" s="1"/>
  <c r="AG1293" i="2"/>
  <c r="AH1293" i="2" s="1"/>
  <c r="AG932" i="2"/>
  <c r="AH932" i="2" s="1"/>
  <c r="AG1538" i="2"/>
  <c r="AH1538" i="2" s="1"/>
  <c r="AG1495" i="2"/>
  <c r="AH1495" i="2" s="1"/>
  <c r="AG1425" i="2"/>
  <c r="AH1425" i="2" s="1"/>
  <c r="AG1242" i="2"/>
  <c r="AH1242" i="2" s="1"/>
  <c r="AF1542" i="2"/>
  <c r="AF1456" i="2"/>
  <c r="AF1361" i="2"/>
  <c r="AF1522" i="2"/>
  <c r="AF1427" i="2"/>
  <c r="AF1279" i="2"/>
  <c r="AF1525" i="2"/>
  <c r="AF1486" i="2"/>
  <c r="AF1500" i="2"/>
  <c r="AF1293" i="2"/>
  <c r="AF932" i="2"/>
  <c r="AF1495" i="2"/>
  <c r="AF1425" i="2"/>
  <c r="BJ1542" i="2"/>
  <c r="BK1542" i="2" s="1"/>
  <c r="BJ1456" i="2"/>
  <c r="BK1456" i="2" s="1"/>
  <c r="BJ1361" i="2"/>
  <c r="BK1361" i="2" s="1"/>
  <c r="BJ1522" i="2"/>
  <c r="BK1522" i="2" s="1"/>
  <c r="BJ1427" i="2"/>
  <c r="BK1427" i="2" s="1"/>
  <c r="BJ1279" i="2"/>
  <c r="BK1279" i="2" s="1"/>
  <c r="BJ1559" i="2"/>
  <c r="BK1559" i="2" s="1"/>
  <c r="BJ1525" i="2"/>
  <c r="BK1525" i="2" s="1"/>
  <c r="BJ1486" i="2"/>
  <c r="BK1486" i="2" s="1"/>
  <c r="BJ1500" i="2"/>
  <c r="BK1500" i="2" s="1"/>
  <c r="BJ1293" i="2"/>
  <c r="BK1293" i="2" s="1"/>
  <c r="BJ932" i="2"/>
  <c r="BK932" i="2" s="1"/>
  <c r="BJ1538" i="2"/>
  <c r="BK1538" i="2" s="1"/>
  <c r="BJ1495" i="2"/>
  <c r="BK1495" i="2" s="1"/>
  <c r="BJ1425" i="2"/>
  <c r="BK1425" i="2" s="1"/>
  <c r="AS1542" i="2"/>
  <c r="AT1542" i="2" s="1"/>
  <c r="AS1456" i="2"/>
  <c r="AT1456" i="2" s="1"/>
  <c r="AS1361" i="2"/>
  <c r="AT1361" i="2" s="1"/>
  <c r="AS1522" i="2"/>
  <c r="AT1522" i="2" s="1"/>
  <c r="AS1427" i="2"/>
  <c r="AT1427" i="2" s="1"/>
  <c r="AS1279" i="2"/>
  <c r="AT1279" i="2" s="1"/>
  <c r="AS1559" i="2"/>
  <c r="AT1559" i="2" s="1"/>
  <c r="AS1525" i="2"/>
  <c r="AT1525" i="2" s="1"/>
  <c r="AS1486" i="2"/>
  <c r="AT1486" i="2" s="1"/>
  <c r="AS1500" i="2"/>
  <c r="AT1500" i="2" s="1"/>
  <c r="AS1293" i="2"/>
  <c r="AT1293" i="2" s="1"/>
  <c r="AS932" i="2"/>
  <c r="AT932" i="2" s="1"/>
  <c r="AS1538" i="2"/>
  <c r="AT1538" i="2" s="1"/>
  <c r="AS1495" i="2"/>
  <c r="AT1495" i="2" s="1"/>
  <c r="AS1425" i="2"/>
  <c r="AT1425" i="2" s="1"/>
  <c r="AC1542" i="2"/>
  <c r="AC1456" i="2"/>
  <c r="AC1361" i="2"/>
  <c r="AC1522" i="2"/>
  <c r="AC1427" i="2"/>
  <c r="AC1279" i="2"/>
  <c r="AC1559" i="2"/>
  <c r="AC1525" i="2"/>
  <c r="AC1486" i="2"/>
  <c r="AC1500" i="2"/>
  <c r="AC1293" i="2"/>
  <c r="AC932" i="2"/>
  <c r="AC1538" i="2"/>
  <c r="AC1495" i="2"/>
  <c r="AC1425" i="2"/>
  <c r="Y1542" i="2"/>
  <c r="Y1456" i="2"/>
  <c r="Y1361" i="2"/>
  <c r="Y1522" i="2"/>
  <c r="Y1427" i="2"/>
  <c r="Y1279" i="2"/>
  <c r="Y1559" i="2"/>
  <c r="Y1525" i="2"/>
  <c r="Y1486" i="2"/>
  <c r="Y1500" i="2"/>
  <c r="Y1293" i="2"/>
  <c r="Y932" i="2"/>
  <c r="Y1538" i="2"/>
  <c r="Y1495" i="2"/>
  <c r="Y1425" i="2"/>
  <c r="X1542" i="2"/>
  <c r="X1456" i="2"/>
  <c r="X1361" i="2"/>
  <c r="X1522" i="2"/>
  <c r="X1427" i="2"/>
  <c r="X1279" i="2"/>
  <c r="X1559" i="2"/>
  <c r="X1525" i="2"/>
  <c r="X1486" i="2"/>
  <c r="X1500" i="2"/>
  <c r="X1293" i="2"/>
  <c r="X932" i="2"/>
  <c r="X1538" i="2"/>
  <c r="X1495" i="2"/>
  <c r="X1425" i="2"/>
  <c r="BJ513" i="2"/>
  <c r="BK513" i="2" s="1"/>
  <c r="AS513" i="2"/>
  <c r="AT513" i="2" s="1"/>
  <c r="AG513" i="2"/>
  <c r="AH513" i="2" s="1"/>
  <c r="AC513" i="2"/>
  <c r="X513" i="2"/>
  <c r="N513" i="2" s="1"/>
  <c r="BJ476" i="2"/>
  <c r="BK476" i="2" s="1"/>
  <c r="AS476" i="2"/>
  <c r="AT476" i="2" s="1"/>
  <c r="AG476" i="2"/>
  <c r="AH476" i="2" s="1"/>
  <c r="AC476" i="2"/>
  <c r="X476" i="2"/>
  <c r="N476" i="2" s="1"/>
  <c r="BJ568" i="2"/>
  <c r="BK568" i="2" s="1"/>
  <c r="AS568" i="2"/>
  <c r="AT568" i="2" s="1"/>
  <c r="AG568" i="2"/>
  <c r="AH568" i="2" s="1"/>
  <c r="AC568" i="2"/>
  <c r="X568" i="2"/>
  <c r="N568" i="2" s="1"/>
  <c r="BJ325" i="2"/>
  <c r="BK325" i="2" s="1"/>
  <c r="AS325" i="2"/>
  <c r="AT325" i="2" s="1"/>
  <c r="AG325" i="2"/>
  <c r="AH325" i="2" s="1"/>
  <c r="AC325" i="2"/>
  <c r="X325" i="2"/>
  <c r="N325" i="2" s="1"/>
  <c r="BJ440" i="2"/>
  <c r="BK440" i="2" s="1"/>
  <c r="AS440" i="2"/>
  <c r="AT440" i="2" s="1"/>
  <c r="AG440" i="2"/>
  <c r="AH440" i="2" s="1"/>
  <c r="AC440" i="2"/>
  <c r="X440" i="2"/>
  <c r="N440" i="2" s="1"/>
  <c r="BJ512" i="2"/>
  <c r="BK512" i="2" s="1"/>
  <c r="AS512" i="2"/>
  <c r="AT512" i="2" s="1"/>
  <c r="AG512" i="2"/>
  <c r="AH512" i="2" s="1"/>
  <c r="AC512" i="2"/>
  <c r="X512" i="2"/>
  <c r="N512" i="2" s="1"/>
  <c r="BJ211" i="2"/>
  <c r="BK211" i="2" s="1"/>
  <c r="AS211" i="2"/>
  <c r="AT211" i="2" s="1"/>
  <c r="AG211" i="2"/>
  <c r="AH211" i="2" s="1"/>
  <c r="AC211" i="2"/>
  <c r="X211" i="2"/>
  <c r="Z211" i="2" s="1"/>
  <c r="BJ420" i="2"/>
  <c r="BK420" i="2" s="1"/>
  <c r="AS420" i="2"/>
  <c r="AT420" i="2" s="1"/>
  <c r="AG420" i="2"/>
  <c r="AH420" i="2" s="1"/>
  <c r="AC420" i="2"/>
  <c r="X420" i="2"/>
  <c r="N420" i="2" s="1"/>
  <c r="BJ158" i="2"/>
  <c r="BK158" i="2" s="1"/>
  <c r="AS158" i="2"/>
  <c r="AT158" i="2" s="1"/>
  <c r="AG158" i="2"/>
  <c r="AH158" i="2" s="1"/>
  <c r="AC158" i="2"/>
  <c r="X158" i="2"/>
  <c r="N158" i="2" s="1"/>
  <c r="BJ221" i="2"/>
  <c r="BK221" i="2" s="1"/>
  <c r="AS221" i="2"/>
  <c r="AT221" i="2" s="1"/>
  <c r="AG221" i="2"/>
  <c r="AH221" i="2" s="1"/>
  <c r="AC221" i="2"/>
  <c r="X221" i="2"/>
  <c r="N221" i="2" s="1"/>
  <c r="BJ171" i="2"/>
  <c r="BK171" i="2" s="1"/>
  <c r="AS171" i="2"/>
  <c r="AT171" i="2" s="1"/>
  <c r="AG171" i="2"/>
  <c r="AH171" i="2" s="1"/>
  <c r="AC171" i="2"/>
  <c r="X171" i="2"/>
  <c r="N171" i="2" s="1"/>
  <c r="BJ330" i="2"/>
  <c r="BK330" i="2" s="1"/>
  <c r="AS330" i="2"/>
  <c r="AT330" i="2" s="1"/>
  <c r="AG330" i="2"/>
  <c r="AH330" i="2" s="1"/>
  <c r="AC330" i="2"/>
  <c r="X330" i="2"/>
  <c r="Z330" i="2" s="1"/>
  <c r="BJ314" i="2"/>
  <c r="BK314" i="2" s="1"/>
  <c r="AS314" i="2"/>
  <c r="AT314" i="2" s="1"/>
  <c r="AG314" i="2"/>
  <c r="AH314" i="2" s="1"/>
  <c r="AC314" i="2"/>
  <c r="X314" i="2"/>
  <c r="N314" i="2" s="1"/>
  <c r="BJ170" i="2"/>
  <c r="BK170" i="2" s="1"/>
  <c r="AS170" i="2"/>
  <c r="AT170" i="2" s="1"/>
  <c r="AG170" i="2"/>
  <c r="AH170" i="2" s="1"/>
  <c r="AC170" i="2"/>
  <c r="X170" i="2"/>
  <c r="N170" i="2" s="1"/>
  <c r="BJ191" i="2"/>
  <c r="BK191" i="2" s="1"/>
  <c r="AS191" i="2"/>
  <c r="AT191" i="2" s="1"/>
  <c r="AG191" i="2"/>
  <c r="AH191" i="2" s="1"/>
  <c r="AC191" i="2"/>
  <c r="X191" i="2"/>
  <c r="N191" i="2" s="1"/>
  <c r="BJ921" i="2"/>
  <c r="BK921" i="2" s="1"/>
  <c r="BJ770" i="2"/>
  <c r="BK770" i="2" s="1"/>
  <c r="BJ575" i="2"/>
  <c r="BK575" i="2" s="1"/>
  <c r="BJ1045" i="2"/>
  <c r="BK1045" i="2" s="1"/>
  <c r="BJ521" i="2"/>
  <c r="BK521" i="2" s="1"/>
  <c r="BJ760" i="2"/>
  <c r="BK760" i="2" s="1"/>
  <c r="BJ447" i="2"/>
  <c r="BK447" i="2" s="1"/>
  <c r="BJ1211" i="2"/>
  <c r="BK1211" i="2" s="1"/>
  <c r="BJ239" i="2"/>
  <c r="BK239" i="2" s="1"/>
  <c r="BJ435" i="2"/>
  <c r="BK435" i="2" s="1"/>
  <c r="BJ464" i="2"/>
  <c r="BK464" i="2" s="1"/>
  <c r="BJ759" i="2"/>
  <c r="BK759" i="2" s="1"/>
  <c r="AS464" i="2"/>
  <c r="AT464" i="2" s="1"/>
  <c r="AS435" i="2"/>
  <c r="AT435" i="2" s="1"/>
  <c r="AS239" i="2"/>
  <c r="AT239" i="2" s="1"/>
  <c r="AS1211" i="2"/>
  <c r="AT1211" i="2" s="1"/>
  <c r="AS447" i="2"/>
  <c r="AT447" i="2" s="1"/>
  <c r="AS760" i="2"/>
  <c r="AT760" i="2" s="1"/>
  <c r="AS521" i="2"/>
  <c r="AT521" i="2" s="1"/>
  <c r="AS1045" i="2"/>
  <c r="AT1045" i="2" s="1"/>
  <c r="AS575" i="2"/>
  <c r="AT575" i="2" s="1"/>
  <c r="AS770" i="2"/>
  <c r="AT770" i="2" s="1"/>
  <c r="AS921" i="2"/>
  <c r="AT921" i="2" s="1"/>
  <c r="AS759" i="2"/>
  <c r="AT759" i="2" s="1"/>
  <c r="AG759" i="2"/>
  <c r="AH759" i="2" s="1"/>
  <c r="AG464" i="2"/>
  <c r="AH464" i="2" s="1"/>
  <c r="AG435" i="2"/>
  <c r="AH435" i="2" s="1"/>
  <c r="AG239" i="2"/>
  <c r="AH239" i="2" s="1"/>
  <c r="AG1211" i="2"/>
  <c r="AH1211" i="2" s="1"/>
  <c r="AG447" i="2"/>
  <c r="AH447" i="2" s="1"/>
  <c r="AG760" i="2"/>
  <c r="AH760" i="2" s="1"/>
  <c r="AG521" i="2"/>
  <c r="AH521" i="2" s="1"/>
  <c r="AG1045" i="2"/>
  <c r="AH1045" i="2" s="1"/>
  <c r="AG575" i="2"/>
  <c r="AH575" i="2" s="1"/>
  <c r="AG770" i="2"/>
  <c r="AH770" i="2" s="1"/>
  <c r="AG921" i="2"/>
  <c r="AH921" i="2" s="1"/>
  <c r="AC759" i="2"/>
  <c r="AC464" i="2"/>
  <c r="AC435" i="2"/>
  <c r="AC239" i="2"/>
  <c r="AC1211" i="2"/>
  <c r="AC447" i="2"/>
  <c r="AC760" i="2"/>
  <c r="AC521" i="2"/>
  <c r="AC1045" i="2"/>
  <c r="AC575" i="2"/>
  <c r="AC770" i="2"/>
  <c r="AC921" i="2"/>
  <c r="X759" i="2"/>
  <c r="N759" i="2" s="1"/>
  <c r="X464" i="2"/>
  <c r="N464" i="2" s="1"/>
  <c r="X435" i="2"/>
  <c r="Z435" i="2" s="1"/>
  <c r="AB435" i="2" s="1"/>
  <c r="AD435" i="2" s="1"/>
  <c r="X239" i="2"/>
  <c r="Z239" i="2" s="1"/>
  <c r="X1211" i="2"/>
  <c r="Z1211" i="2" s="1"/>
  <c r="X447" i="2"/>
  <c r="N447" i="2" s="1"/>
  <c r="X760" i="2"/>
  <c r="N760" i="2" s="1"/>
  <c r="X521" i="2"/>
  <c r="Z521" i="2" s="1"/>
  <c r="AB521" i="2" s="1"/>
  <c r="AD521" i="2" s="1"/>
  <c r="X1045" i="2"/>
  <c r="N1045" i="2" s="1"/>
  <c r="X575" i="2"/>
  <c r="N575" i="2" s="1"/>
  <c r="X770" i="2"/>
  <c r="N770" i="2" s="1"/>
  <c r="X921" i="2"/>
  <c r="Z921" i="2" s="1"/>
  <c r="X706" i="2"/>
  <c r="AC706" i="2"/>
  <c r="AG706" i="2"/>
  <c r="AH706" i="2" s="1"/>
  <c r="BJ706" i="2"/>
  <c r="BK706" i="2" s="1"/>
  <c r="X289" i="2"/>
  <c r="Z289" i="2" s="1"/>
  <c r="AC289" i="2"/>
  <c r="AG289" i="2"/>
  <c r="AH289" i="2" s="1"/>
  <c r="BJ289" i="2"/>
  <c r="BK289" i="2" s="1"/>
  <c r="X507" i="2"/>
  <c r="Z507" i="2" s="1"/>
  <c r="AC507" i="2"/>
  <c r="AG507" i="2"/>
  <c r="AH507" i="2" s="1"/>
  <c r="BJ507" i="2"/>
  <c r="BK507" i="2" s="1"/>
  <c r="X143" i="2"/>
  <c r="Z143" i="2" s="1"/>
  <c r="AC143" i="2"/>
  <c r="AG143" i="2"/>
  <c r="AH143" i="2" s="1"/>
  <c r="BJ143" i="2"/>
  <c r="BK143" i="2" s="1"/>
  <c r="X1397" i="2"/>
  <c r="N1397" i="2" s="1"/>
  <c r="AC1397" i="2"/>
  <c r="AG1397" i="2"/>
  <c r="AH1397" i="2" s="1"/>
  <c r="AS1397" i="2"/>
  <c r="AT1397" i="2" s="1"/>
  <c r="BJ1397" i="2"/>
  <c r="BK1397" i="2" s="1"/>
  <c r="X1299" i="2"/>
  <c r="N1299" i="2" s="1"/>
  <c r="AC1299" i="2"/>
  <c r="AG1299" i="2"/>
  <c r="AH1299" i="2" s="1"/>
  <c r="AS1299" i="2"/>
  <c r="AT1299" i="2" s="1"/>
  <c r="BJ1299" i="2"/>
  <c r="BK1299" i="2" s="1"/>
  <c r="X1244" i="2"/>
  <c r="N1244" i="2" s="1"/>
  <c r="AC1244" i="2"/>
  <c r="AG1244" i="2"/>
  <c r="AH1244" i="2" s="1"/>
  <c r="AS1244" i="2"/>
  <c r="AT1244" i="2" s="1"/>
  <c r="BJ1244" i="2"/>
  <c r="BK1244" i="2" s="1"/>
  <c r="X732" i="2"/>
  <c r="Z732" i="2" s="1"/>
  <c r="AC732" i="2"/>
  <c r="AG732" i="2"/>
  <c r="AH732" i="2" s="1"/>
  <c r="AS732" i="2"/>
  <c r="AT732" i="2" s="1"/>
  <c r="BJ732" i="2"/>
  <c r="BK732" i="2" s="1"/>
  <c r="X133" i="2"/>
  <c r="N133" i="2" s="1"/>
  <c r="AC133" i="2"/>
  <c r="AG133" i="2"/>
  <c r="AH133" i="2" s="1"/>
  <c r="AS133" i="2"/>
  <c r="AT133" i="2" s="1"/>
  <c r="BJ133" i="2"/>
  <c r="BK133" i="2" s="1"/>
  <c r="X1569" i="2"/>
  <c r="Z1569" i="2" s="1"/>
  <c r="Y1569" i="2"/>
  <c r="AA1569" i="2"/>
  <c r="AC1569" i="2"/>
  <c r="AG1569" i="2"/>
  <c r="AH1569" i="2" s="1"/>
  <c r="BJ1569" i="2"/>
  <c r="BK1569" i="2" s="1"/>
  <c r="X1591" i="2"/>
  <c r="Y1591" i="2"/>
  <c r="AA1591" i="2"/>
  <c r="AC1591" i="2"/>
  <c r="AG1591" i="2"/>
  <c r="AH1591" i="2" s="1"/>
  <c r="BJ1591" i="2"/>
  <c r="BK1591" i="2" s="1"/>
  <c r="X1383" i="2"/>
  <c r="Y1383" i="2"/>
  <c r="AA1383" i="2"/>
  <c r="AC1383" i="2"/>
  <c r="AG1383" i="2"/>
  <c r="AH1383" i="2" s="1"/>
  <c r="BJ1383" i="2"/>
  <c r="BK1383" i="2" s="1"/>
  <c r="X813" i="2"/>
  <c r="Z813" i="2" s="1"/>
  <c r="Y813" i="2"/>
  <c r="AA813" i="2"/>
  <c r="AC813" i="2"/>
  <c r="AG813" i="2"/>
  <c r="AH813" i="2" s="1"/>
  <c r="BJ813" i="2"/>
  <c r="BK813" i="2" s="1"/>
  <c r="X1592" i="2"/>
  <c r="Z1592" i="2" s="1"/>
  <c r="Y1592" i="2"/>
  <c r="AA1592" i="2"/>
  <c r="AC1592" i="2"/>
  <c r="AG1592" i="2"/>
  <c r="AH1592" i="2" s="1"/>
  <c r="BJ1592" i="2"/>
  <c r="BK1592" i="2" s="1"/>
  <c r="X999" i="2"/>
  <c r="Y999" i="2"/>
  <c r="AA999" i="2"/>
  <c r="AC999" i="2"/>
  <c r="AG999" i="2"/>
  <c r="AH999" i="2" s="1"/>
  <c r="BJ999" i="2"/>
  <c r="BK999" i="2" s="1"/>
  <c r="X15" i="2"/>
  <c r="Y15" i="2"/>
  <c r="AA15" i="2"/>
  <c r="AC15" i="2"/>
  <c r="AG15" i="2"/>
  <c r="AH15" i="2" s="1"/>
  <c r="BJ15" i="2"/>
  <c r="BK15" i="2" s="1"/>
  <c r="X1725" i="2"/>
  <c r="Y1725" i="2"/>
  <c r="AC1725" i="2"/>
  <c r="AG1725" i="2"/>
  <c r="AH1725" i="2" s="1"/>
  <c r="BJ1725" i="2"/>
  <c r="BK1725" i="2" s="1"/>
  <c r="X1721" i="2"/>
  <c r="Y1721" i="2"/>
  <c r="AC1721" i="2"/>
  <c r="AG1721" i="2"/>
  <c r="AH1721" i="2" s="1"/>
  <c r="BJ1721" i="2"/>
  <c r="BK1721" i="2" s="1"/>
  <c r="X1720" i="2"/>
  <c r="Y1720" i="2"/>
  <c r="AC1720" i="2"/>
  <c r="AG1720" i="2"/>
  <c r="AH1720" i="2" s="1"/>
  <c r="BJ1720" i="2"/>
  <c r="BK1720" i="2" s="1"/>
  <c r="X1718" i="2"/>
  <c r="Y1718" i="2"/>
  <c r="AC1718" i="2"/>
  <c r="AG1718" i="2"/>
  <c r="AH1718" i="2" s="1"/>
  <c r="BJ1718" i="2"/>
  <c r="BK1718" i="2" s="1"/>
  <c r="X1716" i="2"/>
  <c r="Y1716" i="2"/>
  <c r="AC1716" i="2"/>
  <c r="AG1716" i="2"/>
  <c r="AH1716" i="2" s="1"/>
  <c r="BJ1716" i="2"/>
  <c r="BK1716" i="2" s="1"/>
  <c r="X1726" i="2"/>
  <c r="Y1726" i="2"/>
  <c r="AC1726" i="2"/>
  <c r="AG1726" i="2"/>
  <c r="AH1726" i="2" s="1"/>
  <c r="BJ1726" i="2"/>
  <c r="BK1726" i="2" s="1"/>
  <c r="X1724" i="2"/>
  <c r="Y1724" i="2"/>
  <c r="AC1724" i="2"/>
  <c r="AG1724" i="2"/>
  <c r="AH1724" i="2" s="1"/>
  <c r="BJ1724" i="2"/>
  <c r="BK1724" i="2" s="1"/>
  <c r="X1723" i="2"/>
  <c r="Y1723" i="2"/>
  <c r="AC1723" i="2"/>
  <c r="AG1723" i="2"/>
  <c r="AH1723" i="2" s="1"/>
  <c r="BJ1723" i="2"/>
  <c r="BK1723" i="2" s="1"/>
  <c r="X1722" i="2"/>
  <c r="Y1722" i="2"/>
  <c r="AC1722" i="2"/>
  <c r="AG1722" i="2"/>
  <c r="AH1722" i="2" s="1"/>
  <c r="BJ1722" i="2"/>
  <c r="BK1722" i="2" s="1"/>
  <c r="X1719" i="2"/>
  <c r="Y1719" i="2"/>
  <c r="AC1719" i="2"/>
  <c r="AG1719" i="2"/>
  <c r="AH1719" i="2" s="1"/>
  <c r="BJ1719" i="2"/>
  <c r="BK1719" i="2" s="1"/>
  <c r="X1717" i="2"/>
  <c r="Y1717" i="2"/>
  <c r="AC1717" i="2"/>
  <c r="AG1717" i="2"/>
  <c r="AH1717" i="2" s="1"/>
  <c r="BJ1717" i="2"/>
  <c r="BK1717" i="2" s="1"/>
  <c r="X1437" i="2"/>
  <c r="Z1437" i="2" s="1"/>
  <c r="AB1437" i="2" s="1"/>
  <c r="AD1437" i="2" s="1"/>
  <c r="Y1437" i="2"/>
  <c r="AC1437" i="2"/>
  <c r="AG1437" i="2"/>
  <c r="AH1437" i="2" s="1"/>
  <c r="AS1437" i="2"/>
  <c r="AT1437" i="2" s="1"/>
  <c r="BJ1437" i="2"/>
  <c r="BK1437" i="2" s="1"/>
  <c r="X1320" i="2"/>
  <c r="Z1320" i="2" s="1"/>
  <c r="Q1320" i="2" s="1"/>
  <c r="AE1320" i="2" s="1"/>
  <c r="Y1320" i="2"/>
  <c r="AC1320" i="2"/>
  <c r="AG1320" i="2"/>
  <c r="AH1320" i="2" s="1"/>
  <c r="AS1320" i="2"/>
  <c r="AT1320" i="2" s="1"/>
  <c r="BJ1320" i="2"/>
  <c r="BK1320" i="2" s="1"/>
  <c r="X1253" i="2"/>
  <c r="Y1253" i="2"/>
  <c r="AC1253" i="2"/>
  <c r="AG1253" i="2"/>
  <c r="AH1253" i="2" s="1"/>
  <c r="AS1253" i="2"/>
  <c r="AT1253" i="2" s="1"/>
  <c r="BJ1253" i="2"/>
  <c r="BK1253" i="2" s="1"/>
  <c r="X1176" i="2"/>
  <c r="Z1176" i="2" s="1"/>
  <c r="Y1176" i="2"/>
  <c r="AC1176" i="2"/>
  <c r="AG1176" i="2"/>
  <c r="AH1176" i="2" s="1"/>
  <c r="AS1176" i="2"/>
  <c r="AT1176" i="2" s="1"/>
  <c r="BJ1176" i="2"/>
  <c r="BK1176" i="2" s="1"/>
  <c r="X799" i="2"/>
  <c r="Z799" i="2" s="1"/>
  <c r="AB799" i="2" s="1"/>
  <c r="AD799" i="2" s="1"/>
  <c r="Y799" i="2"/>
  <c r="AC799" i="2"/>
  <c r="AG799" i="2"/>
  <c r="AH799" i="2" s="1"/>
  <c r="AS799" i="2"/>
  <c r="AT799" i="2" s="1"/>
  <c r="BJ799" i="2"/>
  <c r="BK799" i="2" s="1"/>
  <c r="X957" i="2"/>
  <c r="Z957" i="2" s="1"/>
  <c r="Q957" i="2" s="1"/>
  <c r="AE957" i="2" s="1"/>
  <c r="Y957" i="2"/>
  <c r="AC957" i="2"/>
  <c r="AG957" i="2"/>
  <c r="AH957" i="2" s="1"/>
  <c r="AS957" i="2"/>
  <c r="AT957" i="2" s="1"/>
  <c r="BJ957" i="2"/>
  <c r="BK957" i="2" s="1"/>
  <c r="X782" i="2"/>
  <c r="Z782" i="2" s="1"/>
  <c r="Y782" i="2"/>
  <c r="AC782" i="2"/>
  <c r="AG782" i="2"/>
  <c r="AH782" i="2" s="1"/>
  <c r="AS782" i="2"/>
  <c r="AT782" i="2" s="1"/>
  <c r="BJ782" i="2"/>
  <c r="BK782" i="2" s="1"/>
  <c r="X384" i="2"/>
  <c r="Z384" i="2" s="1"/>
  <c r="Y384" i="2"/>
  <c r="AC384" i="2"/>
  <c r="AG384" i="2"/>
  <c r="AH384" i="2" s="1"/>
  <c r="AS384" i="2"/>
  <c r="AT384" i="2" s="1"/>
  <c r="BJ384" i="2"/>
  <c r="BK384" i="2" s="1"/>
  <c r="X357" i="2"/>
  <c r="Z357" i="2" s="1"/>
  <c r="AB357" i="2" s="1"/>
  <c r="AD357" i="2" s="1"/>
  <c r="Y357" i="2"/>
  <c r="AC357" i="2"/>
  <c r="AG357" i="2"/>
  <c r="AH357" i="2" s="1"/>
  <c r="AS357" i="2"/>
  <c r="AT357" i="2" s="1"/>
  <c r="BJ357" i="2"/>
  <c r="BK357" i="2" s="1"/>
  <c r="X210" i="2"/>
  <c r="Z210" i="2" s="1"/>
  <c r="Q210" i="2" s="1"/>
  <c r="AE210" i="2" s="1"/>
  <c r="Y210" i="2"/>
  <c r="AC210" i="2"/>
  <c r="AG210" i="2"/>
  <c r="AH210" i="2" s="1"/>
  <c r="AS210" i="2"/>
  <c r="AT210" i="2" s="1"/>
  <c r="BJ210" i="2"/>
  <c r="BK210" i="2" s="1"/>
  <c r="X1319" i="2"/>
  <c r="Z1319" i="2" s="1"/>
  <c r="Y1319" i="2"/>
  <c r="AC1319" i="2"/>
  <c r="AG1319" i="2"/>
  <c r="AH1319" i="2" s="1"/>
  <c r="AS1319" i="2"/>
  <c r="AT1319" i="2" s="1"/>
  <c r="BJ1319" i="2"/>
  <c r="BK1319" i="2" s="1"/>
  <c r="X1224" i="2"/>
  <c r="Z1224" i="2" s="1"/>
  <c r="Y1224" i="2"/>
  <c r="AC1224" i="2"/>
  <c r="AG1224" i="2"/>
  <c r="AH1224" i="2" s="1"/>
  <c r="AS1224" i="2"/>
  <c r="AT1224" i="2" s="1"/>
  <c r="BJ1224" i="2"/>
  <c r="BK1224" i="2" s="1"/>
  <c r="X1194" i="2"/>
  <c r="Z1194" i="2" s="1"/>
  <c r="AB1194" i="2" s="1"/>
  <c r="AD1194" i="2" s="1"/>
  <c r="Y1194" i="2"/>
  <c r="AC1194" i="2"/>
  <c r="AG1194" i="2"/>
  <c r="AH1194" i="2" s="1"/>
  <c r="AS1194" i="2"/>
  <c r="AT1194" i="2" s="1"/>
  <c r="BJ1194" i="2"/>
  <c r="BK1194" i="2" s="1"/>
  <c r="X1065" i="2"/>
  <c r="Z1065" i="2" s="1"/>
  <c r="Y1065" i="2"/>
  <c r="AC1065" i="2"/>
  <c r="AG1065" i="2"/>
  <c r="AH1065" i="2" s="1"/>
  <c r="AS1065" i="2"/>
  <c r="AT1065" i="2" s="1"/>
  <c r="BJ1065" i="2"/>
  <c r="BK1065" i="2" s="1"/>
  <c r="X1093" i="2"/>
  <c r="Z1093" i="2" s="1"/>
  <c r="AB1093" i="2" s="1"/>
  <c r="AD1093" i="2" s="1"/>
  <c r="Y1093" i="2"/>
  <c r="AC1093" i="2"/>
  <c r="AG1093" i="2"/>
  <c r="AH1093" i="2" s="1"/>
  <c r="AS1093" i="2"/>
  <c r="AT1093" i="2" s="1"/>
  <c r="BJ1093" i="2"/>
  <c r="BK1093" i="2" s="1"/>
  <c r="X1011" i="2"/>
  <c r="Z1011" i="2" s="1"/>
  <c r="Y1011" i="2"/>
  <c r="AC1011" i="2"/>
  <c r="AG1011" i="2"/>
  <c r="AH1011" i="2" s="1"/>
  <c r="AS1011" i="2"/>
  <c r="AT1011" i="2" s="1"/>
  <c r="BJ1011" i="2"/>
  <c r="BK1011" i="2" s="1"/>
  <c r="X956" i="2"/>
  <c r="Z956" i="2" s="1"/>
  <c r="Y956" i="2"/>
  <c r="AC956" i="2"/>
  <c r="AG956" i="2"/>
  <c r="AH956" i="2" s="1"/>
  <c r="AS956" i="2"/>
  <c r="AT956" i="2" s="1"/>
  <c r="BJ956" i="2"/>
  <c r="BK956" i="2" s="1"/>
  <c r="X1423" i="2"/>
  <c r="Y1423" i="2"/>
  <c r="AC1423" i="2"/>
  <c r="AG1423" i="2"/>
  <c r="AH1423" i="2" s="1"/>
  <c r="AS1423" i="2"/>
  <c r="AT1423" i="2" s="1"/>
  <c r="BJ1423" i="2"/>
  <c r="BK1423" i="2" s="1"/>
  <c r="X1229" i="2"/>
  <c r="Z1229" i="2" s="1"/>
  <c r="Y1229" i="2"/>
  <c r="AC1229" i="2"/>
  <c r="AG1229" i="2"/>
  <c r="AH1229" i="2" s="1"/>
  <c r="AS1229" i="2"/>
  <c r="AT1229" i="2" s="1"/>
  <c r="BJ1229" i="2"/>
  <c r="BK1229" i="2" s="1"/>
  <c r="X1177" i="2"/>
  <c r="Z1177" i="2" s="1"/>
  <c r="Y1177" i="2"/>
  <c r="AC1177" i="2"/>
  <c r="AG1177" i="2"/>
  <c r="AH1177" i="2" s="1"/>
  <c r="AS1177" i="2"/>
  <c r="AT1177" i="2" s="1"/>
  <c r="BJ1177" i="2"/>
  <c r="BK1177" i="2" s="1"/>
  <c r="X840" i="2"/>
  <c r="Z840" i="2" s="1"/>
  <c r="Y840" i="2"/>
  <c r="AC840" i="2"/>
  <c r="AG840" i="2"/>
  <c r="AH840" i="2" s="1"/>
  <c r="AS840" i="2"/>
  <c r="AT840" i="2" s="1"/>
  <c r="BJ840" i="2"/>
  <c r="BK840" i="2" s="1"/>
  <c r="X883" i="2"/>
  <c r="Z883" i="2" s="1"/>
  <c r="Y883" i="2"/>
  <c r="AC883" i="2"/>
  <c r="AG883" i="2"/>
  <c r="AH883" i="2" s="1"/>
  <c r="AS883" i="2"/>
  <c r="AT883" i="2" s="1"/>
  <c r="BJ883" i="2"/>
  <c r="BK883" i="2" s="1"/>
  <c r="X772" i="2"/>
  <c r="Z772" i="2" s="1"/>
  <c r="Y772" i="2"/>
  <c r="AC772" i="2"/>
  <c r="AG772" i="2"/>
  <c r="AH772" i="2" s="1"/>
  <c r="AS772" i="2"/>
  <c r="AT772" i="2" s="1"/>
  <c r="BJ772" i="2"/>
  <c r="BK772" i="2" s="1"/>
  <c r="X671" i="2"/>
  <c r="Z671" i="2" s="1"/>
  <c r="Y671" i="2"/>
  <c r="AC671" i="2"/>
  <c r="AG671" i="2"/>
  <c r="AH671" i="2" s="1"/>
  <c r="AS671" i="2"/>
  <c r="AT671" i="2" s="1"/>
  <c r="BJ671" i="2"/>
  <c r="BK671" i="2" s="1"/>
  <c r="X654" i="2"/>
  <c r="Z654" i="2" s="1"/>
  <c r="Y654" i="2"/>
  <c r="AC654" i="2"/>
  <c r="AG654" i="2"/>
  <c r="AH654" i="2" s="1"/>
  <c r="AS654" i="2"/>
  <c r="AT654" i="2" s="1"/>
  <c r="BJ654" i="2"/>
  <c r="BK654" i="2" s="1"/>
  <c r="X556" i="2"/>
  <c r="Y556" i="2"/>
  <c r="AC556" i="2"/>
  <c r="AG556" i="2"/>
  <c r="AH556" i="2" s="1"/>
  <c r="AS556" i="2"/>
  <c r="AT556" i="2" s="1"/>
  <c r="BJ556" i="2"/>
  <c r="BK556" i="2" s="1"/>
  <c r="X593" i="2"/>
  <c r="Y593" i="2"/>
  <c r="AC593" i="2"/>
  <c r="AG593" i="2"/>
  <c r="AH593" i="2" s="1"/>
  <c r="AS593" i="2"/>
  <c r="AT593" i="2" s="1"/>
  <c r="BJ593" i="2"/>
  <c r="BK593" i="2" s="1"/>
  <c r="X1407" i="2"/>
  <c r="Y1407" i="2"/>
  <c r="AC1407" i="2"/>
  <c r="AG1407" i="2"/>
  <c r="AH1407" i="2" s="1"/>
  <c r="AS1407" i="2"/>
  <c r="AT1407" i="2" s="1"/>
  <c r="BJ1407" i="2"/>
  <c r="BK1407" i="2" s="1"/>
  <c r="X1280" i="2"/>
  <c r="Y1280" i="2"/>
  <c r="AC1280" i="2"/>
  <c r="AG1280" i="2"/>
  <c r="AH1280" i="2" s="1"/>
  <c r="AS1280" i="2"/>
  <c r="AT1280" i="2" s="1"/>
  <c r="BJ1280" i="2"/>
  <c r="BK1280" i="2" s="1"/>
  <c r="X1105" i="2"/>
  <c r="Z1105" i="2" s="1"/>
  <c r="Y1105" i="2"/>
  <c r="AC1105" i="2"/>
  <c r="AG1105" i="2"/>
  <c r="AH1105" i="2" s="1"/>
  <c r="AS1105" i="2"/>
  <c r="AT1105" i="2" s="1"/>
  <c r="BJ1105" i="2"/>
  <c r="BK1105" i="2" s="1"/>
  <c r="X975" i="2"/>
  <c r="Z975" i="2" s="1"/>
  <c r="Y975" i="2"/>
  <c r="AC975" i="2"/>
  <c r="AG975" i="2"/>
  <c r="AH975" i="2" s="1"/>
  <c r="AS975" i="2"/>
  <c r="AT975" i="2" s="1"/>
  <c r="BJ975" i="2"/>
  <c r="BK975" i="2" s="1"/>
  <c r="X783" i="2"/>
  <c r="Z783" i="2" s="1"/>
  <c r="AB783" i="2" s="1"/>
  <c r="AD783" i="2" s="1"/>
  <c r="Y783" i="2"/>
  <c r="AC783" i="2"/>
  <c r="AG783" i="2"/>
  <c r="AH783" i="2" s="1"/>
  <c r="AS783" i="2"/>
  <c r="AT783" i="2" s="1"/>
  <c r="BJ783" i="2"/>
  <c r="BK783" i="2" s="1"/>
  <c r="X586" i="2"/>
  <c r="Y586" i="2"/>
  <c r="AC586" i="2"/>
  <c r="AG586" i="2"/>
  <c r="AH586" i="2" s="1"/>
  <c r="AS586" i="2"/>
  <c r="AT586" i="2" s="1"/>
  <c r="BJ586" i="2"/>
  <c r="BK586" i="2" s="1"/>
  <c r="X642" i="2"/>
  <c r="Z642" i="2" s="1"/>
  <c r="Y642" i="2"/>
  <c r="AC642" i="2"/>
  <c r="AG642" i="2"/>
  <c r="AH642" i="2" s="1"/>
  <c r="AS642" i="2"/>
  <c r="AT642" i="2" s="1"/>
  <c r="BJ642" i="2"/>
  <c r="BK642" i="2" s="1"/>
  <c r="X462" i="2"/>
  <c r="Z462" i="2" s="1"/>
  <c r="Y462" i="2"/>
  <c r="AC462" i="2"/>
  <c r="AG462" i="2"/>
  <c r="AH462" i="2" s="1"/>
  <c r="AS462" i="2"/>
  <c r="AT462" i="2" s="1"/>
  <c r="BJ462" i="2"/>
  <c r="BK462" i="2" s="1"/>
  <c r="X423" i="2"/>
  <c r="Y423" i="2"/>
  <c r="AC423" i="2"/>
  <c r="AG423" i="2"/>
  <c r="AH423" i="2" s="1"/>
  <c r="AS423" i="2"/>
  <c r="AT423" i="2" s="1"/>
  <c r="BJ423" i="2"/>
  <c r="BK423" i="2" s="1"/>
  <c r="X1024" i="2"/>
  <c r="N1024" i="2" s="1"/>
  <c r="AC1024" i="2"/>
  <c r="AG1024" i="2"/>
  <c r="AH1024" i="2" s="1"/>
  <c r="BJ1024" i="2"/>
  <c r="BK1024" i="2" s="1"/>
  <c r="X1167" i="2"/>
  <c r="N1167" i="2" s="1"/>
  <c r="AC1167" i="2"/>
  <c r="AG1167" i="2"/>
  <c r="AH1167" i="2" s="1"/>
  <c r="BJ1167" i="2"/>
  <c r="BK1167" i="2" s="1"/>
  <c r="X1267" i="2"/>
  <c r="N1267" i="2" s="1"/>
  <c r="AC1267" i="2"/>
  <c r="AG1267" i="2"/>
  <c r="AH1267" i="2" s="1"/>
  <c r="BJ1267" i="2"/>
  <c r="BK1267" i="2" s="1"/>
  <c r="X838" i="2"/>
  <c r="N838" i="2" s="1"/>
  <c r="AC838" i="2"/>
  <c r="AG838" i="2"/>
  <c r="AH838" i="2" s="1"/>
  <c r="BJ838" i="2"/>
  <c r="BK838" i="2" s="1"/>
  <c r="X1162" i="2"/>
  <c r="N1162" i="2" s="1"/>
  <c r="AC1162" i="2"/>
  <c r="AG1162" i="2"/>
  <c r="AH1162" i="2" s="1"/>
  <c r="BJ1162" i="2"/>
  <c r="BK1162" i="2" s="1"/>
  <c r="X1199" i="2"/>
  <c r="N1199" i="2" s="1"/>
  <c r="AC1199" i="2"/>
  <c r="AG1199" i="2"/>
  <c r="AH1199" i="2" s="1"/>
  <c r="BJ1199" i="2"/>
  <c r="BK1199" i="2" s="1"/>
  <c r="X1298" i="2"/>
  <c r="N1298" i="2" s="1"/>
  <c r="AC1298" i="2"/>
  <c r="AG1298" i="2"/>
  <c r="AH1298" i="2" s="1"/>
  <c r="BJ1298" i="2"/>
  <c r="BK1298" i="2" s="1"/>
  <c r="X1120" i="2"/>
  <c r="N1120" i="2" s="1"/>
  <c r="AC1120" i="2"/>
  <c r="AG1120" i="2"/>
  <c r="AH1120" i="2" s="1"/>
  <c r="BJ1120" i="2"/>
  <c r="BK1120" i="2" s="1"/>
  <c r="X1041" i="2"/>
  <c r="N1041" i="2" s="1"/>
  <c r="AC1041" i="2"/>
  <c r="AG1041" i="2"/>
  <c r="AH1041" i="2" s="1"/>
  <c r="BJ1041" i="2"/>
  <c r="BK1041" i="2" s="1"/>
  <c r="X652" i="2"/>
  <c r="N652" i="2" s="1"/>
  <c r="AC652" i="2"/>
  <c r="AG652" i="2"/>
  <c r="AH652" i="2" s="1"/>
  <c r="BJ652" i="2"/>
  <c r="BK652" i="2" s="1"/>
  <c r="X1531" i="2"/>
  <c r="N1531" i="2" s="1"/>
  <c r="AC1531" i="2"/>
  <c r="AG1531" i="2"/>
  <c r="AH1531" i="2" s="1"/>
  <c r="BJ1531" i="2"/>
  <c r="BK1531" i="2" s="1"/>
  <c r="X1190" i="2"/>
  <c r="Y1190" i="2"/>
  <c r="AC1190" i="2"/>
  <c r="AG1190" i="2"/>
  <c r="AH1190" i="2" s="1"/>
  <c r="BD1190" i="2"/>
  <c r="BF1190" i="2"/>
  <c r="BJ1190" i="2"/>
  <c r="BK1190" i="2" s="1"/>
  <c r="X854" i="2"/>
  <c r="Y854" i="2"/>
  <c r="AC854" i="2"/>
  <c r="AG854" i="2"/>
  <c r="AH854" i="2" s="1"/>
  <c r="BD854" i="2"/>
  <c r="BF854" i="2"/>
  <c r="BJ854" i="2"/>
  <c r="BK854" i="2" s="1"/>
  <c r="X546" i="2"/>
  <c r="Z546" i="2" s="1"/>
  <c r="Y546" i="2"/>
  <c r="AC546" i="2"/>
  <c r="AG546" i="2"/>
  <c r="AH546" i="2" s="1"/>
  <c r="BD546" i="2"/>
  <c r="BF546" i="2"/>
  <c r="BJ546" i="2"/>
  <c r="BK546" i="2" s="1"/>
  <c r="X1277" i="2"/>
  <c r="Z1277" i="2" s="1"/>
  <c r="Y1277" i="2"/>
  <c r="AC1277" i="2"/>
  <c r="AG1277" i="2"/>
  <c r="AH1277" i="2" s="1"/>
  <c r="BD1277" i="2"/>
  <c r="BF1277" i="2"/>
  <c r="BJ1277" i="2"/>
  <c r="BK1277" i="2" s="1"/>
  <c r="X1063" i="2"/>
  <c r="Y1063" i="2"/>
  <c r="AC1063" i="2"/>
  <c r="AG1063" i="2"/>
  <c r="AH1063" i="2" s="1"/>
  <c r="BD1063" i="2"/>
  <c r="BF1063" i="2"/>
  <c r="BJ1063" i="2"/>
  <c r="BK1063" i="2" s="1"/>
  <c r="X911" i="2"/>
  <c r="Y911" i="2"/>
  <c r="AC911" i="2"/>
  <c r="AG911" i="2"/>
  <c r="AH911" i="2" s="1"/>
  <c r="BD911" i="2"/>
  <c r="BF911" i="2"/>
  <c r="BJ911" i="2"/>
  <c r="BK911" i="2" s="1"/>
  <c r="X725" i="2"/>
  <c r="Y725" i="2"/>
  <c r="AC725" i="2"/>
  <c r="AG725" i="2"/>
  <c r="AH725" i="2" s="1"/>
  <c r="BD725" i="2"/>
  <c r="BF725" i="2"/>
  <c r="BJ725" i="2"/>
  <c r="BK725" i="2" s="1"/>
  <c r="X596" i="2"/>
  <c r="Y596" i="2"/>
  <c r="AC596" i="2"/>
  <c r="AG596" i="2"/>
  <c r="AH596" i="2" s="1"/>
  <c r="BD596" i="2"/>
  <c r="BF596" i="2"/>
  <c r="BJ596" i="2"/>
  <c r="BK596" i="2" s="1"/>
  <c r="X1135" i="2"/>
  <c r="Y1135" i="2"/>
  <c r="AC1135" i="2"/>
  <c r="AG1135" i="2"/>
  <c r="AH1135" i="2" s="1"/>
  <c r="BD1135" i="2"/>
  <c r="BF1135" i="2"/>
  <c r="BJ1135" i="2"/>
  <c r="BK1135" i="2" s="1"/>
  <c r="X824" i="2"/>
  <c r="Z824" i="2" s="1"/>
  <c r="Y824" i="2"/>
  <c r="AC824" i="2"/>
  <c r="AG824" i="2"/>
  <c r="AH824" i="2" s="1"/>
  <c r="BD824" i="2"/>
  <c r="BF824" i="2"/>
  <c r="BJ824" i="2"/>
  <c r="BK824" i="2" s="1"/>
  <c r="X708" i="2"/>
  <c r="Z708" i="2" s="1"/>
  <c r="Y708" i="2"/>
  <c r="AC708" i="2"/>
  <c r="AG708" i="2"/>
  <c r="AH708" i="2" s="1"/>
  <c r="BD708" i="2"/>
  <c r="BF708" i="2"/>
  <c r="BJ708" i="2"/>
  <c r="BK708" i="2" s="1"/>
  <c r="X273" i="2"/>
  <c r="Y273" i="2"/>
  <c r="AC273" i="2"/>
  <c r="AG273" i="2"/>
  <c r="AH273" i="2" s="1"/>
  <c r="BD273" i="2"/>
  <c r="BF273" i="2"/>
  <c r="BJ273" i="2"/>
  <c r="BK273" i="2" s="1"/>
  <c r="X196" i="2"/>
  <c r="Y196" i="2"/>
  <c r="AC196" i="2"/>
  <c r="AG196" i="2"/>
  <c r="AH196" i="2" s="1"/>
  <c r="BD196" i="2"/>
  <c r="BF196" i="2"/>
  <c r="BJ196" i="2"/>
  <c r="BK196" i="2" s="1"/>
  <c r="X994" i="2"/>
  <c r="Z994" i="2" s="1"/>
  <c r="Y994" i="2"/>
  <c r="AC994" i="2"/>
  <c r="AG994" i="2"/>
  <c r="AH994" i="2" s="1"/>
  <c r="AU994" i="2"/>
  <c r="BD994" i="2"/>
  <c r="BF994" i="2"/>
  <c r="X970" i="2"/>
  <c r="Z970" i="2" s="1"/>
  <c r="Y970" i="2"/>
  <c r="AC970" i="2"/>
  <c r="AG970" i="2"/>
  <c r="AH970" i="2" s="1"/>
  <c r="BD970" i="2"/>
  <c r="BF970" i="2"/>
  <c r="BJ970" i="2"/>
  <c r="BK970" i="2" s="1"/>
  <c r="X707" i="2"/>
  <c r="Y707" i="2"/>
  <c r="AC707" i="2"/>
  <c r="AG707" i="2"/>
  <c r="AH707" i="2" s="1"/>
  <c r="BD707" i="2"/>
  <c r="BF707" i="2"/>
  <c r="BJ707" i="2"/>
  <c r="BK707" i="2" s="1"/>
  <c r="X403" i="2"/>
  <c r="Y403" i="2"/>
  <c r="AC403" i="2"/>
  <c r="AG403" i="2"/>
  <c r="AH403" i="2" s="1"/>
  <c r="BD403" i="2"/>
  <c r="BF403" i="2"/>
  <c r="BJ403" i="2"/>
  <c r="BK403" i="2" s="1"/>
  <c r="Y1700" i="2"/>
  <c r="AC1700" i="2"/>
  <c r="AF1700" i="2"/>
  <c r="AG1700" i="2"/>
  <c r="AH1700" i="2" s="1"/>
  <c r="BJ1700" i="2"/>
  <c r="BK1700" i="2" s="1"/>
  <c r="Y1698" i="2"/>
  <c r="AC1698" i="2"/>
  <c r="AF1698" i="2"/>
  <c r="AG1698" i="2"/>
  <c r="AH1698" i="2" s="1"/>
  <c r="BJ1698" i="2"/>
  <c r="BK1698" i="2" s="1"/>
  <c r="Y1696" i="2"/>
  <c r="AC1696" i="2"/>
  <c r="AF1696" i="2"/>
  <c r="AG1696" i="2"/>
  <c r="AH1696" i="2" s="1"/>
  <c r="BJ1696" i="2"/>
  <c r="BK1696" i="2" s="1"/>
  <c r="Y1694" i="2"/>
  <c r="AC1694" i="2"/>
  <c r="AF1694" i="2"/>
  <c r="AG1694" i="2"/>
  <c r="AH1694" i="2" s="1"/>
  <c r="BJ1694" i="2"/>
  <c r="BK1694" i="2" s="1"/>
  <c r="Y1714" i="2"/>
  <c r="AC1714" i="2"/>
  <c r="AF1714" i="2"/>
  <c r="AG1714" i="2"/>
  <c r="AH1714" i="2" s="1"/>
  <c r="BJ1714" i="2"/>
  <c r="BK1714" i="2" s="1"/>
  <c r="Y1712" i="2"/>
  <c r="AC1712" i="2"/>
  <c r="AF1712" i="2"/>
  <c r="AG1712" i="2"/>
  <c r="AH1712" i="2" s="1"/>
  <c r="BJ1712" i="2"/>
  <c r="BK1712" i="2" s="1"/>
  <c r="Y1710" i="2"/>
  <c r="AC1710" i="2"/>
  <c r="AF1710" i="2"/>
  <c r="AG1710" i="2"/>
  <c r="AH1710" i="2" s="1"/>
  <c r="BJ1710" i="2"/>
  <c r="BK1710" i="2" s="1"/>
  <c r="Y1708" i="2"/>
  <c r="AC1708" i="2"/>
  <c r="AF1708" i="2"/>
  <c r="AG1708" i="2"/>
  <c r="AH1708" i="2" s="1"/>
  <c r="BJ1708" i="2"/>
  <c r="BK1708" i="2" s="1"/>
  <c r="X1579" i="2"/>
  <c r="N1579" i="2" s="1"/>
  <c r="AC1579" i="2"/>
  <c r="AG1579" i="2"/>
  <c r="AH1579" i="2" s="1"/>
  <c r="AS1579" i="2"/>
  <c r="AT1579" i="2" s="1"/>
  <c r="BJ1579" i="2"/>
  <c r="BK1579" i="2" s="1"/>
  <c r="X1570" i="2"/>
  <c r="AC1570" i="2"/>
  <c r="AG1570" i="2"/>
  <c r="AH1570" i="2" s="1"/>
  <c r="AS1570" i="2"/>
  <c r="AT1570" i="2" s="1"/>
  <c r="BJ1570" i="2"/>
  <c r="BK1570" i="2" s="1"/>
  <c r="X1497" i="2"/>
  <c r="N1497" i="2" s="1"/>
  <c r="AC1497" i="2"/>
  <c r="AG1497" i="2"/>
  <c r="AH1497" i="2" s="1"/>
  <c r="AS1497" i="2"/>
  <c r="AT1497" i="2" s="1"/>
  <c r="BJ1497" i="2"/>
  <c r="BK1497" i="2" s="1"/>
  <c r="X1590" i="2"/>
  <c r="AC1590" i="2"/>
  <c r="AG1590" i="2"/>
  <c r="AH1590" i="2" s="1"/>
  <c r="BJ1590" i="2"/>
  <c r="BK1590" i="2" s="1"/>
  <c r="X1554" i="2"/>
  <c r="Z1554" i="2" s="1"/>
  <c r="AC1554" i="2"/>
  <c r="AG1554" i="2"/>
  <c r="AH1554" i="2" s="1"/>
  <c r="BJ1554" i="2"/>
  <c r="BK1554" i="2" s="1"/>
  <c r="X623" i="2"/>
  <c r="Z623" i="2" s="1"/>
  <c r="AC623" i="2"/>
  <c r="AG623" i="2"/>
  <c r="AH623" i="2" s="1"/>
  <c r="AS623" i="2"/>
  <c r="AT623" i="2" s="1"/>
  <c r="BJ623" i="2"/>
  <c r="BK623" i="2" s="1"/>
  <c r="X290" i="2"/>
  <c r="N290" i="2" s="1"/>
  <c r="AC290" i="2"/>
  <c r="AG290" i="2"/>
  <c r="AH290" i="2" s="1"/>
  <c r="BJ290" i="2"/>
  <c r="BK290" i="2" s="1"/>
  <c r="X50" i="2"/>
  <c r="N50" i="2" s="1"/>
  <c r="AC50" i="2"/>
  <c r="AG50" i="2"/>
  <c r="AH50" i="2" s="1"/>
  <c r="BJ50" i="2"/>
  <c r="BK50" i="2" s="1"/>
  <c r="X28" i="2"/>
  <c r="Z28" i="2" s="1"/>
  <c r="AC28" i="2"/>
  <c r="AG28" i="2"/>
  <c r="AH28" i="2" s="1"/>
  <c r="BJ28" i="2"/>
  <c r="BK28" i="2" s="1"/>
  <c r="X1152" i="2"/>
  <c r="N1152" i="2" s="1"/>
  <c r="AC1152" i="2"/>
  <c r="AG1152" i="2"/>
  <c r="AH1152" i="2" s="1"/>
  <c r="AS1152" i="2"/>
  <c r="AT1152" i="2" s="1"/>
  <c r="BJ1152" i="2"/>
  <c r="BK1152" i="2" s="1"/>
  <c r="X1337" i="2"/>
  <c r="Z1337" i="2" s="1"/>
  <c r="AC1337" i="2"/>
  <c r="AG1337" i="2"/>
  <c r="AH1337" i="2" s="1"/>
  <c r="AS1337" i="2"/>
  <c r="AT1337" i="2" s="1"/>
  <c r="BJ1337" i="2"/>
  <c r="BK1337" i="2" s="1"/>
  <c r="X832" i="2"/>
  <c r="Z832" i="2" s="1"/>
  <c r="AC832" i="2"/>
  <c r="AG832" i="2"/>
  <c r="AH832" i="2" s="1"/>
  <c r="AS832" i="2"/>
  <c r="AT832" i="2" s="1"/>
  <c r="BJ832" i="2"/>
  <c r="BK832" i="2" s="1"/>
  <c r="X1032" i="2"/>
  <c r="AC1032" i="2"/>
  <c r="AG1032" i="2"/>
  <c r="AH1032" i="2" s="1"/>
  <c r="AS1032" i="2"/>
  <c r="AT1032" i="2" s="1"/>
  <c r="BJ1032" i="2"/>
  <c r="BK1032" i="2" s="1"/>
  <c r="X1518" i="2"/>
  <c r="AC1518" i="2"/>
  <c r="AG1518" i="2"/>
  <c r="AH1518" i="2" s="1"/>
  <c r="AS1518" i="2"/>
  <c r="AT1518" i="2" s="1"/>
  <c r="BJ1518" i="2"/>
  <c r="BK1518" i="2" s="1"/>
  <c r="X1193" i="2"/>
  <c r="N1193" i="2" s="1"/>
  <c r="AC1193" i="2"/>
  <c r="AG1193" i="2"/>
  <c r="AH1193" i="2" s="1"/>
  <c r="BJ1193" i="2"/>
  <c r="BK1193" i="2" s="1"/>
  <c r="X867" i="2"/>
  <c r="Z867" i="2" s="1"/>
  <c r="AC867" i="2"/>
  <c r="AG867" i="2"/>
  <c r="AH867" i="2" s="1"/>
  <c r="BJ867" i="2"/>
  <c r="BK867" i="2" s="1"/>
  <c r="X754" i="2"/>
  <c r="N754" i="2" s="1"/>
  <c r="AC754" i="2"/>
  <c r="AG754" i="2"/>
  <c r="AH754" i="2" s="1"/>
  <c r="BJ754" i="2"/>
  <c r="BK754" i="2" s="1"/>
  <c r="X598" i="2"/>
  <c r="N598" i="2" s="1"/>
  <c r="AC598" i="2"/>
  <c r="AG598" i="2"/>
  <c r="AH598" i="2" s="1"/>
  <c r="AS598" i="2"/>
  <c r="AT598" i="2" s="1"/>
  <c r="BJ598" i="2"/>
  <c r="BK598" i="2" s="1"/>
  <c r="X789" i="2"/>
  <c r="AC789" i="2"/>
  <c r="AG789" i="2"/>
  <c r="AH789" i="2" s="1"/>
  <c r="AS789" i="2"/>
  <c r="AT789" i="2" s="1"/>
  <c r="BJ789" i="2"/>
  <c r="BK789" i="2" s="1"/>
  <c r="X663" i="2"/>
  <c r="N663" i="2" s="1"/>
  <c r="AC663" i="2"/>
  <c r="AG663" i="2"/>
  <c r="AH663" i="2" s="1"/>
  <c r="AS663" i="2"/>
  <c r="AT663" i="2" s="1"/>
  <c r="BJ663" i="2"/>
  <c r="BK663" i="2" s="1"/>
  <c r="X877" i="2"/>
  <c r="Y877" i="2"/>
  <c r="AC877" i="2"/>
  <c r="AG877" i="2"/>
  <c r="AH877" i="2" s="1"/>
  <c r="AS877" i="2"/>
  <c r="AT877" i="2" s="1"/>
  <c r="BJ877" i="2"/>
  <c r="BK877" i="2" s="1"/>
  <c r="X1058" i="2"/>
  <c r="Z1058" i="2" s="1"/>
  <c r="Y1058" i="2"/>
  <c r="AC1058" i="2"/>
  <c r="AG1058" i="2"/>
  <c r="AH1058" i="2" s="1"/>
  <c r="AS1058" i="2"/>
  <c r="AT1058" i="2" s="1"/>
  <c r="BD1058" i="2"/>
  <c r="BJ1058" i="2"/>
  <c r="BK1058" i="2" s="1"/>
  <c r="X876" i="2"/>
  <c r="Y876" i="2"/>
  <c r="AC876" i="2"/>
  <c r="AG876" i="2"/>
  <c r="AH876" i="2" s="1"/>
  <c r="AS876" i="2"/>
  <c r="AT876" i="2" s="1"/>
  <c r="BD876" i="2"/>
  <c r="BJ876" i="2"/>
  <c r="BK876" i="2" s="1"/>
  <c r="X616" i="2"/>
  <c r="Y616" i="2"/>
  <c r="AC616" i="2"/>
  <c r="AG616" i="2"/>
  <c r="AH616" i="2" s="1"/>
  <c r="AS616" i="2"/>
  <c r="AT616" i="2" s="1"/>
  <c r="BD616" i="2"/>
  <c r="BJ616" i="2"/>
  <c r="BK616" i="2" s="1"/>
  <c r="X582" i="2"/>
  <c r="Y582" i="2"/>
  <c r="AC582" i="2"/>
  <c r="AG582" i="2"/>
  <c r="AH582" i="2" s="1"/>
  <c r="AS582" i="2"/>
  <c r="AT582" i="2" s="1"/>
  <c r="BD582" i="2"/>
  <c r="BJ582" i="2"/>
  <c r="BK582" i="2" s="1"/>
  <c r="X660" i="2"/>
  <c r="Z660" i="2" s="1"/>
  <c r="AB660" i="2" s="1"/>
  <c r="AD660" i="2" s="1"/>
  <c r="Y660" i="2"/>
  <c r="AC660" i="2"/>
  <c r="AG660" i="2"/>
  <c r="AH660" i="2" s="1"/>
  <c r="AS660" i="2"/>
  <c r="AT660" i="2" s="1"/>
  <c r="BD660" i="2"/>
  <c r="BJ660" i="2"/>
  <c r="BK660" i="2" s="1"/>
  <c r="X368" i="2"/>
  <c r="Z368" i="2" s="1"/>
  <c r="Y368" i="2"/>
  <c r="AC368" i="2"/>
  <c r="AG368" i="2"/>
  <c r="AH368" i="2" s="1"/>
  <c r="AS368" i="2"/>
  <c r="AT368" i="2" s="1"/>
  <c r="BD368" i="2"/>
  <c r="BJ368" i="2"/>
  <c r="BK368" i="2" s="1"/>
  <c r="X581" i="2"/>
  <c r="Z581" i="2" s="1"/>
  <c r="Y581" i="2"/>
  <c r="AC581" i="2"/>
  <c r="AG581" i="2"/>
  <c r="AH581" i="2" s="1"/>
  <c r="AS581" i="2"/>
  <c r="AT581" i="2" s="1"/>
  <c r="BD581" i="2"/>
  <c r="BJ581" i="2"/>
  <c r="BK581" i="2" s="1"/>
  <c r="X523" i="2"/>
  <c r="Z523" i="2" s="1"/>
  <c r="AB523" i="2" s="1"/>
  <c r="AD523" i="2" s="1"/>
  <c r="Y523" i="2"/>
  <c r="AC523" i="2"/>
  <c r="AG523" i="2"/>
  <c r="AH523" i="2" s="1"/>
  <c r="AS523" i="2"/>
  <c r="AT523" i="2" s="1"/>
  <c r="BD523" i="2"/>
  <c r="BJ523" i="2"/>
  <c r="BK523" i="2" s="1"/>
  <c r="X1444" i="2"/>
  <c r="Z1444" i="2" s="1"/>
  <c r="Y1444" i="2"/>
  <c r="AC1444" i="2"/>
  <c r="AG1444" i="2"/>
  <c r="AH1444" i="2" s="1"/>
  <c r="AS1444" i="2"/>
  <c r="AT1444" i="2" s="1"/>
  <c r="BD1444" i="2"/>
  <c r="BJ1444" i="2"/>
  <c r="BK1444" i="2" s="1"/>
  <c r="X1396" i="2"/>
  <c r="Z1396" i="2" s="1"/>
  <c r="Y1396" i="2"/>
  <c r="AC1396" i="2"/>
  <c r="AG1396" i="2"/>
  <c r="AH1396" i="2" s="1"/>
  <c r="AS1396" i="2"/>
  <c r="AT1396" i="2" s="1"/>
  <c r="BD1396" i="2"/>
  <c r="BJ1396" i="2"/>
  <c r="BK1396" i="2" s="1"/>
  <c r="X1395" i="2"/>
  <c r="Z1395" i="2" s="1"/>
  <c r="Y1395" i="2"/>
  <c r="AC1395" i="2"/>
  <c r="AG1395" i="2"/>
  <c r="AH1395" i="2" s="1"/>
  <c r="AS1395" i="2"/>
  <c r="AT1395" i="2" s="1"/>
  <c r="BD1395" i="2"/>
  <c r="BJ1395" i="2"/>
  <c r="BK1395" i="2" s="1"/>
  <c r="X1160" i="2"/>
  <c r="Z1160" i="2" s="1"/>
  <c r="Q1160" i="2" s="1"/>
  <c r="AE1160" i="2" s="1"/>
  <c r="Y1160" i="2"/>
  <c r="AC1160" i="2"/>
  <c r="AG1160" i="2"/>
  <c r="AH1160" i="2" s="1"/>
  <c r="AS1160" i="2"/>
  <c r="AT1160" i="2" s="1"/>
  <c r="BD1160" i="2"/>
  <c r="BJ1160" i="2"/>
  <c r="BK1160" i="2" s="1"/>
  <c r="X1052" i="2"/>
  <c r="Z1052" i="2" s="1"/>
  <c r="Y1052" i="2"/>
  <c r="AC1052" i="2"/>
  <c r="AG1052" i="2"/>
  <c r="AH1052" i="2" s="1"/>
  <c r="AS1052" i="2"/>
  <c r="AT1052" i="2" s="1"/>
  <c r="BD1052" i="2"/>
  <c r="BJ1052" i="2"/>
  <c r="BK1052" i="2" s="1"/>
  <c r="X1017" i="2"/>
  <c r="Y1017" i="2"/>
  <c r="AC1017" i="2"/>
  <c r="AG1017" i="2"/>
  <c r="AH1017" i="2" s="1"/>
  <c r="AS1017" i="2"/>
  <c r="AT1017" i="2" s="1"/>
  <c r="BD1017" i="2"/>
  <c r="BJ1017" i="2"/>
  <c r="BK1017" i="2" s="1"/>
  <c r="X974" i="2"/>
  <c r="Z974" i="2" s="1"/>
  <c r="Y974" i="2"/>
  <c r="AC974" i="2"/>
  <c r="AG974" i="2"/>
  <c r="AH974" i="2" s="1"/>
  <c r="AS974" i="2"/>
  <c r="AT974" i="2" s="1"/>
  <c r="BD974" i="2"/>
  <c r="BJ974" i="2"/>
  <c r="BK974" i="2" s="1"/>
  <c r="X615" i="2"/>
  <c r="Z615" i="2" s="1"/>
  <c r="Y615" i="2"/>
  <c r="AC615" i="2"/>
  <c r="AG615" i="2"/>
  <c r="AH615" i="2" s="1"/>
  <c r="AS615" i="2"/>
  <c r="AT615" i="2" s="1"/>
  <c r="BD615" i="2"/>
  <c r="BJ615" i="2"/>
  <c r="BK615" i="2" s="1"/>
  <c r="X566" i="2"/>
  <c r="Z566" i="2" s="1"/>
  <c r="Y566" i="2"/>
  <c r="AC566" i="2"/>
  <c r="AG566" i="2"/>
  <c r="AH566" i="2" s="1"/>
  <c r="AS566" i="2"/>
  <c r="AT566" i="2" s="1"/>
  <c r="BJ566" i="2"/>
  <c r="BK566" i="2" s="1"/>
  <c r="X1578" i="2"/>
  <c r="Z1578" i="2" s="1"/>
  <c r="Y1578" i="2"/>
  <c r="AA1578" i="2"/>
  <c r="AC1578" i="2"/>
  <c r="AG1578" i="2"/>
  <c r="AH1578" i="2" s="1"/>
  <c r="BJ1578" i="2"/>
  <c r="BK1578" i="2" s="1"/>
  <c r="X1449" i="2"/>
  <c r="Z1449" i="2" s="1"/>
  <c r="Y1449" i="2"/>
  <c r="AA1449" i="2"/>
  <c r="AC1449" i="2"/>
  <c r="AG1449" i="2"/>
  <c r="AH1449" i="2" s="1"/>
  <c r="BJ1449" i="2"/>
  <c r="BK1449" i="2" s="1"/>
  <c r="X1098" i="2"/>
  <c r="Y1098" i="2"/>
  <c r="AA1098" i="2"/>
  <c r="AC1098" i="2"/>
  <c r="AG1098" i="2"/>
  <c r="AH1098" i="2" s="1"/>
  <c r="BJ1098" i="2"/>
  <c r="BK1098" i="2" s="1"/>
  <c r="X1545" i="2"/>
  <c r="Z1545" i="2" s="1"/>
  <c r="AB1545" i="2" s="1"/>
  <c r="AD1545" i="2" s="1"/>
  <c r="Y1545" i="2"/>
  <c r="AA1545" i="2"/>
  <c r="AC1545" i="2"/>
  <c r="AG1545" i="2"/>
  <c r="AH1545" i="2" s="1"/>
  <c r="BJ1545" i="2"/>
  <c r="BK1545" i="2" s="1"/>
  <c r="X925" i="2"/>
  <c r="Z925" i="2" s="1"/>
  <c r="Y925" i="2"/>
  <c r="AA925" i="2"/>
  <c r="AC925" i="2"/>
  <c r="AG925" i="2"/>
  <c r="AH925" i="2" s="1"/>
  <c r="BJ925" i="2"/>
  <c r="BK925" i="2" s="1"/>
  <c r="X6" i="2"/>
  <c r="Z6" i="2" s="1"/>
  <c r="Y6" i="2"/>
  <c r="AA6" i="2"/>
  <c r="AC6" i="2"/>
  <c r="AG6" i="2"/>
  <c r="AH6" i="2" s="1"/>
  <c r="BJ6" i="2"/>
  <c r="BK6" i="2" s="1"/>
  <c r="X1589" i="2"/>
  <c r="Z1589" i="2" s="1"/>
  <c r="Y1589" i="2"/>
  <c r="AC1589" i="2"/>
  <c r="AG1589" i="2"/>
  <c r="AH1589" i="2" s="1"/>
  <c r="BJ1589" i="2"/>
  <c r="BK1589" i="2" s="1"/>
  <c r="X1574" i="2"/>
  <c r="Y1574" i="2"/>
  <c r="AC1574" i="2"/>
  <c r="AG1574" i="2"/>
  <c r="AH1574" i="2" s="1"/>
  <c r="BJ1574" i="2"/>
  <c r="BK1574" i="2" s="1"/>
  <c r="X1101" i="2"/>
  <c r="Y1101" i="2"/>
  <c r="AC1101" i="2"/>
  <c r="AG1101" i="2"/>
  <c r="AH1101" i="2" s="1"/>
  <c r="BJ1101" i="2"/>
  <c r="BK1101" i="2" s="1"/>
  <c r="X792" i="2"/>
  <c r="Y792" i="2"/>
  <c r="AC792" i="2"/>
  <c r="AG792" i="2"/>
  <c r="AH792" i="2" s="1"/>
  <c r="BJ792" i="2"/>
  <c r="BK792" i="2" s="1"/>
  <c r="X628" i="2"/>
  <c r="Z628" i="2" s="1"/>
  <c r="Y628" i="2"/>
  <c r="AC628" i="2"/>
  <c r="AG628" i="2"/>
  <c r="AH628" i="2" s="1"/>
  <c r="BJ628" i="2"/>
  <c r="BK628" i="2" s="1"/>
  <c r="X505" i="2"/>
  <c r="Z505" i="2" s="1"/>
  <c r="AB505" i="2" s="1"/>
  <c r="AD505" i="2" s="1"/>
  <c r="Y505" i="2"/>
  <c r="AC505" i="2"/>
  <c r="AG505" i="2"/>
  <c r="AH505" i="2" s="1"/>
  <c r="BJ505" i="2"/>
  <c r="BK505" i="2" s="1"/>
  <c r="X424" i="2"/>
  <c r="Z424" i="2" s="1"/>
  <c r="Y424" i="2"/>
  <c r="AC424" i="2"/>
  <c r="AG424" i="2"/>
  <c r="AH424" i="2" s="1"/>
  <c r="BJ424" i="2"/>
  <c r="BK424" i="2" s="1"/>
  <c r="X847" i="2"/>
  <c r="Y847" i="2"/>
  <c r="AC847" i="2"/>
  <c r="AG847" i="2"/>
  <c r="AH847" i="2" s="1"/>
  <c r="BJ847" i="2"/>
  <c r="BK847" i="2" s="1"/>
  <c r="X109" i="2"/>
  <c r="Y109" i="2"/>
  <c r="AC109" i="2"/>
  <c r="AG109" i="2"/>
  <c r="AH109" i="2" s="1"/>
  <c r="BJ109" i="2"/>
  <c r="BK109" i="2" s="1"/>
  <c r="X659" i="2"/>
  <c r="Z659" i="2" s="1"/>
  <c r="Y659" i="2"/>
  <c r="AC659" i="2"/>
  <c r="AG659" i="2"/>
  <c r="AH659" i="2" s="1"/>
  <c r="BJ659" i="2"/>
  <c r="BK659" i="2" s="1"/>
  <c r="X84" i="2"/>
  <c r="Z84" i="2" s="1"/>
  <c r="Y84" i="2"/>
  <c r="AC84" i="2"/>
  <c r="AG84" i="2"/>
  <c r="AH84" i="2" s="1"/>
  <c r="BJ84" i="2"/>
  <c r="BK84" i="2" s="1"/>
  <c r="X879" i="2"/>
  <c r="Y879" i="2"/>
  <c r="AA879" i="2"/>
  <c r="AC879" i="2"/>
  <c r="AG879" i="2"/>
  <c r="AH879" i="2" s="1"/>
  <c r="BJ879" i="2"/>
  <c r="BK879" i="2" s="1"/>
  <c r="X269" i="2"/>
  <c r="Z269" i="2" s="1"/>
  <c r="Y269" i="2"/>
  <c r="AA269" i="2"/>
  <c r="AC269" i="2"/>
  <c r="AG269" i="2"/>
  <c r="AH269" i="2" s="1"/>
  <c r="BJ269" i="2"/>
  <c r="BK269" i="2" s="1"/>
  <c r="X24" i="2"/>
  <c r="Z24" i="2" s="1"/>
  <c r="Y24" i="2"/>
  <c r="AA24" i="2"/>
  <c r="AC24" i="2"/>
  <c r="AG24" i="2"/>
  <c r="AH24" i="2" s="1"/>
  <c r="BJ24" i="2"/>
  <c r="BK24" i="2" s="1"/>
  <c r="X10" i="2"/>
  <c r="Y10" i="2"/>
  <c r="AA10" i="2"/>
  <c r="AC10" i="2"/>
  <c r="AG10" i="2"/>
  <c r="AH10" i="2" s="1"/>
  <c r="BJ10" i="2"/>
  <c r="BK10" i="2" s="1"/>
  <c r="X23" i="2"/>
  <c r="Y23" i="2"/>
  <c r="AA23" i="2"/>
  <c r="AC23" i="2"/>
  <c r="AG23" i="2"/>
  <c r="AH23" i="2" s="1"/>
  <c r="BJ23" i="2"/>
  <c r="BK23" i="2" s="1"/>
  <c r="X57" i="2"/>
  <c r="Z57" i="2" s="1"/>
  <c r="Y57" i="2"/>
  <c r="AA57" i="2"/>
  <c r="AC57" i="2"/>
  <c r="AG57" i="2"/>
  <c r="AH57" i="2" s="1"/>
  <c r="BJ57" i="2"/>
  <c r="BK57" i="2" s="1"/>
  <c r="X3" i="2"/>
  <c r="Z3" i="2" s="1"/>
  <c r="Y3" i="2"/>
  <c r="AA3" i="2"/>
  <c r="AC3" i="2"/>
  <c r="AG3" i="2"/>
  <c r="AH3" i="2" s="1"/>
  <c r="BJ3" i="2"/>
  <c r="BK3" i="2" s="1"/>
  <c r="X4" i="2"/>
  <c r="Y4" i="2"/>
  <c r="AA4" i="2"/>
  <c r="AC4" i="2"/>
  <c r="AG4" i="2"/>
  <c r="AH4" i="2" s="1"/>
  <c r="BJ4" i="2"/>
  <c r="BK4" i="2" s="1"/>
  <c r="X5" i="2"/>
  <c r="Y5" i="2"/>
  <c r="AA5" i="2"/>
  <c r="AC5" i="2"/>
  <c r="AG5" i="2"/>
  <c r="AH5" i="2" s="1"/>
  <c r="BJ5" i="2"/>
  <c r="BK5" i="2" s="1"/>
  <c r="X1553" i="2"/>
  <c r="Y1553" i="2"/>
  <c r="AC1553" i="2"/>
  <c r="AG1553" i="2"/>
  <c r="AH1553" i="2" s="1"/>
  <c r="AS1553" i="2"/>
  <c r="AT1553" i="2" s="1"/>
  <c r="BJ1553" i="2"/>
  <c r="BK1553" i="2" s="1"/>
  <c r="X1564" i="2"/>
  <c r="Z1564" i="2" s="1"/>
  <c r="Y1564" i="2"/>
  <c r="AC1564" i="2"/>
  <c r="AG1564" i="2"/>
  <c r="AH1564" i="2" s="1"/>
  <c r="AS1564" i="2"/>
  <c r="AT1564" i="2" s="1"/>
  <c r="BJ1564" i="2"/>
  <c r="BK1564" i="2" s="1"/>
  <c r="X1528" i="2"/>
  <c r="Z1528" i="2" s="1"/>
  <c r="Y1528" i="2"/>
  <c r="AC1528" i="2"/>
  <c r="AG1528" i="2"/>
  <c r="AH1528" i="2" s="1"/>
  <c r="AS1528" i="2"/>
  <c r="AT1528" i="2" s="1"/>
  <c r="BJ1528" i="2"/>
  <c r="BK1528" i="2" s="1"/>
  <c r="X1376" i="2"/>
  <c r="Y1376" i="2"/>
  <c r="AC1376" i="2"/>
  <c r="AG1376" i="2"/>
  <c r="AH1376" i="2" s="1"/>
  <c r="AS1376" i="2"/>
  <c r="AT1376" i="2" s="1"/>
  <c r="BJ1376" i="2"/>
  <c r="BK1376" i="2" s="1"/>
  <c r="X1380" i="2"/>
  <c r="Z1380" i="2" s="1"/>
  <c r="Y1380" i="2"/>
  <c r="AC1380" i="2"/>
  <c r="AG1380" i="2"/>
  <c r="AH1380" i="2" s="1"/>
  <c r="AS1380" i="2"/>
  <c r="AT1380" i="2" s="1"/>
  <c r="BJ1380" i="2"/>
  <c r="BK1380" i="2" s="1"/>
  <c r="X1322" i="2"/>
  <c r="Z1322" i="2" s="1"/>
  <c r="Y1322" i="2"/>
  <c r="AC1322" i="2"/>
  <c r="AG1322" i="2"/>
  <c r="AH1322" i="2" s="1"/>
  <c r="AS1322" i="2"/>
  <c r="AT1322" i="2" s="1"/>
  <c r="BJ1322" i="2"/>
  <c r="BK1322" i="2" s="1"/>
  <c r="X1455" i="2"/>
  <c r="Y1455" i="2"/>
  <c r="AC1455" i="2"/>
  <c r="AG1455" i="2"/>
  <c r="AH1455" i="2" s="1"/>
  <c r="AS1455" i="2"/>
  <c r="AT1455" i="2" s="1"/>
  <c r="BJ1455" i="2"/>
  <c r="BK1455" i="2" s="1"/>
  <c r="X1071" i="2"/>
  <c r="Y1071" i="2"/>
  <c r="AC1071" i="2"/>
  <c r="AG1071" i="2"/>
  <c r="AH1071" i="2" s="1"/>
  <c r="AS1071" i="2"/>
  <c r="AT1071" i="2" s="1"/>
  <c r="BJ1071" i="2"/>
  <c r="BK1071" i="2" s="1"/>
  <c r="X1064" i="2"/>
  <c r="Y1064" i="2"/>
  <c r="AC1064" i="2"/>
  <c r="AG1064" i="2"/>
  <c r="AH1064" i="2" s="1"/>
  <c r="AS1064" i="2"/>
  <c r="AT1064" i="2" s="1"/>
  <c r="BJ1064" i="2"/>
  <c r="BK1064" i="2" s="1"/>
  <c r="X855" i="2"/>
  <c r="Z855" i="2" s="1"/>
  <c r="Y855" i="2"/>
  <c r="AC855" i="2"/>
  <c r="AG855" i="2"/>
  <c r="AH855" i="2" s="1"/>
  <c r="AS855" i="2"/>
  <c r="AT855" i="2" s="1"/>
  <c r="BJ855" i="2"/>
  <c r="BK855" i="2" s="1"/>
  <c r="X1339" i="2"/>
  <c r="Y1339" i="2"/>
  <c r="AC1339" i="2"/>
  <c r="AG1339" i="2"/>
  <c r="AH1339" i="2" s="1"/>
  <c r="AS1339" i="2"/>
  <c r="AT1339" i="2" s="1"/>
  <c r="BJ1339" i="2"/>
  <c r="BK1339" i="2" s="1"/>
  <c r="X565" i="2"/>
  <c r="Y565" i="2"/>
  <c r="AC565" i="2"/>
  <c r="AG565" i="2"/>
  <c r="AH565" i="2" s="1"/>
  <c r="AS565" i="2"/>
  <c r="AT565" i="2" s="1"/>
  <c r="BJ565" i="2"/>
  <c r="BK565" i="2" s="1"/>
  <c r="X610" i="2"/>
  <c r="Y610" i="2"/>
  <c r="AC610" i="2"/>
  <c r="AG610" i="2"/>
  <c r="AH610" i="2" s="1"/>
  <c r="AS610" i="2"/>
  <c r="AT610" i="2" s="1"/>
  <c r="BJ610" i="2"/>
  <c r="BK610" i="2" s="1"/>
  <c r="X501" i="2"/>
  <c r="Y501" i="2"/>
  <c r="AC501" i="2"/>
  <c r="AG501" i="2"/>
  <c r="AH501" i="2" s="1"/>
  <c r="AS501" i="2"/>
  <c r="AT501" i="2" s="1"/>
  <c r="BJ501" i="2"/>
  <c r="BK501" i="2" s="1"/>
  <c r="X1202" i="2"/>
  <c r="Y1202" i="2"/>
  <c r="AC1202" i="2"/>
  <c r="AG1202" i="2"/>
  <c r="AH1202" i="2" s="1"/>
  <c r="AS1202" i="2"/>
  <c r="AT1202" i="2" s="1"/>
  <c r="BJ1202" i="2"/>
  <c r="BK1202" i="2" s="1"/>
  <c r="X449" i="2"/>
  <c r="Z449" i="2" s="1"/>
  <c r="Y449" i="2"/>
  <c r="AC449" i="2"/>
  <c r="AG449" i="2"/>
  <c r="AH449" i="2" s="1"/>
  <c r="AS449" i="2"/>
  <c r="AT449" i="2" s="1"/>
  <c r="BJ449" i="2"/>
  <c r="BK449" i="2" s="1"/>
  <c r="X347" i="2"/>
  <c r="Z347" i="2" s="1"/>
  <c r="Y347" i="2"/>
  <c r="AC347" i="2"/>
  <c r="AG347" i="2"/>
  <c r="AH347" i="2" s="1"/>
  <c r="AS347" i="2"/>
  <c r="AT347" i="2" s="1"/>
  <c r="BJ347" i="2"/>
  <c r="BK347" i="2" s="1"/>
  <c r="X284" i="2"/>
  <c r="Y284" i="2"/>
  <c r="AC284" i="2"/>
  <c r="AG284" i="2"/>
  <c r="AH284" i="2" s="1"/>
  <c r="AS284" i="2"/>
  <c r="AT284" i="2" s="1"/>
  <c r="BJ284" i="2"/>
  <c r="BK284" i="2" s="1"/>
  <c r="X1466" i="2"/>
  <c r="Z1466" i="2" s="1"/>
  <c r="Y1466" i="2"/>
  <c r="AC1466" i="2"/>
  <c r="AG1466" i="2"/>
  <c r="AH1466" i="2" s="1"/>
  <c r="AS1466" i="2"/>
  <c r="AT1466" i="2" s="1"/>
  <c r="BJ1466" i="2"/>
  <c r="BK1466" i="2" s="1"/>
  <c r="X1422" i="2"/>
  <c r="Z1422" i="2" s="1"/>
  <c r="Y1422" i="2"/>
  <c r="AC1422" i="2"/>
  <c r="AG1422" i="2"/>
  <c r="AH1422" i="2" s="1"/>
  <c r="AS1422" i="2"/>
  <c r="AT1422" i="2" s="1"/>
  <c r="BJ1422" i="2"/>
  <c r="BK1422" i="2" s="1"/>
  <c r="X1461" i="2"/>
  <c r="Y1461" i="2"/>
  <c r="AC1461" i="2"/>
  <c r="AG1461" i="2"/>
  <c r="AH1461" i="2" s="1"/>
  <c r="AS1461" i="2"/>
  <c r="AT1461" i="2" s="1"/>
  <c r="BJ1461" i="2"/>
  <c r="BK1461" i="2" s="1"/>
  <c r="X1410" i="2"/>
  <c r="Z1410" i="2" s="1"/>
  <c r="Y1410" i="2"/>
  <c r="AC1410" i="2"/>
  <c r="AG1410" i="2"/>
  <c r="AH1410" i="2" s="1"/>
  <c r="AS1410" i="2"/>
  <c r="AT1410" i="2" s="1"/>
  <c r="BJ1410" i="2"/>
  <c r="BK1410" i="2" s="1"/>
  <c r="X1348" i="2"/>
  <c r="Y1348" i="2"/>
  <c r="AC1348" i="2"/>
  <c r="AG1348" i="2"/>
  <c r="AH1348" i="2" s="1"/>
  <c r="AS1348" i="2"/>
  <c r="AT1348" i="2" s="1"/>
  <c r="BJ1348" i="2"/>
  <c r="BK1348" i="2" s="1"/>
  <c r="X1233" i="2"/>
  <c r="Y1233" i="2"/>
  <c r="AC1233" i="2"/>
  <c r="AG1233" i="2"/>
  <c r="AH1233" i="2" s="1"/>
  <c r="AS1233" i="2"/>
  <c r="AT1233" i="2" s="1"/>
  <c r="BJ1233" i="2"/>
  <c r="BK1233" i="2" s="1"/>
  <c r="X1360" i="2"/>
  <c r="Y1360" i="2"/>
  <c r="AC1360" i="2"/>
  <c r="AG1360" i="2"/>
  <c r="AH1360" i="2" s="1"/>
  <c r="AS1360" i="2"/>
  <c r="AT1360" i="2" s="1"/>
  <c r="BJ1360" i="2"/>
  <c r="BK1360" i="2" s="1"/>
  <c r="X1096" i="2"/>
  <c r="Z1096" i="2" s="1"/>
  <c r="Y1096" i="2"/>
  <c r="AC1096" i="2"/>
  <c r="AG1096" i="2"/>
  <c r="AH1096" i="2" s="1"/>
  <c r="AS1096" i="2"/>
  <c r="AT1096" i="2" s="1"/>
  <c r="BJ1096" i="2"/>
  <c r="BK1096" i="2" s="1"/>
  <c r="X965" i="2"/>
  <c r="Y965" i="2"/>
  <c r="AC965" i="2"/>
  <c r="AG965" i="2"/>
  <c r="AH965" i="2" s="1"/>
  <c r="AS965" i="2"/>
  <c r="AT965" i="2" s="1"/>
  <c r="BJ965" i="2"/>
  <c r="BK965" i="2" s="1"/>
  <c r="X690" i="2"/>
  <c r="Y690" i="2"/>
  <c r="AC690" i="2"/>
  <c r="AG690" i="2"/>
  <c r="AH690" i="2" s="1"/>
  <c r="AS690" i="2"/>
  <c r="AT690" i="2" s="1"/>
  <c r="BJ690" i="2"/>
  <c r="BK690" i="2" s="1"/>
  <c r="X1159" i="2"/>
  <c r="Z1159" i="2" s="1"/>
  <c r="Y1159" i="2"/>
  <c r="AC1159" i="2"/>
  <c r="AG1159" i="2"/>
  <c r="AH1159" i="2" s="1"/>
  <c r="AS1159" i="2"/>
  <c r="AT1159" i="2" s="1"/>
  <c r="BJ1159" i="2"/>
  <c r="BK1159" i="2" s="1"/>
  <c r="X605" i="2"/>
  <c r="Y605" i="2"/>
  <c r="AC605" i="2"/>
  <c r="AG605" i="2"/>
  <c r="AH605" i="2" s="1"/>
  <c r="AS605" i="2"/>
  <c r="AT605" i="2" s="1"/>
  <c r="BJ605" i="2"/>
  <c r="BK605" i="2" s="1"/>
  <c r="X306" i="2"/>
  <c r="Z306" i="2" s="1"/>
  <c r="Y306" i="2"/>
  <c r="AC306" i="2"/>
  <c r="AG306" i="2"/>
  <c r="AH306" i="2" s="1"/>
  <c r="AS306" i="2"/>
  <c r="AT306" i="2" s="1"/>
  <c r="BJ306" i="2"/>
  <c r="BK306" i="2" s="1"/>
  <c r="X317" i="2"/>
  <c r="Z317" i="2" s="1"/>
  <c r="Y317" i="2"/>
  <c r="AC317" i="2"/>
  <c r="AG317" i="2"/>
  <c r="AH317" i="2" s="1"/>
  <c r="AS317" i="2"/>
  <c r="AT317" i="2" s="1"/>
  <c r="BJ317" i="2"/>
  <c r="BK317" i="2" s="1"/>
  <c r="X982" i="2"/>
  <c r="Y982" i="2"/>
  <c r="AC982" i="2"/>
  <c r="AG982" i="2"/>
  <c r="AH982" i="2" s="1"/>
  <c r="AS982" i="2"/>
  <c r="AT982" i="2" s="1"/>
  <c r="BJ982" i="2"/>
  <c r="BK982" i="2" s="1"/>
  <c r="X472" i="2"/>
  <c r="Z472" i="2" s="1"/>
  <c r="Y472" i="2"/>
  <c r="AC472" i="2"/>
  <c r="AG472" i="2"/>
  <c r="AH472" i="2" s="1"/>
  <c r="AS472" i="2"/>
  <c r="AT472" i="2" s="1"/>
  <c r="BJ472" i="2"/>
  <c r="BK472" i="2" s="1"/>
  <c r="X185" i="2"/>
  <c r="Y185" i="2"/>
  <c r="AC185" i="2"/>
  <c r="AG185" i="2"/>
  <c r="AH185" i="2" s="1"/>
  <c r="AS185" i="2"/>
  <c r="AT185" i="2" s="1"/>
  <c r="BJ185" i="2"/>
  <c r="BK185" i="2" s="1"/>
  <c r="X173" i="2"/>
  <c r="Z173" i="2" s="1"/>
  <c r="Y173" i="2"/>
  <c r="AC173" i="2"/>
  <c r="AG173" i="2"/>
  <c r="AH173" i="2" s="1"/>
  <c r="AS173" i="2"/>
  <c r="AT173" i="2" s="1"/>
  <c r="BJ173" i="2"/>
  <c r="BK173" i="2" s="1"/>
  <c r="X1338" i="2"/>
  <c r="Z1338" i="2" s="1"/>
  <c r="Y1338" i="2"/>
  <c r="AC1338" i="2"/>
  <c r="AG1338" i="2"/>
  <c r="AH1338" i="2" s="1"/>
  <c r="AS1338" i="2"/>
  <c r="AT1338" i="2" s="1"/>
  <c r="BJ1338" i="2"/>
  <c r="BK1338" i="2" s="1"/>
  <c r="X1249" i="2"/>
  <c r="Z1249" i="2" s="1"/>
  <c r="Y1249" i="2"/>
  <c r="AC1249" i="2"/>
  <c r="AG1249" i="2"/>
  <c r="AH1249" i="2" s="1"/>
  <c r="AS1249" i="2"/>
  <c r="AT1249" i="2" s="1"/>
  <c r="BJ1249" i="2"/>
  <c r="BK1249" i="2" s="1"/>
  <c r="X1075" i="2"/>
  <c r="Z1075" i="2" s="1"/>
  <c r="Y1075" i="2"/>
  <c r="AC1075" i="2"/>
  <c r="AG1075" i="2"/>
  <c r="AH1075" i="2" s="1"/>
  <c r="AS1075" i="2"/>
  <c r="AT1075" i="2" s="1"/>
  <c r="BJ1075" i="2"/>
  <c r="BK1075" i="2" s="1"/>
  <c r="X1301" i="2"/>
  <c r="Z1301" i="2" s="1"/>
  <c r="Q1301" i="2" s="1"/>
  <c r="AE1301" i="2" s="1"/>
  <c r="Y1301" i="2"/>
  <c r="AC1301" i="2"/>
  <c r="AG1301" i="2"/>
  <c r="AH1301" i="2" s="1"/>
  <c r="AS1301" i="2"/>
  <c r="AT1301" i="2" s="1"/>
  <c r="BJ1301" i="2"/>
  <c r="BK1301" i="2" s="1"/>
  <c r="X1278" i="2"/>
  <c r="Y1278" i="2"/>
  <c r="AC1278" i="2"/>
  <c r="AG1278" i="2"/>
  <c r="AH1278" i="2" s="1"/>
  <c r="AS1278" i="2"/>
  <c r="AT1278" i="2" s="1"/>
  <c r="BJ1278" i="2"/>
  <c r="BK1278" i="2" s="1"/>
  <c r="X1066" i="2"/>
  <c r="Z1066" i="2" s="1"/>
  <c r="Y1066" i="2"/>
  <c r="AC1066" i="2"/>
  <c r="AG1066" i="2"/>
  <c r="AH1066" i="2" s="1"/>
  <c r="AS1066" i="2"/>
  <c r="AT1066" i="2" s="1"/>
  <c r="BJ1066" i="2"/>
  <c r="BK1066" i="2" s="1"/>
  <c r="X851" i="2"/>
  <c r="Y851" i="2"/>
  <c r="AC851" i="2"/>
  <c r="AG851" i="2"/>
  <c r="AH851" i="2" s="1"/>
  <c r="AS851" i="2"/>
  <c r="AT851" i="2" s="1"/>
  <c r="BJ851" i="2"/>
  <c r="BK851" i="2" s="1"/>
  <c r="X1191" i="2"/>
  <c r="Z1191" i="2" s="1"/>
  <c r="Y1191" i="2"/>
  <c r="AC1191" i="2"/>
  <c r="AG1191" i="2"/>
  <c r="AH1191" i="2" s="1"/>
  <c r="AS1191" i="2"/>
  <c r="AT1191" i="2" s="1"/>
  <c r="BJ1191" i="2"/>
  <c r="BK1191" i="2" s="1"/>
  <c r="X1095" i="2"/>
  <c r="Z1095" i="2" s="1"/>
  <c r="Y1095" i="2"/>
  <c r="AC1095" i="2"/>
  <c r="AG1095" i="2"/>
  <c r="AH1095" i="2" s="1"/>
  <c r="AS1095" i="2"/>
  <c r="AT1095" i="2" s="1"/>
  <c r="BJ1095" i="2"/>
  <c r="BK1095" i="2" s="1"/>
  <c r="X966" i="2"/>
  <c r="Z966" i="2" s="1"/>
  <c r="Y966" i="2"/>
  <c r="AC966" i="2"/>
  <c r="AG966" i="2"/>
  <c r="AH966" i="2" s="1"/>
  <c r="AS966" i="2"/>
  <c r="AT966" i="2" s="1"/>
  <c r="BJ966" i="2"/>
  <c r="BK966" i="2" s="1"/>
  <c r="X761" i="2"/>
  <c r="Y761" i="2"/>
  <c r="AC761" i="2"/>
  <c r="AG761" i="2"/>
  <c r="AH761" i="2" s="1"/>
  <c r="AS761" i="2"/>
  <c r="AT761" i="2" s="1"/>
  <c r="BJ761" i="2"/>
  <c r="BK761" i="2" s="1"/>
  <c r="X502" i="2"/>
  <c r="Y502" i="2"/>
  <c r="AC502" i="2"/>
  <c r="AG502" i="2"/>
  <c r="AH502" i="2" s="1"/>
  <c r="AS502" i="2"/>
  <c r="AT502" i="2" s="1"/>
  <c r="BJ502" i="2"/>
  <c r="BK502" i="2" s="1"/>
  <c r="X177" i="2"/>
  <c r="Z177" i="2" s="1"/>
  <c r="Y177" i="2"/>
  <c r="AC177" i="2"/>
  <c r="AG177" i="2"/>
  <c r="AH177" i="2" s="1"/>
  <c r="AS177" i="2"/>
  <c r="AT177" i="2" s="1"/>
  <c r="BJ177" i="2"/>
  <c r="BK177" i="2" s="1"/>
  <c r="X896" i="2"/>
  <c r="Z896" i="2" s="1"/>
  <c r="Y896" i="2"/>
  <c r="AC896" i="2"/>
  <c r="AG896" i="2"/>
  <c r="AH896" i="2" s="1"/>
  <c r="AS896" i="2"/>
  <c r="AT896" i="2" s="1"/>
  <c r="BJ896" i="2"/>
  <c r="BK896" i="2" s="1"/>
  <c r="X637" i="2"/>
  <c r="Z637" i="2" s="1"/>
  <c r="Y637" i="2"/>
  <c r="AC637" i="2"/>
  <c r="AG637" i="2"/>
  <c r="AH637" i="2" s="1"/>
  <c r="AS637" i="2"/>
  <c r="AT637" i="2" s="1"/>
  <c r="BJ637" i="2"/>
  <c r="BK637" i="2" s="1"/>
  <c r="X251" i="2"/>
  <c r="Y251" i="2"/>
  <c r="AC251" i="2"/>
  <c r="AG251" i="2"/>
  <c r="AH251" i="2" s="1"/>
  <c r="AS251" i="2"/>
  <c r="AT251" i="2" s="1"/>
  <c r="BJ251" i="2"/>
  <c r="BK251" i="2" s="1"/>
  <c r="X62" i="2"/>
  <c r="Z62" i="2" s="1"/>
  <c r="Q62" i="2" s="1"/>
  <c r="AE62" i="2" s="1"/>
  <c r="Y62" i="2"/>
  <c r="AC62" i="2"/>
  <c r="AG62" i="2"/>
  <c r="AH62" i="2" s="1"/>
  <c r="AS62" i="2"/>
  <c r="AT62" i="2" s="1"/>
  <c r="BJ62" i="2"/>
  <c r="BK62" i="2" s="1"/>
  <c r="X709" i="2"/>
  <c r="Z709" i="2" s="1"/>
  <c r="AB709" i="2" s="1"/>
  <c r="AD709" i="2" s="1"/>
  <c r="Y709" i="2"/>
  <c r="AC709" i="2"/>
  <c r="AG709" i="2"/>
  <c r="AH709" i="2" s="1"/>
  <c r="AS709" i="2"/>
  <c r="AT709" i="2" s="1"/>
  <c r="BJ709" i="2"/>
  <c r="BK709" i="2" s="1"/>
  <c r="X304" i="2"/>
  <c r="Z304" i="2" s="1"/>
  <c r="Y304" i="2"/>
  <c r="AC304" i="2"/>
  <c r="AG304" i="2"/>
  <c r="AH304" i="2" s="1"/>
  <c r="AS304" i="2"/>
  <c r="AT304" i="2" s="1"/>
  <c r="BJ304" i="2"/>
  <c r="BK304" i="2" s="1"/>
  <c r="X67" i="2"/>
  <c r="Z67" i="2" s="1"/>
  <c r="Y67" i="2"/>
  <c r="AC67" i="2"/>
  <c r="AG67" i="2"/>
  <c r="AH67" i="2" s="1"/>
  <c r="AS67" i="2"/>
  <c r="AT67" i="2" s="1"/>
  <c r="BJ67" i="2"/>
  <c r="BK67" i="2" s="1"/>
  <c r="X396" i="2"/>
  <c r="Y396" i="2"/>
  <c r="AC396" i="2"/>
  <c r="AG396" i="2"/>
  <c r="AH396" i="2" s="1"/>
  <c r="AS396" i="2"/>
  <c r="AT396" i="2" s="1"/>
  <c r="BJ396" i="2"/>
  <c r="BK396" i="2" s="1"/>
  <c r="X71" i="2"/>
  <c r="Z71" i="2" s="1"/>
  <c r="Y71" i="2"/>
  <c r="AC71" i="2"/>
  <c r="AG71" i="2"/>
  <c r="AH71" i="2" s="1"/>
  <c r="AS71" i="2"/>
  <c r="AT71" i="2" s="1"/>
  <c r="BJ71" i="2"/>
  <c r="BK71" i="2" s="1"/>
  <c r="X1223" i="2"/>
  <c r="Y1223" i="2"/>
  <c r="AC1223" i="2"/>
  <c r="AG1223" i="2"/>
  <c r="AH1223" i="2" s="1"/>
  <c r="AP1223" i="2"/>
  <c r="AS1223" i="2"/>
  <c r="AT1223" i="2" s="1"/>
  <c r="BJ1223" i="2"/>
  <c r="BK1223" i="2" s="1"/>
  <c r="X1126" i="2"/>
  <c r="Z1126" i="2" s="1"/>
  <c r="Y1126" i="2"/>
  <c r="AC1126" i="2"/>
  <c r="AG1126" i="2"/>
  <c r="AH1126" i="2" s="1"/>
  <c r="AP1126" i="2"/>
  <c r="AS1126" i="2"/>
  <c r="AT1126" i="2" s="1"/>
  <c r="BJ1126" i="2"/>
  <c r="BK1126" i="2" s="1"/>
  <c r="X1155" i="2"/>
  <c r="Y1155" i="2"/>
  <c r="AC1155" i="2"/>
  <c r="AG1155" i="2"/>
  <c r="AH1155" i="2" s="1"/>
  <c r="AP1155" i="2"/>
  <c r="AS1155" i="2"/>
  <c r="AT1155" i="2" s="1"/>
  <c r="BJ1155" i="2"/>
  <c r="BK1155" i="2" s="1"/>
  <c r="X681" i="2"/>
  <c r="Y681" i="2"/>
  <c r="AC681" i="2"/>
  <c r="AG681" i="2"/>
  <c r="AH681" i="2" s="1"/>
  <c r="AP681" i="2"/>
  <c r="AS681" i="2"/>
  <c r="AT681" i="2" s="1"/>
  <c r="BJ681" i="2"/>
  <c r="BK681" i="2" s="1"/>
  <c r="X537" i="2"/>
  <c r="Y537" i="2"/>
  <c r="AC537" i="2"/>
  <c r="AG537" i="2"/>
  <c r="AH537" i="2" s="1"/>
  <c r="AP537" i="2"/>
  <c r="AS537" i="2"/>
  <c r="AT537" i="2" s="1"/>
  <c r="BJ537" i="2"/>
  <c r="BK537" i="2" s="1"/>
  <c r="X482" i="2"/>
  <c r="Y482" i="2"/>
  <c r="AC482" i="2"/>
  <c r="AG482" i="2"/>
  <c r="AH482" i="2" s="1"/>
  <c r="AP482" i="2"/>
  <c r="AS482" i="2"/>
  <c r="AT482" i="2" s="1"/>
  <c r="BJ482" i="2"/>
  <c r="BK482" i="2" s="1"/>
  <c r="X262" i="2"/>
  <c r="Y262" i="2"/>
  <c r="AC262" i="2"/>
  <c r="AG262" i="2"/>
  <c r="AH262" i="2" s="1"/>
  <c r="BJ262" i="2"/>
  <c r="BK262" i="2" s="1"/>
  <c r="X123" i="2"/>
  <c r="Z123" i="2" s="1"/>
  <c r="Y123" i="2"/>
  <c r="AC123" i="2"/>
  <c r="AG123" i="2"/>
  <c r="AH123" i="2" s="1"/>
  <c r="BJ123" i="2"/>
  <c r="BK123" i="2" s="1"/>
  <c r="X65" i="2"/>
  <c r="Y65" i="2"/>
  <c r="AC65" i="2"/>
  <c r="AG65" i="2"/>
  <c r="AH65" i="2" s="1"/>
  <c r="BJ65" i="2"/>
  <c r="BK65" i="2" s="1"/>
  <c r="X229" i="2"/>
  <c r="Z229" i="2" s="1"/>
  <c r="Y229" i="2"/>
  <c r="AC229" i="2"/>
  <c r="AG229" i="2"/>
  <c r="AH229" i="2" s="1"/>
  <c r="BJ229" i="2"/>
  <c r="BK229" i="2" s="1"/>
  <c r="X116" i="2"/>
  <c r="Z116" i="2" s="1"/>
  <c r="Y116" i="2"/>
  <c r="AC116" i="2"/>
  <c r="AG116" i="2"/>
  <c r="AH116" i="2" s="1"/>
  <c r="BJ116" i="2"/>
  <c r="BK116" i="2" s="1"/>
  <c r="X55" i="2"/>
  <c r="Z55" i="2" s="1"/>
  <c r="Y55" i="2"/>
  <c r="AC55" i="2"/>
  <c r="AG55" i="2"/>
  <c r="AH55" i="2" s="1"/>
  <c r="BJ55" i="2"/>
  <c r="BK55" i="2" s="1"/>
  <c r="X353" i="2"/>
  <c r="Y353" i="2"/>
  <c r="AC353" i="2"/>
  <c r="AG353" i="2"/>
  <c r="AH353" i="2" s="1"/>
  <c r="BJ353" i="2"/>
  <c r="BK353" i="2" s="1"/>
  <c r="X299" i="2"/>
  <c r="Z299" i="2" s="1"/>
  <c r="Y299" i="2"/>
  <c r="AC299" i="2"/>
  <c r="AG299" i="2"/>
  <c r="AH299" i="2" s="1"/>
  <c r="BJ299" i="2"/>
  <c r="BK299" i="2" s="1"/>
  <c r="X328" i="2"/>
  <c r="Z328" i="2" s="1"/>
  <c r="Y328" i="2"/>
  <c r="AC328" i="2"/>
  <c r="AG328" i="2"/>
  <c r="AH328" i="2" s="1"/>
  <c r="BJ328" i="2"/>
  <c r="BK328" i="2" s="1"/>
  <c r="X138" i="2"/>
  <c r="Z138" i="2" s="1"/>
  <c r="Y138" i="2"/>
  <c r="AC138" i="2"/>
  <c r="AG138" i="2"/>
  <c r="AH138" i="2" s="1"/>
  <c r="BJ138" i="2"/>
  <c r="BK138" i="2" s="1"/>
  <c r="X76" i="2"/>
  <c r="Y76" i="2"/>
  <c r="AC76" i="2"/>
  <c r="AG76" i="2"/>
  <c r="AH76" i="2" s="1"/>
  <c r="BJ76" i="2"/>
  <c r="BK76" i="2" s="1"/>
  <c r="X153" i="2"/>
  <c r="Y153" i="2"/>
  <c r="AC153" i="2"/>
  <c r="AG153" i="2"/>
  <c r="AH153" i="2" s="1"/>
  <c r="BJ153" i="2"/>
  <c r="BK153" i="2" s="1"/>
  <c r="X99" i="2"/>
  <c r="Y99" i="2"/>
  <c r="AC99" i="2"/>
  <c r="AG99" i="2"/>
  <c r="AH99" i="2" s="1"/>
  <c r="BJ99" i="2"/>
  <c r="BK99" i="2" s="1"/>
  <c r="X64" i="2"/>
  <c r="Z64" i="2" s="1"/>
  <c r="Y64" i="2"/>
  <c r="AC64" i="2"/>
  <c r="AG64" i="2"/>
  <c r="AH64" i="2" s="1"/>
  <c r="BJ64" i="2"/>
  <c r="BK64" i="2" s="1"/>
  <c r="X331" i="2"/>
  <c r="Z331" i="2" s="1"/>
  <c r="Y331" i="2"/>
  <c r="AC331" i="2"/>
  <c r="AG331" i="2"/>
  <c r="AH331" i="2" s="1"/>
  <c r="AS331" i="2"/>
  <c r="AT331" i="2" s="1"/>
  <c r="BJ331" i="2"/>
  <c r="BK331" i="2" s="1"/>
  <c r="X252" i="2"/>
  <c r="Z252" i="2" s="1"/>
  <c r="Y252" i="2"/>
  <c r="AC252" i="2"/>
  <c r="AG252" i="2"/>
  <c r="AH252" i="2" s="1"/>
  <c r="AS252" i="2"/>
  <c r="AT252" i="2" s="1"/>
  <c r="BJ252" i="2"/>
  <c r="BK252" i="2" s="1"/>
  <c r="X149" i="2"/>
  <c r="Y149" i="2"/>
  <c r="AC149" i="2"/>
  <c r="AG149" i="2"/>
  <c r="AH149" i="2" s="1"/>
  <c r="AS149" i="2"/>
  <c r="AT149" i="2" s="1"/>
  <c r="BJ149" i="2"/>
  <c r="BK149" i="2" s="1"/>
  <c r="X107" i="2"/>
  <c r="Y107" i="2"/>
  <c r="AC107" i="2"/>
  <c r="AG107" i="2"/>
  <c r="AH107" i="2" s="1"/>
  <c r="AS107" i="2"/>
  <c r="AT107" i="2" s="1"/>
  <c r="BJ107" i="2"/>
  <c r="BK107" i="2" s="1"/>
  <c r="X308" i="2"/>
  <c r="Z308" i="2" s="1"/>
  <c r="Y308" i="2"/>
  <c r="AC308" i="2"/>
  <c r="AG308" i="2"/>
  <c r="AH308" i="2" s="1"/>
  <c r="AS308" i="2"/>
  <c r="AT308" i="2" s="1"/>
  <c r="BJ308" i="2"/>
  <c r="BK308" i="2" s="1"/>
  <c r="X178" i="2"/>
  <c r="Z178" i="2" s="1"/>
  <c r="Y178" i="2"/>
  <c r="AC178" i="2"/>
  <c r="AG178" i="2"/>
  <c r="AH178" i="2" s="1"/>
  <c r="AS178" i="2"/>
  <c r="AT178" i="2" s="1"/>
  <c r="BJ178" i="2"/>
  <c r="BK178" i="2" s="1"/>
  <c r="X80" i="2"/>
  <c r="Y80" i="2"/>
  <c r="AC80" i="2"/>
  <c r="AG80" i="2"/>
  <c r="AH80" i="2" s="1"/>
  <c r="AS80" i="2"/>
  <c r="AT80" i="2" s="1"/>
  <c r="BJ80" i="2"/>
  <c r="BK80" i="2" s="1"/>
  <c r="X33" i="2"/>
  <c r="Y33" i="2"/>
  <c r="AC33" i="2"/>
  <c r="AG33" i="2"/>
  <c r="AH33" i="2" s="1"/>
  <c r="AS33" i="2"/>
  <c r="AT33" i="2" s="1"/>
  <c r="BJ33" i="2"/>
  <c r="BK33" i="2" s="1"/>
  <c r="X255" i="2"/>
  <c r="Z255" i="2" s="1"/>
  <c r="Y255" i="2"/>
  <c r="AC255" i="2"/>
  <c r="AG255" i="2"/>
  <c r="AH255" i="2" s="1"/>
  <c r="AS255" i="2"/>
  <c r="AT255" i="2" s="1"/>
  <c r="BJ255" i="2"/>
  <c r="BK255" i="2" s="1"/>
  <c r="X180" i="2"/>
  <c r="Z180" i="2" s="1"/>
  <c r="Y180" i="2"/>
  <c r="AC180" i="2"/>
  <c r="AG180" i="2"/>
  <c r="AH180" i="2" s="1"/>
  <c r="AS180" i="2"/>
  <c r="AT180" i="2" s="1"/>
  <c r="BJ180" i="2"/>
  <c r="BK180" i="2" s="1"/>
  <c r="X282" i="2"/>
  <c r="Y282" i="2"/>
  <c r="AC282" i="2"/>
  <c r="AG282" i="2"/>
  <c r="AH282" i="2" s="1"/>
  <c r="AS282" i="2"/>
  <c r="AT282" i="2" s="1"/>
  <c r="BJ282" i="2"/>
  <c r="BK282" i="2" s="1"/>
  <c r="X161" i="2"/>
  <c r="Y161" i="2"/>
  <c r="AC161" i="2"/>
  <c r="AG161" i="2"/>
  <c r="AH161" i="2" s="1"/>
  <c r="AS161" i="2"/>
  <c r="AT161" i="2" s="1"/>
  <c r="BJ161" i="2"/>
  <c r="BK161" i="2" s="1"/>
  <c r="X74" i="2"/>
  <c r="Z74" i="2" s="1"/>
  <c r="Y74" i="2"/>
  <c r="AC74" i="2"/>
  <c r="AG74" i="2"/>
  <c r="AH74" i="2" s="1"/>
  <c r="AS74" i="2"/>
  <c r="AT74" i="2" s="1"/>
  <c r="BJ74" i="2"/>
  <c r="BK74" i="2" s="1"/>
  <c r="X39" i="2"/>
  <c r="Z39" i="2" s="1"/>
  <c r="Y39" i="2"/>
  <c r="AC39" i="2"/>
  <c r="AG39" i="2"/>
  <c r="AH39" i="2" s="1"/>
  <c r="AS39" i="2"/>
  <c r="AT39" i="2" s="1"/>
  <c r="BJ39" i="2"/>
  <c r="BK39" i="2" s="1"/>
  <c r="X241" i="2"/>
  <c r="Y241" i="2"/>
  <c r="AC241" i="2"/>
  <c r="AG241" i="2"/>
  <c r="AH241" i="2" s="1"/>
  <c r="AS241" i="2"/>
  <c r="AT241" i="2" s="1"/>
  <c r="BJ241" i="2"/>
  <c r="BK241" i="2" s="1"/>
  <c r="X90" i="2"/>
  <c r="Y90" i="2"/>
  <c r="AC90" i="2"/>
  <c r="AG90" i="2"/>
  <c r="AH90" i="2" s="1"/>
  <c r="AS90" i="2"/>
  <c r="AT90" i="2" s="1"/>
  <c r="BJ90" i="2"/>
  <c r="BK90" i="2" s="1"/>
  <c r="X54" i="2"/>
  <c r="Z54" i="2" s="1"/>
  <c r="Y54" i="2"/>
  <c r="AC54" i="2"/>
  <c r="AG54" i="2"/>
  <c r="AH54" i="2" s="1"/>
  <c r="AS54" i="2"/>
  <c r="AT54" i="2" s="1"/>
  <c r="BJ54" i="2"/>
  <c r="BK54" i="2" s="1"/>
  <c r="X17" i="2"/>
  <c r="Z17" i="2" s="1"/>
  <c r="Y17" i="2"/>
  <c r="AC17" i="2"/>
  <c r="AG17" i="2"/>
  <c r="AH17" i="2" s="1"/>
  <c r="AS17" i="2"/>
  <c r="AT17" i="2" s="1"/>
  <c r="BJ17" i="2"/>
  <c r="BK17" i="2" s="1"/>
  <c r="AA814" i="2"/>
  <c r="AF814" i="2" s="1"/>
  <c r="AA453" i="2"/>
  <c r="AA11" i="2"/>
  <c r="AF11" i="2" s="1"/>
  <c r="AA1018" i="2"/>
  <c r="AA763" i="2"/>
  <c r="AF763" i="2" s="1"/>
  <c r="AA42" i="2"/>
  <c r="AA904" i="2"/>
  <c r="AA620" i="2"/>
  <c r="AF620" i="2" s="1"/>
  <c r="X620" i="2"/>
  <c r="X904" i="2"/>
  <c r="X42" i="2"/>
  <c r="X763" i="2"/>
  <c r="X1018" i="2"/>
  <c r="X11" i="2"/>
  <c r="X453" i="2"/>
  <c r="X814" i="2"/>
  <c r="AC620" i="2"/>
  <c r="AC904" i="2"/>
  <c r="AC42" i="2"/>
  <c r="AC763" i="2"/>
  <c r="AC1018" i="2"/>
  <c r="AC11" i="2"/>
  <c r="AC453" i="2"/>
  <c r="AC814" i="2"/>
  <c r="AG620" i="2"/>
  <c r="AH620" i="2" s="1"/>
  <c r="AG904" i="2"/>
  <c r="AH904" i="2" s="1"/>
  <c r="AG42" i="2"/>
  <c r="AH42" i="2" s="1"/>
  <c r="AG763" i="2"/>
  <c r="AH763" i="2" s="1"/>
  <c r="AG1018" i="2"/>
  <c r="AH1018" i="2" s="1"/>
  <c r="AG11" i="2"/>
  <c r="AH11" i="2" s="1"/>
  <c r="AG453" i="2"/>
  <c r="AH453" i="2" s="1"/>
  <c r="AG814" i="2"/>
  <c r="AH814" i="2" s="1"/>
  <c r="BJ620" i="2"/>
  <c r="BK620" i="2" s="1"/>
  <c r="BJ904" i="2"/>
  <c r="BK904" i="2" s="1"/>
  <c r="BJ42" i="2"/>
  <c r="BK42" i="2" s="1"/>
  <c r="BJ763" i="2"/>
  <c r="BK763" i="2" s="1"/>
  <c r="BJ1018" i="2"/>
  <c r="BK1018" i="2" s="1"/>
  <c r="BJ11" i="2"/>
  <c r="BK11" i="2" s="1"/>
  <c r="BJ453" i="2"/>
  <c r="BK453" i="2" s="1"/>
  <c r="BJ814" i="2"/>
  <c r="BK814" i="2" s="1"/>
  <c r="AS620" i="2"/>
  <c r="AT620" i="2" s="1"/>
  <c r="AS904" i="2"/>
  <c r="AT904" i="2" s="1"/>
  <c r="AS42" i="2"/>
  <c r="AT42" i="2" s="1"/>
  <c r="AS763" i="2"/>
  <c r="AT763" i="2" s="1"/>
  <c r="AS1018" i="2"/>
  <c r="AT1018" i="2" s="1"/>
  <c r="AS11" i="2"/>
  <c r="AT11" i="2" s="1"/>
  <c r="AS453" i="2"/>
  <c r="AT453" i="2" s="1"/>
  <c r="AS814" i="2"/>
  <c r="AT814" i="2" s="1"/>
  <c r="Y814" i="2"/>
  <c r="Y453" i="2"/>
  <c r="Y11" i="2"/>
  <c r="Y1018" i="2"/>
  <c r="Y763" i="2"/>
  <c r="Y42" i="2"/>
  <c r="Y904" i="2"/>
  <c r="Y620" i="2"/>
  <c r="BJ729" i="2"/>
  <c r="BK729" i="2" s="1"/>
  <c r="BJ510" i="2"/>
  <c r="BK510" i="2" s="1"/>
  <c r="BJ375" i="2"/>
  <c r="BK375" i="2" s="1"/>
  <c r="BJ197" i="2"/>
  <c r="BK197" i="2" s="1"/>
  <c r="BJ148" i="2"/>
  <c r="BK148" i="2" s="1"/>
  <c r="BJ69" i="2"/>
  <c r="BK69" i="2" s="1"/>
  <c r="BJ535" i="2"/>
  <c r="BK535" i="2" s="1"/>
  <c r="BJ418" i="2"/>
  <c r="BK418" i="2" s="1"/>
  <c r="BJ319" i="2"/>
  <c r="BK319" i="2" s="1"/>
  <c r="BJ257" i="2"/>
  <c r="BK257" i="2" s="1"/>
  <c r="BJ183" i="2"/>
  <c r="BK183" i="2" s="1"/>
  <c r="BJ172" i="2"/>
  <c r="BK172" i="2" s="1"/>
  <c r="BJ422" i="2"/>
  <c r="BK422" i="2" s="1"/>
  <c r="BJ385" i="2"/>
  <c r="BK385" i="2" s="1"/>
  <c r="BJ362" i="2"/>
  <c r="BK362" i="2" s="1"/>
  <c r="BJ291" i="2"/>
  <c r="BK291" i="2" s="1"/>
  <c r="BJ242" i="2"/>
  <c r="BK242" i="2" s="1"/>
  <c r="BJ186" i="2"/>
  <c r="BK186" i="2" s="1"/>
  <c r="BJ374" i="2"/>
  <c r="BK374" i="2" s="1"/>
  <c r="BJ310" i="2"/>
  <c r="BK310" i="2" s="1"/>
  <c r="BJ271" i="2"/>
  <c r="BK271" i="2" s="1"/>
  <c r="BJ226" i="2"/>
  <c r="BK226" i="2" s="1"/>
  <c r="BJ195" i="2"/>
  <c r="BK195" i="2" s="1"/>
  <c r="BJ166" i="2"/>
  <c r="BK166" i="2" s="1"/>
  <c r="AS510" i="2"/>
  <c r="AT510" i="2" s="1"/>
  <c r="AS375" i="2"/>
  <c r="AT375" i="2" s="1"/>
  <c r="AS197" i="2"/>
  <c r="AT197" i="2" s="1"/>
  <c r="AS148" i="2"/>
  <c r="AT148" i="2" s="1"/>
  <c r="AS69" i="2"/>
  <c r="AT69" i="2" s="1"/>
  <c r="AS535" i="2"/>
  <c r="AT535" i="2" s="1"/>
  <c r="AS418" i="2"/>
  <c r="AT418" i="2" s="1"/>
  <c r="AS319" i="2"/>
  <c r="AT319" i="2" s="1"/>
  <c r="AS257" i="2"/>
  <c r="AT257" i="2" s="1"/>
  <c r="AS183" i="2"/>
  <c r="AT183" i="2" s="1"/>
  <c r="AS172" i="2"/>
  <c r="AT172" i="2" s="1"/>
  <c r="AS422" i="2"/>
  <c r="AT422" i="2" s="1"/>
  <c r="AS385" i="2"/>
  <c r="AT385" i="2" s="1"/>
  <c r="AS362" i="2"/>
  <c r="AT362" i="2" s="1"/>
  <c r="AS291" i="2"/>
  <c r="AT291" i="2" s="1"/>
  <c r="AS242" i="2"/>
  <c r="AT242" i="2" s="1"/>
  <c r="AS186" i="2"/>
  <c r="AT186" i="2" s="1"/>
  <c r="AS374" i="2"/>
  <c r="AT374" i="2" s="1"/>
  <c r="AS310" i="2"/>
  <c r="AT310" i="2" s="1"/>
  <c r="AS271" i="2"/>
  <c r="AT271" i="2" s="1"/>
  <c r="AS226" i="2"/>
  <c r="AT226" i="2" s="1"/>
  <c r="AS195" i="2"/>
  <c r="AT195" i="2" s="1"/>
  <c r="AS166" i="2"/>
  <c r="AT166" i="2" s="1"/>
  <c r="AS729" i="2"/>
  <c r="AT729" i="2" s="1"/>
  <c r="AG729" i="2"/>
  <c r="AH729" i="2" s="1"/>
  <c r="AG510" i="2"/>
  <c r="AH510" i="2" s="1"/>
  <c r="AG375" i="2"/>
  <c r="AH375" i="2" s="1"/>
  <c r="AG197" i="2"/>
  <c r="AH197" i="2" s="1"/>
  <c r="AG148" i="2"/>
  <c r="AH148" i="2" s="1"/>
  <c r="AG69" i="2"/>
  <c r="AH69" i="2" s="1"/>
  <c r="AG535" i="2"/>
  <c r="AH535" i="2" s="1"/>
  <c r="AG418" i="2"/>
  <c r="AH418" i="2" s="1"/>
  <c r="AG319" i="2"/>
  <c r="AH319" i="2" s="1"/>
  <c r="AG257" i="2"/>
  <c r="AH257" i="2" s="1"/>
  <c r="AG183" i="2"/>
  <c r="AH183" i="2" s="1"/>
  <c r="AG172" i="2"/>
  <c r="AH172" i="2" s="1"/>
  <c r="AG422" i="2"/>
  <c r="AH422" i="2" s="1"/>
  <c r="AG385" i="2"/>
  <c r="AH385" i="2" s="1"/>
  <c r="AG362" i="2"/>
  <c r="AH362" i="2" s="1"/>
  <c r="AG291" i="2"/>
  <c r="AH291" i="2" s="1"/>
  <c r="AG242" i="2"/>
  <c r="AH242" i="2" s="1"/>
  <c r="AG186" i="2"/>
  <c r="AH186" i="2" s="1"/>
  <c r="AG374" i="2"/>
  <c r="AH374" i="2" s="1"/>
  <c r="AG310" i="2"/>
  <c r="AH310" i="2" s="1"/>
  <c r="AG271" i="2"/>
  <c r="AH271" i="2" s="1"/>
  <c r="AG226" i="2"/>
  <c r="AH226" i="2" s="1"/>
  <c r="AG195" i="2"/>
  <c r="AH195" i="2" s="1"/>
  <c r="AG166" i="2"/>
  <c r="AH166" i="2" s="1"/>
  <c r="AC729" i="2"/>
  <c r="AC510" i="2"/>
  <c r="AC375" i="2"/>
  <c r="AC197" i="2"/>
  <c r="AC148" i="2"/>
  <c r="AC69" i="2"/>
  <c r="AC535" i="2"/>
  <c r="AC418" i="2"/>
  <c r="AC319" i="2"/>
  <c r="AC257" i="2"/>
  <c r="AC183" i="2"/>
  <c r="AC172" i="2"/>
  <c r="AC422" i="2"/>
  <c r="AC385" i="2"/>
  <c r="AC362" i="2"/>
  <c r="AC291" i="2"/>
  <c r="AC242" i="2"/>
  <c r="AC186" i="2"/>
  <c r="AC374" i="2"/>
  <c r="AC310" i="2"/>
  <c r="AC271" i="2"/>
  <c r="AC226" i="2"/>
  <c r="AC195" i="2"/>
  <c r="AC166" i="2"/>
  <c r="Y729" i="2"/>
  <c r="Y510" i="2"/>
  <c r="Y375" i="2"/>
  <c r="Y197" i="2"/>
  <c r="Y148" i="2"/>
  <c r="Y69" i="2"/>
  <c r="Y535" i="2"/>
  <c r="Y418" i="2"/>
  <c r="Y319" i="2"/>
  <c r="Y257" i="2"/>
  <c r="Y183" i="2"/>
  <c r="Y172" i="2"/>
  <c r="Y422" i="2"/>
  <c r="Y385" i="2"/>
  <c r="Y362" i="2"/>
  <c r="Y291" i="2"/>
  <c r="Y242" i="2"/>
  <c r="Y186" i="2"/>
  <c r="Y374" i="2"/>
  <c r="Y310" i="2"/>
  <c r="Y271" i="2"/>
  <c r="Y226" i="2"/>
  <c r="Y195" i="2"/>
  <c r="Y166" i="2"/>
  <c r="X510" i="2"/>
  <c r="X375" i="2"/>
  <c r="X197" i="2"/>
  <c r="X148" i="2"/>
  <c r="X69" i="2"/>
  <c r="X535" i="2"/>
  <c r="X418" i="2"/>
  <c r="X319" i="2"/>
  <c r="X257" i="2"/>
  <c r="X183" i="2"/>
  <c r="X172" i="2"/>
  <c r="X422" i="2"/>
  <c r="X385" i="2"/>
  <c r="X362" i="2"/>
  <c r="X291" i="2"/>
  <c r="X242" i="2"/>
  <c r="X186" i="2"/>
  <c r="X374" i="2"/>
  <c r="X310" i="2"/>
  <c r="X271" i="2"/>
  <c r="X226" i="2"/>
  <c r="X195" i="2"/>
  <c r="X166" i="2"/>
  <c r="X729" i="2"/>
  <c r="BF669" i="2"/>
  <c r="BF470" i="2"/>
  <c r="BF327" i="2"/>
  <c r="BJ327" i="2"/>
  <c r="BK327" i="2" s="1"/>
  <c r="BJ470" i="2"/>
  <c r="BK470" i="2" s="1"/>
  <c r="BJ669" i="2"/>
  <c r="BK669" i="2" s="1"/>
  <c r="AG669" i="2"/>
  <c r="AH669" i="2" s="1"/>
  <c r="AG470" i="2"/>
  <c r="AH470" i="2" s="1"/>
  <c r="AG327" i="2"/>
  <c r="AH327" i="2" s="1"/>
  <c r="AC669" i="2"/>
  <c r="AC470" i="2"/>
  <c r="AC327" i="2"/>
  <c r="X669" i="2"/>
  <c r="N669" i="2" s="1"/>
  <c r="X470" i="2"/>
  <c r="X327" i="2"/>
  <c r="N327" i="2" s="1"/>
  <c r="BJ1104" i="2"/>
  <c r="BK1104" i="2" s="1"/>
  <c r="BJ421" i="2"/>
  <c r="BK421" i="2" s="1"/>
  <c r="BJ455" i="2"/>
  <c r="BK455" i="2" s="1"/>
  <c r="BJ46" i="2"/>
  <c r="BK46" i="2" s="1"/>
  <c r="AS421" i="2"/>
  <c r="AT421" i="2" s="1"/>
  <c r="AS455" i="2"/>
  <c r="AT455" i="2" s="1"/>
  <c r="AS46" i="2"/>
  <c r="AT46" i="2" s="1"/>
  <c r="AS1104" i="2"/>
  <c r="AT1104" i="2" s="1"/>
  <c r="AG1104" i="2"/>
  <c r="AH1104" i="2" s="1"/>
  <c r="AG421" i="2"/>
  <c r="AH421" i="2" s="1"/>
  <c r="AG455" i="2"/>
  <c r="AH455" i="2" s="1"/>
  <c r="AG46" i="2"/>
  <c r="AH46" i="2" s="1"/>
  <c r="AC1104" i="2"/>
  <c r="AC421" i="2"/>
  <c r="AC455" i="2"/>
  <c r="AC46" i="2"/>
  <c r="X421" i="2"/>
  <c r="X455" i="2"/>
  <c r="N455" i="2" s="1"/>
  <c r="X46" i="2"/>
  <c r="Z46" i="2" s="1"/>
  <c r="X1104" i="2"/>
  <c r="Z1104" i="2" s="1"/>
  <c r="AB1104" i="2" s="1"/>
  <c r="AD1104" i="2" s="1"/>
  <c r="BJ1232" i="2"/>
  <c r="BK1232" i="2" s="1"/>
  <c r="BJ592" i="2"/>
  <c r="BK592" i="2" s="1"/>
  <c r="BJ350" i="2"/>
  <c r="BK350" i="2" s="1"/>
  <c r="BJ938" i="2"/>
  <c r="BK938" i="2" s="1"/>
  <c r="BJ452" i="2"/>
  <c r="BK452" i="2" s="1"/>
  <c r="BJ318" i="2"/>
  <c r="BK318" i="2" s="1"/>
  <c r="BJ949" i="2"/>
  <c r="BK949" i="2" s="1"/>
  <c r="BJ274" i="2"/>
  <c r="BK274" i="2" s="1"/>
  <c r="BJ503" i="2"/>
  <c r="BK503" i="2" s="1"/>
  <c r="BJ1049" i="2"/>
  <c r="BK1049" i="2" s="1"/>
  <c r="BJ481" i="2"/>
  <c r="BK481" i="2" s="1"/>
  <c r="BJ395" i="2"/>
  <c r="BK395" i="2" s="1"/>
  <c r="BJ683" i="2"/>
  <c r="BK683" i="2" s="1"/>
  <c r="BJ530" i="2"/>
  <c r="BK530" i="2" s="1"/>
  <c r="BJ278" i="2"/>
  <c r="BK278" i="2" s="1"/>
  <c r="BJ950" i="2"/>
  <c r="BK950" i="2" s="1"/>
  <c r="BJ406" i="2"/>
  <c r="BK406" i="2" s="1"/>
  <c r="BJ345" i="2"/>
  <c r="BK345" i="2" s="1"/>
  <c r="BJ1132" i="2"/>
  <c r="BK1132" i="2" s="1"/>
  <c r="BJ491" i="2"/>
  <c r="BK491" i="2" s="1"/>
  <c r="BJ147" i="2"/>
  <c r="BK147" i="2" s="1"/>
  <c r="BJ833" i="2"/>
  <c r="BK833" i="2" s="1"/>
  <c r="BJ146" i="2"/>
  <c r="BK146" i="2" s="1"/>
  <c r="BJ175" i="2"/>
  <c r="BK175" i="2" s="1"/>
  <c r="BJ806" i="2"/>
  <c r="BK806" i="2" s="1"/>
  <c r="BJ176" i="2"/>
  <c r="BK176" i="2" s="1"/>
  <c r="BJ113" i="2"/>
  <c r="BK113" i="2" s="1"/>
  <c r="BJ794" i="2"/>
  <c r="BK794" i="2" s="1"/>
  <c r="BJ159" i="2"/>
  <c r="BK159" i="2" s="1"/>
  <c r="BJ105" i="2"/>
  <c r="BK105" i="2" s="1"/>
  <c r="BJ830" i="2"/>
  <c r="BK830" i="2" s="1"/>
  <c r="BJ371" i="2"/>
  <c r="BK371" i="2" s="1"/>
  <c r="BJ461" i="2"/>
  <c r="BK461" i="2" s="1"/>
  <c r="BJ651" i="2"/>
  <c r="BK651" i="2" s="1"/>
  <c r="BJ633" i="2"/>
  <c r="BK633" i="2" s="1"/>
  <c r="BJ264" i="2"/>
  <c r="BK264" i="2" s="1"/>
  <c r="AS592" i="2"/>
  <c r="AT592" i="2" s="1"/>
  <c r="AS350" i="2"/>
  <c r="AT350" i="2" s="1"/>
  <c r="AS938" i="2"/>
  <c r="AT938" i="2" s="1"/>
  <c r="AS452" i="2"/>
  <c r="AT452" i="2" s="1"/>
  <c r="AS318" i="2"/>
  <c r="AT318" i="2" s="1"/>
  <c r="AS949" i="2"/>
  <c r="AT949" i="2" s="1"/>
  <c r="AS274" i="2"/>
  <c r="AT274" i="2" s="1"/>
  <c r="AS503" i="2"/>
  <c r="AT503" i="2" s="1"/>
  <c r="AS1049" i="2"/>
  <c r="AT1049" i="2" s="1"/>
  <c r="AS481" i="2"/>
  <c r="AT481" i="2" s="1"/>
  <c r="AS395" i="2"/>
  <c r="AT395" i="2" s="1"/>
  <c r="AS683" i="2"/>
  <c r="AT683" i="2" s="1"/>
  <c r="AS530" i="2"/>
  <c r="AT530" i="2" s="1"/>
  <c r="AS278" i="2"/>
  <c r="AT278" i="2" s="1"/>
  <c r="AS950" i="2"/>
  <c r="AT950" i="2" s="1"/>
  <c r="AS406" i="2"/>
  <c r="AT406" i="2" s="1"/>
  <c r="AS345" i="2"/>
  <c r="AT345" i="2" s="1"/>
  <c r="AS1132" i="2"/>
  <c r="AT1132" i="2" s="1"/>
  <c r="AS491" i="2"/>
  <c r="AT491" i="2" s="1"/>
  <c r="AS147" i="2"/>
  <c r="AT147" i="2" s="1"/>
  <c r="AS833" i="2"/>
  <c r="AT833" i="2" s="1"/>
  <c r="AS146" i="2"/>
  <c r="AT146" i="2" s="1"/>
  <c r="AS175" i="2"/>
  <c r="AT175" i="2" s="1"/>
  <c r="AS806" i="2"/>
  <c r="AT806" i="2" s="1"/>
  <c r="AS176" i="2"/>
  <c r="AT176" i="2" s="1"/>
  <c r="AS113" i="2"/>
  <c r="AT113" i="2" s="1"/>
  <c r="AS794" i="2"/>
  <c r="AT794" i="2" s="1"/>
  <c r="AS159" i="2"/>
  <c r="AT159" i="2" s="1"/>
  <c r="AS105" i="2"/>
  <c r="AT105" i="2" s="1"/>
  <c r="AS830" i="2"/>
  <c r="AT830" i="2" s="1"/>
  <c r="AS371" i="2"/>
  <c r="AT371" i="2" s="1"/>
  <c r="AS461" i="2"/>
  <c r="AT461" i="2" s="1"/>
  <c r="AS651" i="2"/>
  <c r="AT651" i="2" s="1"/>
  <c r="AS633" i="2"/>
  <c r="AT633" i="2" s="1"/>
  <c r="AS264" i="2"/>
  <c r="AT264" i="2" s="1"/>
  <c r="AS1232" i="2"/>
  <c r="AT1232" i="2" s="1"/>
  <c r="AG592" i="2"/>
  <c r="AH592" i="2" s="1"/>
  <c r="AG350" i="2"/>
  <c r="AH350" i="2" s="1"/>
  <c r="AG938" i="2"/>
  <c r="AH938" i="2" s="1"/>
  <c r="AG452" i="2"/>
  <c r="AH452" i="2" s="1"/>
  <c r="AG318" i="2"/>
  <c r="AH318" i="2" s="1"/>
  <c r="AG949" i="2"/>
  <c r="AH949" i="2" s="1"/>
  <c r="AG274" i="2"/>
  <c r="AH274" i="2" s="1"/>
  <c r="AG503" i="2"/>
  <c r="AH503" i="2" s="1"/>
  <c r="AG1049" i="2"/>
  <c r="AH1049" i="2" s="1"/>
  <c r="AG481" i="2"/>
  <c r="AH481" i="2" s="1"/>
  <c r="AG395" i="2"/>
  <c r="AH395" i="2" s="1"/>
  <c r="AG683" i="2"/>
  <c r="AH683" i="2" s="1"/>
  <c r="AG530" i="2"/>
  <c r="AH530" i="2" s="1"/>
  <c r="AG278" i="2"/>
  <c r="AH278" i="2" s="1"/>
  <c r="AG950" i="2"/>
  <c r="AH950" i="2" s="1"/>
  <c r="AG406" i="2"/>
  <c r="AH406" i="2" s="1"/>
  <c r="AG345" i="2"/>
  <c r="AH345" i="2" s="1"/>
  <c r="AG1132" i="2"/>
  <c r="AH1132" i="2" s="1"/>
  <c r="AG491" i="2"/>
  <c r="AH491" i="2" s="1"/>
  <c r="AG147" i="2"/>
  <c r="AH147" i="2" s="1"/>
  <c r="AG833" i="2"/>
  <c r="AH833" i="2" s="1"/>
  <c r="AG146" i="2"/>
  <c r="AH146" i="2" s="1"/>
  <c r="AG175" i="2"/>
  <c r="AH175" i="2" s="1"/>
  <c r="AG806" i="2"/>
  <c r="AH806" i="2" s="1"/>
  <c r="AG176" i="2"/>
  <c r="AH176" i="2" s="1"/>
  <c r="AG113" i="2"/>
  <c r="AH113" i="2" s="1"/>
  <c r="AG794" i="2"/>
  <c r="AH794" i="2" s="1"/>
  <c r="AG159" i="2"/>
  <c r="AH159" i="2" s="1"/>
  <c r="AG105" i="2"/>
  <c r="AH105" i="2" s="1"/>
  <c r="AG830" i="2"/>
  <c r="AH830" i="2" s="1"/>
  <c r="AG371" i="2"/>
  <c r="AH371" i="2" s="1"/>
  <c r="AG461" i="2"/>
  <c r="AH461" i="2" s="1"/>
  <c r="AG651" i="2"/>
  <c r="AH651" i="2" s="1"/>
  <c r="AG633" i="2"/>
  <c r="AH633" i="2" s="1"/>
  <c r="AG264" i="2"/>
  <c r="AH264" i="2" s="1"/>
  <c r="AC592" i="2"/>
  <c r="AC350" i="2"/>
  <c r="AC938" i="2"/>
  <c r="AC452" i="2"/>
  <c r="AC318" i="2"/>
  <c r="AC949" i="2"/>
  <c r="AC274" i="2"/>
  <c r="AC503" i="2"/>
  <c r="AC1049" i="2"/>
  <c r="AC481" i="2"/>
  <c r="AC395" i="2"/>
  <c r="AC683" i="2"/>
  <c r="AC530" i="2"/>
  <c r="AC278" i="2"/>
  <c r="AC950" i="2"/>
  <c r="AC406" i="2"/>
  <c r="AC345" i="2"/>
  <c r="AC1132" i="2"/>
  <c r="AC491" i="2"/>
  <c r="AC147" i="2"/>
  <c r="AC833" i="2"/>
  <c r="AC146" i="2"/>
  <c r="AC175" i="2"/>
  <c r="AC806" i="2"/>
  <c r="AC176" i="2"/>
  <c r="AC113" i="2"/>
  <c r="AC794" i="2"/>
  <c r="AC159" i="2"/>
  <c r="AC105" i="2"/>
  <c r="AC830" i="2"/>
  <c r="AC371" i="2"/>
  <c r="AC461" i="2"/>
  <c r="AC651" i="2"/>
  <c r="AC633" i="2"/>
  <c r="AC264" i="2"/>
  <c r="Y592" i="2"/>
  <c r="Y350" i="2"/>
  <c r="Y938" i="2"/>
  <c r="Y452" i="2"/>
  <c r="Y318" i="2"/>
  <c r="Y949" i="2"/>
  <c r="Y274" i="2"/>
  <c r="Y503" i="2"/>
  <c r="Y1049" i="2"/>
  <c r="Y481" i="2"/>
  <c r="Y395" i="2"/>
  <c r="Y683" i="2"/>
  <c r="Y530" i="2"/>
  <c r="Y278" i="2"/>
  <c r="Y950" i="2"/>
  <c r="Y406" i="2"/>
  <c r="Y345" i="2"/>
  <c r="Y1132" i="2"/>
  <c r="Y491" i="2"/>
  <c r="Y147" i="2"/>
  <c r="Y833" i="2"/>
  <c r="Y146" i="2"/>
  <c r="Y175" i="2"/>
  <c r="Y806" i="2"/>
  <c r="Y176" i="2"/>
  <c r="Y113" i="2"/>
  <c r="Y794" i="2"/>
  <c r="Y159" i="2"/>
  <c r="Y105" i="2"/>
  <c r="Y830" i="2"/>
  <c r="Y371" i="2"/>
  <c r="Y461" i="2"/>
  <c r="Y651" i="2"/>
  <c r="Y633" i="2"/>
  <c r="Y264" i="2"/>
  <c r="Y1232" i="2"/>
  <c r="X592" i="2"/>
  <c r="Z592" i="2" s="1"/>
  <c r="Q592" i="2" s="1"/>
  <c r="AE592" i="2" s="1"/>
  <c r="X350" i="2"/>
  <c r="Z350" i="2" s="1"/>
  <c r="X938" i="2"/>
  <c r="Z938" i="2" s="1"/>
  <c r="X452" i="2"/>
  <c r="Z452" i="2" s="1"/>
  <c r="AB452" i="2" s="1"/>
  <c r="AD452" i="2" s="1"/>
  <c r="X318" i="2"/>
  <c r="Z318" i="2" s="1"/>
  <c r="Q318" i="2" s="1"/>
  <c r="AE318" i="2" s="1"/>
  <c r="X949" i="2"/>
  <c r="Z949" i="2" s="1"/>
  <c r="X274" i="2"/>
  <c r="Z274" i="2" s="1"/>
  <c r="Q274" i="2" s="1"/>
  <c r="AE274" i="2" s="1"/>
  <c r="X503" i="2"/>
  <c r="Z503" i="2" s="1"/>
  <c r="X1049" i="2"/>
  <c r="Z1049" i="2" s="1"/>
  <c r="X481" i="2"/>
  <c r="Z481" i="2" s="1"/>
  <c r="X395" i="2"/>
  <c r="Z395" i="2" s="1"/>
  <c r="AB395" i="2" s="1"/>
  <c r="AD395" i="2" s="1"/>
  <c r="X683" i="2"/>
  <c r="Z683" i="2" s="1"/>
  <c r="X530" i="2"/>
  <c r="Z530" i="2" s="1"/>
  <c r="Q530" i="2" s="1"/>
  <c r="AE530" i="2" s="1"/>
  <c r="X278" i="2"/>
  <c r="Z278" i="2" s="1"/>
  <c r="Q278" i="2" s="1"/>
  <c r="AE278" i="2" s="1"/>
  <c r="X950" i="2"/>
  <c r="Z950" i="2" s="1"/>
  <c r="X406" i="2"/>
  <c r="Z406" i="2" s="1"/>
  <c r="AB406" i="2" s="1"/>
  <c r="AD406" i="2" s="1"/>
  <c r="X345" i="2"/>
  <c r="Z345" i="2" s="1"/>
  <c r="X1132" i="2"/>
  <c r="Z1132" i="2" s="1"/>
  <c r="X491" i="2"/>
  <c r="Z491" i="2" s="1"/>
  <c r="X147" i="2"/>
  <c r="X833" i="2"/>
  <c r="Z833" i="2" s="1"/>
  <c r="Q833" i="2" s="1"/>
  <c r="AE833" i="2" s="1"/>
  <c r="X146" i="2"/>
  <c r="Z146" i="2" s="1"/>
  <c r="AB146" i="2" s="1"/>
  <c r="AD146" i="2" s="1"/>
  <c r="X175" i="2"/>
  <c r="Z175" i="2" s="1"/>
  <c r="Q175" i="2" s="1"/>
  <c r="AE175" i="2" s="1"/>
  <c r="X806" i="2"/>
  <c r="Z806" i="2" s="1"/>
  <c r="AB806" i="2" s="1"/>
  <c r="AD806" i="2" s="1"/>
  <c r="X176" i="2"/>
  <c r="Z176" i="2" s="1"/>
  <c r="X113" i="2"/>
  <c r="Z113" i="2" s="1"/>
  <c r="X794" i="2"/>
  <c r="Z794" i="2" s="1"/>
  <c r="X159" i="2"/>
  <c r="X105" i="2"/>
  <c r="Z105" i="2" s="1"/>
  <c r="Q105" i="2" s="1"/>
  <c r="AE105" i="2" s="1"/>
  <c r="X830" i="2"/>
  <c r="Z830" i="2" s="1"/>
  <c r="X371" i="2"/>
  <c r="X461" i="2"/>
  <c r="Z461" i="2" s="1"/>
  <c r="AB461" i="2" s="1"/>
  <c r="AD461" i="2" s="1"/>
  <c r="X651" i="2"/>
  <c r="Z651" i="2" s="1"/>
  <c r="X633" i="2"/>
  <c r="Z633" i="2" s="1"/>
  <c r="X264" i="2"/>
  <c r="Z264" i="2" s="1"/>
  <c r="AB264" i="2" s="1"/>
  <c r="AD264" i="2" s="1"/>
  <c r="X1232" i="2"/>
  <c r="Z1232" i="2" s="1"/>
  <c r="AC1232" i="2"/>
  <c r="AG1232" i="2"/>
  <c r="AH1232" i="2" s="1"/>
  <c r="BJ635" i="2"/>
  <c r="BK635" i="2" s="1"/>
  <c r="BJ649" i="2"/>
  <c r="BK649" i="2" s="1"/>
  <c r="BJ1235" i="2"/>
  <c r="BK1235" i="2" s="1"/>
  <c r="BJ1482" i="2"/>
  <c r="BK1482" i="2" s="1"/>
  <c r="BJ1547" i="2"/>
  <c r="BK1547" i="2" s="1"/>
  <c r="BJ668" i="2"/>
  <c r="BK668" i="2" s="1"/>
  <c r="BJ853" i="2"/>
  <c r="BK853" i="2" s="1"/>
  <c r="BJ1365" i="2"/>
  <c r="BK1365" i="2" s="1"/>
  <c r="BJ1523" i="2"/>
  <c r="BK1523" i="2" s="1"/>
  <c r="BJ1552" i="2"/>
  <c r="BK1552" i="2" s="1"/>
  <c r="BJ811" i="2"/>
  <c r="BK811" i="2" s="1"/>
  <c r="BJ940" i="2"/>
  <c r="BK940" i="2" s="1"/>
  <c r="BJ1389" i="2"/>
  <c r="BK1389" i="2" s="1"/>
  <c r="BJ1537" i="2"/>
  <c r="BK1537" i="2" s="1"/>
  <c r="AS1537" i="2"/>
  <c r="AT1537" i="2" s="1"/>
  <c r="AS1389" i="2"/>
  <c r="AT1389" i="2" s="1"/>
  <c r="AS940" i="2"/>
  <c r="AT940" i="2" s="1"/>
  <c r="AS811" i="2"/>
  <c r="AT811" i="2" s="1"/>
  <c r="AS1552" i="2"/>
  <c r="AT1552" i="2" s="1"/>
  <c r="AS1523" i="2"/>
  <c r="AT1523" i="2" s="1"/>
  <c r="AS1365" i="2"/>
  <c r="AT1365" i="2" s="1"/>
  <c r="AS853" i="2"/>
  <c r="AT853" i="2" s="1"/>
  <c r="AS668" i="2"/>
  <c r="AT668" i="2" s="1"/>
  <c r="AS1547" i="2"/>
  <c r="AT1547" i="2" s="1"/>
  <c r="AS1482" i="2"/>
  <c r="AT1482" i="2" s="1"/>
  <c r="AS1235" i="2"/>
  <c r="AT1235" i="2" s="1"/>
  <c r="AS649" i="2"/>
  <c r="AT649" i="2" s="1"/>
  <c r="AS635" i="2"/>
  <c r="AT635" i="2" s="1"/>
  <c r="AG1389" i="2"/>
  <c r="AH1389" i="2" s="1"/>
  <c r="AG1537" i="2"/>
  <c r="AH1537" i="2" s="1"/>
  <c r="AG940" i="2"/>
  <c r="AH940" i="2" s="1"/>
  <c r="AG811" i="2"/>
  <c r="AH811" i="2" s="1"/>
  <c r="AG1552" i="2"/>
  <c r="AH1552" i="2" s="1"/>
  <c r="AG1523" i="2"/>
  <c r="AH1523" i="2" s="1"/>
  <c r="AG1365" i="2"/>
  <c r="AH1365" i="2" s="1"/>
  <c r="AG853" i="2"/>
  <c r="AH853" i="2" s="1"/>
  <c r="AG668" i="2"/>
  <c r="AH668" i="2" s="1"/>
  <c r="AG1547" i="2"/>
  <c r="AH1547" i="2" s="1"/>
  <c r="AG1482" i="2"/>
  <c r="AH1482" i="2" s="1"/>
  <c r="AG1235" i="2"/>
  <c r="AH1235" i="2" s="1"/>
  <c r="AG649" i="2"/>
  <c r="AH649" i="2" s="1"/>
  <c r="AG635" i="2"/>
  <c r="AH635" i="2" s="1"/>
  <c r="AC1537" i="2"/>
  <c r="AC1389" i="2"/>
  <c r="AC940" i="2"/>
  <c r="AC811" i="2"/>
  <c r="AC1552" i="2"/>
  <c r="AC1523" i="2"/>
  <c r="AC1365" i="2"/>
  <c r="AC853" i="2"/>
  <c r="AC668" i="2"/>
  <c r="AC1547" i="2"/>
  <c r="AC1482" i="2"/>
  <c r="AC1235" i="2"/>
  <c r="AC649" i="2"/>
  <c r="AC635" i="2"/>
  <c r="Y1537" i="2"/>
  <c r="Y1389" i="2"/>
  <c r="Y940" i="2"/>
  <c r="Y811" i="2"/>
  <c r="Y1552" i="2"/>
  <c r="Y1523" i="2"/>
  <c r="Y1365" i="2"/>
  <c r="Y853" i="2"/>
  <c r="Y668" i="2"/>
  <c r="Y1547" i="2"/>
  <c r="Y1482" i="2"/>
  <c r="Y1235" i="2"/>
  <c r="Y649" i="2"/>
  <c r="Y635" i="2"/>
  <c r="X1537" i="2"/>
  <c r="X1389" i="2"/>
  <c r="X940" i="2"/>
  <c r="X811" i="2"/>
  <c r="X1552" i="2"/>
  <c r="X1523" i="2"/>
  <c r="X1365" i="2"/>
  <c r="X853" i="2"/>
  <c r="Z853" i="2" s="1"/>
  <c r="X668" i="2"/>
  <c r="X1547" i="2"/>
  <c r="X1482" i="2"/>
  <c r="X1235" i="2"/>
  <c r="Z1235" i="2" s="1"/>
  <c r="X649" i="2"/>
  <c r="X635" i="2"/>
  <c r="Z635" i="2" s="1"/>
  <c r="AS1039" i="2"/>
  <c r="AT1039" i="2" s="1"/>
  <c r="AS953" i="2"/>
  <c r="AT953" i="2" s="1"/>
  <c r="AS1059" i="2"/>
  <c r="AT1059" i="2" s="1"/>
  <c r="AS991" i="2"/>
  <c r="AT991" i="2" s="1"/>
  <c r="AS930" i="2"/>
  <c r="AT930" i="2" s="1"/>
  <c r="AS800" i="2"/>
  <c r="AT800" i="2" s="1"/>
  <c r="AS1053" i="2"/>
  <c r="AT1053" i="2" s="1"/>
  <c r="AS984" i="2"/>
  <c r="AT984" i="2" s="1"/>
  <c r="AS897" i="2"/>
  <c r="AT897" i="2" s="1"/>
  <c r="AS808" i="2"/>
  <c r="AT808" i="2" s="1"/>
  <c r="AS734" i="2"/>
  <c r="AT734" i="2" s="1"/>
  <c r="AS676" i="2"/>
  <c r="AT676" i="2" s="1"/>
  <c r="AS977" i="2"/>
  <c r="AT977" i="2" s="1"/>
  <c r="AS887" i="2"/>
  <c r="AT887" i="2" s="1"/>
  <c r="AS825" i="2"/>
  <c r="AT825" i="2" s="1"/>
  <c r="AS717" i="2"/>
  <c r="AT717" i="2" s="1"/>
  <c r="AS617" i="2"/>
  <c r="AT617" i="2" s="1"/>
  <c r="AS564" i="2"/>
  <c r="AT564" i="2" s="1"/>
  <c r="AS881" i="2"/>
  <c r="AT881" i="2" s="1"/>
  <c r="AS718" i="2"/>
  <c r="AT718" i="2" s="1"/>
  <c r="AS685" i="2"/>
  <c r="AT685" i="2" s="1"/>
  <c r="AS614" i="2"/>
  <c r="AT614" i="2" s="1"/>
  <c r="AS477" i="2"/>
  <c r="AT477" i="2" s="1"/>
  <c r="AS443" i="2"/>
  <c r="AT443" i="2" s="1"/>
  <c r="AS1056" i="2"/>
  <c r="AT1056" i="2" s="1"/>
  <c r="AG1056" i="2"/>
  <c r="AH1056" i="2" s="1"/>
  <c r="AG1039" i="2"/>
  <c r="AH1039" i="2" s="1"/>
  <c r="AG953" i="2"/>
  <c r="AH953" i="2" s="1"/>
  <c r="AG1059" i="2"/>
  <c r="AH1059" i="2" s="1"/>
  <c r="AG991" i="2"/>
  <c r="AH991" i="2" s="1"/>
  <c r="AG930" i="2"/>
  <c r="AH930" i="2" s="1"/>
  <c r="AG800" i="2"/>
  <c r="AH800" i="2" s="1"/>
  <c r="AG1053" i="2"/>
  <c r="AH1053" i="2" s="1"/>
  <c r="AG984" i="2"/>
  <c r="AH984" i="2" s="1"/>
  <c r="AG897" i="2"/>
  <c r="AH897" i="2" s="1"/>
  <c r="AG808" i="2"/>
  <c r="AH808" i="2" s="1"/>
  <c r="AG734" i="2"/>
  <c r="AH734" i="2" s="1"/>
  <c r="AG676" i="2"/>
  <c r="AH676" i="2" s="1"/>
  <c r="AG977" i="2"/>
  <c r="AH977" i="2" s="1"/>
  <c r="AG887" i="2"/>
  <c r="AH887" i="2" s="1"/>
  <c r="AG825" i="2"/>
  <c r="AH825" i="2" s="1"/>
  <c r="AG717" i="2"/>
  <c r="AH717" i="2" s="1"/>
  <c r="AG617" i="2"/>
  <c r="AH617" i="2" s="1"/>
  <c r="AG564" i="2"/>
  <c r="AH564" i="2" s="1"/>
  <c r="AG881" i="2"/>
  <c r="AH881" i="2" s="1"/>
  <c r="AG718" i="2"/>
  <c r="AH718" i="2" s="1"/>
  <c r="AG685" i="2"/>
  <c r="AH685" i="2" s="1"/>
  <c r="AG614" i="2"/>
  <c r="AH614" i="2" s="1"/>
  <c r="AG477" i="2"/>
  <c r="AH477" i="2" s="1"/>
  <c r="AG443" i="2"/>
  <c r="AH443" i="2" s="1"/>
  <c r="BJ443" i="2"/>
  <c r="BK443" i="2" s="1"/>
  <c r="BJ477" i="2"/>
  <c r="BK477" i="2" s="1"/>
  <c r="BJ614" i="2"/>
  <c r="BK614" i="2" s="1"/>
  <c r="BJ685" i="2"/>
  <c r="BK685" i="2" s="1"/>
  <c r="BJ718" i="2"/>
  <c r="BK718" i="2" s="1"/>
  <c r="BJ881" i="2"/>
  <c r="BK881" i="2" s="1"/>
  <c r="BJ564" i="2"/>
  <c r="BK564" i="2" s="1"/>
  <c r="BJ617" i="2"/>
  <c r="BK617" i="2" s="1"/>
  <c r="BJ717" i="2"/>
  <c r="BK717" i="2" s="1"/>
  <c r="BJ825" i="2"/>
  <c r="BK825" i="2" s="1"/>
  <c r="BJ887" i="2"/>
  <c r="BK887" i="2" s="1"/>
  <c r="BJ977" i="2"/>
  <c r="BK977" i="2" s="1"/>
  <c r="BJ676" i="2"/>
  <c r="BK676" i="2" s="1"/>
  <c r="BJ734" i="2"/>
  <c r="BK734" i="2" s="1"/>
  <c r="BJ808" i="2"/>
  <c r="BK808" i="2" s="1"/>
  <c r="BJ897" i="2"/>
  <c r="BK897" i="2" s="1"/>
  <c r="BJ984" i="2"/>
  <c r="BK984" i="2" s="1"/>
  <c r="BJ1053" i="2"/>
  <c r="BK1053" i="2" s="1"/>
  <c r="BJ800" i="2"/>
  <c r="BK800" i="2" s="1"/>
  <c r="BJ930" i="2"/>
  <c r="BK930" i="2" s="1"/>
  <c r="BJ991" i="2"/>
  <c r="BK991" i="2" s="1"/>
  <c r="BJ1059" i="2"/>
  <c r="BK1059" i="2" s="1"/>
  <c r="BJ953" i="2"/>
  <c r="BK953" i="2" s="1"/>
  <c r="BJ1039" i="2"/>
  <c r="BK1039" i="2" s="1"/>
  <c r="BJ1056" i="2"/>
  <c r="BK1056" i="2" s="1"/>
  <c r="AC1056" i="2"/>
  <c r="AC1039" i="2"/>
  <c r="AC953" i="2"/>
  <c r="AC1059" i="2"/>
  <c r="AC991" i="2"/>
  <c r="AC930" i="2"/>
  <c r="AC800" i="2"/>
  <c r="AC1053" i="2"/>
  <c r="AC984" i="2"/>
  <c r="AC897" i="2"/>
  <c r="AC808" i="2"/>
  <c r="AC734" i="2"/>
  <c r="AC676" i="2"/>
  <c r="AC977" i="2"/>
  <c r="AC887" i="2"/>
  <c r="AC825" i="2"/>
  <c r="AC717" i="2"/>
  <c r="AC617" i="2"/>
  <c r="AC564" i="2"/>
  <c r="AC881" i="2"/>
  <c r="AC718" i="2"/>
  <c r="AC685" i="2"/>
  <c r="AC614" i="2"/>
  <c r="AC477" i="2"/>
  <c r="AC443" i="2"/>
  <c r="Y1056" i="2"/>
  <c r="Y1039" i="2"/>
  <c r="Y953" i="2"/>
  <c r="Y1059" i="2"/>
  <c r="Y991" i="2"/>
  <c r="Y930" i="2"/>
  <c r="Y800" i="2"/>
  <c r="Y1053" i="2"/>
  <c r="Y984" i="2"/>
  <c r="Y897" i="2"/>
  <c r="Y808" i="2"/>
  <c r="Y734" i="2"/>
  <c r="Y676" i="2"/>
  <c r="Y977" i="2"/>
  <c r="Y887" i="2"/>
  <c r="Y825" i="2"/>
  <c r="Y717" i="2"/>
  <c r="Y617" i="2"/>
  <c r="Y564" i="2"/>
  <c r="Y881" i="2"/>
  <c r="Y718" i="2"/>
  <c r="Y685" i="2"/>
  <c r="Y614" i="2"/>
  <c r="Y477" i="2"/>
  <c r="Y443" i="2"/>
  <c r="X1039" i="2"/>
  <c r="X953" i="2"/>
  <c r="X1059" i="2"/>
  <c r="X991" i="2"/>
  <c r="X930" i="2"/>
  <c r="X800" i="2"/>
  <c r="X1053" i="2"/>
  <c r="X984" i="2"/>
  <c r="X897" i="2"/>
  <c r="X808" i="2"/>
  <c r="N808" i="2" s="1"/>
  <c r="X734" i="2"/>
  <c r="X676" i="2"/>
  <c r="X977" i="2"/>
  <c r="X887" i="2"/>
  <c r="X825" i="2"/>
  <c r="X717" i="2"/>
  <c r="X617" i="2"/>
  <c r="X564" i="2"/>
  <c r="X881" i="2"/>
  <c r="X718" i="2"/>
  <c r="X685" i="2"/>
  <c r="X614" i="2"/>
  <c r="X477" i="2"/>
  <c r="X443" i="2"/>
  <c r="X1056" i="2"/>
  <c r="Z1056" i="2" s="1"/>
  <c r="BJ56" i="2"/>
  <c r="BK56" i="2" s="1"/>
  <c r="AG56" i="2"/>
  <c r="AH56" i="2" s="1"/>
  <c r="AC56" i="2"/>
  <c r="AA56" i="2"/>
  <c r="Y56" i="2"/>
  <c r="X56" i="2"/>
  <c r="BJ218" i="2"/>
  <c r="BK218" i="2" s="1"/>
  <c r="AG218" i="2"/>
  <c r="AH218" i="2" s="1"/>
  <c r="AC218" i="2"/>
  <c r="AA218" i="2"/>
  <c r="Y218" i="2"/>
  <c r="X218" i="2"/>
  <c r="BJ602" i="2"/>
  <c r="BK602" i="2" s="1"/>
  <c r="AG602" i="2"/>
  <c r="AH602" i="2" s="1"/>
  <c r="AC602" i="2"/>
  <c r="AA602" i="2"/>
  <c r="Y602" i="2"/>
  <c r="X602" i="2"/>
  <c r="Z602" i="2" s="1"/>
  <c r="BJ2" i="2"/>
  <c r="BK2" i="2" s="1"/>
  <c r="AG2" i="2"/>
  <c r="AH2" i="2" s="1"/>
  <c r="AC2" i="2"/>
  <c r="AA2" i="2"/>
  <c r="Y2" i="2"/>
  <c r="X2" i="2"/>
  <c r="BJ137" i="2"/>
  <c r="BK137" i="2" s="1"/>
  <c r="AG137" i="2"/>
  <c r="AH137" i="2" s="1"/>
  <c r="AC137" i="2"/>
  <c r="AA137" i="2"/>
  <c r="Y137" i="2"/>
  <c r="X137" i="2"/>
  <c r="BJ662" i="2"/>
  <c r="BK662" i="2" s="1"/>
  <c r="AG662" i="2"/>
  <c r="AH662" i="2" s="1"/>
  <c r="AC662" i="2"/>
  <c r="AA662" i="2"/>
  <c r="Y662" i="2"/>
  <c r="X662" i="2"/>
  <c r="BJ850" i="2"/>
  <c r="BK850" i="2" s="1"/>
  <c r="AG850" i="2"/>
  <c r="AH850" i="2" s="1"/>
  <c r="AC850" i="2"/>
  <c r="AA850" i="2"/>
  <c r="Y850" i="2"/>
  <c r="X850" i="2"/>
  <c r="BJ48" i="2"/>
  <c r="BK48" i="2" s="1"/>
  <c r="AG48" i="2"/>
  <c r="AH48" i="2" s="1"/>
  <c r="AC48" i="2"/>
  <c r="AA48" i="2"/>
  <c r="Y48" i="2"/>
  <c r="X48" i="2"/>
  <c r="BJ567" i="2"/>
  <c r="BK567" i="2" s="1"/>
  <c r="AG567" i="2"/>
  <c r="AH567" i="2" s="1"/>
  <c r="AC567" i="2"/>
  <c r="AA567" i="2"/>
  <c r="Y567" i="2"/>
  <c r="X567" i="2"/>
  <c r="BJ995" i="2"/>
  <c r="BK995" i="2" s="1"/>
  <c r="AG995" i="2"/>
  <c r="AH995" i="2" s="1"/>
  <c r="AC995" i="2"/>
  <c r="AA995" i="2"/>
  <c r="Y995" i="2"/>
  <c r="X995" i="2"/>
  <c r="BJ1097" i="2"/>
  <c r="BK1097" i="2" s="1"/>
  <c r="AG1097" i="2"/>
  <c r="AH1097" i="2" s="1"/>
  <c r="AC1097" i="2"/>
  <c r="AA1097" i="2"/>
  <c r="Y1097" i="2"/>
  <c r="X1097" i="2"/>
  <c r="BJ448" i="2"/>
  <c r="BK448" i="2" s="1"/>
  <c r="AS448" i="2"/>
  <c r="AT448" i="2" s="1"/>
  <c r="AG448" i="2"/>
  <c r="AH448" i="2" s="1"/>
  <c r="AC448" i="2"/>
  <c r="Y448" i="2"/>
  <c r="X448" i="2"/>
  <c r="BJ590" i="2"/>
  <c r="BK590" i="2" s="1"/>
  <c r="BD590" i="2"/>
  <c r="AS590" i="2"/>
  <c r="AT590" i="2" s="1"/>
  <c r="AG590" i="2"/>
  <c r="AH590" i="2" s="1"/>
  <c r="AC590" i="2"/>
  <c r="Y590" i="2"/>
  <c r="X590" i="2"/>
  <c r="BJ549" i="2"/>
  <c r="BK549" i="2" s="1"/>
  <c r="BD549" i="2"/>
  <c r="AS549" i="2"/>
  <c r="AT549" i="2" s="1"/>
  <c r="AG549" i="2"/>
  <c r="AH549" i="2" s="1"/>
  <c r="AC549" i="2"/>
  <c r="Y549" i="2"/>
  <c r="X549" i="2"/>
  <c r="BJ626" i="2"/>
  <c r="BK626" i="2" s="1"/>
  <c r="BD626" i="2"/>
  <c r="AS626" i="2"/>
  <c r="AT626" i="2" s="1"/>
  <c r="AG626" i="2"/>
  <c r="AH626" i="2" s="1"/>
  <c r="AC626" i="2"/>
  <c r="Y626" i="2"/>
  <c r="X626" i="2"/>
  <c r="BJ550" i="2"/>
  <c r="BK550" i="2" s="1"/>
  <c r="BD550" i="2"/>
  <c r="AS550" i="2"/>
  <c r="AT550" i="2" s="1"/>
  <c r="AG550" i="2"/>
  <c r="AH550" i="2" s="1"/>
  <c r="AC550" i="2"/>
  <c r="Y550" i="2"/>
  <c r="X550" i="2"/>
  <c r="Z550" i="2" s="1"/>
  <c r="BJ680" i="2"/>
  <c r="BK680" i="2" s="1"/>
  <c r="BD680" i="2"/>
  <c r="AS680" i="2"/>
  <c r="AT680" i="2" s="1"/>
  <c r="AG680" i="2"/>
  <c r="AH680" i="2" s="1"/>
  <c r="AC680" i="2"/>
  <c r="Y680" i="2"/>
  <c r="X680" i="2"/>
  <c r="BJ657" i="2"/>
  <c r="BK657" i="2" s="1"/>
  <c r="BD657" i="2"/>
  <c r="AS657" i="2"/>
  <c r="AT657" i="2" s="1"/>
  <c r="AG657" i="2"/>
  <c r="AH657" i="2" s="1"/>
  <c r="AC657" i="2"/>
  <c r="Y657" i="2"/>
  <c r="X657" i="2"/>
  <c r="BJ886" i="2"/>
  <c r="BK886" i="2" s="1"/>
  <c r="BD886" i="2"/>
  <c r="AS886" i="2"/>
  <c r="AT886" i="2" s="1"/>
  <c r="AG886" i="2"/>
  <c r="AH886" i="2" s="1"/>
  <c r="AC886" i="2"/>
  <c r="Y886" i="2"/>
  <c r="X886" i="2"/>
  <c r="Z886" i="2" s="1"/>
  <c r="BJ786" i="2"/>
  <c r="BK786" i="2" s="1"/>
  <c r="BD786" i="2"/>
  <c r="AS786" i="2"/>
  <c r="AT786" i="2" s="1"/>
  <c r="AG786" i="2"/>
  <c r="AH786" i="2" s="1"/>
  <c r="AC786" i="2"/>
  <c r="Y786" i="2"/>
  <c r="X786" i="2"/>
  <c r="BJ516" i="2"/>
  <c r="BK516" i="2" s="1"/>
  <c r="BD516" i="2"/>
  <c r="AS516" i="2"/>
  <c r="AT516" i="2" s="1"/>
  <c r="AG516" i="2"/>
  <c r="AH516" i="2" s="1"/>
  <c r="AC516" i="2"/>
  <c r="Y516" i="2"/>
  <c r="X516" i="2"/>
  <c r="BJ673" i="2"/>
  <c r="BK673" i="2" s="1"/>
  <c r="BD673" i="2"/>
  <c r="AS673" i="2"/>
  <c r="AT673" i="2" s="1"/>
  <c r="AG673" i="2"/>
  <c r="AH673" i="2" s="1"/>
  <c r="AC673" i="2"/>
  <c r="Y673" i="2"/>
  <c r="X673" i="2"/>
  <c r="BJ631" i="2"/>
  <c r="BK631" i="2" s="1"/>
  <c r="BD631" i="2"/>
  <c r="AS631" i="2"/>
  <c r="AT631" i="2" s="1"/>
  <c r="AG631" i="2"/>
  <c r="AH631" i="2" s="1"/>
  <c r="AC631" i="2"/>
  <c r="Y631" i="2"/>
  <c r="X631" i="2"/>
  <c r="BJ428" i="2"/>
  <c r="BK428" i="2" s="1"/>
  <c r="BD428" i="2"/>
  <c r="AS428" i="2"/>
  <c r="AT428" i="2" s="1"/>
  <c r="AG428" i="2"/>
  <c r="AH428" i="2" s="1"/>
  <c r="AC428" i="2"/>
  <c r="Y428" i="2"/>
  <c r="X428" i="2"/>
  <c r="BJ517" i="2"/>
  <c r="BK517" i="2" s="1"/>
  <c r="BD517" i="2"/>
  <c r="AS517" i="2"/>
  <c r="AT517" i="2" s="1"/>
  <c r="AG517" i="2"/>
  <c r="AH517" i="2" s="1"/>
  <c r="AC517" i="2"/>
  <c r="Y517" i="2"/>
  <c r="X517" i="2"/>
  <c r="BJ632" i="2"/>
  <c r="BK632" i="2" s="1"/>
  <c r="BD632" i="2"/>
  <c r="AS632" i="2"/>
  <c r="AT632" i="2" s="1"/>
  <c r="AG632" i="2"/>
  <c r="AH632" i="2" s="1"/>
  <c r="AC632" i="2"/>
  <c r="Y632" i="2"/>
  <c r="X632" i="2"/>
  <c r="Z632" i="2" s="1"/>
  <c r="Q632" i="2" s="1"/>
  <c r="AE632" i="2" s="1"/>
  <c r="BJ746" i="2"/>
  <c r="BK746" i="2" s="1"/>
  <c r="BD746" i="2"/>
  <c r="AS746" i="2"/>
  <c r="AT746" i="2" s="1"/>
  <c r="AG746" i="2"/>
  <c r="AH746" i="2" s="1"/>
  <c r="AC746" i="2"/>
  <c r="Y746" i="2"/>
  <c r="X746" i="2"/>
  <c r="Z746" i="2" s="1"/>
  <c r="BJ864" i="2"/>
  <c r="BK864" i="2" s="1"/>
  <c r="BD864" i="2"/>
  <c r="AS864" i="2"/>
  <c r="AT864" i="2" s="1"/>
  <c r="AG864" i="2"/>
  <c r="AH864" i="2" s="1"/>
  <c r="AC864" i="2"/>
  <c r="Y864" i="2"/>
  <c r="X864" i="2"/>
  <c r="Z864" i="2" s="1"/>
  <c r="BJ889" i="2"/>
  <c r="BK889" i="2" s="1"/>
  <c r="AS889" i="2"/>
  <c r="AT889" i="2" s="1"/>
  <c r="AG889" i="2"/>
  <c r="AH889" i="2" s="1"/>
  <c r="AC889" i="2"/>
  <c r="Y889" i="2"/>
  <c r="X889" i="2"/>
  <c r="AU236" i="2"/>
  <c r="BJ236" i="2" s="1"/>
  <c r="BK236" i="2" s="1"/>
  <c r="AS236" i="2"/>
  <c r="AG236" i="2"/>
  <c r="AH236" i="2" s="1"/>
  <c r="AC236" i="2"/>
  <c r="AA236" i="2"/>
  <c r="Y236" i="2"/>
  <c r="X236" i="2"/>
  <c r="AU68" i="2"/>
  <c r="BJ68" i="2" s="1"/>
  <c r="BK68" i="2" s="1"/>
  <c r="AS68" i="2"/>
  <c r="AG68" i="2"/>
  <c r="AH68" i="2" s="1"/>
  <c r="AC68" i="2"/>
  <c r="AA68" i="2"/>
  <c r="Y68" i="2"/>
  <c r="X68" i="2"/>
  <c r="AU948" i="2"/>
  <c r="BJ948" i="2" s="1"/>
  <c r="BK948" i="2" s="1"/>
  <c r="AS948" i="2"/>
  <c r="AG948" i="2"/>
  <c r="AH948" i="2" s="1"/>
  <c r="AC948" i="2"/>
  <c r="AA948" i="2"/>
  <c r="Y948" i="2"/>
  <c r="X948" i="2"/>
  <c r="AU60" i="2"/>
  <c r="AS60" i="2"/>
  <c r="AG60" i="2"/>
  <c r="AH60" i="2" s="1"/>
  <c r="AC60" i="2"/>
  <c r="AA60" i="2"/>
  <c r="Y60" i="2"/>
  <c r="X60" i="2"/>
  <c r="AU745" i="2"/>
  <c r="BJ745" i="2" s="1"/>
  <c r="BK745" i="2" s="1"/>
  <c r="AS745" i="2"/>
  <c r="AG745" i="2"/>
  <c r="AH745" i="2" s="1"/>
  <c r="AC745" i="2"/>
  <c r="AA745" i="2"/>
  <c r="Y745" i="2"/>
  <c r="X745" i="2"/>
  <c r="AU490" i="2"/>
  <c r="BJ490" i="2" s="1"/>
  <c r="BK490" i="2" s="1"/>
  <c r="AS490" i="2"/>
  <c r="AG490" i="2"/>
  <c r="AH490" i="2" s="1"/>
  <c r="AC490" i="2"/>
  <c r="AA490" i="2"/>
  <c r="Y490" i="2"/>
  <c r="X490" i="2"/>
  <c r="AU736" i="2"/>
  <c r="BJ736" i="2" s="1"/>
  <c r="BK736" i="2" s="1"/>
  <c r="AS736" i="2"/>
  <c r="AG736" i="2"/>
  <c r="AH736" i="2" s="1"/>
  <c r="AC736" i="2"/>
  <c r="AA736" i="2"/>
  <c r="Y736" i="2"/>
  <c r="X736" i="2"/>
  <c r="BJ114" i="2"/>
  <c r="BK114" i="2" s="1"/>
  <c r="BD114" i="2"/>
  <c r="AS114" i="2"/>
  <c r="AT114" i="2" s="1"/>
  <c r="AG114" i="2"/>
  <c r="AH114" i="2" s="1"/>
  <c r="AC114" i="2"/>
  <c r="Y114" i="2"/>
  <c r="X114" i="2"/>
  <c r="Z114" i="2" s="1"/>
  <c r="BJ431" i="2"/>
  <c r="BK431" i="2" s="1"/>
  <c r="AG431" i="2"/>
  <c r="AH431" i="2" s="1"/>
  <c r="AC431" i="2"/>
  <c r="Y431" i="2"/>
  <c r="X431" i="2"/>
  <c r="BJ408" i="2"/>
  <c r="BK408" i="2" s="1"/>
  <c r="AG408" i="2"/>
  <c r="AH408" i="2" s="1"/>
  <c r="AC408" i="2"/>
  <c r="Y408" i="2"/>
  <c r="X408" i="2"/>
  <c r="BJ401" i="2"/>
  <c r="BK401" i="2" s="1"/>
  <c r="AG401" i="2"/>
  <c r="AH401" i="2" s="1"/>
  <c r="AC401" i="2"/>
  <c r="Y401" i="2"/>
  <c r="X401" i="2"/>
  <c r="BJ378" i="2"/>
  <c r="BK378" i="2" s="1"/>
  <c r="AG378" i="2"/>
  <c r="AH378" i="2" s="1"/>
  <c r="AC378" i="2"/>
  <c r="Y378" i="2"/>
  <c r="X378" i="2"/>
  <c r="BJ307" i="2"/>
  <c r="BK307" i="2" s="1"/>
  <c r="AG307" i="2"/>
  <c r="AH307" i="2" s="1"/>
  <c r="AC307" i="2"/>
  <c r="Y307" i="2"/>
  <c r="X307" i="2"/>
  <c r="BJ376" i="2"/>
  <c r="BK376" i="2" s="1"/>
  <c r="AG376" i="2"/>
  <c r="AH376" i="2" s="1"/>
  <c r="AC376" i="2"/>
  <c r="Y376" i="2"/>
  <c r="X376" i="2"/>
  <c r="BJ471" i="2"/>
  <c r="BK471" i="2" s="1"/>
  <c r="AG471" i="2"/>
  <c r="AH471" i="2" s="1"/>
  <c r="AC471" i="2"/>
  <c r="Y471" i="2"/>
  <c r="X471" i="2"/>
  <c r="BJ698" i="2"/>
  <c r="BK698" i="2" s="1"/>
  <c r="AG698" i="2"/>
  <c r="AH698" i="2" s="1"/>
  <c r="AC698" i="2"/>
  <c r="Y698" i="2"/>
  <c r="X698" i="2"/>
  <c r="BJ926" i="2"/>
  <c r="BK926" i="2" s="1"/>
  <c r="AG926" i="2"/>
  <c r="AH926" i="2" s="1"/>
  <c r="AC926" i="2"/>
  <c r="Y926" i="2"/>
  <c r="X926" i="2"/>
  <c r="BJ1121" i="2"/>
  <c r="BK1121" i="2" s="1"/>
  <c r="AG1121" i="2"/>
  <c r="AH1121" i="2" s="1"/>
  <c r="AC1121" i="2"/>
  <c r="Y1121" i="2"/>
  <c r="X1121" i="2"/>
  <c r="Z1121" i="2" s="1"/>
  <c r="BJ758" i="2"/>
  <c r="BK758" i="2" s="1"/>
  <c r="AG758" i="2"/>
  <c r="AH758" i="2" s="1"/>
  <c r="AC758" i="2"/>
  <c r="Y758" i="2"/>
  <c r="X758" i="2"/>
  <c r="BJ773" i="2"/>
  <c r="BK773" i="2" s="1"/>
  <c r="AG773" i="2"/>
  <c r="AH773" i="2" s="1"/>
  <c r="AC773" i="2"/>
  <c r="Y773" i="2"/>
  <c r="X773" i="2"/>
  <c r="BJ866" i="2"/>
  <c r="BK866" i="2" s="1"/>
  <c r="AG866" i="2"/>
  <c r="AH866" i="2" s="1"/>
  <c r="AC866" i="2"/>
  <c r="Y866" i="2"/>
  <c r="X866" i="2"/>
  <c r="BJ954" i="2"/>
  <c r="BK954" i="2" s="1"/>
  <c r="AG954" i="2"/>
  <c r="AH954" i="2" s="1"/>
  <c r="AC954" i="2"/>
  <c r="Y954" i="2"/>
  <c r="X954" i="2"/>
  <c r="BJ1062" i="2"/>
  <c r="BK1062" i="2" s="1"/>
  <c r="AG1062" i="2"/>
  <c r="AH1062" i="2" s="1"/>
  <c r="AC1062" i="2"/>
  <c r="Y1062" i="2"/>
  <c r="X1062" i="2"/>
  <c r="BJ1038" i="2"/>
  <c r="BK1038" i="2" s="1"/>
  <c r="AG1038" i="2"/>
  <c r="AH1038" i="2" s="1"/>
  <c r="AC1038" i="2"/>
  <c r="Y1038" i="2"/>
  <c r="X1038" i="2"/>
  <c r="BJ1060" i="2"/>
  <c r="BK1060" i="2" s="1"/>
  <c r="AG1060" i="2"/>
  <c r="AH1060" i="2" s="1"/>
  <c r="AC1060" i="2"/>
  <c r="Y1060" i="2"/>
  <c r="X1060" i="2"/>
  <c r="BJ1089" i="2"/>
  <c r="BK1089" i="2" s="1"/>
  <c r="AG1089" i="2"/>
  <c r="AH1089" i="2" s="1"/>
  <c r="AC1089" i="2"/>
  <c r="Y1089" i="2"/>
  <c r="X1089" i="2"/>
  <c r="BJ1133" i="2"/>
  <c r="BK1133" i="2" s="1"/>
  <c r="AG1133" i="2"/>
  <c r="AH1133" i="2" s="1"/>
  <c r="AC1133" i="2"/>
  <c r="Y1133" i="2"/>
  <c r="X1133" i="2"/>
  <c r="BJ417" i="2"/>
  <c r="BK417" i="2" s="1"/>
  <c r="AS417" i="2"/>
  <c r="AT417" i="2" s="1"/>
  <c r="AG417" i="2"/>
  <c r="AH417" i="2" s="1"/>
  <c r="AC417" i="2"/>
  <c r="X417" i="2"/>
  <c r="BJ1341" i="2"/>
  <c r="BK1341" i="2" s="1"/>
  <c r="AS1341" i="2"/>
  <c r="AT1341" i="2" s="1"/>
  <c r="AG1341" i="2"/>
  <c r="AH1341" i="2" s="1"/>
  <c r="AC1341" i="2"/>
  <c r="X1341" i="2"/>
  <c r="BJ1593" i="2"/>
  <c r="BK1593" i="2" s="1"/>
  <c r="AS1593" i="2"/>
  <c r="AT1593" i="2" s="1"/>
  <c r="AG1593" i="2"/>
  <c r="AH1593" i="2" s="1"/>
  <c r="AC1593" i="2"/>
  <c r="X1593" i="2"/>
  <c r="BJ1709" i="2"/>
  <c r="BK1709" i="2" s="1"/>
  <c r="AG1709" i="2"/>
  <c r="AH1709" i="2" s="1"/>
  <c r="AF1709" i="2"/>
  <c r="AC1709" i="2"/>
  <c r="Y1709" i="2"/>
  <c r="BJ1711" i="2"/>
  <c r="BK1711" i="2" s="1"/>
  <c r="AG1711" i="2"/>
  <c r="AH1711" i="2" s="1"/>
  <c r="AF1711" i="2"/>
  <c r="AC1711" i="2"/>
  <c r="Y1711" i="2"/>
  <c r="BJ1713" i="2"/>
  <c r="BK1713" i="2" s="1"/>
  <c r="AG1713" i="2"/>
  <c r="AH1713" i="2" s="1"/>
  <c r="AF1713" i="2"/>
  <c r="AC1713" i="2"/>
  <c r="Y1713" i="2"/>
  <c r="BJ1715" i="2"/>
  <c r="BK1715" i="2" s="1"/>
  <c r="AG1715" i="2"/>
  <c r="AH1715" i="2" s="1"/>
  <c r="AF1715" i="2"/>
  <c r="AC1715" i="2"/>
  <c r="Y1715" i="2"/>
  <c r="BJ1695" i="2"/>
  <c r="BK1695" i="2" s="1"/>
  <c r="AG1695" i="2"/>
  <c r="AH1695" i="2" s="1"/>
  <c r="AF1695" i="2"/>
  <c r="AC1695" i="2"/>
  <c r="Y1695" i="2"/>
  <c r="BJ1697" i="2"/>
  <c r="BK1697" i="2" s="1"/>
  <c r="AG1697" i="2"/>
  <c r="AH1697" i="2" s="1"/>
  <c r="AF1697" i="2"/>
  <c r="AC1697" i="2"/>
  <c r="Y1697" i="2"/>
  <c r="BJ1699" i="2"/>
  <c r="BK1699" i="2" s="1"/>
  <c r="AG1699" i="2"/>
  <c r="AH1699" i="2" s="1"/>
  <c r="AF1699" i="2"/>
  <c r="AC1699" i="2"/>
  <c r="Y1699" i="2"/>
  <c r="BJ1701" i="2"/>
  <c r="BK1701" i="2" s="1"/>
  <c r="AG1701" i="2"/>
  <c r="AH1701" i="2" s="1"/>
  <c r="AF1701" i="2"/>
  <c r="AC1701" i="2"/>
  <c r="Y1701" i="2"/>
  <c r="BJ987" i="2"/>
  <c r="BK987" i="2" s="1"/>
  <c r="AG987" i="2"/>
  <c r="AH987" i="2" s="1"/>
  <c r="AC987" i="2"/>
  <c r="Y987" i="2"/>
  <c r="X987" i="2"/>
  <c r="BJ1042" i="2"/>
  <c r="BK1042" i="2" s="1"/>
  <c r="AG1042" i="2"/>
  <c r="AH1042" i="2" s="1"/>
  <c r="AC1042" i="2"/>
  <c r="Y1042" i="2"/>
  <c r="X1042" i="2"/>
  <c r="BJ515" i="2"/>
  <c r="BK515" i="2" s="1"/>
  <c r="AG515" i="2"/>
  <c r="AH515" i="2" s="1"/>
  <c r="AC515" i="2"/>
  <c r="X515" i="2"/>
  <c r="BJ755" i="2"/>
  <c r="BK755" i="2" s="1"/>
  <c r="AG755" i="2"/>
  <c r="AH755" i="2" s="1"/>
  <c r="AC755" i="2"/>
  <c r="X755" i="2"/>
  <c r="N755" i="2" s="1"/>
  <c r="BJ303" i="2"/>
  <c r="BK303" i="2" s="1"/>
  <c r="AG303" i="2"/>
  <c r="AH303" i="2" s="1"/>
  <c r="AC303" i="2"/>
  <c r="X303" i="2"/>
  <c r="BJ311" i="2"/>
  <c r="BK311" i="2" s="1"/>
  <c r="AG311" i="2"/>
  <c r="AH311" i="2" s="1"/>
  <c r="AC311" i="2"/>
  <c r="X311" i="2"/>
  <c r="N311" i="2" s="1"/>
  <c r="BJ190" i="2"/>
  <c r="BK190" i="2" s="1"/>
  <c r="BD190" i="2"/>
  <c r="AG190" i="2"/>
  <c r="AH190" i="2" s="1"/>
  <c r="AC190" i="2"/>
  <c r="Y190" i="2"/>
  <c r="X190" i="2"/>
  <c r="BJ893" i="2"/>
  <c r="BK893" i="2" s="1"/>
  <c r="BD893" i="2"/>
  <c r="AG893" i="2"/>
  <c r="AH893" i="2" s="1"/>
  <c r="AC893" i="2"/>
  <c r="Y893" i="2"/>
  <c r="X893" i="2"/>
  <c r="BJ1208" i="2"/>
  <c r="BK1208" i="2" s="1"/>
  <c r="BD1208" i="2"/>
  <c r="AG1208" i="2"/>
  <c r="AH1208" i="2" s="1"/>
  <c r="AC1208" i="2"/>
  <c r="Y1208" i="2"/>
  <c r="X1208" i="2"/>
  <c r="BJ120" i="2"/>
  <c r="BK120" i="2" s="1"/>
  <c r="BD120" i="2"/>
  <c r="AG120" i="2"/>
  <c r="AH120" i="2" s="1"/>
  <c r="AC120" i="2"/>
  <c r="Y120" i="2"/>
  <c r="X120" i="2"/>
  <c r="BJ399" i="2"/>
  <c r="BK399" i="2" s="1"/>
  <c r="BD399" i="2"/>
  <c r="AG399" i="2"/>
  <c r="AH399" i="2" s="1"/>
  <c r="AC399" i="2"/>
  <c r="Y399" i="2"/>
  <c r="X399" i="2"/>
  <c r="BJ869" i="2"/>
  <c r="BK869" i="2" s="1"/>
  <c r="BD869" i="2"/>
  <c r="AG869" i="2"/>
  <c r="AH869" i="2" s="1"/>
  <c r="AC869" i="2"/>
  <c r="Y869" i="2"/>
  <c r="X869" i="2"/>
  <c r="BJ1317" i="2"/>
  <c r="BK1317" i="2" s="1"/>
  <c r="BD1317" i="2"/>
  <c r="AG1317" i="2"/>
  <c r="AH1317" i="2" s="1"/>
  <c r="AC1317" i="2"/>
  <c r="Y1317" i="2"/>
  <c r="X1317" i="2"/>
  <c r="BJ1336" i="2"/>
  <c r="BK1336" i="2" s="1"/>
  <c r="BD1336" i="2"/>
  <c r="AG1336" i="2"/>
  <c r="AH1336" i="2" s="1"/>
  <c r="AC1336" i="2"/>
  <c r="Y1336" i="2"/>
  <c r="X1336" i="2"/>
  <c r="BJ1033" i="2"/>
  <c r="BK1033" i="2" s="1"/>
  <c r="BD1033" i="2"/>
  <c r="AG1033" i="2"/>
  <c r="AH1033" i="2" s="1"/>
  <c r="AC1033" i="2"/>
  <c r="Y1033" i="2"/>
  <c r="X1033" i="2"/>
  <c r="Z1033" i="2" s="1"/>
  <c r="BJ1276" i="2"/>
  <c r="BK1276" i="2" s="1"/>
  <c r="BD1276" i="2"/>
  <c r="AG1276" i="2"/>
  <c r="AH1276" i="2" s="1"/>
  <c r="AC1276" i="2"/>
  <c r="Y1276" i="2"/>
  <c r="X1276" i="2"/>
  <c r="BJ1292" i="2"/>
  <c r="BK1292" i="2" s="1"/>
  <c r="BD1292" i="2"/>
  <c r="AG1292" i="2"/>
  <c r="AH1292" i="2" s="1"/>
  <c r="AC1292" i="2"/>
  <c r="Y1292" i="2"/>
  <c r="X1292" i="2"/>
  <c r="BJ1369" i="2"/>
  <c r="BK1369" i="2" s="1"/>
  <c r="BD1369" i="2"/>
  <c r="AG1369" i="2"/>
  <c r="AH1369" i="2" s="1"/>
  <c r="AC1369" i="2"/>
  <c r="Y1369" i="2"/>
  <c r="X1369" i="2"/>
  <c r="BJ1390" i="2"/>
  <c r="BK1390" i="2" s="1"/>
  <c r="BD1390" i="2"/>
  <c r="AG1390" i="2"/>
  <c r="AH1390" i="2" s="1"/>
  <c r="AC1390" i="2"/>
  <c r="Y1390" i="2"/>
  <c r="X1390" i="2"/>
  <c r="BJ1443" i="2"/>
  <c r="BK1443" i="2" s="1"/>
  <c r="BD1443" i="2"/>
  <c r="AG1443" i="2"/>
  <c r="AH1443" i="2" s="1"/>
  <c r="AC1443" i="2"/>
  <c r="Y1443" i="2"/>
  <c r="X1443" i="2"/>
  <c r="Z1443" i="2" s="1"/>
  <c r="BJ1490" i="2"/>
  <c r="BK1490" i="2" s="1"/>
  <c r="BD1490" i="2"/>
  <c r="AG1490" i="2"/>
  <c r="AH1490" i="2" s="1"/>
  <c r="AC1490" i="2"/>
  <c r="Y1490" i="2"/>
  <c r="X1490" i="2"/>
  <c r="BJ1527" i="2"/>
  <c r="BK1527" i="2" s="1"/>
  <c r="BD1527" i="2"/>
  <c r="AG1527" i="2"/>
  <c r="AH1527" i="2" s="1"/>
  <c r="AC1527" i="2"/>
  <c r="Y1527" i="2"/>
  <c r="X1527" i="2"/>
  <c r="BJ1602" i="2"/>
  <c r="BK1602" i="2" s="1"/>
  <c r="BD1602" i="2"/>
  <c r="AG1602" i="2"/>
  <c r="AH1602" i="2" s="1"/>
  <c r="AC1602" i="2"/>
  <c r="Y1602" i="2"/>
  <c r="X1602" i="2"/>
  <c r="BJ1594" i="2"/>
  <c r="BK1594" i="2" s="1"/>
  <c r="BD1594" i="2"/>
  <c r="AG1594" i="2"/>
  <c r="AH1594" i="2" s="1"/>
  <c r="AC1594" i="2"/>
  <c r="Y1594" i="2"/>
  <c r="X1594" i="2"/>
  <c r="BJ339" i="2"/>
  <c r="BK339" i="2" s="1"/>
  <c r="BF339" i="2"/>
  <c r="BD339" i="2"/>
  <c r="AG339" i="2"/>
  <c r="AH339" i="2" s="1"/>
  <c r="AC339" i="2"/>
  <c r="Y339" i="2"/>
  <c r="X339" i="2"/>
  <c r="BJ675" i="2"/>
  <c r="BK675" i="2" s="1"/>
  <c r="BF675" i="2"/>
  <c r="BD675" i="2"/>
  <c r="AG675" i="2"/>
  <c r="AH675" i="2" s="1"/>
  <c r="AC675" i="2"/>
  <c r="Y675" i="2"/>
  <c r="X675" i="2"/>
  <c r="BJ771" i="2"/>
  <c r="BK771" i="2" s="1"/>
  <c r="BF771" i="2"/>
  <c r="BD771" i="2"/>
  <c r="AG771" i="2"/>
  <c r="AH771" i="2" s="1"/>
  <c r="AC771" i="2"/>
  <c r="Y771" i="2"/>
  <c r="X771" i="2"/>
  <c r="BJ1122" i="2"/>
  <c r="BK1122" i="2" s="1"/>
  <c r="BF1122" i="2"/>
  <c r="BD1122" i="2"/>
  <c r="AC1122" i="2"/>
  <c r="Y1122" i="2"/>
  <c r="X1122" i="2"/>
  <c r="BJ344" i="2"/>
  <c r="BK344" i="2" s="1"/>
  <c r="BF344" i="2"/>
  <c r="BD344" i="2"/>
  <c r="AG344" i="2"/>
  <c r="AH344" i="2" s="1"/>
  <c r="AC344" i="2"/>
  <c r="Y344" i="2"/>
  <c r="X344" i="2"/>
  <c r="BJ574" i="2"/>
  <c r="BK574" i="2" s="1"/>
  <c r="BF574" i="2"/>
  <c r="BD574" i="2"/>
  <c r="AG574" i="2"/>
  <c r="AH574" i="2" s="1"/>
  <c r="AC574" i="2"/>
  <c r="Y574" i="2"/>
  <c r="X574" i="2"/>
  <c r="BJ1006" i="2"/>
  <c r="BK1006" i="2" s="1"/>
  <c r="BF1006" i="2"/>
  <c r="BD1006" i="2"/>
  <c r="AG1006" i="2"/>
  <c r="AH1006" i="2" s="1"/>
  <c r="AC1006" i="2"/>
  <c r="Y1006" i="2"/>
  <c r="X1006" i="2"/>
  <c r="Z1006" i="2" s="1"/>
  <c r="BJ1251" i="2"/>
  <c r="BK1251" i="2" s="1"/>
  <c r="BF1251" i="2"/>
  <c r="BD1251" i="2"/>
  <c r="AG1251" i="2"/>
  <c r="AH1251" i="2" s="1"/>
  <c r="AC1251" i="2"/>
  <c r="Y1251" i="2"/>
  <c r="X1251" i="2"/>
  <c r="BJ1429" i="2"/>
  <c r="BK1429" i="2" s="1"/>
  <c r="BF1429" i="2"/>
  <c r="BD1429" i="2"/>
  <c r="AG1429" i="2"/>
  <c r="AH1429" i="2" s="1"/>
  <c r="AC1429" i="2"/>
  <c r="Y1429" i="2"/>
  <c r="X1429" i="2"/>
  <c r="BJ713" i="2"/>
  <c r="BK713" i="2" s="1"/>
  <c r="BF713" i="2"/>
  <c r="BD713" i="2"/>
  <c r="AG713" i="2"/>
  <c r="AH713" i="2" s="1"/>
  <c r="AC713" i="2"/>
  <c r="Y713" i="2"/>
  <c r="X713" i="2"/>
  <c r="BJ946" i="2"/>
  <c r="BK946" i="2" s="1"/>
  <c r="BF946" i="2"/>
  <c r="BD946" i="2"/>
  <c r="AG946" i="2"/>
  <c r="AH946" i="2" s="1"/>
  <c r="AC946" i="2"/>
  <c r="Y946" i="2"/>
  <c r="X946" i="2"/>
  <c r="BJ1205" i="2"/>
  <c r="BK1205" i="2" s="1"/>
  <c r="BF1205" i="2"/>
  <c r="BD1205" i="2"/>
  <c r="AG1205" i="2"/>
  <c r="AH1205" i="2" s="1"/>
  <c r="AC1205" i="2"/>
  <c r="Y1205" i="2"/>
  <c r="X1205" i="2"/>
  <c r="BJ1259" i="2"/>
  <c r="BK1259" i="2" s="1"/>
  <c r="BF1259" i="2"/>
  <c r="BD1259" i="2"/>
  <c r="AG1259" i="2"/>
  <c r="AH1259" i="2" s="1"/>
  <c r="AC1259" i="2"/>
  <c r="Y1259" i="2"/>
  <c r="X1259" i="2"/>
  <c r="BJ1307" i="2"/>
  <c r="BK1307" i="2" s="1"/>
  <c r="BF1307" i="2"/>
  <c r="BD1307" i="2"/>
  <c r="AG1307" i="2"/>
  <c r="AH1307" i="2" s="1"/>
  <c r="AC1307" i="2"/>
  <c r="Y1307" i="2"/>
  <c r="X1307" i="2"/>
  <c r="BJ645" i="2"/>
  <c r="BK645" i="2" s="1"/>
  <c r="BF645" i="2"/>
  <c r="BD645" i="2"/>
  <c r="AG645" i="2"/>
  <c r="AH645" i="2" s="1"/>
  <c r="AC645" i="2"/>
  <c r="Y645" i="2"/>
  <c r="X645" i="2"/>
  <c r="BJ726" i="2"/>
  <c r="BK726" i="2" s="1"/>
  <c r="BF726" i="2"/>
  <c r="BD726" i="2"/>
  <c r="AG726" i="2"/>
  <c r="AH726" i="2" s="1"/>
  <c r="AC726" i="2"/>
  <c r="Y726" i="2"/>
  <c r="X726" i="2"/>
  <c r="Z726" i="2" s="1"/>
  <c r="BJ980" i="2"/>
  <c r="BK980" i="2" s="1"/>
  <c r="BF980" i="2"/>
  <c r="BD980" i="2"/>
  <c r="AG980" i="2"/>
  <c r="AH980" i="2" s="1"/>
  <c r="AC980" i="2"/>
  <c r="Y980" i="2"/>
  <c r="X980" i="2"/>
  <c r="BJ92" i="2"/>
  <c r="BK92" i="2" s="1"/>
  <c r="AS92" i="2"/>
  <c r="AT92" i="2" s="1"/>
  <c r="AG92" i="2"/>
  <c r="AH92" i="2" s="1"/>
  <c r="AC92" i="2"/>
  <c r="Y92" i="2"/>
  <c r="X92" i="2"/>
  <c r="H92" i="2"/>
  <c r="BJ86" i="2"/>
  <c r="BK86" i="2" s="1"/>
  <c r="AS86" i="2"/>
  <c r="AT86" i="2" s="1"/>
  <c r="AG86" i="2"/>
  <c r="AH86" i="2" s="1"/>
  <c r="AC86" i="2"/>
  <c r="Y86" i="2"/>
  <c r="X86" i="2"/>
  <c r="H86" i="2"/>
  <c r="BJ20" i="2"/>
  <c r="BK20" i="2" s="1"/>
  <c r="AS20" i="2"/>
  <c r="AT20" i="2" s="1"/>
  <c r="AG20" i="2"/>
  <c r="AH20" i="2" s="1"/>
  <c r="AC20" i="2"/>
  <c r="Y20" i="2"/>
  <c r="X20" i="2"/>
  <c r="H20" i="2"/>
  <c r="BJ45" i="2"/>
  <c r="BK45" i="2" s="1"/>
  <c r="AS45" i="2"/>
  <c r="AT45" i="2" s="1"/>
  <c r="AG45" i="2"/>
  <c r="AH45" i="2" s="1"/>
  <c r="AC45" i="2"/>
  <c r="Y45" i="2"/>
  <c r="X45" i="2"/>
  <c r="H45" i="2"/>
  <c r="BJ77" i="2"/>
  <c r="BK77" i="2" s="1"/>
  <c r="AS77" i="2"/>
  <c r="AT77" i="2" s="1"/>
  <c r="AG77" i="2"/>
  <c r="AH77" i="2" s="1"/>
  <c r="AC77" i="2"/>
  <c r="Y77" i="2"/>
  <c r="X77" i="2"/>
  <c r="H77" i="2"/>
  <c r="BJ216" i="2"/>
  <c r="BK216" i="2" s="1"/>
  <c r="AS216" i="2"/>
  <c r="AT216" i="2" s="1"/>
  <c r="AG216" i="2"/>
  <c r="AH216" i="2" s="1"/>
  <c r="AC216" i="2"/>
  <c r="Y216" i="2"/>
  <c r="X216" i="2"/>
  <c r="H216" i="2"/>
  <c r="BJ393" i="2"/>
  <c r="BK393" i="2" s="1"/>
  <c r="AS393" i="2"/>
  <c r="AT393" i="2" s="1"/>
  <c r="AG393" i="2"/>
  <c r="AH393" i="2" s="1"/>
  <c r="AC393" i="2"/>
  <c r="Y393" i="2"/>
  <c r="X393" i="2"/>
  <c r="H393" i="2"/>
  <c r="BJ533" i="2"/>
  <c r="BK533" i="2" s="1"/>
  <c r="AP533" i="2"/>
  <c r="AG533" i="2"/>
  <c r="AH533" i="2" s="1"/>
  <c r="AC533" i="2"/>
  <c r="Y533" i="2"/>
  <c r="U533" i="2"/>
  <c r="X533" i="2" s="1"/>
  <c r="H533" i="2"/>
  <c r="BJ544" i="2"/>
  <c r="BK544" i="2" s="1"/>
  <c r="AP544" i="2"/>
  <c r="AG544" i="2"/>
  <c r="AH544" i="2" s="1"/>
  <c r="AC544" i="2"/>
  <c r="Y544" i="2"/>
  <c r="U544" i="2"/>
  <c r="X544" i="2" s="1"/>
  <c r="H544" i="2"/>
  <c r="BJ572" i="2"/>
  <c r="BK572" i="2" s="1"/>
  <c r="AP572" i="2"/>
  <c r="AG572" i="2"/>
  <c r="AH572" i="2" s="1"/>
  <c r="AC572" i="2"/>
  <c r="Y572" i="2"/>
  <c r="U572" i="2"/>
  <c r="X572" i="2" s="1"/>
  <c r="H572" i="2"/>
  <c r="BJ591" i="2"/>
  <c r="BK591" i="2" s="1"/>
  <c r="AP591" i="2"/>
  <c r="AG591" i="2"/>
  <c r="AH591" i="2" s="1"/>
  <c r="AC591" i="2"/>
  <c r="Y591" i="2"/>
  <c r="U591" i="2"/>
  <c r="X591" i="2" s="1"/>
  <c r="H591" i="2"/>
  <c r="BJ655" i="2"/>
  <c r="BK655" i="2" s="1"/>
  <c r="AP655" i="2"/>
  <c r="AG655" i="2"/>
  <c r="AH655" i="2" s="1"/>
  <c r="AC655" i="2"/>
  <c r="Y655" i="2"/>
  <c r="U655" i="2"/>
  <c r="X655" i="2" s="1"/>
  <c r="H655" i="2"/>
  <c r="BJ700" i="2"/>
  <c r="BK700" i="2" s="1"/>
  <c r="AP700" i="2"/>
  <c r="AG700" i="2"/>
  <c r="AH700" i="2" s="1"/>
  <c r="AC700" i="2"/>
  <c r="Y700" i="2"/>
  <c r="U700" i="2"/>
  <c r="X700" i="2" s="1"/>
  <c r="H700" i="2"/>
  <c r="BJ787" i="2"/>
  <c r="BK787" i="2" s="1"/>
  <c r="AP787" i="2"/>
  <c r="AG787" i="2"/>
  <c r="AH787" i="2" s="1"/>
  <c r="AC787" i="2"/>
  <c r="Y787" i="2"/>
  <c r="U787" i="2"/>
  <c r="X787" i="2" s="1"/>
  <c r="H787" i="2"/>
  <c r="BJ880" i="2"/>
  <c r="BK880" i="2" s="1"/>
  <c r="AP880" i="2"/>
  <c r="AG880" i="2"/>
  <c r="AH880" i="2" s="1"/>
  <c r="AC880" i="2"/>
  <c r="Y880" i="2"/>
  <c r="U880" i="2"/>
  <c r="X880" i="2" s="1"/>
  <c r="H880" i="2"/>
  <c r="BJ1072" i="2"/>
  <c r="BK1072" i="2" s="1"/>
  <c r="AP1072" i="2"/>
  <c r="AG1072" i="2"/>
  <c r="AH1072" i="2" s="1"/>
  <c r="AC1072" i="2"/>
  <c r="Y1072" i="2"/>
  <c r="U1072" i="2"/>
  <c r="X1072" i="2" s="1"/>
  <c r="H1072" i="2"/>
  <c r="BJ1140" i="2"/>
  <c r="BK1140" i="2" s="1"/>
  <c r="AP1140" i="2"/>
  <c r="AG1140" i="2"/>
  <c r="AH1140" i="2" s="1"/>
  <c r="AC1140" i="2"/>
  <c r="Y1140" i="2"/>
  <c r="U1140" i="2"/>
  <c r="X1140" i="2" s="1"/>
  <c r="Z1140" i="2" s="1"/>
  <c r="H1140" i="2"/>
  <c r="BJ1188" i="2"/>
  <c r="BK1188" i="2" s="1"/>
  <c r="AP1188" i="2"/>
  <c r="AG1188" i="2"/>
  <c r="AH1188" i="2" s="1"/>
  <c r="AC1188" i="2"/>
  <c r="Y1188" i="2"/>
  <c r="U1188" i="2"/>
  <c r="X1188" i="2" s="1"/>
  <c r="H1188" i="2"/>
  <c r="BJ1218" i="2"/>
  <c r="BK1218" i="2" s="1"/>
  <c r="AP1218" i="2"/>
  <c r="AG1218" i="2"/>
  <c r="AH1218" i="2" s="1"/>
  <c r="AC1218" i="2"/>
  <c r="Y1218" i="2"/>
  <c r="U1218" i="2"/>
  <c r="X1218" i="2" s="1"/>
  <c r="Z1218" i="2" s="1"/>
  <c r="H1218" i="2"/>
  <c r="BJ1182" i="2"/>
  <c r="BK1182" i="2" s="1"/>
  <c r="AP1182" i="2"/>
  <c r="AG1182" i="2"/>
  <c r="AH1182" i="2" s="1"/>
  <c r="AC1182" i="2"/>
  <c r="Y1182" i="2"/>
  <c r="U1182" i="2"/>
  <c r="X1182" i="2" s="1"/>
  <c r="H1182" i="2"/>
  <c r="BJ1195" i="2"/>
  <c r="BK1195" i="2" s="1"/>
  <c r="AP1195" i="2"/>
  <c r="AG1195" i="2"/>
  <c r="AH1195" i="2" s="1"/>
  <c r="AC1195" i="2"/>
  <c r="Y1195" i="2"/>
  <c r="U1195" i="2"/>
  <c r="X1195" i="2" s="1"/>
  <c r="H1195" i="2"/>
  <c r="BJ1246" i="2"/>
  <c r="BK1246" i="2" s="1"/>
  <c r="AP1246" i="2"/>
  <c r="AG1246" i="2"/>
  <c r="AH1246" i="2" s="1"/>
  <c r="AC1246" i="2"/>
  <c r="Y1246" i="2"/>
  <c r="U1246" i="2"/>
  <c r="X1246" i="2" s="1"/>
  <c r="H1246" i="2"/>
  <c r="BJ1295" i="2"/>
  <c r="BK1295" i="2" s="1"/>
  <c r="AP1295" i="2"/>
  <c r="AG1295" i="2"/>
  <c r="AH1295" i="2" s="1"/>
  <c r="AC1295" i="2"/>
  <c r="Y1295" i="2"/>
  <c r="U1295" i="2"/>
  <c r="X1295" i="2" s="1"/>
  <c r="H1295" i="2"/>
  <c r="BJ1242" i="2"/>
  <c r="BK1242" i="2" s="1"/>
  <c r="AP1242" i="2"/>
  <c r="AC1242" i="2"/>
  <c r="Y1242" i="2"/>
  <c r="U1242" i="2"/>
  <c r="X1242" i="2" s="1"/>
  <c r="H1242" i="2"/>
  <c r="BJ1263" i="2"/>
  <c r="BK1263" i="2" s="1"/>
  <c r="AP1263" i="2"/>
  <c r="AG1263" i="2"/>
  <c r="AH1263" i="2" s="1"/>
  <c r="AC1263" i="2"/>
  <c r="Y1263" i="2"/>
  <c r="U1263" i="2"/>
  <c r="X1263" i="2" s="1"/>
  <c r="H1263" i="2"/>
  <c r="BJ1286" i="2"/>
  <c r="BK1286" i="2" s="1"/>
  <c r="AP1286" i="2"/>
  <c r="AG1286" i="2"/>
  <c r="AH1286" i="2" s="1"/>
  <c r="AC1286" i="2"/>
  <c r="Y1286" i="2"/>
  <c r="U1286" i="2"/>
  <c r="X1286" i="2" s="1"/>
  <c r="H1286" i="2"/>
  <c r="BJ1291" i="2"/>
  <c r="BK1291" i="2" s="1"/>
  <c r="AP1291" i="2"/>
  <c r="AG1291" i="2"/>
  <c r="AH1291" i="2" s="1"/>
  <c r="AC1291" i="2"/>
  <c r="Y1291" i="2"/>
  <c r="U1291" i="2"/>
  <c r="X1291" i="2" s="1"/>
  <c r="Z1291" i="2" s="1"/>
  <c r="H1291" i="2"/>
  <c r="N7" i="2" l="1"/>
  <c r="BJ692" i="2"/>
  <c r="BK692" i="2" s="1"/>
  <c r="N576" i="2"/>
  <c r="N937" i="2"/>
  <c r="AB798" i="2"/>
  <c r="AD798" i="2" s="1"/>
  <c r="AB692" i="2"/>
  <c r="AD692" i="2" s="1"/>
  <c r="BJ1046" i="2"/>
  <c r="BK1046" i="2" s="1"/>
  <c r="BJ1184" i="2"/>
  <c r="BK1184" i="2" s="1"/>
  <c r="W888" i="2"/>
  <c r="AT315" i="2"/>
  <c r="AT937" i="2"/>
  <c r="N1043" i="2"/>
  <c r="AB731" i="2"/>
  <c r="AD731" i="2" s="1"/>
  <c r="Z798" i="2"/>
  <c r="N514" i="2"/>
  <c r="BJ731" i="2"/>
  <c r="BK731" i="2" s="1"/>
  <c r="AB784" i="2"/>
  <c r="AD784" i="2" s="1"/>
  <c r="AB1447" i="2"/>
  <c r="AD1447" i="2" s="1"/>
  <c r="Z1046" i="2"/>
  <c r="AB888" i="2"/>
  <c r="AD888" i="2" s="1"/>
  <c r="Z1184" i="2"/>
  <c r="AT798" i="2"/>
  <c r="BJ1447" i="2"/>
  <c r="BK1447" i="2" s="1"/>
  <c r="Z1447" i="2"/>
  <c r="AB514" i="2"/>
  <c r="AD514" i="2" s="1"/>
  <c r="Z692" i="2"/>
  <c r="Q692" i="2" s="1"/>
  <c r="P692" i="2" s="1"/>
  <c r="AC692" i="2" s="1"/>
  <c r="N691" i="2"/>
  <c r="AB691" i="2"/>
  <c r="AD691" i="2" s="1"/>
  <c r="N692" i="2"/>
  <c r="N731" i="2"/>
  <c r="N784" i="2"/>
  <c r="Z315" i="2"/>
  <c r="Q315" i="2" s="1"/>
  <c r="P315" i="2" s="1"/>
  <c r="AG315" i="2" s="1"/>
  <c r="AH315" i="2" s="1"/>
  <c r="AB1046" i="2"/>
  <c r="AD1046" i="2" s="1"/>
  <c r="AB576" i="2"/>
  <c r="AD576" i="2" s="1"/>
  <c r="Z514" i="2"/>
  <c r="AB1184" i="2"/>
  <c r="AD1184" i="2" s="1"/>
  <c r="BJ691" i="2"/>
  <c r="W691" i="2"/>
  <c r="N798" i="2"/>
  <c r="W798" i="2"/>
  <c r="N1046" i="2"/>
  <c r="Q691" i="2"/>
  <c r="N1184" i="2"/>
  <c r="N1447" i="2"/>
  <c r="W937" i="2"/>
  <c r="AB937" i="2"/>
  <c r="AD937" i="2" s="1"/>
  <c r="W576" i="2"/>
  <c r="W1043" i="2"/>
  <c r="Z731" i="2"/>
  <c r="W692" i="2"/>
  <c r="Z937" i="2"/>
  <c r="AB1043" i="2"/>
  <c r="AD1043" i="2" s="1"/>
  <c r="BJ1043" i="2"/>
  <c r="BK1043" i="2" s="1"/>
  <c r="N315" i="2"/>
  <c r="W784" i="2"/>
  <c r="Z576" i="2"/>
  <c r="AB315" i="2"/>
  <c r="AD315" i="2" s="1"/>
  <c r="Q641" i="2"/>
  <c r="AE641" i="2" s="1"/>
  <c r="BO641" i="2" s="1"/>
  <c r="BM641" i="2" s="1"/>
  <c r="AB738" i="2"/>
  <c r="AD738" i="2" s="1"/>
  <c r="AT514" i="2"/>
  <c r="AT784" i="2"/>
  <c r="BJ784" i="2"/>
  <c r="BK784" i="2" s="1"/>
  <c r="BK888" i="2"/>
  <c r="BJ576" i="2"/>
  <c r="BK315" i="2"/>
  <c r="AT888" i="2"/>
  <c r="P1043" i="2"/>
  <c r="AE1043" i="2"/>
  <c r="Q784" i="2"/>
  <c r="Q888" i="2"/>
  <c r="AE888" i="2" s="1"/>
  <c r="BO888" i="2" s="1"/>
  <c r="BM888" i="2" s="1"/>
  <c r="N888" i="2"/>
  <c r="Q1296" i="2"/>
  <c r="Q1183" i="2"/>
  <c r="Q856" i="2"/>
  <c r="AB807" i="2"/>
  <c r="AD807" i="2" s="1"/>
  <c r="Q905" i="2"/>
  <c r="N263" i="2"/>
  <c r="M263" i="2" s="1"/>
  <c r="AG263" i="2" s="1"/>
  <c r="AH263" i="2" s="1"/>
  <c r="N1692" i="2"/>
  <c r="M1692" i="2" s="1"/>
  <c r="AG1692" i="2" s="1"/>
  <c r="AH1692" i="2" s="1"/>
  <c r="N1684" i="2"/>
  <c r="M1684" i="2" s="1"/>
  <c r="AG1684" i="2" s="1"/>
  <c r="AH1684" i="2" s="1"/>
  <c r="N1055" i="2"/>
  <c r="M1055" i="2" s="1"/>
  <c r="AB1055" i="2" s="1"/>
  <c r="AD1055" i="2" s="1"/>
  <c r="N762" i="2"/>
  <c r="M762" i="2" s="1"/>
  <c r="AC762" i="2" s="1"/>
  <c r="Z762" i="2"/>
  <c r="N1217" i="2"/>
  <c r="M1217" i="2" s="1"/>
  <c r="AB1217" i="2" s="1"/>
  <c r="AD1217" i="2" s="1"/>
  <c r="N309" i="2"/>
  <c r="M309" i="2" s="1"/>
  <c r="AB309" i="2" s="1"/>
  <c r="AD309" i="2" s="1"/>
  <c r="N1019" i="2"/>
  <c r="M1019" i="2" s="1"/>
  <c r="AG1019" i="2" s="1"/>
  <c r="AH1019" i="2" s="1"/>
  <c r="N985" i="2"/>
  <c r="M985" i="2" s="1"/>
  <c r="AB985" i="2" s="1"/>
  <c r="AD985" i="2" s="1"/>
  <c r="Q1207" i="2"/>
  <c r="N1083" i="2"/>
  <c r="M1083" i="2" s="1"/>
  <c r="AC1083" i="2" s="1"/>
  <c r="N912" i="2"/>
  <c r="M912" i="2" s="1"/>
  <c r="AC912" i="2" s="1"/>
  <c r="Q263" i="2"/>
  <c r="N775" i="2"/>
  <c r="M775" i="2" s="1"/>
  <c r="AC775" i="2" s="1"/>
  <c r="N905" i="2"/>
  <c r="M905" i="2" s="1"/>
  <c r="AG905" i="2" s="1"/>
  <c r="AH905" i="2" s="1"/>
  <c r="N1179" i="2"/>
  <c r="M1179" i="2" s="1"/>
  <c r="AG1179" i="2" s="1"/>
  <c r="AH1179" i="2" s="1"/>
  <c r="Z985" i="2"/>
  <c r="N1690" i="2"/>
  <c r="M1690" i="2" s="1"/>
  <c r="AC1690" i="2" s="1"/>
  <c r="N1689" i="2"/>
  <c r="M1689" i="2" s="1"/>
  <c r="Z1689" i="2" s="1"/>
  <c r="Q1680" i="2"/>
  <c r="N1274" i="2"/>
  <c r="M1274" i="2" s="1"/>
  <c r="AC1274" i="2" s="1"/>
  <c r="Z1019" i="2"/>
  <c r="N856" i="2"/>
  <c r="M856" i="2" s="1"/>
  <c r="AB856" i="2" s="1"/>
  <c r="AD856" i="2" s="1"/>
  <c r="Q1274" i="2"/>
  <c r="Q309" i="2"/>
  <c r="Q1055" i="2"/>
  <c r="Q775" i="2"/>
  <c r="Q1179" i="2"/>
  <c r="Z1083" i="2"/>
  <c r="Q1284" i="2"/>
  <c r="Z912" i="2"/>
  <c r="AB882" i="2"/>
  <c r="AD882" i="2" s="1"/>
  <c r="Q1215" i="2"/>
  <c r="Q762" i="2"/>
  <c r="N1663" i="2"/>
  <c r="M1663" i="2" s="1"/>
  <c r="AG1663" i="2" s="1"/>
  <c r="AH1663" i="2" s="1"/>
  <c r="Q1675" i="2"/>
  <c r="Q1667" i="2"/>
  <c r="N1284" i="2"/>
  <c r="M1284" i="2" s="1"/>
  <c r="Q1019" i="2"/>
  <c r="Q985" i="2"/>
  <c r="Q1289" i="2"/>
  <c r="Q1174" i="2"/>
  <c r="N1674" i="2"/>
  <c r="M1674" i="2" s="1"/>
  <c r="AG1674" i="2" s="1"/>
  <c r="AH1674" i="2" s="1"/>
  <c r="N807" i="2"/>
  <c r="Q1083" i="2"/>
  <c r="Q912" i="2"/>
  <c r="Q1225" i="2"/>
  <c r="N1215" i="2"/>
  <c r="M1215" i="2" s="1"/>
  <c r="AG1215" i="2" s="1"/>
  <c r="AH1215" i="2" s="1"/>
  <c r="Q1136" i="2"/>
  <c r="Q1144" i="2"/>
  <c r="N1207" i="2"/>
  <c r="M1207" i="2" s="1"/>
  <c r="Q1217" i="2"/>
  <c r="N1290" i="2"/>
  <c r="M1290" i="2" s="1"/>
  <c r="N1144" i="2"/>
  <c r="M1144" i="2" s="1"/>
  <c r="Z1217" i="2"/>
  <c r="Q1213" i="2"/>
  <c r="Q1252" i="2"/>
  <c r="Q1290" i="2"/>
  <c r="Q1333" i="2"/>
  <c r="Q1103" i="2"/>
  <c r="N1296" i="2"/>
  <c r="M1296" i="2" s="1"/>
  <c r="N1213" i="2"/>
  <c r="M1213" i="2" s="1"/>
  <c r="N1333" i="2"/>
  <c r="M1333" i="2" s="1"/>
  <c r="N1103" i="2"/>
  <c r="M1103" i="2" s="1"/>
  <c r="N1252" i="2"/>
  <c r="M1252" i="2" s="1"/>
  <c r="N1289" i="2"/>
  <c r="M1289" i="2" s="1"/>
  <c r="N1225" i="2"/>
  <c r="M1225" i="2" s="1"/>
  <c r="N1183" i="2"/>
  <c r="M1183" i="2" s="1"/>
  <c r="N1174" i="2"/>
  <c r="M1174" i="2" s="1"/>
  <c r="Q682" i="2"/>
  <c r="Q621" i="2"/>
  <c r="N1136" i="2"/>
  <c r="M1136" i="2" s="1"/>
  <c r="AG1136" i="2" s="1"/>
  <c r="AH1136" i="2" s="1"/>
  <c r="Q815" i="2"/>
  <c r="Q674" i="2"/>
  <c r="Q972" i="2"/>
  <c r="Q702" i="2"/>
  <c r="N682" i="2"/>
  <c r="M682" i="2" s="1"/>
  <c r="AG682" i="2" s="1"/>
  <c r="AH682" i="2" s="1"/>
  <c r="N621" i="2"/>
  <c r="M621" i="2" s="1"/>
  <c r="AG621" i="2" s="1"/>
  <c r="AH621" i="2" s="1"/>
  <c r="N815" i="2"/>
  <c r="M815" i="2" s="1"/>
  <c r="AG815" i="2" s="1"/>
  <c r="AH815" i="2" s="1"/>
  <c r="N674" i="2"/>
  <c r="M674" i="2" s="1"/>
  <c r="AG674" i="2" s="1"/>
  <c r="AH674" i="2" s="1"/>
  <c r="N972" i="2"/>
  <c r="M972" i="2" s="1"/>
  <c r="AG972" i="2" s="1"/>
  <c r="AH972" i="2" s="1"/>
  <c r="N702" i="2"/>
  <c r="M702" i="2" s="1"/>
  <c r="AG702" i="2" s="1"/>
  <c r="AH702" i="2" s="1"/>
  <c r="AB346" i="2"/>
  <c r="AD346" i="2" s="1"/>
  <c r="Q1678" i="2"/>
  <c r="N1014" i="2"/>
  <c r="Q1669" i="2"/>
  <c r="Q1682" i="2"/>
  <c r="Q1656" i="2"/>
  <c r="Q1668" i="2"/>
  <c r="Q1681" i="2"/>
  <c r="Z59" i="2"/>
  <c r="N356" i="2"/>
  <c r="N1687" i="2"/>
  <c r="M1687" i="2" s="1"/>
  <c r="AC1687" i="2" s="1"/>
  <c r="Q1673" i="2"/>
  <c r="Z807" i="2"/>
  <c r="AG59" i="2"/>
  <c r="AH59" i="2" s="1"/>
  <c r="AC59" i="2"/>
  <c r="Q1688" i="2"/>
  <c r="N1688" i="2"/>
  <c r="M1688" i="2" s="1"/>
  <c r="AB1688" i="2" s="1"/>
  <c r="AD1688" i="2" s="1"/>
  <c r="Q1070" i="2"/>
  <c r="AE1070" i="2" s="1"/>
  <c r="BO1070" i="2" s="1"/>
  <c r="BM1070" i="2" s="1"/>
  <c r="Q1689" i="2"/>
  <c r="Z882" i="2"/>
  <c r="Z200" i="2"/>
  <c r="AE59" i="2"/>
  <c r="BO59" i="2" s="1"/>
  <c r="BM59" i="2" s="1"/>
  <c r="Q1014" i="2"/>
  <c r="AE1014" i="2" s="1"/>
  <c r="BO1014" i="2" s="1"/>
  <c r="BM1014" i="2" s="1"/>
  <c r="AB1014" i="2"/>
  <c r="AD1014" i="2" s="1"/>
  <c r="Q1660" i="2"/>
  <c r="Q356" i="2"/>
  <c r="AE356" i="2" s="1"/>
  <c r="BO356" i="2" s="1"/>
  <c r="BM356" i="2" s="1"/>
  <c r="AB356" i="2"/>
  <c r="AD356" i="2" s="1"/>
  <c r="Q1659" i="2"/>
  <c r="Q807" i="2"/>
  <c r="AE807" i="2" s="1"/>
  <c r="BO807" i="2" s="1"/>
  <c r="BM807" i="2" s="1"/>
  <c r="Q1658" i="2"/>
  <c r="AB59" i="2"/>
  <c r="AD59" i="2" s="1"/>
  <c r="N346" i="2"/>
  <c r="N882" i="2"/>
  <c r="Q882" i="2"/>
  <c r="AE882" i="2" s="1"/>
  <c r="BO882" i="2" s="1"/>
  <c r="BM882" i="2" s="1"/>
  <c r="Q346" i="2"/>
  <c r="AE346" i="2" s="1"/>
  <c r="BO346" i="2" s="1"/>
  <c r="BM346" i="2" s="1"/>
  <c r="BK59" i="2"/>
  <c r="Q1666" i="2"/>
  <c r="N1666" i="2"/>
  <c r="M1666" i="2" s="1"/>
  <c r="AG1666" i="2" s="1"/>
  <c r="AH1666" i="2" s="1"/>
  <c r="Q1691" i="2"/>
  <c r="N1691" i="2"/>
  <c r="M1691" i="2" s="1"/>
  <c r="AC1691" i="2" s="1"/>
  <c r="Q1683" i="2"/>
  <c r="N1683" i="2"/>
  <c r="M1683" i="2" s="1"/>
  <c r="AG1683" i="2" s="1"/>
  <c r="AH1683" i="2" s="1"/>
  <c r="Q1679" i="2"/>
  <c r="N1679" i="2"/>
  <c r="M1679" i="2" s="1"/>
  <c r="AC1679" i="2" s="1"/>
  <c r="Q1686" i="2"/>
  <c r="N1686" i="2"/>
  <c r="M1686" i="2" s="1"/>
  <c r="AC1686" i="2" s="1"/>
  <c r="Q1690" i="2"/>
  <c r="N1682" i="2"/>
  <c r="M1682" i="2" s="1"/>
  <c r="Z1682" i="2" s="1"/>
  <c r="Q1687" i="2"/>
  <c r="N1681" i="2"/>
  <c r="M1681" i="2" s="1"/>
  <c r="Z1681" i="2" s="1"/>
  <c r="N1680" i="2"/>
  <c r="M1680" i="2" s="1"/>
  <c r="Z1680" i="2" s="1"/>
  <c r="Q1674" i="2"/>
  <c r="N59" i="2"/>
  <c r="N1693" i="2"/>
  <c r="N1685" i="2"/>
  <c r="Q1693" i="2"/>
  <c r="Q1685" i="2"/>
  <c r="Q1692" i="2"/>
  <c r="Q1684" i="2"/>
  <c r="Q1665" i="2"/>
  <c r="N1665" i="2"/>
  <c r="N1672" i="2"/>
  <c r="M1672" i="2" s="1"/>
  <c r="AC1672" i="2" s="1"/>
  <c r="N1676" i="2"/>
  <c r="M1676" i="2" s="1"/>
  <c r="AG1676" i="2" s="1"/>
  <c r="AH1676" i="2" s="1"/>
  <c r="N1673" i="2"/>
  <c r="M1673" i="2" s="1"/>
  <c r="AC1673" i="2" s="1"/>
  <c r="N1675" i="2"/>
  <c r="Q1676" i="2"/>
  <c r="Q1671" i="2"/>
  <c r="N1669" i="2"/>
  <c r="M1669" i="2" s="1"/>
  <c r="AG1669" i="2" s="1"/>
  <c r="AH1669" i="2" s="1"/>
  <c r="N1678" i="2"/>
  <c r="M1678" i="2" s="1"/>
  <c r="AC1678" i="2" s="1"/>
  <c r="N1668" i="2"/>
  <c r="M1668" i="2" s="1"/>
  <c r="AG1668" i="2" s="1"/>
  <c r="AH1668" i="2" s="1"/>
  <c r="N1667" i="2"/>
  <c r="M1667" i="2" s="1"/>
  <c r="AG1667" i="2" s="1"/>
  <c r="AH1667" i="2" s="1"/>
  <c r="N1671" i="2"/>
  <c r="N1677" i="2"/>
  <c r="N1670" i="2"/>
  <c r="Q1672" i="2"/>
  <c r="Q1677" i="2"/>
  <c r="Q1670" i="2"/>
  <c r="N1661" i="2"/>
  <c r="Q1661" i="2"/>
  <c r="Q1653" i="2"/>
  <c r="N1653" i="2"/>
  <c r="M1653" i="2" s="1"/>
  <c r="AG1653" i="2" s="1"/>
  <c r="AH1653" i="2" s="1"/>
  <c r="Q1654" i="2"/>
  <c r="N1654" i="2"/>
  <c r="M1654" i="2" s="1"/>
  <c r="AC1654" i="2" s="1"/>
  <c r="Q1655" i="2"/>
  <c r="N1655" i="2"/>
  <c r="M1655" i="2" s="1"/>
  <c r="AC1655" i="2" s="1"/>
  <c r="Q1664" i="2"/>
  <c r="N1656" i="2"/>
  <c r="N613" i="2"/>
  <c r="N1180" i="2"/>
  <c r="Q1418" i="2"/>
  <c r="AE1418" i="2" s="1"/>
  <c r="BO1418" i="2" s="1"/>
  <c r="BM1418" i="2" s="1"/>
  <c r="Q201" i="2"/>
  <c r="AE201" i="2" s="1"/>
  <c r="BO201" i="2" s="1"/>
  <c r="BM201" i="2" s="1"/>
  <c r="Q1663" i="2"/>
  <c r="N1660" i="2"/>
  <c r="M1660" i="2" s="1"/>
  <c r="AG1660" i="2" s="1"/>
  <c r="AH1660" i="2" s="1"/>
  <c r="N1662" i="2"/>
  <c r="Q1657" i="2"/>
  <c r="N1657" i="2"/>
  <c r="Q1662" i="2"/>
  <c r="N1664" i="2"/>
  <c r="N1659" i="2"/>
  <c r="N1658" i="2"/>
  <c r="Q852" i="2"/>
  <c r="AE852" i="2" s="1"/>
  <c r="BO852" i="2" s="1"/>
  <c r="BM852" i="2" s="1"/>
  <c r="N1306" i="2"/>
  <c r="Q1305" i="2"/>
  <c r="AE1305" i="2" s="1"/>
  <c r="BO1305" i="2" s="1"/>
  <c r="BM1305" i="2" s="1"/>
  <c r="Q532" i="2"/>
  <c r="AE532" i="2" s="1"/>
  <c r="BO532" i="2" s="1"/>
  <c r="BM532" i="2" s="1"/>
  <c r="Q1598" i="2"/>
  <c r="AE1598" i="2" s="1"/>
  <c r="BO1598" i="2" s="1"/>
  <c r="BM1598" i="2" s="1"/>
  <c r="Q918" i="2"/>
  <c r="AE918" i="2" s="1"/>
  <c r="BO918" i="2" s="1"/>
  <c r="BM918" i="2" s="1"/>
  <c r="Q1612" i="2"/>
  <c r="AE1612" i="2" s="1"/>
  <c r="BO1612" i="2" s="1"/>
  <c r="BM1612" i="2" s="1"/>
  <c r="Q1629" i="2"/>
  <c r="AE1629" i="2" s="1"/>
  <c r="BO1629" i="2" s="1"/>
  <c r="BM1629" i="2" s="1"/>
  <c r="N540" i="2"/>
  <c r="Q214" i="2"/>
  <c r="AE214" i="2" s="1"/>
  <c r="BO214" i="2" s="1"/>
  <c r="BM214" i="2" s="1"/>
  <c r="Q1628" i="2"/>
  <c r="AE1628" i="2" s="1"/>
  <c r="BO1628" i="2" s="1"/>
  <c r="BM1628" i="2" s="1"/>
  <c r="Q1458" i="2"/>
  <c r="AE1458" i="2" s="1"/>
  <c r="BO1458" i="2" s="1"/>
  <c r="BM1458" i="2" s="1"/>
  <c r="Q465" i="2"/>
  <c r="AE465" i="2" s="1"/>
  <c r="BO465" i="2" s="1"/>
  <c r="BM465" i="2" s="1"/>
  <c r="Q727" i="2"/>
  <c r="AE727" i="2" s="1"/>
  <c r="BO727" i="2" s="1"/>
  <c r="BM727" i="2" s="1"/>
  <c r="Q1475" i="2"/>
  <c r="AE1475" i="2" s="1"/>
  <c r="BO1475" i="2" s="1"/>
  <c r="BM1475" i="2" s="1"/>
  <c r="Q627" i="2"/>
  <c r="AE627" i="2" s="1"/>
  <c r="BO627" i="2" s="1"/>
  <c r="BM627" i="2" s="1"/>
  <c r="Z627" i="2"/>
  <c r="Q738" i="2"/>
  <c r="Z738" i="2"/>
  <c r="Q1264" i="2"/>
  <c r="AE1264" i="2" s="1"/>
  <c r="BO1264" i="2" s="1"/>
  <c r="BM1264" i="2" s="1"/>
  <c r="Z1264" i="2"/>
  <c r="Q1007" i="2"/>
  <c r="AE1007" i="2" s="1"/>
  <c r="BO1007" i="2" s="1"/>
  <c r="BM1007" i="2" s="1"/>
  <c r="N1007" i="2"/>
  <c r="AB1007" i="2"/>
  <c r="AD1007" i="2" s="1"/>
  <c r="Z1007" i="2"/>
  <c r="AB1453" i="2"/>
  <c r="AD1453" i="2" s="1"/>
  <c r="Z1453" i="2"/>
  <c r="N1453" i="2"/>
  <c r="Q1453" i="2"/>
  <c r="AE1453" i="2" s="1"/>
  <c r="BO1453" i="2" s="1"/>
  <c r="BM1453" i="2" s="1"/>
  <c r="Q281" i="2"/>
  <c r="AE281" i="2" s="1"/>
  <c r="BO281" i="2" s="1"/>
  <c r="BM281" i="2" s="1"/>
  <c r="N281" i="2"/>
  <c r="AB281" i="2"/>
  <c r="AD281" i="2" s="1"/>
  <c r="Z281" i="2"/>
  <c r="N942" i="2"/>
  <c r="Q942" i="2"/>
  <c r="AE942" i="2" s="1"/>
  <c r="BO942" i="2" s="1"/>
  <c r="BM942" i="2" s="1"/>
  <c r="N738" i="2"/>
  <c r="AB1598" i="2"/>
  <c r="AD1598" i="2" s="1"/>
  <c r="AB1475" i="2"/>
  <c r="AD1475" i="2" s="1"/>
  <c r="AB201" i="2"/>
  <c r="AD201" i="2" s="1"/>
  <c r="N214" i="2"/>
  <c r="Z214" i="2"/>
  <c r="N1264" i="2"/>
  <c r="AB641" i="2"/>
  <c r="AD641" i="2" s="1"/>
  <c r="N918" i="2"/>
  <c r="N369" i="2"/>
  <c r="N627" i="2"/>
  <c r="AB1562" i="2"/>
  <c r="AD1562" i="2" s="1"/>
  <c r="Z1562" i="2"/>
  <c r="Q1562" i="2"/>
  <c r="AE1562" i="2" s="1"/>
  <c r="BO1562" i="2" s="1"/>
  <c r="BM1562" i="2" s="1"/>
  <c r="N1562" i="2"/>
  <c r="AB638" i="2"/>
  <c r="AD638" i="2" s="1"/>
  <c r="Z638" i="2"/>
  <c r="Q638" i="2"/>
  <c r="AE638" i="2" s="1"/>
  <c r="BO638" i="2" s="1"/>
  <c r="BM638" i="2" s="1"/>
  <c r="N638" i="2"/>
  <c r="AB1565" i="2"/>
  <c r="AD1565" i="2" s="1"/>
  <c r="Z1565" i="2"/>
  <c r="Q1565" i="2"/>
  <c r="AE1565" i="2" s="1"/>
  <c r="BO1565" i="2" s="1"/>
  <c r="BM1565" i="2" s="1"/>
  <c r="N1565" i="2"/>
  <c r="Q1330" i="2"/>
  <c r="AE1330" i="2" s="1"/>
  <c r="BO1330" i="2" s="1"/>
  <c r="BM1330" i="2" s="1"/>
  <c r="N1330" i="2"/>
  <c r="AB1330" i="2"/>
  <c r="AD1330" i="2" s="1"/>
  <c r="Z1330" i="2"/>
  <c r="AB955" i="2"/>
  <c r="AD955" i="2" s="1"/>
  <c r="Z955" i="2"/>
  <c r="Q955" i="2"/>
  <c r="AE955" i="2" s="1"/>
  <c r="BO955" i="2" s="1"/>
  <c r="BM955" i="2" s="1"/>
  <c r="N955" i="2"/>
  <c r="Q1151" i="2"/>
  <c r="AE1151" i="2" s="1"/>
  <c r="BO1151" i="2" s="1"/>
  <c r="BM1151" i="2" s="1"/>
  <c r="N1151" i="2"/>
  <c r="AB1151" i="2"/>
  <c r="AD1151" i="2" s="1"/>
  <c r="Z1151" i="2"/>
  <c r="Z1413" i="2"/>
  <c r="N1413" i="2"/>
  <c r="Q1413" i="2"/>
  <c r="AE1413" i="2" s="1"/>
  <c r="BO1413" i="2" s="1"/>
  <c r="BM1413" i="2" s="1"/>
  <c r="AB1413" i="2"/>
  <c r="AD1413" i="2" s="1"/>
  <c r="Q409" i="2"/>
  <c r="AE409" i="2" s="1"/>
  <c r="BO409" i="2" s="1"/>
  <c r="BM409" i="2" s="1"/>
  <c r="N409" i="2"/>
  <c r="AB409" i="2"/>
  <c r="AD409" i="2" s="1"/>
  <c r="Z409" i="2"/>
  <c r="Q1571" i="2"/>
  <c r="AE1571" i="2" s="1"/>
  <c r="BO1571" i="2" s="1"/>
  <c r="BM1571" i="2" s="1"/>
  <c r="N1571" i="2"/>
  <c r="AB1571" i="2"/>
  <c r="AD1571" i="2" s="1"/>
  <c r="Z1571" i="2"/>
  <c r="AB326" i="2"/>
  <c r="AD326" i="2" s="1"/>
  <c r="Z326" i="2"/>
  <c r="Q326" i="2"/>
  <c r="AE326" i="2" s="1"/>
  <c r="BO326" i="2" s="1"/>
  <c r="BM326" i="2" s="1"/>
  <c r="N326" i="2"/>
  <c r="AB341" i="2"/>
  <c r="AD341" i="2" s="1"/>
  <c r="Z341" i="2"/>
  <c r="Q341" i="2"/>
  <c r="AE341" i="2" s="1"/>
  <c r="BO341" i="2" s="1"/>
  <c r="BM341" i="2" s="1"/>
  <c r="N341" i="2"/>
  <c r="Q369" i="2"/>
  <c r="AE369" i="2" s="1"/>
  <c r="BO369" i="2" s="1"/>
  <c r="BM369" i="2" s="1"/>
  <c r="Z201" i="2"/>
  <c r="AB214" i="2"/>
  <c r="AD214" i="2" s="1"/>
  <c r="Z1475" i="2"/>
  <c r="AB627" i="2"/>
  <c r="AD627" i="2" s="1"/>
  <c r="Z1598" i="2"/>
  <c r="AB1264" i="2"/>
  <c r="AD1264" i="2" s="1"/>
  <c r="Z641" i="2"/>
  <c r="AB1070" i="2"/>
  <c r="AD1070" i="2" s="1"/>
  <c r="AB1628" i="2"/>
  <c r="AD1628" i="2" s="1"/>
  <c r="AB465" i="2"/>
  <c r="AD465" i="2" s="1"/>
  <c r="Z1070" i="2"/>
  <c r="Z918" i="2"/>
  <c r="N201" i="2"/>
  <c r="N1475" i="2"/>
  <c r="Z369" i="2"/>
  <c r="N1598" i="2"/>
  <c r="Z942" i="2"/>
  <c r="N641" i="2"/>
  <c r="Z1628" i="2"/>
  <c r="Z465" i="2"/>
  <c r="AB918" i="2"/>
  <c r="AD918" i="2" s="1"/>
  <c r="N1070" i="2"/>
  <c r="N1628" i="2"/>
  <c r="AB369" i="2"/>
  <c r="AD369" i="2" s="1"/>
  <c r="N465" i="2"/>
  <c r="AB942" i="2"/>
  <c r="AD942" i="2" s="1"/>
  <c r="Z487" i="2"/>
  <c r="AB487" i="2"/>
  <c r="AD487" i="2" s="1"/>
  <c r="N1398" i="2"/>
  <c r="Q1398" i="2"/>
  <c r="AE1398" i="2" s="1"/>
  <c r="BO1398" i="2" s="1"/>
  <c r="BM1398" i="2" s="1"/>
  <c r="Q839" i="2"/>
  <c r="AE839" i="2" s="1"/>
  <c r="BO839" i="2" s="1"/>
  <c r="BM839" i="2" s="1"/>
  <c r="Z839" i="2"/>
  <c r="Q1311" i="2"/>
  <c r="AE1311" i="2" s="1"/>
  <c r="BO1311" i="2" s="1"/>
  <c r="BM1311" i="2" s="1"/>
  <c r="Z1311" i="2"/>
  <c r="Q288" i="2"/>
  <c r="AE288" i="2" s="1"/>
  <c r="BO288" i="2" s="1"/>
  <c r="BM288" i="2" s="1"/>
  <c r="Z288" i="2"/>
  <c r="N1340" i="2"/>
  <c r="Z1340" i="2"/>
  <c r="Q701" i="2"/>
  <c r="AE701" i="2" s="1"/>
  <c r="BO701" i="2" s="1"/>
  <c r="BM701" i="2" s="1"/>
  <c r="Z701" i="2"/>
  <c r="AB1273" i="2"/>
  <c r="AD1273" i="2" s="1"/>
  <c r="AB1340" i="2"/>
  <c r="AD1340" i="2" s="1"/>
  <c r="AB1356" i="2"/>
  <c r="AD1356" i="2" s="1"/>
  <c r="AB988" i="2"/>
  <c r="AD988" i="2" s="1"/>
  <c r="N606" i="2"/>
  <c r="AB1608" i="2"/>
  <c r="AD1608" i="2" s="1"/>
  <c r="N1356" i="2"/>
  <c r="Q1356" i="2"/>
  <c r="AE1356" i="2" s="1"/>
  <c r="BO1356" i="2" s="1"/>
  <c r="BM1356" i="2" s="1"/>
  <c r="Q1507" i="2"/>
  <c r="AE1507" i="2" s="1"/>
  <c r="BO1507" i="2" s="1"/>
  <c r="BM1507" i="2" s="1"/>
  <c r="Q613" i="2"/>
  <c r="AE613" i="2" s="1"/>
  <c r="BO613" i="2" s="1"/>
  <c r="BM613" i="2" s="1"/>
  <c r="AB1180" i="2"/>
  <c r="AD1180" i="2" s="1"/>
  <c r="AB540" i="2"/>
  <c r="AD540" i="2" s="1"/>
  <c r="Q606" i="2"/>
  <c r="AE606" i="2" s="1"/>
  <c r="BO606" i="2" s="1"/>
  <c r="BM606" i="2" s="1"/>
  <c r="Z1180" i="2"/>
  <c r="Z540" i="2"/>
  <c r="AB1498" i="2"/>
  <c r="AD1498" i="2" s="1"/>
  <c r="AB1398" i="2"/>
  <c r="AD1398" i="2" s="1"/>
  <c r="AB613" i="2"/>
  <c r="AD613" i="2" s="1"/>
  <c r="AB606" i="2"/>
  <c r="AD606" i="2" s="1"/>
  <c r="Q653" i="2"/>
  <c r="AE653" i="2" s="1"/>
  <c r="BO653" i="2" s="1"/>
  <c r="BM653" i="2" s="1"/>
  <c r="N653" i="2"/>
  <c r="AB653" i="2"/>
  <c r="AD653" i="2" s="1"/>
  <c r="Z653" i="2"/>
  <c r="Q1403" i="2"/>
  <c r="AE1403" i="2" s="1"/>
  <c r="BO1403" i="2" s="1"/>
  <c r="BM1403" i="2" s="1"/>
  <c r="N1403" i="2"/>
  <c r="AB1403" i="2"/>
  <c r="AD1403" i="2" s="1"/>
  <c r="Z1403" i="2"/>
  <c r="Q677" i="2"/>
  <c r="AE677" i="2" s="1"/>
  <c r="BO677" i="2" s="1"/>
  <c r="BM677" i="2" s="1"/>
  <c r="N677" i="2"/>
  <c r="AB677" i="2"/>
  <c r="AD677" i="2" s="1"/>
  <c r="Z677" i="2"/>
  <c r="N884" i="2"/>
  <c r="AB884" i="2"/>
  <c r="AD884" i="2" s="1"/>
  <c r="Z884" i="2"/>
  <c r="Q884" i="2"/>
  <c r="AE884" i="2" s="1"/>
  <c r="BO884" i="2" s="1"/>
  <c r="BM884" i="2" s="1"/>
  <c r="Q1206" i="2"/>
  <c r="AE1206" i="2" s="1"/>
  <c r="BO1206" i="2" s="1"/>
  <c r="BM1206" i="2" s="1"/>
  <c r="N1206" i="2"/>
  <c r="AB1206" i="2"/>
  <c r="AD1206" i="2" s="1"/>
  <c r="Z1206" i="2"/>
  <c r="Q253" i="2"/>
  <c r="AE253" i="2" s="1"/>
  <c r="BO253" i="2" s="1"/>
  <c r="BM253" i="2" s="1"/>
  <c r="N253" i="2"/>
  <c r="AB253" i="2"/>
  <c r="AD253" i="2" s="1"/>
  <c r="Z253" i="2"/>
  <c r="Q1616" i="2"/>
  <c r="AE1616" i="2" s="1"/>
  <c r="BO1616" i="2" s="1"/>
  <c r="BM1616" i="2" s="1"/>
  <c r="N1616" i="2"/>
  <c r="AB1616" i="2"/>
  <c r="AD1616" i="2" s="1"/>
  <c r="Z1616" i="2"/>
  <c r="Q863" i="2"/>
  <c r="AE863" i="2" s="1"/>
  <c r="BO863" i="2" s="1"/>
  <c r="BM863" i="2" s="1"/>
  <c r="N863" i="2"/>
  <c r="AB863" i="2"/>
  <c r="AD863" i="2" s="1"/>
  <c r="Z863" i="2"/>
  <c r="Q728" i="2"/>
  <c r="AE728" i="2" s="1"/>
  <c r="BO728" i="2" s="1"/>
  <c r="BM728" i="2" s="1"/>
  <c r="N728" i="2"/>
  <c r="AB728" i="2"/>
  <c r="AD728" i="2" s="1"/>
  <c r="Z728" i="2"/>
  <c r="N557" i="2"/>
  <c r="AB557" i="2"/>
  <c r="AD557" i="2" s="1"/>
  <c r="Z557" i="2"/>
  <c r="Q557" i="2"/>
  <c r="AE557" i="2" s="1"/>
  <c r="BO557" i="2" s="1"/>
  <c r="BM557" i="2" s="1"/>
  <c r="AB288" i="2"/>
  <c r="AD288" i="2" s="1"/>
  <c r="AB839" i="2"/>
  <c r="AD839" i="2" s="1"/>
  <c r="AB1311" i="2"/>
  <c r="AD1311" i="2" s="1"/>
  <c r="N1498" i="2"/>
  <c r="AB701" i="2"/>
  <c r="AD701" i="2" s="1"/>
  <c r="N1273" i="2"/>
  <c r="Q1180" i="2"/>
  <c r="AE1180" i="2" s="1"/>
  <c r="BO1180" i="2" s="1"/>
  <c r="BM1180" i="2" s="1"/>
  <c r="Z1418" i="2"/>
  <c r="N487" i="2"/>
  <c r="Q540" i="2"/>
  <c r="AE540" i="2" s="1"/>
  <c r="BO540" i="2" s="1"/>
  <c r="BM540" i="2" s="1"/>
  <c r="Z1458" i="2"/>
  <c r="N988" i="2"/>
  <c r="Q1340" i="2"/>
  <c r="AE1340" i="2" s="1"/>
  <c r="BO1340" i="2" s="1"/>
  <c r="BM1340" i="2" s="1"/>
  <c r="Z727" i="2"/>
  <c r="N1608" i="2"/>
  <c r="Q1498" i="2"/>
  <c r="AE1498" i="2" s="1"/>
  <c r="BO1498" i="2" s="1"/>
  <c r="BM1498" i="2" s="1"/>
  <c r="Q1273" i="2"/>
  <c r="AE1273" i="2" s="1"/>
  <c r="BO1273" i="2" s="1"/>
  <c r="BM1273" i="2" s="1"/>
  <c r="N288" i="2"/>
  <c r="AB1418" i="2"/>
  <c r="AD1418" i="2" s="1"/>
  <c r="Q487" i="2"/>
  <c r="AE487" i="2" s="1"/>
  <c r="BO487" i="2" s="1"/>
  <c r="BM487" i="2" s="1"/>
  <c r="N839" i="2"/>
  <c r="AB1458" i="2"/>
  <c r="AD1458" i="2" s="1"/>
  <c r="Q988" i="2"/>
  <c r="AE988" i="2" s="1"/>
  <c r="BO988" i="2" s="1"/>
  <c r="BM988" i="2" s="1"/>
  <c r="N1311" i="2"/>
  <c r="AB727" i="2"/>
  <c r="AD727" i="2" s="1"/>
  <c r="Q1608" i="2"/>
  <c r="AE1608" i="2" s="1"/>
  <c r="BO1608" i="2" s="1"/>
  <c r="BM1608" i="2" s="1"/>
  <c r="N701" i="2"/>
  <c r="Z613" i="2"/>
  <c r="Z1398" i="2"/>
  <c r="N1418" i="2"/>
  <c r="N1458" i="2"/>
  <c r="N727" i="2"/>
  <c r="Q1607" i="2"/>
  <c r="AE1607" i="2" s="1"/>
  <c r="BO1607" i="2" s="1"/>
  <c r="BM1607" i="2" s="1"/>
  <c r="N670" i="2"/>
  <c r="Q1428" i="2"/>
  <c r="AE1428" i="2" s="1"/>
  <c r="BO1428" i="2" s="1"/>
  <c r="BM1428" i="2" s="1"/>
  <c r="Q640" i="2"/>
  <c r="AE640" i="2" s="1"/>
  <c r="BO640" i="2" s="1"/>
  <c r="BM640" i="2" s="1"/>
  <c r="Q442" i="2"/>
  <c r="AE442" i="2" s="1"/>
  <c r="BO442" i="2" s="1"/>
  <c r="BM442" i="2" s="1"/>
  <c r="N1612" i="2"/>
  <c r="N1432" i="2"/>
  <c r="Q1617" i="2"/>
  <c r="AE1617" i="2" s="1"/>
  <c r="BO1617" i="2" s="1"/>
  <c r="BM1617" i="2" s="1"/>
  <c r="Q1306" i="2"/>
  <c r="AE1306" i="2" s="1"/>
  <c r="BO1306" i="2" s="1"/>
  <c r="BM1306" i="2" s="1"/>
  <c r="Q828" i="2"/>
  <c r="AE828" i="2" s="1"/>
  <c r="BO828" i="2" s="1"/>
  <c r="BM828" i="2" s="1"/>
  <c r="Q1471" i="2"/>
  <c r="AE1471" i="2" s="1"/>
  <c r="BO1471" i="2" s="1"/>
  <c r="BM1471" i="2" s="1"/>
  <c r="N1351" i="2"/>
  <c r="Z1351" i="2"/>
  <c r="Q636" i="2"/>
  <c r="AE636" i="2" s="1"/>
  <c r="BO636" i="2" s="1"/>
  <c r="BM636" i="2" s="1"/>
  <c r="Z636" i="2"/>
  <c r="Q714" i="2"/>
  <c r="AE714" i="2" s="1"/>
  <c r="BO714" i="2" s="1"/>
  <c r="BM714" i="2" s="1"/>
  <c r="N714" i="2"/>
  <c r="Z714" i="2"/>
  <c r="Q583" i="2"/>
  <c r="AE583" i="2" s="1"/>
  <c r="BO583" i="2" s="1"/>
  <c r="BM583" i="2" s="1"/>
  <c r="N583" i="2"/>
  <c r="Z583" i="2"/>
  <c r="N1630" i="2"/>
  <c r="Q1630" i="2"/>
  <c r="AE1630" i="2" s="1"/>
  <c r="BO1630" i="2" s="1"/>
  <c r="BM1630" i="2" s="1"/>
  <c r="N1586" i="2"/>
  <c r="Q1586" i="2"/>
  <c r="AE1586" i="2" s="1"/>
  <c r="BO1586" i="2" s="1"/>
  <c r="BM1586" i="2" s="1"/>
  <c r="N1618" i="2"/>
  <c r="Q1618" i="2"/>
  <c r="AE1618" i="2" s="1"/>
  <c r="BO1618" i="2" s="1"/>
  <c r="BM1618" i="2" s="1"/>
  <c r="N1424" i="2"/>
  <c r="Q1424" i="2"/>
  <c r="AE1424" i="2" s="1"/>
  <c r="BO1424" i="2" s="1"/>
  <c r="BM1424" i="2" s="1"/>
  <c r="AB644" i="2"/>
  <c r="AD644" i="2" s="1"/>
  <c r="Z644" i="2"/>
  <c r="N644" i="2"/>
  <c r="AB795" i="2"/>
  <c r="AD795" i="2" s="1"/>
  <c r="Z795" i="2"/>
  <c r="AB933" i="2"/>
  <c r="AD933" i="2" s="1"/>
  <c r="Z933" i="2"/>
  <c r="Z776" i="2"/>
  <c r="AB776" i="2"/>
  <c r="AD776" i="2" s="1"/>
  <c r="AB1084" i="2"/>
  <c r="AD1084" i="2" s="1"/>
  <c r="Z1084" i="2"/>
  <c r="Q1084" i="2"/>
  <c r="AE1084" i="2" s="1"/>
  <c r="BO1084" i="2" s="1"/>
  <c r="BM1084" i="2" s="1"/>
  <c r="Z548" i="2"/>
  <c r="Q548" i="2"/>
  <c r="AE548" i="2" s="1"/>
  <c r="BO548" i="2" s="1"/>
  <c r="BM548" i="2" s="1"/>
  <c r="N548" i="2"/>
  <c r="AB548" i="2"/>
  <c r="AD548" i="2" s="1"/>
  <c r="N1127" i="2"/>
  <c r="AB1127" i="2"/>
  <c r="AD1127" i="2" s="1"/>
  <c r="Z1127" i="2"/>
  <c r="Q1127" i="2"/>
  <c r="AE1127" i="2" s="1"/>
  <c r="BO1127" i="2" s="1"/>
  <c r="BM1127" i="2" s="1"/>
  <c r="N742" i="2"/>
  <c r="Q742" i="2"/>
  <c r="AE742" i="2" s="1"/>
  <c r="BO742" i="2" s="1"/>
  <c r="BM742" i="2" s="1"/>
  <c r="AB742" i="2"/>
  <c r="AD742" i="2" s="1"/>
  <c r="N1350" i="2"/>
  <c r="AB1350" i="2"/>
  <c r="AD1350" i="2" s="1"/>
  <c r="Q1350" i="2"/>
  <c r="AE1350" i="2" s="1"/>
  <c r="BO1350" i="2" s="1"/>
  <c r="BM1350" i="2" s="1"/>
  <c r="N647" i="2"/>
  <c r="Q647" i="2"/>
  <c r="AE647" i="2" s="1"/>
  <c r="BO647" i="2" s="1"/>
  <c r="BM647" i="2" s="1"/>
  <c r="AB647" i="2"/>
  <c r="AD647" i="2" s="1"/>
  <c r="Z451" i="2"/>
  <c r="AB451" i="2"/>
  <c r="AD451" i="2" s="1"/>
  <c r="Q451" i="2"/>
  <c r="AE451" i="2" s="1"/>
  <c r="BO451" i="2" s="1"/>
  <c r="BM451" i="2" s="1"/>
  <c r="N570" i="2"/>
  <c r="N971" i="2"/>
  <c r="AB852" i="2"/>
  <c r="AD852" i="2" s="1"/>
  <c r="Q570" i="2"/>
  <c r="AE570" i="2" s="1"/>
  <c r="BO570" i="2" s="1"/>
  <c r="BM570" i="2" s="1"/>
  <c r="Q547" i="2"/>
  <c r="AE547" i="2" s="1"/>
  <c r="BO547" i="2" s="1"/>
  <c r="BM547" i="2" s="1"/>
  <c r="Q648" i="2"/>
  <c r="AE648" i="2" s="1"/>
  <c r="BO648" i="2" s="1"/>
  <c r="BM648" i="2" s="1"/>
  <c r="N532" i="2"/>
  <c r="N1084" i="2"/>
  <c r="BK647" i="2"/>
  <c r="Z1306" i="2"/>
  <c r="Z1612" i="2"/>
  <c r="N664" i="2"/>
  <c r="AB1306" i="2"/>
  <c r="AD1306" i="2" s="1"/>
  <c r="AB1607" i="2"/>
  <c r="AD1607" i="2" s="1"/>
  <c r="AB1612" i="2"/>
  <c r="AD1612" i="2" s="1"/>
  <c r="AB1629" i="2"/>
  <c r="AD1629" i="2" s="1"/>
  <c r="Q971" i="2"/>
  <c r="AE971" i="2" s="1"/>
  <c r="BO971" i="2" s="1"/>
  <c r="BM971" i="2" s="1"/>
  <c r="Q664" i="2"/>
  <c r="AE664" i="2" s="1"/>
  <c r="BO664" i="2" s="1"/>
  <c r="BM664" i="2" s="1"/>
  <c r="BK742" i="2"/>
  <c r="BK828" i="2"/>
  <c r="N547" i="2"/>
  <c r="Q1130" i="2"/>
  <c r="AE1130" i="2" s="1"/>
  <c r="BO1130" i="2" s="1"/>
  <c r="BM1130" i="2" s="1"/>
  <c r="Q466" i="2"/>
  <c r="AE466" i="2" s="1"/>
  <c r="BO466" i="2" s="1"/>
  <c r="BM466" i="2" s="1"/>
  <c r="BK670" i="2"/>
  <c r="BK442" i="2"/>
  <c r="AB1507" i="2"/>
  <c r="AD1507" i="2" s="1"/>
  <c r="AB1603" i="2"/>
  <c r="AD1603" i="2" s="1"/>
  <c r="Z1603" i="2"/>
  <c r="Q1603" i="2"/>
  <c r="AE1603" i="2" s="1"/>
  <c r="BO1603" i="2" s="1"/>
  <c r="BM1603" i="2" s="1"/>
  <c r="N1603" i="2"/>
  <c r="AB1624" i="2"/>
  <c r="AD1624" i="2" s="1"/>
  <c r="Z1624" i="2"/>
  <c r="Q1624" i="2"/>
  <c r="AE1624" i="2" s="1"/>
  <c r="BO1624" i="2" s="1"/>
  <c r="BM1624" i="2" s="1"/>
  <c r="N1624" i="2"/>
  <c r="Z1615" i="2"/>
  <c r="Q1615" i="2"/>
  <c r="AE1615" i="2" s="1"/>
  <c r="BO1615" i="2" s="1"/>
  <c r="BM1615" i="2" s="1"/>
  <c r="N1615" i="2"/>
  <c r="AB1615" i="2"/>
  <c r="AD1615" i="2" s="1"/>
  <c r="Z1214" i="2"/>
  <c r="Q1214" i="2"/>
  <c r="AE1214" i="2" s="1"/>
  <c r="BO1214" i="2" s="1"/>
  <c r="BM1214" i="2" s="1"/>
  <c r="N1214" i="2"/>
  <c r="AB1214" i="2"/>
  <c r="AD1214" i="2" s="1"/>
  <c r="Q1596" i="2"/>
  <c r="AE1596" i="2" s="1"/>
  <c r="BO1596" i="2" s="1"/>
  <c r="BM1596" i="2" s="1"/>
  <c r="N1596" i="2"/>
  <c r="AB1596" i="2"/>
  <c r="AD1596" i="2" s="1"/>
  <c r="Z1596" i="2"/>
  <c r="AB1633" i="2"/>
  <c r="AD1633" i="2" s="1"/>
  <c r="N1633" i="2"/>
  <c r="Z1633" i="2"/>
  <c r="Q1633" i="2"/>
  <c r="AE1633" i="2" s="1"/>
  <c r="BO1633" i="2" s="1"/>
  <c r="BM1633" i="2" s="1"/>
  <c r="AB1604" i="2"/>
  <c r="AD1604" i="2" s="1"/>
  <c r="Z1604" i="2"/>
  <c r="Q1604" i="2"/>
  <c r="AE1604" i="2" s="1"/>
  <c r="BO1604" i="2" s="1"/>
  <c r="BM1604" i="2" s="1"/>
  <c r="N1604" i="2"/>
  <c r="Q1465" i="2"/>
  <c r="AE1465" i="2" s="1"/>
  <c r="BO1465" i="2" s="1"/>
  <c r="BM1465" i="2" s="1"/>
  <c r="N1465" i="2"/>
  <c r="AB1465" i="2"/>
  <c r="AD1465" i="2" s="1"/>
  <c r="Z1465" i="2"/>
  <c r="Q1621" i="2"/>
  <c r="AE1621" i="2" s="1"/>
  <c r="BO1621" i="2" s="1"/>
  <c r="BM1621" i="2" s="1"/>
  <c r="N1621" i="2"/>
  <c r="AB1621" i="2"/>
  <c r="AD1621" i="2" s="1"/>
  <c r="Z1621" i="2"/>
  <c r="AB1414" i="2"/>
  <c r="AD1414" i="2" s="1"/>
  <c r="N1414" i="2"/>
  <c r="Z1414" i="2"/>
  <c r="Q1414" i="2"/>
  <c r="AE1414" i="2" s="1"/>
  <c r="BO1414" i="2" s="1"/>
  <c r="BM1414" i="2" s="1"/>
  <c r="AB1394" i="2"/>
  <c r="AD1394" i="2" s="1"/>
  <c r="Z1394" i="2"/>
  <c r="Q1394" i="2"/>
  <c r="AE1394" i="2" s="1"/>
  <c r="BO1394" i="2" s="1"/>
  <c r="BM1394" i="2" s="1"/>
  <c r="N1394" i="2"/>
  <c r="Q1572" i="2"/>
  <c r="AE1572" i="2" s="1"/>
  <c r="BO1572" i="2" s="1"/>
  <c r="BM1572" i="2" s="1"/>
  <c r="Z1572" i="2"/>
  <c r="N1572" i="2"/>
  <c r="AB1572" i="2"/>
  <c r="AD1572" i="2" s="1"/>
  <c r="Z852" i="2"/>
  <c r="Z1607" i="2"/>
  <c r="Z1629" i="2"/>
  <c r="Z1507" i="2"/>
  <c r="Z1617" i="2"/>
  <c r="Z1471" i="2"/>
  <c r="AB1617" i="2"/>
  <c r="AD1617" i="2" s="1"/>
  <c r="AB1471" i="2"/>
  <c r="AD1471" i="2" s="1"/>
  <c r="Z1586" i="2"/>
  <c r="N852" i="2"/>
  <c r="Z1630" i="2"/>
  <c r="N1607" i="2"/>
  <c r="Z1424" i="2"/>
  <c r="N1629" i="2"/>
  <c r="Z1618" i="2"/>
  <c r="N1507" i="2"/>
  <c r="AB1586" i="2"/>
  <c r="AD1586" i="2" s="1"/>
  <c r="N1617" i="2"/>
  <c r="AB1630" i="2"/>
  <c r="AD1630" i="2" s="1"/>
  <c r="AB1424" i="2"/>
  <c r="AD1424" i="2" s="1"/>
  <c r="N1471" i="2"/>
  <c r="AB1618" i="2"/>
  <c r="AD1618" i="2" s="1"/>
  <c r="BK971" i="2"/>
  <c r="BK1130" i="2"/>
  <c r="BK1428" i="2"/>
  <c r="BK648" i="2"/>
  <c r="BK532" i="2"/>
  <c r="BK640" i="2"/>
  <c r="BK664" i="2"/>
  <c r="BK1127" i="2"/>
  <c r="BK451" i="2"/>
  <c r="BK583" i="2"/>
  <c r="N636" i="2"/>
  <c r="N1130" i="2"/>
  <c r="N648" i="2"/>
  <c r="N466" i="2"/>
  <c r="Z742" i="2"/>
  <c r="Z1350" i="2"/>
  <c r="Z647" i="2"/>
  <c r="AB1351" i="2"/>
  <c r="AD1351" i="2" s="1"/>
  <c r="AB636" i="2"/>
  <c r="AD636" i="2" s="1"/>
  <c r="AB714" i="2"/>
  <c r="AD714" i="2" s="1"/>
  <c r="AB583" i="2"/>
  <c r="AD583" i="2" s="1"/>
  <c r="Q644" i="2"/>
  <c r="AE644" i="2" s="1"/>
  <c r="BO644" i="2" s="1"/>
  <c r="BM644" i="2" s="1"/>
  <c r="Q795" i="2"/>
  <c r="AE795" i="2" s="1"/>
  <c r="BO795" i="2" s="1"/>
  <c r="BM795" i="2" s="1"/>
  <c r="Q933" i="2"/>
  <c r="AE933" i="2" s="1"/>
  <c r="BO933" i="2" s="1"/>
  <c r="BM933" i="2" s="1"/>
  <c r="N1305" i="2"/>
  <c r="N933" i="2"/>
  <c r="AB1432" i="2"/>
  <c r="AD1432" i="2" s="1"/>
  <c r="AB1305" i="2"/>
  <c r="AD1305" i="2" s="1"/>
  <c r="AB532" i="2"/>
  <c r="AD532" i="2" s="1"/>
  <c r="AB828" i="2"/>
  <c r="AD828" i="2" s="1"/>
  <c r="Q776" i="2"/>
  <c r="AE776" i="2" s="1"/>
  <c r="BO776" i="2" s="1"/>
  <c r="BM776" i="2" s="1"/>
  <c r="N1428" i="2"/>
  <c r="Z1432" i="2"/>
  <c r="Z1305" i="2"/>
  <c r="Z532" i="2"/>
  <c r="Z828" i="2"/>
  <c r="AB670" i="2"/>
  <c r="AD670" i="2" s="1"/>
  <c r="AB1428" i="2"/>
  <c r="AD1428" i="2" s="1"/>
  <c r="AB640" i="2"/>
  <c r="AD640" i="2" s="1"/>
  <c r="AB442" i="2"/>
  <c r="AD442" i="2" s="1"/>
  <c r="N828" i="2"/>
  <c r="Z670" i="2"/>
  <c r="Z1428" i="2"/>
  <c r="Z640" i="2"/>
  <c r="Z442" i="2"/>
  <c r="AB971" i="2"/>
  <c r="AD971" i="2" s="1"/>
  <c r="AB570" i="2"/>
  <c r="AD570" i="2" s="1"/>
  <c r="AB664" i="2"/>
  <c r="AD664" i="2" s="1"/>
  <c r="AB547" i="2"/>
  <c r="AD547" i="2" s="1"/>
  <c r="Q1351" i="2"/>
  <c r="AE1351" i="2" s="1"/>
  <c r="BO1351" i="2" s="1"/>
  <c r="BM1351" i="2" s="1"/>
  <c r="N795" i="2"/>
  <c r="AB1130" i="2"/>
  <c r="AD1130" i="2" s="1"/>
  <c r="AB648" i="2"/>
  <c r="AD648" i="2" s="1"/>
  <c r="AB466" i="2"/>
  <c r="AD466" i="2" s="1"/>
  <c r="Q1432" i="2"/>
  <c r="AE1432" i="2" s="1"/>
  <c r="BO1432" i="2" s="1"/>
  <c r="BM1432" i="2" s="1"/>
  <c r="N776" i="2"/>
  <c r="Q670" i="2"/>
  <c r="AE670" i="2" s="1"/>
  <c r="BO670" i="2" s="1"/>
  <c r="BM670" i="2" s="1"/>
  <c r="N640" i="2"/>
  <c r="N442" i="2"/>
  <c r="N451" i="2"/>
  <c r="N1164" i="2"/>
  <c r="N998" i="2"/>
  <c r="AB1526" i="2"/>
  <c r="AB1479" i="2"/>
  <c r="AB1550" i="2"/>
  <c r="AB1327" i="2"/>
  <c r="Q1539" i="2"/>
  <c r="AB1441" i="2"/>
  <c r="N130" i="2"/>
  <c r="N249" i="2"/>
  <c r="N411" i="2"/>
  <c r="N1627" i="2"/>
  <c r="N1459" i="2"/>
  <c r="N499" i="2"/>
  <c r="N1650" i="2"/>
  <c r="N630" i="2"/>
  <c r="N743" i="2"/>
  <c r="N986" i="2"/>
  <c r="N1082" i="2"/>
  <c r="N38" i="2"/>
  <c r="N1030" i="2"/>
  <c r="N823" i="2"/>
  <c r="N414" i="2"/>
  <c r="N432" i="2"/>
  <c r="N810" i="2"/>
  <c r="N1331" i="2"/>
  <c r="N1074" i="2"/>
  <c r="N1587" i="2"/>
  <c r="N1513" i="2"/>
  <c r="N1260" i="2"/>
  <c r="N1388" i="2"/>
  <c r="N1353" i="2"/>
  <c r="N1462" i="2"/>
  <c r="N415" i="2"/>
  <c r="N493" i="2"/>
  <c r="N1028" i="2"/>
  <c r="N1316" i="2"/>
  <c r="N438" i="2"/>
  <c r="N1474" i="2"/>
  <c r="N801" i="2"/>
  <c r="N1436" i="2"/>
  <c r="N1375" i="2"/>
  <c r="N430" i="2"/>
  <c r="N1173" i="2"/>
  <c r="N843" i="2"/>
  <c r="N835" i="2"/>
  <c r="N52" i="2"/>
  <c r="N1412" i="2"/>
  <c r="N492" i="2"/>
  <c r="N445" i="2"/>
  <c r="N227" i="2"/>
  <c r="N1198" i="2"/>
  <c r="N124" i="2"/>
  <c r="N1382" i="2"/>
  <c r="N857" i="2"/>
  <c r="N205" i="2"/>
  <c r="N978" i="2"/>
  <c r="N1648" i="2"/>
  <c r="N520" i="2"/>
  <c r="N343" i="2"/>
  <c r="N454" i="2"/>
  <c r="N812" i="2"/>
  <c r="N150" i="2"/>
  <c r="N1148" i="2"/>
  <c r="N1431" i="2"/>
  <c r="N1258" i="2"/>
  <c r="N639" i="2"/>
  <c r="N209" i="2"/>
  <c r="N1185" i="2"/>
  <c r="N18" i="2"/>
  <c r="N198" i="2"/>
  <c r="N44" i="2"/>
  <c r="N259" i="2"/>
  <c r="N781" i="2"/>
  <c r="N1467" i="2"/>
  <c r="N1530" i="2"/>
  <c r="N1484" i="2"/>
  <c r="N1509" i="2"/>
  <c r="N527" i="2"/>
  <c r="N361" i="2"/>
  <c r="N1619" i="2"/>
  <c r="N1457" i="2"/>
  <c r="N1113" i="2"/>
  <c r="N916" i="2"/>
  <c r="N753" i="2"/>
  <c r="N1556" i="2"/>
  <c r="N788" i="2"/>
  <c r="N1510" i="2"/>
  <c r="N1323" i="2"/>
  <c r="N837" i="2"/>
  <c r="N1399" i="2"/>
  <c r="N358" i="2"/>
  <c r="N1483" i="2"/>
  <c r="N1222" i="2"/>
  <c r="N563" i="2"/>
  <c r="N785" i="2"/>
  <c r="N688" i="2"/>
  <c r="N1297" i="2"/>
  <c r="N720" i="2"/>
  <c r="N1048" i="2"/>
  <c r="N402" i="2"/>
  <c r="N577" i="2"/>
  <c r="N1601" i="2"/>
  <c r="N793" i="2"/>
  <c r="N1329" i="2"/>
  <c r="N380" i="2"/>
  <c r="N1050" i="2"/>
  <c r="N1378" i="2"/>
  <c r="N719" i="2"/>
  <c r="N1501" i="2"/>
  <c r="N29" i="2"/>
  <c r="N425" i="2"/>
  <c r="N1300" i="2"/>
  <c r="N1308" i="2"/>
  <c r="N1326" i="2"/>
  <c r="N1332" i="2"/>
  <c r="N79" i="2"/>
  <c r="N1106" i="2"/>
  <c r="N94" i="2"/>
  <c r="N747" i="2"/>
  <c r="N595" i="2"/>
  <c r="N134" i="2"/>
  <c r="N1491" i="2"/>
  <c r="N733" i="2"/>
  <c r="N687" i="2"/>
  <c r="N1328" i="2"/>
  <c r="N831" i="2"/>
  <c r="N165" i="2"/>
  <c r="N579" i="2"/>
  <c r="N936" i="2"/>
  <c r="N900" i="2"/>
  <c r="N1489" i="2"/>
  <c r="N392" i="2"/>
  <c r="N1600" i="2"/>
  <c r="N283" i="2"/>
  <c r="Z283" i="2"/>
  <c r="N1364" i="2"/>
  <c r="Z1364" i="2"/>
  <c r="N446" i="2"/>
  <c r="Z446" i="2"/>
  <c r="N885" i="2"/>
  <c r="Z885" i="2"/>
  <c r="N342" i="2"/>
  <c r="Z342" i="2"/>
  <c r="N167" i="2"/>
  <c r="Z167" i="2"/>
  <c r="N83" i="2"/>
  <c r="Z83" i="2"/>
  <c r="N571" i="2"/>
  <c r="Z571" i="2"/>
  <c r="N1204" i="2"/>
  <c r="N1469" i="2"/>
  <c r="N1227" i="2"/>
  <c r="N478" i="2"/>
  <c r="N270" i="2"/>
  <c r="N496" i="2"/>
  <c r="N215" i="2"/>
  <c r="N1470" i="2"/>
  <c r="N1416" i="2"/>
  <c r="N338" i="2"/>
  <c r="Z338" i="2"/>
  <c r="N541" i="2"/>
  <c r="Z541" i="2"/>
  <c r="N1040" i="2"/>
  <c r="Z1040" i="2"/>
  <c r="Z81" i="2"/>
  <c r="N81" i="2"/>
  <c r="N695" i="2"/>
  <c r="N294" i="2"/>
  <c r="N258" i="2"/>
  <c r="N819" i="2"/>
  <c r="N489" i="2"/>
  <c r="N1013" i="2"/>
  <c r="N111" i="2"/>
  <c r="N1081" i="2"/>
  <c r="N979" i="2"/>
  <c r="N383" i="2"/>
  <c r="N1623" i="2"/>
  <c r="N1372" i="2"/>
  <c r="N87" i="2"/>
  <c r="N268" i="2"/>
  <c r="Z268" i="2"/>
  <c r="N892" i="2"/>
  <c r="Z892" i="2"/>
  <c r="N88" i="2"/>
  <c r="Z88" i="2"/>
  <c r="N95" i="2"/>
  <c r="Z95" i="2"/>
  <c r="N1036" i="2"/>
  <c r="Z1036" i="2"/>
  <c r="N1352" i="2"/>
  <c r="Z1352" i="2"/>
  <c r="N1080" i="2"/>
  <c r="Z1080" i="2"/>
  <c r="N1189" i="2"/>
  <c r="Z1189" i="2"/>
  <c r="N405" i="2"/>
  <c r="Z405" i="2"/>
  <c r="N1385" i="2"/>
  <c r="Z1385" i="2"/>
  <c r="N1154" i="2"/>
  <c r="Z1154" i="2"/>
  <c r="N473" i="2"/>
  <c r="Z473" i="2"/>
  <c r="N400" i="2"/>
  <c r="Z400" i="2"/>
  <c r="N224" i="2"/>
  <c r="Z224" i="2"/>
  <c r="N1142" i="2"/>
  <c r="Z1142" i="2"/>
  <c r="N1248" i="2"/>
  <c r="Z1248" i="2"/>
  <c r="N1076" i="2"/>
  <c r="Z1076" i="2"/>
  <c r="N558" i="2"/>
  <c r="Z558" i="2"/>
  <c r="N58" i="2"/>
  <c r="Z58" i="2"/>
  <c r="N1575" i="2"/>
  <c r="Z1575" i="2"/>
  <c r="N1114" i="2"/>
  <c r="Z1114" i="2"/>
  <c r="N711" i="2"/>
  <c r="Z711" i="2"/>
  <c r="N1117" i="2"/>
  <c r="Z1117" i="2"/>
  <c r="N935" i="2"/>
  <c r="Z935" i="2"/>
  <c r="N1240" i="2"/>
  <c r="Z1240" i="2"/>
  <c r="N934" i="2"/>
  <c r="Z934" i="2"/>
  <c r="N1005" i="2"/>
  <c r="Z1005" i="2"/>
  <c r="N703" i="2"/>
  <c r="Z703" i="2"/>
  <c r="Z305" i="2"/>
  <c r="N305" i="2"/>
  <c r="N997" i="2"/>
  <c r="Z997" i="2"/>
  <c r="N1288" i="2"/>
  <c r="Z1288" i="2"/>
  <c r="N1411" i="2"/>
  <c r="Z1411" i="2"/>
  <c r="N1102" i="2"/>
  <c r="Z1102" i="2"/>
  <c r="N1560" i="2"/>
  <c r="Z1560" i="2"/>
  <c r="N485" i="2"/>
  <c r="Z485" i="2"/>
  <c r="N388" i="2"/>
  <c r="Z388" i="2"/>
  <c r="N85" i="2"/>
  <c r="Z85" i="2"/>
  <c r="N650" i="2"/>
  <c r="Z650" i="2"/>
  <c r="N836" i="2"/>
  <c r="Z836" i="2"/>
  <c r="N1529" i="2"/>
  <c r="N1315" i="2"/>
  <c r="N1343" i="2"/>
  <c r="N779" i="2"/>
  <c r="Z779" i="2"/>
  <c r="N279" i="2"/>
  <c r="Z279" i="2"/>
  <c r="N8" i="2"/>
  <c r="Z8" i="2"/>
  <c r="N322" i="2"/>
  <c r="Z322" i="2"/>
  <c r="N47" i="2"/>
  <c r="Z47" i="2"/>
  <c r="N151" i="2"/>
  <c r="Z151" i="2"/>
  <c r="N1637" i="2"/>
  <c r="Z1637" i="2"/>
  <c r="N1638" i="2"/>
  <c r="Z1638" i="2"/>
  <c r="N1493" i="2"/>
  <c r="Z1493" i="2"/>
  <c r="N1610" i="2"/>
  <c r="Z1610" i="2"/>
  <c r="N1256" i="2"/>
  <c r="Z1256" i="2"/>
  <c r="N1022" i="2"/>
  <c r="Z1022" i="2"/>
  <c r="N873" i="2"/>
  <c r="Z873" i="2"/>
  <c r="N1078" i="2"/>
  <c r="Z1078" i="2"/>
  <c r="N756" i="2"/>
  <c r="Z756" i="2"/>
  <c r="N536" i="2"/>
  <c r="Z536" i="2"/>
  <c r="N1145" i="2"/>
  <c r="Z1145" i="2"/>
  <c r="N1234" i="2"/>
  <c r="Z1234" i="2"/>
  <c r="N1520" i="2"/>
  <c r="Z1520" i="2"/>
  <c r="N1611" i="2"/>
  <c r="Z1611" i="2"/>
  <c r="N519" i="2"/>
  <c r="Z519" i="2"/>
  <c r="N234" i="2"/>
  <c r="Z234" i="2"/>
  <c r="N1363" i="2"/>
  <c r="Z1363" i="2"/>
  <c r="N859" i="2"/>
  <c r="Z859" i="2"/>
  <c r="N206" i="2"/>
  <c r="Z206" i="2"/>
  <c r="N1283" i="2"/>
  <c r="Z1283" i="2"/>
  <c r="N246" i="2"/>
  <c r="Z246" i="2"/>
  <c r="N860" i="2"/>
  <c r="Z860" i="2"/>
  <c r="N584" i="2"/>
  <c r="Z584" i="2"/>
  <c r="N1197" i="2"/>
  <c r="N1091" i="2"/>
  <c r="N436" i="2"/>
  <c r="N1287" i="2"/>
  <c r="N1344" i="2"/>
  <c r="N543" i="2"/>
  <c r="N152" i="2"/>
  <c r="N969" i="2"/>
  <c r="N1445" i="2"/>
  <c r="N163" i="2"/>
  <c r="N871" i="2"/>
  <c r="N497" i="2"/>
  <c r="N1335" i="2"/>
  <c r="N894" i="2"/>
  <c r="N901" i="2"/>
  <c r="N868" i="2"/>
  <c r="Z868" i="2"/>
  <c r="N1514" i="2"/>
  <c r="Z1514" i="2"/>
  <c r="N416" i="2"/>
  <c r="Z416" i="2"/>
  <c r="N1517" i="2"/>
  <c r="Z1517" i="2"/>
  <c r="N434" i="2"/>
  <c r="Z434" i="2"/>
  <c r="N1143" i="2"/>
  <c r="Z1143" i="2"/>
  <c r="N1450" i="2"/>
  <c r="Z1450" i="2"/>
  <c r="Z989" i="2"/>
  <c r="N989" i="2"/>
  <c r="Z1409" i="2"/>
  <c r="N1409" i="2"/>
  <c r="Z387" i="2"/>
  <c r="N387" i="2"/>
  <c r="N293" i="2"/>
  <c r="N127" i="2"/>
  <c r="N1138" i="2"/>
  <c r="N751" i="2"/>
  <c r="N1641" i="2"/>
  <c r="N295" i="2"/>
  <c r="N1519" i="2"/>
  <c r="N286" i="2"/>
  <c r="N1631" i="2"/>
  <c r="N1505" i="2"/>
  <c r="N367" i="2"/>
  <c r="Z367" i="2"/>
  <c r="N313" i="2"/>
  <c r="Z313" i="2"/>
  <c r="N722" i="2"/>
  <c r="Z722" i="2"/>
  <c r="N419" i="2"/>
  <c r="Z419" i="2"/>
  <c r="N538" i="2"/>
  <c r="Z538" i="2"/>
  <c r="N228" i="2"/>
  <c r="Z228" i="2"/>
  <c r="N1451" i="2"/>
  <c r="Z1451" i="2"/>
  <c r="N1368" i="2"/>
  <c r="Z1368" i="2"/>
  <c r="N1156" i="2"/>
  <c r="Z1156" i="2"/>
  <c r="N870" i="2"/>
  <c r="Z870" i="2"/>
  <c r="N803" i="2"/>
  <c r="Z803" i="2"/>
  <c r="N504" i="2"/>
  <c r="Z504" i="2"/>
  <c r="N1016" i="2"/>
  <c r="Z1016" i="2"/>
  <c r="N233" i="2"/>
  <c r="Z233" i="2"/>
  <c r="N1404" i="2"/>
  <c r="Z1404" i="2"/>
  <c r="N944" i="2"/>
  <c r="Z944" i="2"/>
  <c r="N1304" i="2"/>
  <c r="Z1304" i="2"/>
  <c r="N545" i="2"/>
  <c r="Z545" i="2"/>
  <c r="N202" i="2"/>
  <c r="Z202" i="2"/>
  <c r="N951" i="2"/>
  <c r="Z951" i="2"/>
  <c r="N174" i="2"/>
  <c r="Z174" i="2"/>
  <c r="N844" i="2"/>
  <c r="Z844" i="2"/>
  <c r="N381" i="2"/>
  <c r="Z381" i="2"/>
  <c r="N858" i="2"/>
  <c r="Z858" i="2"/>
  <c r="N768" i="2"/>
  <c r="Z768" i="2"/>
  <c r="N757" i="2"/>
  <c r="Z757" i="2"/>
  <c r="N223" i="2"/>
  <c r="Z223" i="2"/>
  <c r="N1597" i="2"/>
  <c r="Z1597" i="2"/>
  <c r="N1210" i="2"/>
  <c r="Z1210" i="2"/>
  <c r="N277" i="2"/>
  <c r="Z277" i="2"/>
  <c r="N1021" i="2"/>
  <c r="Z1021" i="2"/>
  <c r="N78" i="2"/>
  <c r="Z78" i="2"/>
  <c r="N1558" i="2"/>
  <c r="Z1558" i="2"/>
  <c r="N1147" i="2"/>
  <c r="Z1147" i="2"/>
  <c r="N427" i="2"/>
  <c r="Z427" i="2"/>
  <c r="N1170" i="2"/>
  <c r="Z1170" i="2"/>
  <c r="N1051" i="2"/>
  <c r="Z1051" i="2"/>
  <c r="N848" i="2"/>
  <c r="Z848" i="2"/>
  <c r="N534" i="2"/>
  <c r="Z534" i="2"/>
  <c r="N220" i="2"/>
  <c r="Z220" i="2"/>
  <c r="N1393" i="2"/>
  <c r="Z1393" i="2"/>
  <c r="N1061" i="2"/>
  <c r="Z1061" i="2"/>
  <c r="N1171" i="2"/>
  <c r="Z1171" i="2"/>
  <c r="N895" i="2"/>
  <c r="Z895" i="2"/>
  <c r="Z157" i="2"/>
  <c r="N157" i="2"/>
  <c r="N1508" i="2"/>
  <c r="Z1270" i="2"/>
  <c r="N1270" i="2"/>
  <c r="N212" i="2"/>
  <c r="N661" i="2"/>
  <c r="N142" i="2"/>
  <c r="N588" i="2"/>
  <c r="N217" i="2"/>
  <c r="N43" i="2"/>
  <c r="N261" i="2"/>
  <c r="N199" i="2"/>
  <c r="N1238" i="2"/>
  <c r="N1511" i="2"/>
  <c r="N1480" i="2"/>
  <c r="N1057" i="2"/>
  <c r="N862" i="2"/>
  <c r="Z862" i="2"/>
  <c r="N232" i="2"/>
  <c r="Z232" i="2"/>
  <c r="N145" i="2"/>
  <c r="Z145" i="2"/>
  <c r="N735" i="2"/>
  <c r="Z735" i="2"/>
  <c r="N245" i="2"/>
  <c r="Z245" i="2"/>
  <c r="N235" i="2"/>
  <c r="Z235" i="2"/>
  <c r="N162" i="2"/>
  <c r="Z162" i="2"/>
  <c r="N1481" i="2"/>
  <c r="Z1481" i="2"/>
  <c r="N1534" i="2"/>
  <c r="Z1534" i="2"/>
  <c r="N1402" i="2"/>
  <c r="Z1402" i="2"/>
  <c r="N1374" i="2"/>
  <c r="Z1374" i="2"/>
  <c r="N554" i="2"/>
  <c r="Z554" i="2"/>
  <c r="N480" i="2"/>
  <c r="Z480" i="2"/>
  <c r="N348" i="2"/>
  <c r="Z348" i="2"/>
  <c r="N715" i="2"/>
  <c r="Z715" i="2"/>
  <c r="N1548" i="2"/>
  <c r="Z1548" i="2"/>
  <c r="N1358" i="2"/>
  <c r="Z1358" i="2"/>
  <c r="N805" i="2"/>
  <c r="Z805" i="2"/>
  <c r="N1243" i="2"/>
  <c r="Z1243" i="2"/>
  <c r="N450" i="2"/>
  <c r="Z450" i="2"/>
  <c r="N689" i="2"/>
  <c r="Z689" i="2"/>
  <c r="N379" i="2"/>
  <c r="Z379" i="2"/>
  <c r="N203" i="2"/>
  <c r="Z203" i="2"/>
  <c r="N1362" i="2"/>
  <c r="Z1362" i="2"/>
  <c r="N1377" i="2"/>
  <c r="Z1377" i="2"/>
  <c r="N1088" i="2"/>
  <c r="Z1088" i="2"/>
  <c r="N612" i="2"/>
  <c r="Z612" i="2"/>
  <c r="N494" i="2"/>
  <c r="Z494" i="2"/>
  <c r="N91" i="2"/>
  <c r="Z91" i="2"/>
  <c r="N168" i="2"/>
  <c r="Z168" i="2"/>
  <c r="N1546" i="2"/>
  <c r="Z1546" i="2"/>
  <c r="N945" i="2"/>
  <c r="Z945" i="2"/>
  <c r="N1228" i="2"/>
  <c r="Z1228" i="2"/>
  <c r="N500" i="2"/>
  <c r="Z500" i="2"/>
  <c r="N1640" i="2"/>
  <c r="Z1640" i="2"/>
  <c r="N1406" i="2"/>
  <c r="Z1406" i="2"/>
  <c r="N1023" i="2"/>
  <c r="Z1023" i="2"/>
  <c r="N1309" i="2"/>
  <c r="Z1309" i="2"/>
  <c r="N1110" i="2"/>
  <c r="Z1110" i="2"/>
  <c r="N672" i="2"/>
  <c r="Z672" i="2"/>
  <c r="N964" i="2"/>
  <c r="Z964" i="2"/>
  <c r="N686" i="2"/>
  <c r="Z686" i="2"/>
  <c r="N495" i="2"/>
  <c r="Z495" i="2"/>
  <c r="N518" i="2"/>
  <c r="Z518" i="2"/>
  <c r="N1544" i="2"/>
  <c r="Z1544" i="2"/>
  <c r="N656" i="2"/>
  <c r="Z656" i="2"/>
  <c r="N1536" i="2"/>
  <c r="Z1536" i="2"/>
  <c r="N730" i="2"/>
  <c r="Z730" i="2"/>
  <c r="N285" i="2"/>
  <c r="Z285" i="2"/>
  <c r="N247" i="2"/>
  <c r="Z247" i="2"/>
  <c r="N890" i="2"/>
  <c r="Z890" i="2"/>
  <c r="N941" i="2"/>
  <c r="Z941" i="2"/>
  <c r="N204" i="2"/>
  <c r="Z204" i="2"/>
  <c r="N1488" i="2"/>
  <c r="N1543" i="2"/>
  <c r="N1129" i="2"/>
  <c r="N1438" i="2"/>
  <c r="N939" i="2"/>
  <c r="Z939" i="2"/>
  <c r="N413" i="2"/>
  <c r="Z413" i="2"/>
  <c r="N710" i="2"/>
  <c r="Z710" i="2"/>
  <c r="N61" i="2"/>
  <c r="Z61" i="2"/>
  <c r="N118" i="2"/>
  <c r="Z118" i="2"/>
  <c r="Z41" i="2"/>
  <c r="Z1524" i="2"/>
  <c r="Z128" i="2"/>
  <c r="Z231" i="2"/>
  <c r="Z705" i="2"/>
  <c r="Z931" i="2"/>
  <c r="Z769" i="2"/>
  <c r="N573" i="2"/>
  <c r="Z573" i="2"/>
  <c r="N767" i="2"/>
  <c r="Z767" i="2"/>
  <c r="N141" i="2"/>
  <c r="Z141" i="2"/>
  <c r="Z444" i="2"/>
  <c r="Z790" i="2"/>
  <c r="Z1582" i="2"/>
  <c r="Z1139" i="2"/>
  <c r="Z1131" i="2"/>
  <c r="Z744" i="2"/>
  <c r="Z846" i="2"/>
  <c r="Z104" i="2"/>
  <c r="Z1247" i="2"/>
  <c r="Z1373" i="2"/>
  <c r="Z1100" i="2"/>
  <c r="Z973" i="2"/>
  <c r="Z1599" i="2"/>
  <c r="Z100" i="2"/>
  <c r="Z292" i="2"/>
  <c r="Z1172" i="2"/>
  <c r="Z723" i="2"/>
  <c r="Z578" i="2"/>
  <c r="Z1421" i="2"/>
  <c r="Z98" i="2"/>
  <c r="Z70" i="2"/>
  <c r="Z1009" i="2"/>
  <c r="Z531" i="2"/>
  <c r="Z1487" i="2"/>
  <c r="Z1442" i="2"/>
  <c r="Z1642" i="2"/>
  <c r="Z7" i="2"/>
  <c r="Q7" i="2" s="1"/>
  <c r="AE7" i="2" s="1"/>
  <c r="Z667" i="2"/>
  <c r="Z110" i="2"/>
  <c r="Z260" i="2"/>
  <c r="Z254" i="2"/>
  <c r="Z335" i="2"/>
  <c r="Z1035" i="2"/>
  <c r="Z740" i="2"/>
  <c r="Z827" i="2"/>
  <c r="Z169" i="2"/>
  <c r="Z131" i="2"/>
  <c r="Z1347" i="2"/>
  <c r="Z875" i="2"/>
  <c r="Z1563" i="2"/>
  <c r="Z551" i="2"/>
  <c r="Z1573" i="2"/>
  <c r="Z509" i="2"/>
  <c r="Z1583" i="2"/>
  <c r="Z351" i="2"/>
  <c r="Z1161" i="2"/>
  <c r="Z899" i="2"/>
  <c r="Z1313" i="2"/>
  <c r="Z983" i="2"/>
  <c r="Z589" i="2"/>
  <c r="Z1647" i="2"/>
  <c r="Z1008" i="2"/>
  <c r="Z968" i="2"/>
  <c r="Z1271" i="2"/>
  <c r="Z467" i="2"/>
  <c r="Z1485" i="2"/>
  <c r="Z426" i="2"/>
  <c r="Z741" i="2"/>
  <c r="Z922" i="2"/>
  <c r="Z684" i="2"/>
  <c r="Z1417" i="2"/>
  <c r="N1068" i="2"/>
  <c r="Z1068" i="2"/>
  <c r="N213" i="2"/>
  <c r="Z213" i="2"/>
  <c r="N1639" i="2"/>
  <c r="Z1639" i="2"/>
  <c r="N1255" i="2"/>
  <c r="Z1255" i="2"/>
  <c r="N603" i="2"/>
  <c r="Z603" i="2"/>
  <c r="N1239" i="2"/>
  <c r="Z1239" i="2"/>
  <c r="N1002" i="2"/>
  <c r="Z1002" i="2"/>
  <c r="N230" i="2"/>
  <c r="Z230" i="2"/>
  <c r="N915" i="2"/>
  <c r="Z915" i="2"/>
  <c r="N622" i="2"/>
  <c r="Z622" i="2"/>
  <c r="N820" i="2"/>
  <c r="Z820" i="2"/>
  <c r="N386" i="2"/>
  <c r="Z386" i="2"/>
  <c r="N1551" i="2"/>
  <c r="Z1551" i="2"/>
  <c r="N407" i="2"/>
  <c r="Z407" i="2"/>
  <c r="N1275" i="2"/>
  <c r="Z1275" i="2"/>
  <c r="N678" i="2"/>
  <c r="Z678" i="2"/>
  <c r="N609" i="2"/>
  <c r="Z609" i="2"/>
  <c r="N699" i="2"/>
  <c r="Z699" i="2"/>
  <c r="N749" i="2"/>
  <c r="Z749" i="2"/>
  <c r="N1539" i="2"/>
  <c r="N1426" i="2"/>
  <c r="N1044" i="2"/>
  <c r="N1272" i="2"/>
  <c r="N907" i="2"/>
  <c r="Z907" i="2"/>
  <c r="N439" i="2"/>
  <c r="Z439" i="2"/>
  <c r="N89" i="2"/>
  <c r="Z89" i="2"/>
  <c r="N412" i="2"/>
  <c r="Z412" i="2"/>
  <c r="N433" i="2"/>
  <c r="Z433" i="2"/>
  <c r="N82" i="2"/>
  <c r="Z82" i="2"/>
  <c r="N1576" i="2"/>
  <c r="Z1576" i="2"/>
  <c r="N1635" i="2"/>
  <c r="Z1635" i="2"/>
  <c r="N1614" i="2"/>
  <c r="Z1614" i="2"/>
  <c r="N1643" i="2"/>
  <c r="Z1643" i="2"/>
  <c r="N1632" i="2"/>
  <c r="Z1632" i="2"/>
  <c r="N474" i="2"/>
  <c r="Z474" i="2"/>
  <c r="N1581" i="2"/>
  <c r="Z1581" i="2"/>
  <c r="N1221" i="2"/>
  <c r="Z1221" i="2"/>
  <c r="N475" i="2"/>
  <c r="Z475" i="2"/>
  <c r="N923" i="2"/>
  <c r="Z923" i="2"/>
  <c r="N961" i="2"/>
  <c r="Z961" i="2"/>
  <c r="N1516" i="2"/>
  <c r="Z1516" i="2"/>
  <c r="N1168" i="2"/>
  <c r="Z1168" i="2"/>
  <c r="Z164" i="2"/>
  <c r="Z1386" i="2"/>
  <c r="Z1595" i="2"/>
  <c r="Z960" i="2"/>
  <c r="Z919" i="2"/>
  <c r="N437" i="2"/>
  <c r="Z437" i="2"/>
  <c r="N1020" i="2"/>
  <c r="Z1020" i="2"/>
  <c r="N484" i="2"/>
  <c r="Z484" i="2"/>
  <c r="N777" i="2"/>
  <c r="N1012" i="2"/>
  <c r="N19" i="2"/>
  <c r="Z19" i="2"/>
  <c r="N1636" i="2"/>
  <c r="Z1636" i="2"/>
  <c r="N1107" i="2"/>
  <c r="Z1107" i="2"/>
  <c r="N244" i="2"/>
  <c r="Z244" i="2"/>
  <c r="Z96" i="2"/>
  <c r="Z1452" i="2"/>
  <c r="Z181" i="2"/>
  <c r="Z12" i="2"/>
  <c r="Z296" i="2"/>
  <c r="Z323" i="2"/>
  <c r="Z1567" i="2"/>
  <c r="Z608" i="2"/>
  <c r="Z704" i="2"/>
  <c r="Z193" i="2"/>
  <c r="BK380" i="2"/>
  <c r="N336" i="2"/>
  <c r="N1112" i="2"/>
  <c r="N187" i="2"/>
  <c r="N49" i="2"/>
  <c r="N553" i="2"/>
  <c r="N778" i="2"/>
  <c r="N600" i="2"/>
  <c r="N117" i="2"/>
  <c r="N1236" i="2"/>
  <c r="N845" i="2"/>
  <c r="N1031" i="2"/>
  <c r="N993" i="2"/>
  <c r="N508" i="2"/>
  <c r="N1099" i="2"/>
  <c r="N1502" i="2"/>
  <c r="N354" i="2"/>
  <c r="N32" i="2"/>
  <c r="N539" i="2"/>
  <c r="N179" i="2"/>
  <c r="N360" i="2"/>
  <c r="N1282" i="2"/>
  <c r="N394" i="2"/>
  <c r="N1237" i="2"/>
  <c r="N724" i="2"/>
  <c r="N382" i="2"/>
  <c r="N122" i="2"/>
  <c r="N1533" i="2"/>
  <c r="N908" i="2"/>
  <c r="N1494" i="2"/>
  <c r="N154" i="2"/>
  <c r="N126" i="2"/>
  <c r="N256" i="2"/>
  <c r="N1354" i="2"/>
  <c r="N1169" i="2"/>
  <c r="N1141" i="2"/>
  <c r="N250" i="2"/>
  <c r="N1355" i="2"/>
  <c r="N1146" i="2"/>
  <c r="N370" i="2"/>
  <c r="N752" i="2"/>
  <c r="N834" i="2"/>
  <c r="N102" i="2"/>
  <c r="N1281" i="2"/>
  <c r="N1626" i="2"/>
  <c r="N194" i="2"/>
  <c r="N737" i="2"/>
  <c r="N822" i="2"/>
  <c r="N739" i="2"/>
  <c r="N119" i="2"/>
  <c r="N780" i="2"/>
  <c r="N1387" i="2"/>
  <c r="N237" i="2"/>
  <c r="N1476" i="2"/>
  <c r="N365" i="2"/>
  <c r="N619" i="2"/>
  <c r="N349" i="2"/>
  <c r="N696" i="2"/>
  <c r="N1334" i="2"/>
  <c r="N943" i="2"/>
  <c r="N526" i="2"/>
  <c r="N821" i="2"/>
  <c r="N410" i="2"/>
  <c r="N716" i="2"/>
  <c r="N878" i="2"/>
  <c r="N817" i="2"/>
  <c r="N1220" i="2"/>
  <c r="N1605" i="2"/>
  <c r="N398" i="2"/>
  <c r="N192" i="2"/>
  <c r="N26" i="2"/>
  <c r="N802" i="2"/>
  <c r="N1231" i="2"/>
  <c r="N488" i="2"/>
  <c r="N207" i="2"/>
  <c r="N920" i="2"/>
  <c r="N1634" i="2"/>
  <c r="N363" i="2"/>
  <c r="N1346" i="2"/>
  <c r="N1118" i="2"/>
  <c r="N275" i="2"/>
  <c r="N1073" i="2"/>
  <c r="N106" i="2"/>
  <c r="N324" i="2"/>
  <c r="N1504" i="2"/>
  <c r="N1557" i="2"/>
  <c r="N1535" i="2"/>
  <c r="N959" i="2"/>
  <c r="N552" i="2"/>
  <c r="N276" i="2"/>
  <c r="N31" i="2"/>
  <c r="N1625" i="2"/>
  <c r="N1609" i="2"/>
  <c r="N1620" i="2"/>
  <c r="N1585" i="2"/>
  <c r="N872" i="2"/>
  <c r="N355" i="2"/>
  <c r="N1400" i="2"/>
  <c r="N1606" i="2"/>
  <c r="N1460" i="2"/>
  <c r="N265" i="2"/>
  <c r="N1649" i="2"/>
  <c r="N1123" i="2"/>
  <c r="N1149" i="2"/>
  <c r="N97" i="2"/>
  <c r="N902" i="2"/>
  <c r="N646" i="2"/>
  <c r="N1549" i="2"/>
  <c r="N280" i="2"/>
  <c r="N528" i="2"/>
  <c r="N1415" i="2"/>
  <c r="N774" i="2"/>
  <c r="N1303" i="2"/>
  <c r="N1463" i="2"/>
  <c r="N1646" i="2"/>
  <c r="N1318" i="2"/>
  <c r="N599" i="2"/>
  <c r="N267" i="2"/>
  <c r="N1492" i="2"/>
  <c r="N604" i="2"/>
  <c r="N1440" i="2"/>
  <c r="N1029" i="2"/>
  <c r="N340" i="2"/>
  <c r="N184" i="2"/>
  <c r="N112" i="2"/>
  <c r="N404" i="2"/>
  <c r="N1584" i="2"/>
  <c r="N1506" i="2"/>
  <c r="N333" i="2"/>
  <c r="N585" i="2"/>
  <c r="N1408" i="2"/>
  <c r="N634" i="2"/>
  <c r="N1134" i="2"/>
  <c r="N332" i="2"/>
  <c r="N618" i="2"/>
  <c r="N962" i="2"/>
  <c r="N139" i="2"/>
  <c r="N469" i="2"/>
  <c r="N818" i="2"/>
  <c r="N1555" i="2"/>
  <c r="N1001" i="2"/>
  <c r="N486" i="2"/>
  <c r="N53" i="2"/>
  <c r="N559" i="2"/>
  <c r="N1257" i="2"/>
  <c r="N666" i="2"/>
  <c r="N34" i="2"/>
  <c r="N1464" i="2"/>
  <c r="N1577" i="2"/>
  <c r="N1092" i="2"/>
  <c r="N225" i="2"/>
  <c r="N498" i="2"/>
  <c r="N36" i="2"/>
  <c r="AG1468" i="2"/>
  <c r="AI1468" i="2" s="1"/>
  <c r="AH1468" i="2" s="1"/>
  <c r="AB1166" i="2"/>
  <c r="N1163" i="2"/>
  <c r="Z1163" i="2" s="1"/>
  <c r="AB1163" i="2" s="1"/>
  <c r="AD1163" i="2" s="1"/>
  <c r="AT1158" i="2"/>
  <c r="AF1381" i="2"/>
  <c r="Z1381" i="2" s="1"/>
  <c r="AF1580" i="2"/>
  <c r="Z1580" i="2" s="1"/>
  <c r="AD1532" i="2"/>
  <c r="AD1192" i="2"/>
  <c r="AD1419" i="2"/>
  <c r="AD712" i="2"/>
  <c r="AD1216" i="2"/>
  <c r="AD1285" i="2"/>
  <c r="AF1069" i="2"/>
  <c r="N1069" i="2" s="1"/>
  <c r="AD816" i="2"/>
  <c r="Z1701" i="2"/>
  <c r="Q1701" i="2" s="1"/>
  <c r="AE1701" i="2" s="1"/>
  <c r="BO1701" i="2" s="1"/>
  <c r="BM1701" i="2" s="1"/>
  <c r="N555" i="2"/>
  <c r="Q555" i="2"/>
  <c r="AE555" i="2" s="1"/>
  <c r="BO555" i="2" s="1"/>
  <c r="BM555" i="2" s="1"/>
  <c r="AB555" i="2"/>
  <c r="AD555" i="2" s="1"/>
  <c r="N316" i="2"/>
  <c r="N297" i="2"/>
  <c r="N66" i="2"/>
  <c r="Z334" i="2"/>
  <c r="Q364" i="2"/>
  <c r="AE364" i="2" s="1"/>
  <c r="BO364" i="2" s="1"/>
  <c r="BM364" i="2" s="1"/>
  <c r="N35" i="2"/>
  <c r="N364" i="2"/>
  <c r="AB302" i="2"/>
  <c r="AD302" i="2" s="1"/>
  <c r="Z316" i="2"/>
  <c r="Q316" i="2" s="1"/>
  <c r="AE316" i="2" s="1"/>
  <c r="BO316" i="2" s="1"/>
  <c r="BM316" i="2" s="1"/>
  <c r="N334" i="2"/>
  <c r="AB364" i="2"/>
  <c r="AD364" i="2" s="1"/>
  <c r="Q302" i="2"/>
  <c r="AE302" i="2" s="1"/>
  <c r="BO302" i="2" s="1"/>
  <c r="BM302" i="2" s="1"/>
  <c r="N302" i="2"/>
  <c r="Z35" i="2"/>
  <c r="N1254" i="2"/>
  <c r="AB66" i="2"/>
  <c r="AD66" i="2" s="1"/>
  <c r="Q66" i="2"/>
  <c r="AE66" i="2" s="1"/>
  <c r="BO66" i="2" s="1"/>
  <c r="BM66" i="2" s="1"/>
  <c r="N524" i="2"/>
  <c r="N320" i="2"/>
  <c r="N1119" i="2"/>
  <c r="N300" i="2"/>
  <c r="Q136" i="2"/>
  <c r="AE136" i="2" s="1"/>
  <c r="BO136" i="2" s="1"/>
  <c r="BM136" i="2" s="1"/>
  <c r="Z115" i="2"/>
  <c r="AB320" i="2"/>
  <c r="AD320" i="2" s="1"/>
  <c r="N136" i="2"/>
  <c r="N115" i="2"/>
  <c r="Q189" i="2"/>
  <c r="AE189" i="2" s="1"/>
  <c r="BO189" i="2" s="1"/>
  <c r="BM189" i="2" s="1"/>
  <c r="N101" i="2"/>
  <c r="N189" i="2"/>
  <c r="Q766" i="2"/>
  <c r="AE766" i="2" s="1"/>
  <c r="BO766" i="2" s="1"/>
  <c r="BM766" i="2" s="1"/>
  <c r="Z1119" i="2"/>
  <c r="Q1119" i="2" s="1"/>
  <c r="AE1119" i="2" s="1"/>
  <c r="BO1119" i="2" s="1"/>
  <c r="BM1119" i="2" s="1"/>
  <c r="AB136" i="2"/>
  <c r="AD136" i="2" s="1"/>
  <c r="N766" i="2"/>
  <c r="Q320" i="2"/>
  <c r="AE320" i="2" s="1"/>
  <c r="BO320" i="2" s="1"/>
  <c r="BM320" i="2" s="1"/>
  <c r="Z524" i="2"/>
  <c r="AB766" i="2"/>
  <c r="AD766" i="2" s="1"/>
  <c r="N73" i="2"/>
  <c r="Q287" i="2"/>
  <c r="AE287" i="2" s="1"/>
  <c r="BO287" i="2" s="1"/>
  <c r="BM287" i="2" s="1"/>
  <c r="Q101" i="2"/>
  <c r="AE101" i="2" s="1"/>
  <c r="BO101" i="2" s="1"/>
  <c r="BM101" i="2" s="1"/>
  <c r="AB73" i="2"/>
  <c r="AD73" i="2" s="1"/>
  <c r="AB189" i="2"/>
  <c r="AD189" i="2" s="1"/>
  <c r="N287" i="2"/>
  <c r="AB101" i="2"/>
  <c r="AD101" i="2" s="1"/>
  <c r="Q73" i="2"/>
  <c r="AE73" i="2" s="1"/>
  <c r="BO73" i="2" s="1"/>
  <c r="BM73" i="2" s="1"/>
  <c r="AB287" i="2"/>
  <c r="AD287" i="2" s="1"/>
  <c r="AB721" i="2"/>
  <c r="AB1468" i="2"/>
  <c r="N188" i="2"/>
  <c r="AI1181" i="2"/>
  <c r="AI1503" i="2"/>
  <c r="Z1496" i="2"/>
  <c r="AB804" i="2"/>
  <c r="AD804" i="2" s="1"/>
  <c r="AC1381" i="2"/>
  <c r="Q1108" i="2"/>
  <c r="AE1108" i="2" s="1"/>
  <c r="BO1108" i="2" s="1"/>
  <c r="BM1108" i="2" s="1"/>
  <c r="AG1405" i="2"/>
  <c r="AH1405" i="2" s="1"/>
  <c r="AB1622" i="2"/>
  <c r="AD1622" i="2" s="1"/>
  <c r="N129" i="2"/>
  <c r="AB1496" i="2"/>
  <c r="AD1496" i="2" s="1"/>
  <c r="AB1405" i="2"/>
  <c r="AD1405" i="2" s="1"/>
  <c r="AB1108" i="2"/>
  <c r="AD1108" i="2" s="1"/>
  <c r="AG1580" i="2"/>
  <c r="AH1580" i="2" s="1"/>
  <c r="AB1181" i="2"/>
  <c r="AB1439" i="2"/>
  <c r="AD1439" i="2" s="1"/>
  <c r="N121" i="2"/>
  <c r="N155" i="2"/>
  <c r="N156" i="2"/>
  <c r="N208" i="2"/>
  <c r="Z624" i="2"/>
  <c r="Q624" i="2" s="1"/>
  <c r="AE624" i="2" s="1"/>
  <c r="BO624" i="2" s="1"/>
  <c r="BM624" i="2" s="1"/>
  <c r="Z529" i="2"/>
  <c r="AB529" i="2"/>
  <c r="AD529" i="2" s="1"/>
  <c r="AB1401" i="2"/>
  <c r="AD1401" i="2" s="1"/>
  <c r="Z121" i="2"/>
  <c r="Q121" i="2" s="1"/>
  <c r="AE121" i="2" s="1"/>
  <c r="BO121" i="2" s="1"/>
  <c r="BM121" i="2" s="1"/>
  <c r="Z129" i="2"/>
  <c r="Q129" i="2" s="1"/>
  <c r="AE129" i="2" s="1"/>
  <c r="BO129" i="2" s="1"/>
  <c r="BM129" i="2" s="1"/>
  <c r="N1405" i="2"/>
  <c r="AC1069" i="2"/>
  <c r="AG1439" i="2"/>
  <c r="AH1439" i="2" s="1"/>
  <c r="Z156" i="2"/>
  <c r="Q156" i="2" s="1"/>
  <c r="AE156" i="2" s="1"/>
  <c r="BO156" i="2" s="1"/>
  <c r="BM156" i="2" s="1"/>
  <c r="Z155" i="2"/>
  <c r="Q155" i="2" s="1"/>
  <c r="AE155" i="2" s="1"/>
  <c r="BO155" i="2" s="1"/>
  <c r="BM155" i="2" s="1"/>
  <c r="N1027" i="2"/>
  <c r="Z1405" i="2"/>
  <c r="Z125" i="2"/>
  <c r="Z140" i="2"/>
  <c r="AB125" i="2"/>
  <c r="AD125" i="2" s="1"/>
  <c r="AB140" i="2"/>
  <c r="AD140" i="2" s="1"/>
  <c r="N906" i="2"/>
  <c r="Z906" i="2" s="1"/>
  <c r="AC1026" i="2"/>
  <c r="Z208" i="2"/>
  <c r="Z188" i="2"/>
  <c r="N1209" i="2"/>
  <c r="AB1027" i="2"/>
  <c r="AD1027" i="2" s="1"/>
  <c r="AC1108" i="2"/>
  <c r="Z243" i="2"/>
  <c r="Q243" i="2" s="1"/>
  <c r="AE243" i="2" s="1"/>
  <c r="BO243" i="2" s="1"/>
  <c r="BM243" i="2" s="1"/>
  <c r="Z222" i="2"/>
  <c r="Q222" i="2" s="1"/>
  <c r="AE222" i="2" s="1"/>
  <c r="BO222" i="2" s="1"/>
  <c r="BM222" i="2" s="1"/>
  <c r="AB243" i="2"/>
  <c r="AD243" i="2" s="1"/>
  <c r="AB222" i="2"/>
  <c r="AD222" i="2" s="1"/>
  <c r="N1401" i="2"/>
  <c r="AG1622" i="2"/>
  <c r="AH1622" i="2" s="1"/>
  <c r="Z300" i="2"/>
  <c r="Q300" i="2" s="1"/>
  <c r="AE300" i="2" s="1"/>
  <c r="BO300" i="2" s="1"/>
  <c r="BM300" i="2" s="1"/>
  <c r="Z297" i="2"/>
  <c r="Z1209" i="2"/>
  <c r="N1108" i="2"/>
  <c r="Z391" i="2"/>
  <c r="Q391" i="2" s="1"/>
  <c r="AE391" i="2" s="1"/>
  <c r="BO391" i="2" s="1"/>
  <c r="BM391" i="2" s="1"/>
  <c r="Z390" i="2"/>
  <c r="AB391" i="2"/>
  <c r="AD391" i="2" s="1"/>
  <c r="AB390" i="2"/>
  <c r="AD390" i="2" s="1"/>
  <c r="Q1027" i="2"/>
  <c r="AE1027" i="2" s="1"/>
  <c r="BO1027" i="2" s="1"/>
  <c r="BM1027" i="2" s="1"/>
  <c r="Q1401" i="2"/>
  <c r="AE1401" i="2" s="1"/>
  <c r="BO1401" i="2" s="1"/>
  <c r="BM1401" i="2" s="1"/>
  <c r="Q804" i="2"/>
  <c r="AE804" i="2" s="1"/>
  <c r="BO804" i="2" s="1"/>
  <c r="BM804" i="2" s="1"/>
  <c r="N804" i="2"/>
  <c r="N624" i="2"/>
  <c r="N529" i="2"/>
  <c r="AB1026" i="2"/>
  <c r="N967" i="2"/>
  <c r="AG967" i="2" s="1"/>
  <c r="AH967" i="2" s="1"/>
  <c r="N479" i="2"/>
  <c r="Z479" i="2" s="1"/>
  <c r="N958" i="2"/>
  <c r="Z958" i="2" s="1"/>
  <c r="N826" i="2"/>
  <c r="Z826" i="2" s="1"/>
  <c r="AB594" i="2"/>
  <c r="AB1212" i="2"/>
  <c r="AG1054" i="2"/>
  <c r="AI1054" i="2" s="1"/>
  <c r="AH1054" i="2" s="1"/>
  <c r="AB1503" i="2"/>
  <c r="AG1359" i="2"/>
  <c r="AI1359" i="2" s="1"/>
  <c r="AB560" i="2"/>
  <c r="AB1116" i="2"/>
  <c r="N1226" i="2"/>
  <c r="N1015" i="2"/>
  <c r="Z1015" i="2" s="1"/>
  <c r="AC1503" i="2"/>
  <c r="AB693" i="2"/>
  <c r="AB1391" i="2"/>
  <c r="AG483" i="2"/>
  <c r="AI483" i="2" s="1"/>
  <c r="AB1054" i="2"/>
  <c r="AI693" i="2"/>
  <c r="AI1391" i="2"/>
  <c r="AG658" i="2"/>
  <c r="AI658" i="2" s="1"/>
  <c r="AG721" i="2"/>
  <c r="AI721" i="2" s="1"/>
  <c r="AC1181" i="2"/>
  <c r="AI1026" i="2"/>
  <c r="N1026" i="2" s="1"/>
  <c r="N913" i="2"/>
  <c r="AB272" i="2"/>
  <c r="AD272" i="2" s="1"/>
  <c r="AB658" i="2"/>
  <c r="AB1359" i="2"/>
  <c r="AC693" i="2"/>
  <c r="AC1391" i="2"/>
  <c r="AG560" i="2"/>
  <c r="AG1116" i="2"/>
  <c r="AG594" i="2"/>
  <c r="AI594" i="2" s="1"/>
  <c r="AG1212" i="2"/>
  <c r="AB1254" i="2"/>
  <c r="AD1254" i="2" s="1"/>
  <c r="Z459" i="2"/>
  <c r="Q459" i="2" s="1"/>
  <c r="AE459" i="2" s="1"/>
  <c r="BO459" i="2" s="1"/>
  <c r="BM459" i="2" s="1"/>
  <c r="AB483" i="2"/>
  <c r="N1178" i="2"/>
  <c r="Z1178" i="2" s="1"/>
  <c r="Q1178" i="2" s="1"/>
  <c r="AE1178" i="2" s="1"/>
  <c r="N40" i="2"/>
  <c r="Z542" i="2"/>
  <c r="N1124" i="2"/>
  <c r="AC1124" i="2" s="1"/>
  <c r="N1187" i="2"/>
  <c r="N1302" i="2"/>
  <c r="N697" i="2"/>
  <c r="N1150" i="2"/>
  <c r="AB93" i="2"/>
  <c r="N37" i="2"/>
  <c r="N429" i="2"/>
  <c r="N1200" i="2"/>
  <c r="N679" i="2"/>
  <c r="N1086" i="2"/>
  <c r="N976" i="2"/>
  <c r="N1128" i="2"/>
  <c r="N1125" i="2"/>
  <c r="AC1125" i="2" s="1"/>
  <c r="N797" i="2"/>
  <c r="N1203" i="2"/>
  <c r="N1137" i="2"/>
  <c r="N1094" i="2"/>
  <c r="N809" i="2"/>
  <c r="Z37" i="2"/>
  <c r="Q37" i="2" s="1"/>
  <c r="AE37" i="2" s="1"/>
  <c r="BO37" i="2" s="1"/>
  <c r="BM37" i="2" s="1"/>
  <c r="Z160" i="2"/>
  <c r="N1325" i="2"/>
  <c r="N1109" i="2"/>
  <c r="N1230" i="2"/>
  <c r="N841" i="2"/>
  <c r="N373" i="2"/>
  <c r="N1079" i="2"/>
  <c r="AB27" i="2"/>
  <c r="AD27" i="2" s="1"/>
  <c r="AB160" i="2"/>
  <c r="AD160" i="2" s="1"/>
  <c r="AB457" i="2"/>
  <c r="AD457" i="2" s="1"/>
  <c r="Z849" i="2"/>
  <c r="N1219" i="2"/>
  <c r="AB929" i="2"/>
  <c r="AD929" i="2" s="1"/>
  <c r="N927" i="2"/>
  <c r="N1433" i="2"/>
  <c r="AC1433" i="2" s="1"/>
  <c r="N1153" i="2"/>
  <c r="AG1153" i="2" s="1"/>
  <c r="AH1153" i="2" s="1"/>
  <c r="N1186" i="2"/>
  <c r="AC1186" i="2" s="1"/>
  <c r="N1342" i="2"/>
  <c r="N1420" i="2"/>
  <c r="AC1420" i="2" s="1"/>
  <c r="N1265" i="2"/>
  <c r="N1087" i="2"/>
  <c r="AC1087" i="2" s="1"/>
  <c r="N748" i="2"/>
  <c r="AG748" i="2" s="1"/>
  <c r="AH748" i="2" s="1"/>
  <c r="N842" i="2"/>
  <c r="AG842" i="2" s="1"/>
  <c r="AH842" i="2" s="1"/>
  <c r="N525" i="2"/>
  <c r="AG525" i="2" s="1"/>
  <c r="AH525" i="2" s="1"/>
  <c r="N629" i="2"/>
  <c r="AG629" i="2" s="1"/>
  <c r="AH629" i="2" s="1"/>
  <c r="N468" i="2"/>
  <c r="AG468" i="2" s="1"/>
  <c r="AH468" i="2" s="1"/>
  <c r="N1446" i="2"/>
  <c r="AG1446" i="2" s="1"/>
  <c r="AH1446" i="2" s="1"/>
  <c r="N1434" i="2"/>
  <c r="AC1434" i="2" s="1"/>
  <c r="N1314" i="2"/>
  <c r="AC1314" i="2" s="1"/>
  <c r="N1111" i="2"/>
  <c r="AG1111" i="2" s="1"/>
  <c r="AH1111" i="2" s="1"/>
  <c r="N1312" i="2"/>
  <c r="AG1312" i="2" s="1"/>
  <c r="AH1312" i="2" s="1"/>
  <c r="N1448" i="2"/>
  <c r="AC1448" i="2" s="1"/>
  <c r="N1077" i="2"/>
  <c r="AC1077" i="2" s="1"/>
  <c r="N898" i="2"/>
  <c r="AC898" i="2" s="1"/>
  <c r="N891" i="2"/>
  <c r="N1067" i="2"/>
  <c r="N996" i="2"/>
  <c r="AC996" i="2" s="1"/>
  <c r="N874" i="2"/>
  <c r="AC874" i="2" s="1"/>
  <c r="AB569" i="2"/>
  <c r="AD569" i="2" s="1"/>
  <c r="N458" i="2"/>
  <c r="Z457" i="2"/>
  <c r="Q457" i="2" s="1"/>
  <c r="AE457" i="2" s="1"/>
  <c r="BO457" i="2" s="1"/>
  <c r="BM457" i="2" s="1"/>
  <c r="AB460" i="2"/>
  <c r="AD460" i="2" s="1"/>
  <c r="Q458" i="2"/>
  <c r="AE458" i="2" s="1"/>
  <c r="BO458" i="2" s="1"/>
  <c r="BM458" i="2" s="1"/>
  <c r="AB458" i="2"/>
  <c r="AD458" i="2" s="1"/>
  <c r="Z607" i="2"/>
  <c r="Z272" i="2"/>
  <c r="Q272" i="2" s="1"/>
  <c r="AE272" i="2" s="1"/>
  <c r="BO272" i="2" s="1"/>
  <c r="BM272" i="2" s="1"/>
  <c r="AB459" i="2"/>
  <c r="AD459" i="2" s="1"/>
  <c r="Z460" i="2"/>
  <c r="Q460" i="2" s="1"/>
  <c r="AE460" i="2" s="1"/>
  <c r="BO460" i="2" s="1"/>
  <c r="BM460" i="2" s="1"/>
  <c r="Z569" i="2"/>
  <c r="N607" i="2"/>
  <c r="N1241" i="2"/>
  <c r="Z1241" i="2"/>
  <c r="Z463" i="2"/>
  <c r="AH240" i="2"/>
  <c r="Z611" i="2"/>
  <c r="Q611" i="2" s="1"/>
  <c r="AE611" i="2" s="1"/>
  <c r="BO611" i="2" s="1"/>
  <c r="BM611" i="2" s="1"/>
  <c r="AB611" i="2"/>
  <c r="AD611" i="2" s="1"/>
  <c r="AB372" i="2"/>
  <c r="AD372" i="2" s="1"/>
  <c r="Z927" i="2"/>
  <c r="Q927" i="2" s="1"/>
  <c r="AE927" i="2" s="1"/>
  <c r="BO927" i="2" s="1"/>
  <c r="BM927" i="2" s="1"/>
  <c r="Z913" i="2"/>
  <c r="Z373" i="2"/>
  <c r="N372" i="2"/>
  <c r="N625" i="2"/>
  <c r="N51" i="2"/>
  <c r="Z1568" i="2"/>
  <c r="AF329" i="2"/>
  <c r="Z329" i="2" s="1"/>
  <c r="Q329" i="2" s="1"/>
  <c r="AE329" i="2" s="1"/>
  <c r="BO329" i="2" s="1"/>
  <c r="BM329" i="2" s="1"/>
  <c r="N1310" i="2"/>
  <c r="AB1262" i="2"/>
  <c r="AD1262" i="2" s="1"/>
  <c r="Z312" i="2"/>
  <c r="AB13" i="2"/>
  <c r="AD13" i="2" s="1"/>
  <c r="AB665" i="2"/>
  <c r="AD665" i="2" s="1"/>
  <c r="AF924" i="2"/>
  <c r="Z924" i="2" s="1"/>
  <c r="AH929" i="2"/>
  <c r="AB329" i="2"/>
  <c r="AD329" i="2" s="1"/>
  <c r="N1115" i="2"/>
  <c r="AB924" i="2"/>
  <c r="AD924" i="2" s="1"/>
  <c r="AB40" i="2"/>
  <c r="AD40" i="2" s="1"/>
  <c r="AB22" i="2"/>
  <c r="AD22" i="2" s="1"/>
  <c r="Z372" i="2"/>
  <c r="Q372" i="2" s="1"/>
  <c r="AE372" i="2" s="1"/>
  <c r="BO372" i="2" s="1"/>
  <c r="BM372" i="2" s="1"/>
  <c r="Z13" i="2"/>
  <c r="Q13" i="2" s="1"/>
  <c r="AE13" i="2" s="1"/>
  <c r="BO13" i="2" s="1"/>
  <c r="BM13" i="2" s="1"/>
  <c r="Z665" i="2"/>
  <c r="Q665" i="2" s="1"/>
  <c r="AE665" i="2" s="1"/>
  <c r="BO665" i="2" s="1"/>
  <c r="BM665" i="2" s="1"/>
  <c r="N21" i="2"/>
  <c r="BO506" i="2"/>
  <c r="BM506" i="2" s="1"/>
  <c r="AB103" i="2"/>
  <c r="AB797" i="2"/>
  <c r="AD797" i="2" s="1"/>
  <c r="AB1157" i="2"/>
  <c r="AD1157" i="2" s="1"/>
  <c r="N389" i="2"/>
  <c r="Q1254" i="2"/>
  <c r="AE1254" i="2" s="1"/>
  <c r="BO1254" i="2" s="1"/>
  <c r="BM1254" i="2" s="1"/>
  <c r="N542" i="2"/>
  <c r="N312" i="2"/>
  <c r="N463" i="2"/>
  <c r="AB389" i="2"/>
  <c r="AD389" i="2" s="1"/>
  <c r="N1269" i="2"/>
  <c r="Z27" i="2"/>
  <c r="AB947" i="2"/>
  <c r="AD947" i="2" s="1"/>
  <c r="Z797" i="2"/>
  <c r="AB1430" i="2"/>
  <c r="AD1430" i="2" s="1"/>
  <c r="AB561" i="2"/>
  <c r="AD561" i="2" s="1"/>
  <c r="Z40" i="2"/>
  <c r="AB21" i="2"/>
  <c r="AD21" i="2" s="1"/>
  <c r="AB51" i="2"/>
  <c r="AD51" i="2" s="1"/>
  <c r="AB1269" i="2"/>
  <c r="AD1269" i="2" s="1"/>
  <c r="N511" i="2"/>
  <c r="Z511" i="2"/>
  <c r="AB601" i="2"/>
  <c r="AD601" i="2" s="1"/>
  <c r="AH1157" i="2"/>
  <c r="Z22" i="2"/>
  <c r="AB1324" i="2"/>
  <c r="AD1324" i="2" s="1"/>
  <c r="AB1219" i="2"/>
  <c r="AD1219" i="2" s="1"/>
  <c r="AF929" i="2"/>
  <c r="N929" i="2" s="1"/>
  <c r="AB1310" i="2"/>
  <c r="AD1310" i="2" s="1"/>
  <c r="AB1025" i="2"/>
  <c r="AD1025" i="2" s="1"/>
  <c r="Z25" i="2"/>
  <c r="N561" i="2"/>
  <c r="Z1310" i="2"/>
  <c r="Z625" i="2"/>
  <c r="AB625" i="2"/>
  <c r="AD625" i="2" s="1"/>
  <c r="Z1262" i="2"/>
  <c r="AB240" i="2"/>
  <c r="AD240" i="2" s="1"/>
  <c r="BO51" i="2"/>
  <c r="BM51" i="2" s="1"/>
  <c r="Q21" i="2"/>
  <c r="AE21" i="2" s="1"/>
  <c r="BO21" i="2" s="1"/>
  <c r="BM21" i="2" s="1"/>
  <c r="Q1269" i="2"/>
  <c r="AE1269" i="2" s="1"/>
  <c r="BO1269" i="2" s="1"/>
  <c r="BM1269" i="2" s="1"/>
  <c r="N22" i="2"/>
  <c r="N1262" i="2"/>
  <c r="N27" i="2"/>
  <c r="Z108" i="2"/>
  <c r="Q108" i="2" s="1"/>
  <c r="AE108" i="2" s="1"/>
  <c r="BO108" i="2" s="1"/>
  <c r="BM108" i="2" s="1"/>
  <c r="AB1568" i="2"/>
  <c r="AD1568" i="2" s="1"/>
  <c r="AB25" i="2"/>
  <c r="AD25" i="2" s="1"/>
  <c r="Z1219" i="2"/>
  <c r="Q1219" i="2" s="1"/>
  <c r="AE1219" i="2" s="1"/>
  <c r="BO1219" i="2" s="1"/>
  <c r="BM1219" i="2" s="1"/>
  <c r="AB108" i="2"/>
  <c r="AD108" i="2" s="1"/>
  <c r="AB849" i="2"/>
  <c r="AD849" i="2" s="1"/>
  <c r="N1324" i="2"/>
  <c r="AF1430" i="2"/>
  <c r="N1430" i="2" s="1"/>
  <c r="N1157" i="2"/>
  <c r="AF601" i="2"/>
  <c r="Z601" i="2" s="1"/>
  <c r="AB511" i="2"/>
  <c r="AD511" i="2" s="1"/>
  <c r="AH389" i="2"/>
  <c r="AH561" i="2"/>
  <c r="Q1157" i="2"/>
  <c r="Q389" i="2"/>
  <c r="Q561" i="2"/>
  <c r="N240" i="2"/>
  <c r="Q240" i="2"/>
  <c r="Q929" i="2"/>
  <c r="N108" i="2"/>
  <c r="N849" i="2"/>
  <c r="N25" i="2"/>
  <c r="N1568" i="2"/>
  <c r="Z947" i="2"/>
  <c r="BO1115" i="2"/>
  <c r="BM1115" i="2" s="1"/>
  <c r="AB9" i="2"/>
  <c r="AT736" i="2"/>
  <c r="AT745" i="2"/>
  <c r="AT60" i="2"/>
  <c r="AT948" i="2"/>
  <c r="AT68" i="2"/>
  <c r="AT236" i="2"/>
  <c r="AB144" i="2"/>
  <c r="AB1115" i="2"/>
  <c r="AD1115" i="2" s="1"/>
  <c r="Q1324" i="2"/>
  <c r="AE1324" i="2" s="1"/>
  <c r="BO1324" i="2" s="1"/>
  <c r="BM1324" i="2" s="1"/>
  <c r="N1025" i="2"/>
  <c r="N947" i="2"/>
  <c r="Q1025" i="2"/>
  <c r="AE1025" i="2" s="1"/>
  <c r="BO1025" i="2" s="1"/>
  <c r="BM1025" i="2" s="1"/>
  <c r="AT1613" i="2"/>
  <c r="N377" i="2"/>
  <c r="N1047" i="2"/>
  <c r="BJ994" i="2"/>
  <c r="BK994" i="2" s="1"/>
  <c r="AT994" i="2"/>
  <c r="AT490" i="2"/>
  <c r="AT1644" i="2"/>
  <c r="AT1371" i="2"/>
  <c r="AT1588" i="2"/>
  <c r="N506" i="2"/>
  <c r="AF1704" i="2"/>
  <c r="N1704" i="2" s="1"/>
  <c r="Z1349" i="2"/>
  <c r="AB1349" i="2" s="1"/>
  <c r="AD1349" i="2" s="1"/>
  <c r="N1345" i="2"/>
  <c r="N914" i="2"/>
  <c r="Z1367" i="2"/>
  <c r="AB1367" i="2" s="1"/>
  <c r="AD1367" i="2" s="1"/>
  <c r="N1366" i="2"/>
  <c r="Z298" i="2"/>
  <c r="AB298" i="2" s="1"/>
  <c r="AD298" i="2" s="1"/>
  <c r="N1003" i="2"/>
  <c r="Z132" i="2"/>
  <c r="AB132" i="2" s="1"/>
  <c r="AD132" i="2" s="1"/>
  <c r="AB1047" i="2"/>
  <c r="AD1047" i="2" s="1"/>
  <c r="AF301" i="2"/>
  <c r="Z301" i="2" s="1"/>
  <c r="N1566" i="2"/>
  <c r="BO219" i="2"/>
  <c r="BM219" i="2" s="1"/>
  <c r="Z1392" i="2"/>
  <c r="AB1392" i="2" s="1"/>
  <c r="AD1392" i="2" s="1"/>
  <c r="N1515" i="2"/>
  <c r="Z990" i="2"/>
  <c r="AB990" i="2" s="1"/>
  <c r="AD990" i="2" s="1"/>
  <c r="Z597" i="2"/>
  <c r="AB597" i="2" s="1"/>
  <c r="AD597" i="2" s="1"/>
  <c r="N1384" i="2"/>
  <c r="N829" i="2"/>
  <c r="N1175" i="2"/>
  <c r="BO1003" i="2"/>
  <c r="BM1003" i="2" s="1"/>
  <c r="N219" i="2"/>
  <c r="N580" i="2"/>
  <c r="N791" i="2"/>
  <c r="AB914" i="2"/>
  <c r="AD914" i="2" s="1"/>
  <c r="Q914" i="2"/>
  <c r="AE914" i="2" s="1"/>
  <c r="BO914" i="2" s="1"/>
  <c r="BM914" i="2" s="1"/>
  <c r="Z30" i="2"/>
  <c r="AB30" i="2" s="1"/>
  <c r="AD30" i="2" s="1"/>
  <c r="Z1266" i="2"/>
  <c r="N764" i="2"/>
  <c r="AB1512" i="2"/>
  <c r="AD1512" i="2" s="1"/>
  <c r="Z1706" i="2"/>
  <c r="Q1706" i="2" s="1"/>
  <c r="AE1706" i="2" s="1"/>
  <c r="BO1706" i="2" s="1"/>
  <c r="BM1706" i="2" s="1"/>
  <c r="Z917" i="2"/>
  <c r="Q917" i="2" s="1"/>
  <c r="AE917" i="2" s="1"/>
  <c r="BO917" i="2" s="1"/>
  <c r="BM917" i="2" s="1"/>
  <c r="N562" i="2"/>
  <c r="Z321" i="2"/>
  <c r="Q321" i="2" s="1"/>
  <c r="AE321" i="2" s="1"/>
  <c r="BO321" i="2" s="1"/>
  <c r="BM321" i="2" s="1"/>
  <c r="Z456" i="2"/>
  <c r="Q1321" i="2"/>
  <c r="AE1321" i="2" s="1"/>
  <c r="BO1321" i="2" s="1"/>
  <c r="BM1321" i="2" s="1"/>
  <c r="Z1499" i="2"/>
  <c r="Q1499" i="2" s="1"/>
  <c r="AE1499" i="2" s="1"/>
  <c r="BO1499" i="2" s="1"/>
  <c r="BM1499" i="2" s="1"/>
  <c r="Z1261" i="2"/>
  <c r="AB1261" i="2" s="1"/>
  <c r="AD1261" i="2" s="1"/>
  <c r="Z1010" i="2"/>
  <c r="AB1010" i="2" s="1"/>
  <c r="AD1010" i="2" s="1"/>
  <c r="Z1703" i="2"/>
  <c r="Q1703" i="2" s="1"/>
  <c r="AE1703" i="2" s="1"/>
  <c r="BO1703" i="2" s="1"/>
  <c r="BM1703" i="2" s="1"/>
  <c r="Z1707" i="2"/>
  <c r="AB1707" i="2" s="1"/>
  <c r="AD1707" i="2" s="1"/>
  <c r="Z1472" i="2"/>
  <c r="Q1472" i="2" s="1"/>
  <c r="AE1472" i="2" s="1"/>
  <c r="BO1472" i="2" s="1"/>
  <c r="BM1472" i="2" s="1"/>
  <c r="N643" i="2"/>
  <c r="Z1478" i="2"/>
  <c r="AB1478" i="2" s="1"/>
  <c r="AD1478" i="2" s="1"/>
  <c r="Z352" i="2"/>
  <c r="AB352" i="2" s="1"/>
  <c r="AD352" i="2" s="1"/>
  <c r="Z1245" i="2"/>
  <c r="Z441" i="2"/>
  <c r="Q441" i="2" s="1"/>
  <c r="AE441" i="2" s="1"/>
  <c r="BO441" i="2" s="1"/>
  <c r="BM441" i="2" s="1"/>
  <c r="AF1540" i="2"/>
  <c r="Z1540" i="2" s="1"/>
  <c r="Q1540" i="2" s="1"/>
  <c r="AE1540" i="2" s="1"/>
  <c r="BO1540" i="2" s="1"/>
  <c r="BM1540" i="2" s="1"/>
  <c r="BO1566" i="2"/>
  <c r="BM1566" i="2" s="1"/>
  <c r="N1321" i="2"/>
  <c r="Z952" i="2"/>
  <c r="AB952" i="2" s="1"/>
  <c r="AD952" i="2" s="1"/>
  <c r="Z182" i="2"/>
  <c r="AB182" i="2" s="1"/>
  <c r="AD182" i="2" s="1"/>
  <c r="BO1175" i="2"/>
  <c r="BM1175" i="2" s="1"/>
  <c r="BO1515" i="2"/>
  <c r="BM1515" i="2" s="1"/>
  <c r="N928" i="2"/>
  <c r="Q1512" i="2"/>
  <c r="AE1512" i="2" s="1"/>
  <c r="BO1512" i="2" s="1"/>
  <c r="BM1512" i="2" s="1"/>
  <c r="Z1004" i="2"/>
  <c r="N1512" i="2"/>
  <c r="Q829" i="2"/>
  <c r="AE829" i="2" s="1"/>
  <c r="BO829" i="2" s="1"/>
  <c r="BM829" i="2" s="1"/>
  <c r="Q764" i="2"/>
  <c r="AE764" i="2" s="1"/>
  <c r="BO764" i="2" s="1"/>
  <c r="BM764" i="2" s="1"/>
  <c r="AB1370" i="2"/>
  <c r="AD1370" i="2" s="1"/>
  <c r="AB1003" i="2"/>
  <c r="AD1003" i="2" s="1"/>
  <c r="Q1370" i="2"/>
  <c r="AE1370" i="2" s="1"/>
  <c r="BO1370" i="2" s="1"/>
  <c r="BM1370" i="2" s="1"/>
  <c r="N1370" i="2"/>
  <c r="Q928" i="2"/>
  <c r="AE928" i="2" s="1"/>
  <c r="BO928" i="2" s="1"/>
  <c r="BM928" i="2" s="1"/>
  <c r="Q1345" i="2"/>
  <c r="AE1345" i="2" s="1"/>
  <c r="BO1345" i="2" s="1"/>
  <c r="BM1345" i="2" s="1"/>
  <c r="Q377" i="2"/>
  <c r="AE377" i="2" s="1"/>
  <c r="BO377" i="2" s="1"/>
  <c r="BM377" i="2" s="1"/>
  <c r="Q562" i="2"/>
  <c r="AE562" i="2" s="1"/>
  <c r="BO562" i="2" s="1"/>
  <c r="BM562" i="2" s="1"/>
  <c r="AB1175" i="2"/>
  <c r="AD1175" i="2" s="1"/>
  <c r="Q580" i="2"/>
  <c r="AE580" i="2" s="1"/>
  <c r="BO580" i="2" s="1"/>
  <c r="BM580" i="2" s="1"/>
  <c r="Q1047" i="2"/>
  <c r="AE1047" i="2" s="1"/>
  <c r="BO1047" i="2" s="1"/>
  <c r="BM1047" i="2" s="1"/>
  <c r="Q1384" i="2"/>
  <c r="AE1384" i="2" s="1"/>
  <c r="BO1384" i="2" s="1"/>
  <c r="BM1384" i="2" s="1"/>
  <c r="AB1345" i="2"/>
  <c r="AD1345" i="2" s="1"/>
  <c r="AB580" i="2"/>
  <c r="AD580" i="2" s="1"/>
  <c r="Q1226" i="2"/>
  <c r="AE1226" i="2" s="1"/>
  <c r="BO1226" i="2" s="1"/>
  <c r="BM1226" i="2" s="1"/>
  <c r="Q75" i="2"/>
  <c r="AE75" i="2" s="1"/>
  <c r="BO75" i="2" s="1"/>
  <c r="BM75" i="2" s="1"/>
  <c r="AB219" i="2"/>
  <c r="AD219" i="2" s="1"/>
  <c r="AB506" i="2"/>
  <c r="AD506" i="2" s="1"/>
  <c r="Q791" i="2"/>
  <c r="AE791" i="2" s="1"/>
  <c r="BO791" i="2" s="1"/>
  <c r="BM791" i="2" s="1"/>
  <c r="Q963" i="2"/>
  <c r="AE963" i="2" s="1"/>
  <c r="BO963" i="2" s="1"/>
  <c r="BM963" i="2" s="1"/>
  <c r="AB1477" i="2"/>
  <c r="AD1477" i="2" s="1"/>
  <c r="Q1477" i="2"/>
  <c r="AE1477" i="2" s="1"/>
  <c r="BO1477" i="2" s="1"/>
  <c r="BM1477" i="2" s="1"/>
  <c r="AB1566" i="2"/>
  <c r="AD1566" i="2" s="1"/>
  <c r="N75" i="2"/>
  <c r="AB1515" i="2"/>
  <c r="AD1515" i="2" s="1"/>
  <c r="Q643" i="2"/>
  <c r="AE643" i="2" s="1"/>
  <c r="BO643" i="2" s="1"/>
  <c r="BM643" i="2" s="1"/>
  <c r="Q1366" i="2"/>
  <c r="AE1366" i="2" s="1"/>
  <c r="BO1366" i="2" s="1"/>
  <c r="BM1366" i="2" s="1"/>
  <c r="N963" i="2"/>
  <c r="N1477" i="2"/>
  <c r="Z1000" i="2"/>
  <c r="N1651" i="2"/>
  <c r="AF1702" i="2"/>
  <c r="Z1702" i="2" s="1"/>
  <c r="Q1702" i="2" s="1"/>
  <c r="AE1702" i="2" s="1"/>
  <c r="BO1702" i="2" s="1"/>
  <c r="BM1702" i="2" s="1"/>
  <c r="AF1165" i="2"/>
  <c r="Z1165" i="2" s="1"/>
  <c r="N441" i="2"/>
  <c r="N1158" i="2"/>
  <c r="N1588" i="2"/>
  <c r="AF1705" i="2"/>
  <c r="Z1705" i="2" s="1"/>
  <c r="AF1201" i="2"/>
  <c r="Z1201" i="2" s="1"/>
  <c r="AB1090" i="2"/>
  <c r="AD1090" i="2" s="1"/>
  <c r="Q1090" i="2"/>
  <c r="AE1090" i="2" s="1"/>
  <c r="BO1090" i="2" s="1"/>
  <c r="BM1090" i="2" s="1"/>
  <c r="Q992" i="2"/>
  <c r="AE992" i="2" s="1"/>
  <c r="BO992" i="2" s="1"/>
  <c r="BM992" i="2" s="1"/>
  <c r="N992" i="2"/>
  <c r="N1090" i="2"/>
  <c r="N1645" i="2"/>
  <c r="N14" i="2"/>
  <c r="Z14" i="2" s="1"/>
  <c r="Q14" i="2" s="1"/>
  <c r="BJ1158" i="2"/>
  <c r="BK1158" i="2" s="1"/>
  <c r="N1644" i="2"/>
  <c r="N1371" i="2"/>
  <c r="N1000" i="2"/>
  <c r="N1652" i="2"/>
  <c r="N132" i="2"/>
  <c r="N1613" i="2"/>
  <c r="Z1158" i="2"/>
  <c r="N1703" i="2"/>
  <c r="Z1371" i="2"/>
  <c r="AB1371" i="2" s="1"/>
  <c r="AD1371" i="2" s="1"/>
  <c r="Z1644" i="2"/>
  <c r="Q1644" i="2" s="1"/>
  <c r="AE1644" i="2" s="1"/>
  <c r="BO1644" i="2" s="1"/>
  <c r="BM1644" i="2" s="1"/>
  <c r="N865" i="2"/>
  <c r="Z865" i="2" s="1"/>
  <c r="Z1651" i="2"/>
  <c r="AB1651" i="2" s="1"/>
  <c r="AD1651" i="2" s="1"/>
  <c r="Z1645" i="2"/>
  <c r="AB1645" i="2" s="1"/>
  <c r="AD1645" i="2" s="1"/>
  <c r="Z1652" i="2"/>
  <c r="AB1652" i="2" s="1"/>
  <c r="AD1652" i="2" s="1"/>
  <c r="Z1613" i="2"/>
  <c r="AB1613" i="2" s="1"/>
  <c r="AD1613" i="2" s="1"/>
  <c r="Z1588" i="2"/>
  <c r="N1707" i="2"/>
  <c r="N30" i="2"/>
  <c r="N917" i="2"/>
  <c r="N1706" i="2"/>
  <c r="N1472" i="2"/>
  <c r="Z1700" i="2"/>
  <c r="Q1700" i="2" s="1"/>
  <c r="AE1700" i="2" s="1"/>
  <c r="BO1700" i="2" s="1"/>
  <c r="BM1700" i="2" s="1"/>
  <c r="Z1034" i="2"/>
  <c r="Q1034" i="2" s="1"/>
  <c r="AE1034" i="2" s="1"/>
  <c r="BO1034" i="2" s="1"/>
  <c r="BM1034" i="2" s="1"/>
  <c r="Z1694" i="2"/>
  <c r="Z248" i="2"/>
  <c r="AB248" i="2" s="1"/>
  <c r="AD248" i="2" s="1"/>
  <c r="N266" i="2"/>
  <c r="Z266" i="2" s="1"/>
  <c r="N16" i="2"/>
  <c r="Z16" i="2" s="1"/>
  <c r="Z522" i="2"/>
  <c r="N910" i="2"/>
  <c r="Z910" i="2" s="1"/>
  <c r="AF903" i="2"/>
  <c r="N903" i="2" s="1"/>
  <c r="Z903" i="2" s="1"/>
  <c r="N909" i="2"/>
  <c r="N238" i="2"/>
  <c r="N135" i="2"/>
  <c r="Z72" i="2"/>
  <c r="Z750" i="2"/>
  <c r="Q1166" i="2"/>
  <c r="AE1166" i="2" s="1"/>
  <c r="BO1166" i="2" s="1"/>
  <c r="BM1166" i="2" s="1"/>
  <c r="N1166" i="2"/>
  <c r="AB63" i="2"/>
  <c r="AD63" i="2" s="1"/>
  <c r="Q63" i="2"/>
  <c r="AE63" i="2" s="1"/>
  <c r="BO63" i="2" s="1"/>
  <c r="BM63" i="2" s="1"/>
  <c r="N63" i="2"/>
  <c r="N694" i="2"/>
  <c r="Z694" i="2" s="1"/>
  <c r="Q694" i="2" s="1"/>
  <c r="Z1427" i="2"/>
  <c r="Z1250" i="2"/>
  <c r="Z1454" i="2"/>
  <c r="N1357" i="2"/>
  <c r="BO981" i="2"/>
  <c r="BM981" i="2" s="1"/>
  <c r="N1473" i="2"/>
  <c r="BO765" i="2"/>
  <c r="BM765" i="2" s="1"/>
  <c r="Z1425" i="2"/>
  <c r="Z1559" i="2"/>
  <c r="Q1559" i="2" s="1"/>
  <c r="AE1559" i="2" s="1"/>
  <c r="BO1559" i="2" s="1"/>
  <c r="BM1559" i="2" s="1"/>
  <c r="N765" i="2"/>
  <c r="AB765" i="2"/>
  <c r="AD765" i="2" s="1"/>
  <c r="Z1473" i="2"/>
  <c r="Q1473" i="2" s="1"/>
  <c r="AE1473" i="2" s="1"/>
  <c r="BO1473" i="2" s="1"/>
  <c r="BM1473" i="2" s="1"/>
  <c r="N1379" i="2"/>
  <c r="N1192" i="2"/>
  <c r="N1285" i="2"/>
  <c r="Z1495" i="2"/>
  <c r="Q1495" i="2" s="1"/>
  <c r="AE1495" i="2" s="1"/>
  <c r="BO1495" i="2" s="1"/>
  <c r="BM1495" i="2" s="1"/>
  <c r="Z1379" i="2"/>
  <c r="N981" i="2"/>
  <c r="Z1357" i="2"/>
  <c r="BO796" i="2"/>
  <c r="BM796" i="2" s="1"/>
  <c r="N1037" i="2"/>
  <c r="BO1037" i="2"/>
  <c r="BM1037" i="2" s="1"/>
  <c r="AB587" i="2"/>
  <c r="AB1268" i="2"/>
  <c r="AB796" i="2"/>
  <c r="AB1294" i="2"/>
  <c r="AB1085" i="2"/>
  <c r="AB1541" i="2"/>
  <c r="AD1541" i="2" s="1"/>
  <c r="AB1561" i="2"/>
  <c r="AD1561" i="2" s="1"/>
  <c r="AB1435" i="2"/>
  <c r="AB981" i="2"/>
  <c r="AB1037" i="2"/>
  <c r="Q1192" i="2"/>
  <c r="AE1192" i="2" s="1"/>
  <c r="BO1192" i="2" s="1"/>
  <c r="BM1192" i="2" s="1"/>
  <c r="N712" i="2"/>
  <c r="Q1216" i="2"/>
  <c r="AE1216" i="2" s="1"/>
  <c r="BO1216" i="2" s="1"/>
  <c r="BM1216" i="2" s="1"/>
  <c r="N1561" i="2"/>
  <c r="N796" i="2"/>
  <c r="N1268" i="2"/>
  <c r="N1435" i="2"/>
  <c r="N1419" i="2"/>
  <c r="N816" i="2"/>
  <c r="N1216" i="2"/>
  <c r="N1532" i="2"/>
  <c r="N1294" i="2"/>
  <c r="N587" i="2"/>
  <c r="N1541" i="2"/>
  <c r="N1085" i="2"/>
  <c r="Z50" i="2"/>
  <c r="AB50" i="2" s="1"/>
  <c r="AD50" i="2" s="1"/>
  <c r="N423" i="2"/>
  <c r="N586" i="2"/>
  <c r="N1423" i="2"/>
  <c r="N617" i="2"/>
  <c r="Z1521" i="2"/>
  <c r="Z1500" i="2"/>
  <c r="Q1500" i="2" s="1"/>
  <c r="AE1500" i="2" s="1"/>
  <c r="BO1500" i="2" s="1"/>
  <c r="BM1500" i="2" s="1"/>
  <c r="Q1435" i="2"/>
  <c r="AE1435" i="2" s="1"/>
  <c r="BO1435" i="2" s="1"/>
  <c r="BM1435" i="2" s="1"/>
  <c r="Q1294" i="2"/>
  <c r="AE1294" i="2" s="1"/>
  <c r="BO1294" i="2" s="1"/>
  <c r="BM1294" i="2" s="1"/>
  <c r="Q1268" i="2"/>
  <c r="AE1268" i="2" s="1"/>
  <c r="BO1268" i="2" s="1"/>
  <c r="BM1268" i="2" s="1"/>
  <c r="N1521" i="2"/>
  <c r="Z1293" i="2"/>
  <c r="Q1293" i="2" s="1"/>
  <c r="AE1293" i="2" s="1"/>
  <c r="BO1293" i="2" s="1"/>
  <c r="BM1293" i="2" s="1"/>
  <c r="N1361" i="2"/>
  <c r="N1525" i="2"/>
  <c r="N1279" i="2"/>
  <c r="N1538" i="2"/>
  <c r="N1425" i="2"/>
  <c r="Z1361" i="2"/>
  <c r="Q1361" i="2" s="1"/>
  <c r="AE1361" i="2" s="1"/>
  <c r="BO1361" i="2" s="1"/>
  <c r="BM1361" i="2" s="1"/>
  <c r="Z1525" i="2"/>
  <c r="AB1525" i="2" s="1"/>
  <c r="AD1525" i="2" s="1"/>
  <c r="N1495" i="2"/>
  <c r="N1486" i="2"/>
  <c r="Z1486" i="2"/>
  <c r="Q1486" i="2" s="1"/>
  <c r="AE1486" i="2" s="1"/>
  <c r="BO1486" i="2" s="1"/>
  <c r="BM1486" i="2" s="1"/>
  <c r="Z1522" i="2"/>
  <c r="Q1522" i="2" s="1"/>
  <c r="AE1522" i="2" s="1"/>
  <c r="BO1522" i="2" s="1"/>
  <c r="BM1522" i="2" s="1"/>
  <c r="Z1542" i="2"/>
  <c r="Q1542" i="2" s="1"/>
  <c r="AE1542" i="2" s="1"/>
  <c r="BO1542" i="2" s="1"/>
  <c r="BM1542" i="2" s="1"/>
  <c r="Z1538" i="2"/>
  <c r="Q1538" i="2" s="1"/>
  <c r="AE1538" i="2" s="1"/>
  <c r="BO1538" i="2" s="1"/>
  <c r="BM1538" i="2" s="1"/>
  <c r="N1444" i="2"/>
  <c r="N1717" i="2"/>
  <c r="Z1717" i="2" s="1"/>
  <c r="N1726" i="2"/>
  <c r="Z1726" i="2" s="1"/>
  <c r="N1716" i="2"/>
  <c r="Z1716" i="2" s="1"/>
  <c r="N1718" i="2"/>
  <c r="Z1718" i="2" s="1"/>
  <c r="AB1718" i="2" s="1"/>
  <c r="AD1718" i="2" s="1"/>
  <c r="BO957" i="2"/>
  <c r="BM957" i="2" s="1"/>
  <c r="BO1320" i="2"/>
  <c r="BM1320" i="2" s="1"/>
  <c r="Z932" i="2"/>
  <c r="AB932" i="2" s="1"/>
  <c r="AD932" i="2" s="1"/>
  <c r="Z1456" i="2"/>
  <c r="Z1279" i="2"/>
  <c r="N1500" i="2"/>
  <c r="N1522" i="2"/>
  <c r="N1559" i="2"/>
  <c r="N1542" i="2"/>
  <c r="N932" i="2"/>
  <c r="N1427" i="2"/>
  <c r="N1456" i="2"/>
  <c r="N1293" i="2"/>
  <c r="N1545" i="2"/>
  <c r="N1720" i="2"/>
  <c r="Z1720" i="2" s="1"/>
  <c r="AB1720" i="2" s="1"/>
  <c r="AD1720" i="2" s="1"/>
  <c r="N15" i="2"/>
  <c r="N1591" i="2"/>
  <c r="Z1244" i="2"/>
  <c r="N1528" i="2"/>
  <c r="N671" i="2"/>
  <c r="N523" i="2"/>
  <c r="N642" i="2"/>
  <c r="Z1397" i="2"/>
  <c r="N330" i="2"/>
  <c r="N521" i="2"/>
  <c r="N783" i="2"/>
  <c r="N1407" i="2"/>
  <c r="N143" i="2"/>
  <c r="Z1698" i="2"/>
  <c r="N1700" i="2"/>
  <c r="N211" i="2"/>
  <c r="N1211" i="2"/>
  <c r="N982" i="2"/>
  <c r="N610" i="2"/>
  <c r="N269" i="2"/>
  <c r="N1694" i="2"/>
  <c r="N1190" i="2"/>
  <c r="N1177" i="2"/>
  <c r="N921" i="2"/>
  <c r="N239" i="2"/>
  <c r="N210" i="2"/>
  <c r="N384" i="2"/>
  <c r="N435" i="2"/>
  <c r="N1724" i="2"/>
  <c r="Z1724" i="2" s="1"/>
  <c r="N62" i="2"/>
  <c r="N761" i="2"/>
  <c r="N965" i="2"/>
  <c r="AB1466" i="2"/>
  <c r="AD1466" i="2" s="1"/>
  <c r="N615" i="2"/>
  <c r="N1395" i="2"/>
  <c r="N867" i="2"/>
  <c r="Q462" i="2"/>
  <c r="AE462" i="2" s="1"/>
  <c r="BO462" i="2" s="1"/>
  <c r="BM462" i="2" s="1"/>
  <c r="AB883" i="2"/>
  <c r="AD883" i="2" s="1"/>
  <c r="Q1194" i="2"/>
  <c r="AE1194" i="2" s="1"/>
  <c r="BO1194" i="2" s="1"/>
  <c r="BM1194" i="2" s="1"/>
  <c r="AB1224" i="2"/>
  <c r="AD1224" i="2" s="1"/>
  <c r="Q799" i="2"/>
  <c r="AE799" i="2" s="1"/>
  <c r="BO799" i="2" s="1"/>
  <c r="BM799" i="2" s="1"/>
  <c r="Z512" i="2"/>
  <c r="Z513" i="2"/>
  <c r="N729" i="2"/>
  <c r="AB729" i="2" s="1"/>
  <c r="AD729" i="2" s="1"/>
  <c r="AB620" i="2"/>
  <c r="AD620" i="2" s="1"/>
  <c r="BO62" i="2"/>
  <c r="BM62" i="2" s="1"/>
  <c r="N462" i="2"/>
  <c r="N1194" i="2"/>
  <c r="Z1045" i="2"/>
  <c r="AB1045" i="2" s="1"/>
  <c r="AD1045" i="2" s="1"/>
  <c r="AB42" i="2"/>
  <c r="AD42" i="2" s="1"/>
  <c r="Z1696" i="2"/>
  <c r="Q1696" i="2" s="1"/>
  <c r="AE1696" i="2" s="1"/>
  <c r="BO1696" i="2" s="1"/>
  <c r="BM1696" i="2" s="1"/>
  <c r="N1155" i="2"/>
  <c r="Q1466" i="2"/>
  <c r="AE1466" i="2" s="1"/>
  <c r="BO1466" i="2" s="1"/>
  <c r="BM1466" i="2" s="1"/>
  <c r="N659" i="2"/>
  <c r="Q1545" i="2"/>
  <c r="AE1545" i="2" s="1"/>
  <c r="BO1545" i="2" s="1"/>
  <c r="BM1545" i="2" s="1"/>
  <c r="Z290" i="2"/>
  <c r="Q1224" i="2"/>
  <c r="AE1224" i="2" s="1"/>
  <c r="BO1224" i="2" s="1"/>
  <c r="BM1224" i="2" s="1"/>
  <c r="Z706" i="2"/>
  <c r="Z464" i="2"/>
  <c r="Z759" i="2"/>
  <c r="AB759" i="2" s="1"/>
  <c r="AD759" i="2" s="1"/>
  <c r="AB462" i="2"/>
  <c r="AD462" i="2" s="1"/>
  <c r="Q975" i="2"/>
  <c r="AE975" i="2" s="1"/>
  <c r="BO975" i="2" s="1"/>
  <c r="BM975" i="2" s="1"/>
  <c r="Z1407" i="2"/>
  <c r="AB1407" i="2" s="1"/>
  <c r="AD1407" i="2" s="1"/>
  <c r="Q956" i="2"/>
  <c r="AE956" i="2" s="1"/>
  <c r="BO956" i="2" s="1"/>
  <c r="BM956" i="2" s="1"/>
  <c r="Q357" i="2"/>
  <c r="AE357" i="2" s="1"/>
  <c r="BO357" i="2" s="1"/>
  <c r="BM357" i="2" s="1"/>
  <c r="N241" i="2"/>
  <c r="N262" i="2"/>
  <c r="BO1160" i="2"/>
  <c r="BM1160" i="2" s="1"/>
  <c r="Q523" i="2"/>
  <c r="AE523" i="2" s="1"/>
  <c r="BO523" i="2" s="1"/>
  <c r="BM523" i="2" s="1"/>
  <c r="Z754" i="2"/>
  <c r="N975" i="2"/>
  <c r="Q384" i="2"/>
  <c r="AE384" i="2" s="1"/>
  <c r="BO384" i="2" s="1"/>
  <c r="BM384" i="2" s="1"/>
  <c r="N957" i="2"/>
  <c r="N799" i="2"/>
  <c r="N1383" i="2"/>
  <c r="Q521" i="2"/>
  <c r="AE521" i="2" s="1"/>
  <c r="BO521" i="2" s="1"/>
  <c r="BM521" i="2" s="1"/>
  <c r="Q1277" i="2"/>
  <c r="AE1277" i="2" s="1"/>
  <c r="BO1277" i="2" s="1"/>
  <c r="BM1277" i="2" s="1"/>
  <c r="Q143" i="2"/>
  <c r="AE143" i="2" s="1"/>
  <c r="BO143" i="2" s="1"/>
  <c r="BM143" i="2" s="1"/>
  <c r="Q1065" i="2"/>
  <c r="AE1065" i="2" s="1"/>
  <c r="BO1065" i="2" s="1"/>
  <c r="BM1065" i="2" s="1"/>
  <c r="AB654" i="2"/>
  <c r="AD654" i="2" s="1"/>
  <c r="Q654" i="2"/>
  <c r="AE654" i="2" s="1"/>
  <c r="BO654" i="2" s="1"/>
  <c r="BM654" i="2" s="1"/>
  <c r="N1449" i="2"/>
  <c r="N616" i="2"/>
  <c r="AB28" i="2"/>
  <c r="AD28" i="2" s="1"/>
  <c r="Q1105" i="2"/>
  <c r="AE1105" i="2" s="1"/>
  <c r="BO1105" i="2" s="1"/>
  <c r="BM1105" i="2" s="1"/>
  <c r="N1280" i="2"/>
  <c r="Q1176" i="2"/>
  <c r="AE1176" i="2" s="1"/>
  <c r="BO1176" i="2" s="1"/>
  <c r="BM1176" i="2" s="1"/>
  <c r="Q1437" i="2"/>
  <c r="AE1437" i="2" s="1"/>
  <c r="BO1437" i="2" s="1"/>
  <c r="BM1437" i="2" s="1"/>
  <c r="AB289" i="2"/>
  <c r="AD289" i="2" s="1"/>
  <c r="Z191" i="2"/>
  <c r="N331" i="2"/>
  <c r="AB1095" i="2"/>
  <c r="AD1095" i="2" s="1"/>
  <c r="N28" i="2"/>
  <c r="Z423" i="2"/>
  <c r="Z556" i="2"/>
  <c r="AB556" i="2" s="1"/>
  <c r="AD556" i="2" s="1"/>
  <c r="Z1423" i="2"/>
  <c r="AB1423" i="2" s="1"/>
  <c r="AD1423" i="2" s="1"/>
  <c r="Q1011" i="2"/>
  <c r="AE1011" i="2" s="1"/>
  <c r="BO1011" i="2" s="1"/>
  <c r="BM1011" i="2" s="1"/>
  <c r="N357" i="2"/>
  <c r="N1320" i="2"/>
  <c r="AB732" i="2"/>
  <c r="AD732" i="2" s="1"/>
  <c r="Q289" i="2"/>
  <c r="AE289" i="2" s="1"/>
  <c r="BO289" i="2" s="1"/>
  <c r="BM289" i="2" s="1"/>
  <c r="Z760" i="2"/>
  <c r="AB921" i="2"/>
  <c r="AD921" i="2" s="1"/>
  <c r="Q921" i="2"/>
  <c r="AE921" i="2" s="1"/>
  <c r="BO921" i="2" s="1"/>
  <c r="BM921" i="2" s="1"/>
  <c r="Q1211" i="2"/>
  <c r="AE1211" i="2" s="1"/>
  <c r="BO1211" i="2" s="1"/>
  <c r="BM1211" i="2" s="1"/>
  <c r="Z325" i="2"/>
  <c r="AB325" i="2" s="1"/>
  <c r="AD325" i="2" s="1"/>
  <c r="N4" i="2"/>
  <c r="N970" i="2"/>
  <c r="N556" i="2"/>
  <c r="AB772" i="2"/>
  <c r="AD772" i="2" s="1"/>
  <c r="N1011" i="2"/>
  <c r="N289" i="2"/>
  <c r="Z447" i="2"/>
  <c r="AB447" i="2" s="1"/>
  <c r="AD447" i="2" s="1"/>
  <c r="Q239" i="2"/>
  <c r="AE239" i="2" s="1"/>
  <c r="BO239" i="2" s="1"/>
  <c r="BM239" i="2" s="1"/>
  <c r="N1708" i="2"/>
  <c r="N1698" i="2"/>
  <c r="Q783" i="2"/>
  <c r="AE783" i="2" s="1"/>
  <c r="BO783" i="2" s="1"/>
  <c r="BM783" i="2" s="1"/>
  <c r="AB813" i="2"/>
  <c r="AD813" i="2" s="1"/>
  <c r="Q732" i="2"/>
  <c r="AE732" i="2" s="1"/>
  <c r="BO732" i="2" s="1"/>
  <c r="BM732" i="2" s="1"/>
  <c r="AB507" i="2"/>
  <c r="AD507" i="2" s="1"/>
  <c r="Q435" i="2"/>
  <c r="AE435" i="2" s="1"/>
  <c r="BO435" i="2" s="1"/>
  <c r="BM435" i="2" s="1"/>
  <c r="N353" i="2"/>
  <c r="Q1095" i="2"/>
  <c r="AE1095" i="2" s="1"/>
  <c r="BO1095" i="2" s="1"/>
  <c r="BM1095" i="2" s="1"/>
  <c r="N877" i="2"/>
  <c r="N832" i="2"/>
  <c r="N623" i="2"/>
  <c r="N883" i="2"/>
  <c r="N956" i="2"/>
  <c r="N1224" i="2"/>
  <c r="N732" i="2"/>
  <c r="Q507" i="2"/>
  <c r="AE507" i="2" s="1"/>
  <c r="BO507" i="2" s="1"/>
  <c r="BM507" i="2" s="1"/>
  <c r="N706" i="2"/>
  <c r="Z314" i="2"/>
  <c r="N681" i="2"/>
  <c r="N33" i="2"/>
  <c r="N505" i="2"/>
  <c r="N1098" i="2"/>
  <c r="N1052" i="2"/>
  <c r="Z707" i="2"/>
  <c r="N994" i="2"/>
  <c r="N1277" i="2"/>
  <c r="AB782" i="2"/>
  <c r="AD782" i="2" s="1"/>
  <c r="N507" i="2"/>
  <c r="Z770" i="2"/>
  <c r="Z158" i="2"/>
  <c r="Z476" i="2"/>
  <c r="N90" i="2"/>
  <c r="N317" i="2"/>
  <c r="AB1528" i="2"/>
  <c r="AD1528" i="2" s="1"/>
  <c r="Z1152" i="2"/>
  <c r="Z1497" i="2"/>
  <c r="AB840" i="2"/>
  <c r="AD840" i="2" s="1"/>
  <c r="AB1011" i="2"/>
  <c r="AD1011" i="2" s="1"/>
  <c r="N1065" i="2"/>
  <c r="N1176" i="2"/>
  <c r="N1437" i="2"/>
  <c r="N1721" i="2"/>
  <c r="Z1721" i="2" s="1"/>
  <c r="AB1721" i="2" s="1"/>
  <c r="AD1721" i="2" s="1"/>
  <c r="N813" i="2"/>
  <c r="Z133" i="2"/>
  <c r="AB143" i="2"/>
  <c r="AD143" i="2" s="1"/>
  <c r="Z575" i="2"/>
  <c r="AB575" i="2" s="1"/>
  <c r="AD575" i="2" s="1"/>
  <c r="Q330" i="2"/>
  <c r="AE330" i="2" s="1"/>
  <c r="BO330" i="2" s="1"/>
  <c r="BM330" i="2" s="1"/>
  <c r="AB330" i="2"/>
  <c r="AD330" i="2" s="1"/>
  <c r="Q211" i="2"/>
  <c r="AE211" i="2" s="1"/>
  <c r="BO211" i="2" s="1"/>
  <c r="BM211" i="2" s="1"/>
  <c r="AB211" i="2"/>
  <c r="AD211" i="2" s="1"/>
  <c r="Z170" i="2"/>
  <c r="Z221" i="2"/>
  <c r="Q221" i="2" s="1"/>
  <c r="AE221" i="2" s="1"/>
  <c r="BO221" i="2" s="1"/>
  <c r="BM221" i="2" s="1"/>
  <c r="Z568" i="2"/>
  <c r="Z420" i="2"/>
  <c r="Z171" i="2"/>
  <c r="Z440" i="2"/>
  <c r="AB1211" i="2"/>
  <c r="AD1211" i="2" s="1"/>
  <c r="AB239" i="2"/>
  <c r="AD239" i="2" s="1"/>
  <c r="N153" i="2"/>
  <c r="Q867" i="2"/>
  <c r="AE867" i="2" s="1"/>
  <c r="BO867" i="2" s="1"/>
  <c r="BM867" i="2" s="1"/>
  <c r="AB867" i="2"/>
  <c r="AD867" i="2" s="1"/>
  <c r="Q824" i="2"/>
  <c r="AE824" i="2" s="1"/>
  <c r="BO824" i="2" s="1"/>
  <c r="BM824" i="2" s="1"/>
  <c r="BO833" i="2"/>
  <c r="BM833" i="2" s="1"/>
  <c r="BO530" i="2"/>
  <c r="BM530" i="2" s="1"/>
  <c r="BO318" i="2"/>
  <c r="BM318" i="2" s="1"/>
  <c r="N310" i="2"/>
  <c r="Z310" i="2" s="1"/>
  <c r="Q310" i="2" s="1"/>
  <c r="N172" i="2"/>
  <c r="Z172" i="2" s="1"/>
  <c r="N197" i="2"/>
  <c r="AB197" i="2" s="1"/>
  <c r="AD197" i="2" s="1"/>
  <c r="AB299" i="2"/>
  <c r="AD299" i="2" s="1"/>
  <c r="N482" i="2"/>
  <c r="Q709" i="2"/>
  <c r="AE709" i="2" s="1"/>
  <c r="BO709" i="2" s="1"/>
  <c r="BM709" i="2" s="1"/>
  <c r="N308" i="2"/>
  <c r="Z1339" i="2"/>
  <c r="N1339" i="2"/>
  <c r="Z1135" i="2"/>
  <c r="Z911" i="2"/>
  <c r="AB911" i="2" s="1"/>
  <c r="AD911" i="2" s="1"/>
  <c r="N911" i="2"/>
  <c r="N1723" i="2"/>
  <c r="Z1723" i="2" s="1"/>
  <c r="N1461" i="2"/>
  <c r="Z1461" i="2"/>
  <c r="AB1461" i="2" s="1"/>
  <c r="AD1461" i="2" s="1"/>
  <c r="N422" i="2"/>
  <c r="AB422" i="2" s="1"/>
  <c r="AD422" i="2" s="1"/>
  <c r="N107" i="2"/>
  <c r="N185" i="2"/>
  <c r="Z982" i="2"/>
  <c r="Q982" i="2" s="1"/>
  <c r="AE982" i="2" s="1"/>
  <c r="BO982" i="2" s="1"/>
  <c r="BM982" i="2" s="1"/>
  <c r="Z1032" i="2"/>
  <c r="N1032" i="2"/>
  <c r="Q623" i="2"/>
  <c r="AE623" i="2" s="1"/>
  <c r="BO623" i="2" s="1"/>
  <c r="BM623" i="2" s="1"/>
  <c r="Z1590" i="2"/>
  <c r="N1590" i="2"/>
  <c r="Q883" i="2"/>
  <c r="AE883" i="2" s="1"/>
  <c r="BO883" i="2" s="1"/>
  <c r="BM883" i="2" s="1"/>
  <c r="Q637" i="2"/>
  <c r="AE637" i="2" s="1"/>
  <c r="BO637" i="2" s="1"/>
  <c r="BM637" i="2" s="1"/>
  <c r="N242" i="2"/>
  <c r="Z242" i="2" s="1"/>
  <c r="N319" i="2"/>
  <c r="Z319" i="2" s="1"/>
  <c r="N55" i="2"/>
  <c r="AB62" i="2"/>
  <c r="AD62" i="2" s="1"/>
  <c r="AB637" i="2"/>
  <c r="AD637" i="2" s="1"/>
  <c r="Z1071" i="2"/>
  <c r="N1071" i="2"/>
  <c r="Z273" i="2"/>
  <c r="N99" i="2"/>
  <c r="Q1075" i="2"/>
  <c r="AE1075" i="2" s="1"/>
  <c r="BO1075" i="2" s="1"/>
  <c r="BM1075" i="2" s="1"/>
  <c r="Z593" i="2"/>
  <c r="N593" i="2"/>
  <c r="AB64" i="2"/>
  <c r="AD64" i="2" s="1"/>
  <c r="Z876" i="2"/>
  <c r="AB671" i="2"/>
  <c r="AD671" i="2" s="1"/>
  <c r="Q671" i="2"/>
  <c r="AE671" i="2" s="1"/>
  <c r="BO671" i="2" s="1"/>
  <c r="BM671" i="2" s="1"/>
  <c r="AB1177" i="2"/>
  <c r="AD1177" i="2" s="1"/>
  <c r="BO210" i="2"/>
  <c r="BM210" i="2" s="1"/>
  <c r="N148" i="2"/>
  <c r="Z148" i="2" s="1"/>
  <c r="N161" i="2"/>
  <c r="N116" i="2"/>
  <c r="N637" i="2"/>
  <c r="N1301" i="2"/>
  <c r="N1380" i="2"/>
  <c r="AB566" i="2"/>
  <c r="AD566" i="2" s="1"/>
  <c r="AB708" i="2"/>
  <c r="AD708" i="2" s="1"/>
  <c r="Q708" i="2"/>
  <c r="AE708" i="2" s="1"/>
  <c r="BO708" i="2" s="1"/>
  <c r="BM708" i="2" s="1"/>
  <c r="Q840" i="2"/>
  <c r="AE840" i="2" s="1"/>
  <c r="BO840" i="2" s="1"/>
  <c r="BM840" i="2" s="1"/>
  <c r="Q642" i="2"/>
  <c r="AE642" i="2" s="1"/>
  <c r="BO642" i="2" s="1"/>
  <c r="BM642" i="2" s="1"/>
  <c r="AB642" i="2"/>
  <c r="AD642" i="2" s="1"/>
  <c r="N1253" i="2"/>
  <c r="Z1253" i="2"/>
  <c r="N566" i="2"/>
  <c r="Z598" i="2"/>
  <c r="Q598" i="2" s="1"/>
  <c r="AE598" i="2" s="1"/>
  <c r="BO598" i="2" s="1"/>
  <c r="BM598" i="2" s="1"/>
  <c r="Z1193" i="2"/>
  <c r="Z1579" i="2"/>
  <c r="AB970" i="2"/>
  <c r="AD970" i="2" s="1"/>
  <c r="N1105" i="2"/>
  <c r="N654" i="2"/>
  <c r="N1093" i="2"/>
  <c r="Q1093" i="2"/>
  <c r="AE1093" i="2" s="1"/>
  <c r="BO1093" i="2" s="1"/>
  <c r="BM1093" i="2" s="1"/>
  <c r="AB210" i="2"/>
  <c r="AD210" i="2" s="1"/>
  <c r="AB1176" i="2"/>
  <c r="AD1176" i="2" s="1"/>
  <c r="N1229" i="2"/>
  <c r="Q1229" i="2"/>
  <c r="AE1229" i="2" s="1"/>
  <c r="BO1229" i="2" s="1"/>
  <c r="BM1229" i="2" s="1"/>
  <c r="N23" i="2"/>
  <c r="N628" i="2"/>
  <c r="Q566" i="2"/>
  <c r="AE566" i="2" s="1"/>
  <c r="BO566" i="2" s="1"/>
  <c r="BM566" i="2" s="1"/>
  <c r="AB1160" i="2"/>
  <c r="AD1160" i="2" s="1"/>
  <c r="AB1396" i="2"/>
  <c r="AD1396" i="2" s="1"/>
  <c r="N1058" i="2"/>
  <c r="N1696" i="2"/>
  <c r="N707" i="2"/>
  <c r="N824" i="2"/>
  <c r="Z586" i="2"/>
  <c r="Q772" i="2"/>
  <c r="AE772" i="2" s="1"/>
  <c r="BO772" i="2" s="1"/>
  <c r="BM772" i="2" s="1"/>
  <c r="N840" i="2"/>
  <c r="Q1177" i="2"/>
  <c r="AE1177" i="2" s="1"/>
  <c r="BO1177" i="2" s="1"/>
  <c r="BM1177" i="2" s="1"/>
  <c r="AB1319" i="2"/>
  <c r="AD1319" i="2" s="1"/>
  <c r="N782" i="2"/>
  <c r="Q782" i="2"/>
  <c r="AE782" i="2" s="1"/>
  <c r="BO782" i="2" s="1"/>
  <c r="BM782" i="2" s="1"/>
  <c r="AB1320" i="2"/>
  <c r="AD1320" i="2" s="1"/>
  <c r="N1719" i="2"/>
  <c r="N1160" i="2"/>
  <c r="N1396" i="2"/>
  <c r="Q28" i="2"/>
  <c r="AE28" i="2" s="1"/>
  <c r="BO28" i="2" s="1"/>
  <c r="BM28" i="2" s="1"/>
  <c r="AB1277" i="2"/>
  <c r="AD1277" i="2" s="1"/>
  <c r="AB975" i="2"/>
  <c r="AD975" i="2" s="1"/>
  <c r="AB1105" i="2"/>
  <c r="AD1105" i="2" s="1"/>
  <c r="N772" i="2"/>
  <c r="AB1065" i="2"/>
  <c r="AD1065" i="2" s="1"/>
  <c r="AB384" i="2"/>
  <c r="AD384" i="2" s="1"/>
  <c r="Z1708" i="2"/>
  <c r="Z1190" i="2"/>
  <c r="Z1280" i="2"/>
  <c r="AB1280" i="2" s="1"/>
  <c r="AD1280" i="2" s="1"/>
  <c r="N1422" i="2"/>
  <c r="N6" i="2"/>
  <c r="Q1396" i="2"/>
  <c r="AE1396" i="2" s="1"/>
  <c r="BO1396" i="2" s="1"/>
  <c r="BM1396" i="2" s="1"/>
  <c r="Q1337" i="2"/>
  <c r="AE1337" i="2" s="1"/>
  <c r="BO1337" i="2" s="1"/>
  <c r="BM1337" i="2" s="1"/>
  <c r="N1714" i="2"/>
  <c r="N708" i="2"/>
  <c r="N1319" i="2"/>
  <c r="Q1319" i="2"/>
  <c r="AE1319" i="2" s="1"/>
  <c r="BO1319" i="2" s="1"/>
  <c r="BM1319" i="2" s="1"/>
  <c r="AB957" i="2"/>
  <c r="AD957" i="2" s="1"/>
  <c r="AB615" i="2"/>
  <c r="AD615" i="2" s="1"/>
  <c r="N876" i="2"/>
  <c r="N1337" i="2"/>
  <c r="N1554" i="2"/>
  <c r="N403" i="2"/>
  <c r="N273" i="2"/>
  <c r="AB546" i="2"/>
  <c r="AD546" i="2" s="1"/>
  <c r="AB1229" i="2"/>
  <c r="AD1229" i="2" s="1"/>
  <c r="Q813" i="2"/>
  <c r="AE813" i="2" s="1"/>
  <c r="BO813" i="2" s="1"/>
  <c r="BM813" i="2" s="1"/>
  <c r="Z999" i="2"/>
  <c r="Z1591" i="2"/>
  <c r="N999" i="2"/>
  <c r="N1725" i="2"/>
  <c r="AB1592" i="2"/>
  <c r="AD1592" i="2" s="1"/>
  <c r="N1592" i="2"/>
  <c r="Q1592" i="2"/>
  <c r="AE1592" i="2" s="1"/>
  <c r="BO1592" i="2" s="1"/>
  <c r="BM1592" i="2" s="1"/>
  <c r="N1722" i="2"/>
  <c r="AB1569" i="2"/>
  <c r="AD1569" i="2" s="1"/>
  <c r="N1569" i="2"/>
  <c r="Q1569" i="2"/>
  <c r="AE1569" i="2" s="1"/>
  <c r="BO1569" i="2" s="1"/>
  <c r="BM1569" i="2" s="1"/>
  <c r="AB956" i="2"/>
  <c r="AD956" i="2" s="1"/>
  <c r="Z15" i="2"/>
  <c r="Z1383" i="2"/>
  <c r="Z1299" i="2"/>
  <c r="AB304" i="2"/>
  <c r="AD304" i="2" s="1"/>
  <c r="Q55" i="2"/>
  <c r="AE55" i="2" s="1"/>
  <c r="BO55" i="2" s="1"/>
  <c r="BM55" i="2" s="1"/>
  <c r="AB116" i="2"/>
  <c r="AD116" i="2" s="1"/>
  <c r="Q1191" i="2"/>
  <c r="AE1191" i="2" s="1"/>
  <c r="BO1191" i="2" s="1"/>
  <c r="BM1191" i="2" s="1"/>
  <c r="AB472" i="2"/>
  <c r="AD472" i="2" s="1"/>
  <c r="N166" i="2"/>
  <c r="Z166" i="2" s="1"/>
  <c r="Q166" i="2" s="1"/>
  <c r="N291" i="2"/>
  <c r="AB291" i="2" s="1"/>
  <c r="AD291" i="2" s="1"/>
  <c r="N418" i="2"/>
  <c r="AB418" i="2" s="1"/>
  <c r="AD418" i="2" s="1"/>
  <c r="N54" i="2"/>
  <c r="N71" i="2"/>
  <c r="N251" i="2"/>
  <c r="Q177" i="2"/>
  <c r="AE177" i="2" s="1"/>
  <c r="BO177" i="2" s="1"/>
  <c r="BM177" i="2" s="1"/>
  <c r="N1278" i="2"/>
  <c r="Z5" i="2"/>
  <c r="AB5" i="2" s="1"/>
  <c r="AD5" i="2" s="1"/>
  <c r="N5" i="2"/>
  <c r="N255" i="2"/>
  <c r="Z153" i="2"/>
  <c r="Z681" i="2"/>
  <c r="Q681" i="2" s="1"/>
  <c r="AE681" i="2" s="1"/>
  <c r="BO681" i="2" s="1"/>
  <c r="BM681" i="2" s="1"/>
  <c r="N1223" i="2"/>
  <c r="N502" i="2"/>
  <c r="AB57" i="2"/>
  <c r="AD57" i="2" s="1"/>
  <c r="Q6" i="2"/>
  <c r="AE6" i="2" s="1"/>
  <c r="BO6" i="2" s="1"/>
  <c r="BM6" i="2" s="1"/>
  <c r="AB1052" i="2"/>
  <c r="AD1052" i="2" s="1"/>
  <c r="Z620" i="2"/>
  <c r="Q620" i="2" s="1"/>
  <c r="AE620" i="2" s="1"/>
  <c r="BO620" i="2" s="1"/>
  <c r="BM620" i="2" s="1"/>
  <c r="N282" i="2"/>
  <c r="N64" i="2"/>
  <c r="N299" i="2"/>
  <c r="Z353" i="2"/>
  <c r="Z482" i="2"/>
  <c r="AB482" i="2" s="1"/>
  <c r="AD482" i="2" s="1"/>
  <c r="Z1202" i="2"/>
  <c r="Q1449" i="2"/>
  <c r="AE1449" i="2" s="1"/>
  <c r="BO1449" i="2" s="1"/>
  <c r="BM1449" i="2" s="1"/>
  <c r="Q308" i="2"/>
  <c r="AE308" i="2" s="1"/>
  <c r="BO308" i="2" s="1"/>
  <c r="BM308" i="2" s="1"/>
  <c r="Q64" i="2"/>
  <c r="AE64" i="2" s="1"/>
  <c r="BO64" i="2" s="1"/>
  <c r="BM64" i="2" s="1"/>
  <c r="Q116" i="2"/>
  <c r="AE116" i="2" s="1"/>
  <c r="BO116" i="2" s="1"/>
  <c r="BM116" i="2" s="1"/>
  <c r="N304" i="2"/>
  <c r="Z761" i="2"/>
  <c r="N1095" i="2"/>
  <c r="N1249" i="2"/>
  <c r="N1360" i="2"/>
  <c r="Z1360" i="2"/>
  <c r="N1064" i="2"/>
  <c r="Z1064" i="2"/>
  <c r="Q615" i="2"/>
  <c r="AE615" i="2" s="1"/>
  <c r="BO615" i="2" s="1"/>
  <c r="BM615" i="2" s="1"/>
  <c r="Q1444" i="2"/>
  <c r="AE1444" i="2" s="1"/>
  <c r="BO1444" i="2" s="1"/>
  <c r="BM1444" i="2" s="1"/>
  <c r="AB763" i="2"/>
  <c r="AD763" i="2" s="1"/>
  <c r="Q74" i="2"/>
  <c r="AE74" i="2" s="1"/>
  <c r="BO74" i="2" s="1"/>
  <c r="BM74" i="2" s="1"/>
  <c r="AB177" i="2"/>
  <c r="AD177" i="2" s="1"/>
  <c r="AB1249" i="2"/>
  <c r="AD1249" i="2" s="1"/>
  <c r="Z1348" i="2"/>
  <c r="Z109" i="2"/>
  <c r="N183" i="2"/>
  <c r="AB183" i="2" s="1"/>
  <c r="AD183" i="2" s="1"/>
  <c r="N375" i="2"/>
  <c r="Z375" i="2" s="1"/>
  <c r="AB904" i="2"/>
  <c r="AD904" i="2" s="1"/>
  <c r="N74" i="2"/>
  <c r="Z99" i="2"/>
  <c r="AB55" i="2"/>
  <c r="AD55" i="2" s="1"/>
  <c r="N229" i="2"/>
  <c r="Z851" i="2"/>
  <c r="Q851" i="2" s="1"/>
  <c r="AE851" i="2" s="1"/>
  <c r="BO851" i="2" s="1"/>
  <c r="BM851" i="2" s="1"/>
  <c r="N851" i="2"/>
  <c r="Z605" i="2"/>
  <c r="N605" i="2"/>
  <c r="N1553" i="2"/>
  <c r="Z1553" i="2"/>
  <c r="Z23" i="2"/>
  <c r="Q23" i="2" s="1"/>
  <c r="AE23" i="2" s="1"/>
  <c r="BO23" i="2" s="1"/>
  <c r="BM23" i="2" s="1"/>
  <c r="AB269" i="2"/>
  <c r="AD269" i="2" s="1"/>
  <c r="N1017" i="2"/>
  <c r="Z1017" i="2"/>
  <c r="AB1395" i="2"/>
  <c r="AD1395" i="2" s="1"/>
  <c r="Q832" i="2"/>
  <c r="AE832" i="2" s="1"/>
  <c r="BO832" i="2" s="1"/>
  <c r="BM832" i="2" s="1"/>
  <c r="Q331" i="2"/>
  <c r="AE331" i="2" s="1"/>
  <c r="BO331" i="2" s="1"/>
  <c r="BM331" i="2" s="1"/>
  <c r="Z262" i="2"/>
  <c r="AB262" i="2" s="1"/>
  <c r="AD262" i="2" s="1"/>
  <c r="N709" i="2"/>
  <c r="N177" i="2"/>
  <c r="Z1278" i="2"/>
  <c r="N1338" i="2"/>
  <c r="N472" i="2"/>
  <c r="Z565" i="2"/>
  <c r="AB1380" i="2"/>
  <c r="AD1380" i="2" s="1"/>
  <c r="N1574" i="2"/>
  <c r="Q1589" i="2"/>
  <c r="AE1589" i="2" s="1"/>
  <c r="BO1589" i="2" s="1"/>
  <c r="BM1589" i="2" s="1"/>
  <c r="Q925" i="2"/>
  <c r="AE925" i="2" s="1"/>
  <c r="BO925" i="2" s="1"/>
  <c r="BM925" i="2" s="1"/>
  <c r="Q1578" i="2"/>
  <c r="AE1578" i="2" s="1"/>
  <c r="BO1578" i="2" s="1"/>
  <c r="BM1578" i="2" s="1"/>
  <c r="Q974" i="2"/>
  <c r="AE974" i="2" s="1"/>
  <c r="BO974" i="2" s="1"/>
  <c r="BM974" i="2" s="1"/>
  <c r="N581" i="2"/>
  <c r="Q368" i="2"/>
  <c r="AE368" i="2" s="1"/>
  <c r="BO368" i="2" s="1"/>
  <c r="BM368" i="2" s="1"/>
  <c r="Q660" i="2"/>
  <c r="AE660" i="2" s="1"/>
  <c r="BO660" i="2" s="1"/>
  <c r="BM660" i="2" s="1"/>
  <c r="N582" i="2"/>
  <c r="Q1554" i="2"/>
  <c r="AE1554" i="2" s="1"/>
  <c r="BO1554" i="2" s="1"/>
  <c r="BM1554" i="2" s="1"/>
  <c r="N1191" i="2"/>
  <c r="Q1422" i="2"/>
  <c r="AE1422" i="2" s="1"/>
  <c r="BO1422" i="2" s="1"/>
  <c r="BM1422" i="2" s="1"/>
  <c r="N347" i="2"/>
  <c r="N565" i="2"/>
  <c r="Q1528" i="2"/>
  <c r="AE1528" i="2" s="1"/>
  <c r="BO1528" i="2" s="1"/>
  <c r="BM1528" i="2" s="1"/>
  <c r="N1101" i="2"/>
  <c r="N1589" i="2"/>
  <c r="AB6" i="2"/>
  <c r="AD6" i="2" s="1"/>
  <c r="N925" i="2"/>
  <c r="Z1098" i="2"/>
  <c r="AB1449" i="2"/>
  <c r="AD1449" i="2" s="1"/>
  <c r="N1578" i="2"/>
  <c r="N974" i="2"/>
  <c r="N660" i="2"/>
  <c r="Z877" i="2"/>
  <c r="Z965" i="2"/>
  <c r="N1233" i="2"/>
  <c r="Z610" i="2"/>
  <c r="N57" i="2"/>
  <c r="AB925" i="2"/>
  <c r="AD925" i="2" s="1"/>
  <c r="AB1578" i="2"/>
  <c r="AD1578" i="2" s="1"/>
  <c r="AB1058" i="2"/>
  <c r="AD1058" i="2" s="1"/>
  <c r="AB832" i="2"/>
  <c r="AD832" i="2" s="1"/>
  <c r="N725" i="2"/>
  <c r="Z725" i="2"/>
  <c r="AB1301" i="2"/>
  <c r="AD1301" i="2" s="1"/>
  <c r="N449" i="2"/>
  <c r="Q57" i="2"/>
  <c r="AE57" i="2" s="1"/>
  <c r="BO57" i="2" s="1"/>
  <c r="BM57" i="2" s="1"/>
  <c r="N879" i="2"/>
  <c r="Z1574" i="2"/>
  <c r="AB1589" i="2"/>
  <c r="AD1589" i="2" s="1"/>
  <c r="AB974" i="2"/>
  <c r="AD974" i="2" s="1"/>
  <c r="Q1052" i="2"/>
  <c r="AE1052" i="2" s="1"/>
  <c r="BO1052" i="2" s="1"/>
  <c r="BM1052" i="2" s="1"/>
  <c r="Q1395" i="2"/>
  <c r="AE1395" i="2" s="1"/>
  <c r="BO1395" i="2" s="1"/>
  <c r="BM1395" i="2" s="1"/>
  <c r="AB1444" i="2"/>
  <c r="AD1444" i="2" s="1"/>
  <c r="AB368" i="2"/>
  <c r="AD368" i="2" s="1"/>
  <c r="Q1058" i="2"/>
  <c r="AE1058" i="2" s="1"/>
  <c r="BO1058" i="2" s="1"/>
  <c r="BM1058" i="2" s="1"/>
  <c r="N1712" i="2"/>
  <c r="Z1712" i="2"/>
  <c r="Q449" i="2"/>
  <c r="AE449" i="2" s="1"/>
  <c r="BO449" i="2" s="1"/>
  <c r="BM449" i="2" s="1"/>
  <c r="N1376" i="2"/>
  <c r="Z616" i="2"/>
  <c r="Z663" i="2"/>
  <c r="AB581" i="2"/>
  <c r="AD581" i="2" s="1"/>
  <c r="N789" i="2"/>
  <c r="Z789" i="2"/>
  <c r="N1518" i="2"/>
  <c r="Z1518" i="2"/>
  <c r="Q581" i="2"/>
  <c r="AE581" i="2" s="1"/>
  <c r="BO581" i="2" s="1"/>
  <c r="BM581" i="2" s="1"/>
  <c r="N368" i="2"/>
  <c r="Z582" i="2"/>
  <c r="AB1337" i="2"/>
  <c r="AD1337" i="2" s="1"/>
  <c r="N596" i="2"/>
  <c r="Z596" i="2"/>
  <c r="AB596" i="2" s="1"/>
  <c r="AD596" i="2" s="1"/>
  <c r="N1710" i="2"/>
  <c r="Z196" i="2"/>
  <c r="Z1063" i="2"/>
  <c r="N196" i="2"/>
  <c r="N1063" i="2"/>
  <c r="AB1554" i="2"/>
  <c r="AD1554" i="2" s="1"/>
  <c r="AB994" i="2"/>
  <c r="AD994" i="2" s="1"/>
  <c r="Z1570" i="2"/>
  <c r="N1570" i="2"/>
  <c r="Z1714" i="2"/>
  <c r="Q1714" i="2" s="1"/>
  <c r="AE1714" i="2" s="1"/>
  <c r="BO1714" i="2" s="1"/>
  <c r="BM1714" i="2" s="1"/>
  <c r="AB623" i="2"/>
  <c r="AD623" i="2" s="1"/>
  <c r="Z1710" i="2"/>
  <c r="Z403" i="2"/>
  <c r="AB403" i="2" s="1"/>
  <c r="AD403" i="2" s="1"/>
  <c r="Q970" i="2"/>
  <c r="AE970" i="2" s="1"/>
  <c r="BO970" i="2" s="1"/>
  <c r="BM970" i="2" s="1"/>
  <c r="Q994" i="2"/>
  <c r="AE994" i="2" s="1"/>
  <c r="N854" i="2"/>
  <c r="Z854" i="2"/>
  <c r="Q546" i="2"/>
  <c r="AE546" i="2" s="1"/>
  <c r="BO546" i="2" s="1"/>
  <c r="BM546" i="2" s="1"/>
  <c r="AB824" i="2"/>
  <c r="AD824" i="2" s="1"/>
  <c r="N1135" i="2"/>
  <c r="N546" i="2"/>
  <c r="Z1531" i="2"/>
  <c r="Q1531" i="2" s="1"/>
  <c r="AE1531" i="2" s="1"/>
  <c r="BO1531" i="2" s="1"/>
  <c r="BM1531" i="2" s="1"/>
  <c r="Z652" i="2"/>
  <c r="Q652" i="2" s="1"/>
  <c r="AE652" i="2" s="1"/>
  <c r="BO652" i="2" s="1"/>
  <c r="BM652" i="2" s="1"/>
  <c r="Z1041" i="2"/>
  <c r="Q1041" i="2" s="1"/>
  <c r="AE1041" i="2" s="1"/>
  <c r="BO1041" i="2" s="1"/>
  <c r="BM1041" i="2" s="1"/>
  <c r="Z1120" i="2"/>
  <c r="Z1298" i="2"/>
  <c r="Z1199" i="2"/>
  <c r="Z1162" i="2"/>
  <c r="Q1162" i="2" s="1"/>
  <c r="AE1162" i="2" s="1"/>
  <c r="BO1162" i="2" s="1"/>
  <c r="BM1162" i="2" s="1"/>
  <c r="Z838" i="2"/>
  <c r="Q838" i="2" s="1"/>
  <c r="AE838" i="2" s="1"/>
  <c r="BO838" i="2" s="1"/>
  <c r="BM838" i="2" s="1"/>
  <c r="Z1267" i="2"/>
  <c r="Q1267" i="2" s="1"/>
  <c r="AE1267" i="2" s="1"/>
  <c r="BO1267" i="2" s="1"/>
  <c r="BM1267" i="2" s="1"/>
  <c r="Z1167" i="2"/>
  <c r="Q1167" i="2" s="1"/>
  <c r="AE1167" i="2" s="1"/>
  <c r="BO1167" i="2" s="1"/>
  <c r="BM1167" i="2" s="1"/>
  <c r="Z1024" i="2"/>
  <c r="Q1024" i="2" s="1"/>
  <c r="AE1024" i="2" s="1"/>
  <c r="BO1024" i="2" s="1"/>
  <c r="BM1024" i="2" s="1"/>
  <c r="N186" i="2"/>
  <c r="Z186" i="2" s="1"/>
  <c r="Q186" i="2" s="1"/>
  <c r="AE186" i="2" s="1"/>
  <c r="N257" i="2"/>
  <c r="Z257" i="2" s="1"/>
  <c r="Q257" i="2" s="1"/>
  <c r="AE257" i="2" s="1"/>
  <c r="N510" i="2"/>
  <c r="Z510" i="2" s="1"/>
  <c r="Q510" i="2" s="1"/>
  <c r="AE510" i="2" s="1"/>
  <c r="BO510" i="2" s="1"/>
  <c r="BM510" i="2" s="1"/>
  <c r="AF453" i="2"/>
  <c r="Z453" i="2" s="1"/>
  <c r="Z80" i="2"/>
  <c r="Z149" i="2"/>
  <c r="AB17" i="2"/>
  <c r="AD17" i="2" s="1"/>
  <c r="N17" i="2"/>
  <c r="Q17" i="2"/>
  <c r="AE17" i="2" s="1"/>
  <c r="BO17" i="2" s="1"/>
  <c r="BM17" i="2" s="1"/>
  <c r="N80" i="2"/>
  <c r="N149" i="2"/>
  <c r="N195" i="2"/>
  <c r="AB195" i="2" s="1"/>
  <c r="AD195" i="2" s="1"/>
  <c r="N362" i="2"/>
  <c r="AB362" i="2" s="1"/>
  <c r="AD362" i="2" s="1"/>
  <c r="N535" i="2"/>
  <c r="Z535" i="2" s="1"/>
  <c r="Q535" i="2" s="1"/>
  <c r="AF1018" i="2"/>
  <c r="N1018" i="2" s="1"/>
  <c r="AB39" i="2"/>
  <c r="AD39" i="2" s="1"/>
  <c r="N39" i="2"/>
  <c r="Q39" i="2"/>
  <c r="AE39" i="2" s="1"/>
  <c r="BO39" i="2" s="1"/>
  <c r="BM39" i="2" s="1"/>
  <c r="Z76" i="2"/>
  <c r="N76" i="2"/>
  <c r="Q138" i="2"/>
  <c r="AE138" i="2" s="1"/>
  <c r="BO138" i="2" s="1"/>
  <c r="BM138" i="2" s="1"/>
  <c r="AB229" i="2"/>
  <c r="AD229" i="2" s="1"/>
  <c r="N226" i="2"/>
  <c r="AB226" i="2" s="1"/>
  <c r="AD226" i="2" s="1"/>
  <c r="N385" i="2"/>
  <c r="AB385" i="2" s="1"/>
  <c r="AD385" i="2" s="1"/>
  <c r="N69" i="2"/>
  <c r="AB69" i="2" s="1"/>
  <c r="AD69" i="2" s="1"/>
  <c r="AB180" i="2"/>
  <c r="AD180" i="2" s="1"/>
  <c r="N180" i="2"/>
  <c r="Q180" i="2"/>
  <c r="AE180" i="2" s="1"/>
  <c r="BO180" i="2" s="1"/>
  <c r="BM180" i="2" s="1"/>
  <c r="Q229" i="2"/>
  <c r="AE229" i="2" s="1"/>
  <c r="BO229" i="2" s="1"/>
  <c r="BM229" i="2" s="1"/>
  <c r="AF42" i="2"/>
  <c r="Q54" i="2"/>
  <c r="AE54" i="2" s="1"/>
  <c r="BO54" i="2" s="1"/>
  <c r="BM54" i="2" s="1"/>
  <c r="AB255" i="2"/>
  <c r="AD255" i="2" s="1"/>
  <c r="AB178" i="2"/>
  <c r="AD178" i="2" s="1"/>
  <c r="N178" i="2"/>
  <c r="Q178" i="2"/>
  <c r="AE178" i="2" s="1"/>
  <c r="BO178" i="2" s="1"/>
  <c r="BM178" i="2" s="1"/>
  <c r="AB252" i="2"/>
  <c r="AD252" i="2" s="1"/>
  <c r="N252" i="2"/>
  <c r="Q252" i="2"/>
  <c r="AE252" i="2" s="1"/>
  <c r="BO252" i="2" s="1"/>
  <c r="BM252" i="2" s="1"/>
  <c r="AB328" i="2"/>
  <c r="AD328" i="2" s="1"/>
  <c r="AF904" i="2"/>
  <c r="Z904" i="2" s="1"/>
  <c r="Q904" i="2" s="1"/>
  <c r="AE904" i="2" s="1"/>
  <c r="BO904" i="2" s="1"/>
  <c r="BM904" i="2" s="1"/>
  <c r="AB308" i="2"/>
  <c r="AD308" i="2" s="1"/>
  <c r="AB331" i="2"/>
  <c r="AD331" i="2" s="1"/>
  <c r="Z65" i="2"/>
  <c r="N65" i="2"/>
  <c r="N501" i="2"/>
  <c r="Z501" i="2"/>
  <c r="Z282" i="2"/>
  <c r="Z241" i="2"/>
  <c r="Q255" i="2"/>
  <c r="AE255" i="2" s="1"/>
  <c r="BO255" i="2" s="1"/>
  <c r="BM255" i="2" s="1"/>
  <c r="Z537" i="2"/>
  <c r="N537" i="2"/>
  <c r="AB54" i="2"/>
  <c r="AD54" i="2" s="1"/>
  <c r="AB74" i="2"/>
  <c r="AD74" i="2" s="1"/>
  <c r="AB896" i="2"/>
  <c r="AD896" i="2" s="1"/>
  <c r="AB1066" i="2"/>
  <c r="AD1066" i="2" s="1"/>
  <c r="Q123" i="2"/>
  <c r="AE123" i="2" s="1"/>
  <c r="BO123" i="2" s="1"/>
  <c r="BM123" i="2" s="1"/>
  <c r="Q1126" i="2"/>
  <c r="AE1126" i="2" s="1"/>
  <c r="BO1126" i="2" s="1"/>
  <c r="BM1126" i="2" s="1"/>
  <c r="Z1223" i="2"/>
  <c r="Q1223" i="2" s="1"/>
  <c r="AE1223" i="2" s="1"/>
  <c r="BO1223" i="2" s="1"/>
  <c r="BM1223" i="2" s="1"/>
  <c r="N396" i="2"/>
  <c r="Z396" i="2"/>
  <c r="Q396" i="2" s="1"/>
  <c r="AE396" i="2" s="1"/>
  <c r="BO396" i="2" s="1"/>
  <c r="BM396" i="2" s="1"/>
  <c r="AB1075" i="2"/>
  <c r="AD1075" i="2" s="1"/>
  <c r="N138" i="2"/>
  <c r="Q328" i="2"/>
  <c r="AE328" i="2" s="1"/>
  <c r="BO328" i="2" s="1"/>
  <c r="BM328" i="2" s="1"/>
  <c r="N123" i="2"/>
  <c r="AB67" i="2"/>
  <c r="AD67" i="2" s="1"/>
  <c r="Q173" i="2"/>
  <c r="AE173" i="2" s="1"/>
  <c r="BO173" i="2" s="1"/>
  <c r="BM173" i="2" s="1"/>
  <c r="AB1159" i="2"/>
  <c r="AD1159" i="2" s="1"/>
  <c r="Q659" i="2"/>
  <c r="AE659" i="2" s="1"/>
  <c r="BO659" i="2" s="1"/>
  <c r="BM659" i="2" s="1"/>
  <c r="AB659" i="2"/>
  <c r="AD659" i="2" s="1"/>
  <c r="Z90" i="2"/>
  <c r="Z161" i="2"/>
  <c r="Z33" i="2"/>
  <c r="Z107" i="2"/>
  <c r="N328" i="2"/>
  <c r="Q299" i="2"/>
  <c r="AE299" i="2" s="1"/>
  <c r="BO299" i="2" s="1"/>
  <c r="BM299" i="2" s="1"/>
  <c r="Z1155" i="2"/>
  <c r="Q1155" i="2" s="1"/>
  <c r="AE1155" i="2" s="1"/>
  <c r="BO1155" i="2" s="1"/>
  <c r="BM1155" i="2" s="1"/>
  <c r="Q1159" i="2"/>
  <c r="AE1159" i="2" s="1"/>
  <c r="BO1159" i="2" s="1"/>
  <c r="BM1159" i="2" s="1"/>
  <c r="AB71" i="2"/>
  <c r="AD71" i="2" s="1"/>
  <c r="AB966" i="2"/>
  <c r="AD966" i="2" s="1"/>
  <c r="AB138" i="2"/>
  <c r="AD138" i="2" s="1"/>
  <c r="AB123" i="2"/>
  <c r="AD123" i="2" s="1"/>
  <c r="AB1126" i="2"/>
  <c r="AD1126" i="2" s="1"/>
  <c r="AB306" i="2"/>
  <c r="AD306" i="2" s="1"/>
  <c r="BO1301" i="2"/>
  <c r="BM1301" i="2" s="1"/>
  <c r="AB1338" i="2"/>
  <c r="AD1338" i="2" s="1"/>
  <c r="Q1338" i="2"/>
  <c r="AE1338" i="2" s="1"/>
  <c r="BO1338" i="2" s="1"/>
  <c r="BM1338" i="2" s="1"/>
  <c r="Q306" i="2"/>
  <c r="AE306" i="2" s="1"/>
  <c r="BO306" i="2" s="1"/>
  <c r="BM306" i="2" s="1"/>
  <c r="Z1455" i="2"/>
  <c r="N1455" i="2"/>
  <c r="N1075" i="2"/>
  <c r="Q1249" i="2"/>
  <c r="AE1249" i="2" s="1"/>
  <c r="BO1249" i="2" s="1"/>
  <c r="BM1249" i="2" s="1"/>
  <c r="N306" i="2"/>
  <c r="N1159" i="2"/>
  <c r="N284" i="2"/>
  <c r="AB628" i="2"/>
  <c r="AD628" i="2" s="1"/>
  <c r="Q71" i="2"/>
  <c r="AE71" i="2" s="1"/>
  <c r="BO71" i="2" s="1"/>
  <c r="BM71" i="2" s="1"/>
  <c r="Q67" i="2"/>
  <c r="AE67" i="2" s="1"/>
  <c r="BO67" i="2" s="1"/>
  <c r="BM67" i="2" s="1"/>
  <c r="Q896" i="2"/>
  <c r="AE896" i="2" s="1"/>
  <c r="BO896" i="2" s="1"/>
  <c r="BM896" i="2" s="1"/>
  <c r="Q966" i="2"/>
  <c r="AE966" i="2" s="1"/>
  <c r="BO966" i="2" s="1"/>
  <c r="BM966" i="2" s="1"/>
  <c r="AB1191" i="2"/>
  <c r="AD1191" i="2" s="1"/>
  <c r="Q1066" i="2"/>
  <c r="AE1066" i="2" s="1"/>
  <c r="BO1066" i="2" s="1"/>
  <c r="BM1066" i="2" s="1"/>
  <c r="Z185" i="2"/>
  <c r="AB1410" i="2"/>
  <c r="AD1410" i="2" s="1"/>
  <c r="N1410" i="2"/>
  <c r="Q1410" i="2"/>
  <c r="AE1410" i="2" s="1"/>
  <c r="BO1410" i="2" s="1"/>
  <c r="BM1410" i="2" s="1"/>
  <c r="AB3" i="2"/>
  <c r="AD3" i="2" s="1"/>
  <c r="N3" i="2"/>
  <c r="Q3" i="2"/>
  <c r="AE3" i="2" s="1"/>
  <c r="BO3" i="2" s="1"/>
  <c r="BM3" i="2" s="1"/>
  <c r="N67" i="2"/>
  <c r="Z251" i="2"/>
  <c r="AB251" i="2" s="1"/>
  <c r="AD251" i="2" s="1"/>
  <c r="N896" i="2"/>
  <c r="Z502" i="2"/>
  <c r="N966" i="2"/>
  <c r="N1066" i="2"/>
  <c r="AB173" i="2"/>
  <c r="AD173" i="2" s="1"/>
  <c r="AB1096" i="2"/>
  <c r="AD1096" i="2" s="1"/>
  <c r="N1096" i="2"/>
  <c r="Q1096" i="2"/>
  <c r="AE1096" i="2" s="1"/>
  <c r="BO1096" i="2" s="1"/>
  <c r="BM1096" i="2" s="1"/>
  <c r="AB347" i="2"/>
  <c r="AD347" i="2" s="1"/>
  <c r="Z10" i="2"/>
  <c r="AB424" i="2"/>
  <c r="AD424" i="2" s="1"/>
  <c r="N424" i="2"/>
  <c r="Q424" i="2"/>
  <c r="AE424" i="2" s="1"/>
  <c r="BO424" i="2" s="1"/>
  <c r="BM424" i="2" s="1"/>
  <c r="Q304" i="2"/>
  <c r="AE304" i="2" s="1"/>
  <c r="BO304" i="2" s="1"/>
  <c r="BM304" i="2" s="1"/>
  <c r="N1202" i="2"/>
  <c r="Q1380" i="2"/>
  <c r="AE1380" i="2" s="1"/>
  <c r="BO1380" i="2" s="1"/>
  <c r="BM1380" i="2" s="1"/>
  <c r="N173" i="2"/>
  <c r="Q472" i="2"/>
  <c r="AE472" i="2" s="1"/>
  <c r="BO472" i="2" s="1"/>
  <c r="BM472" i="2" s="1"/>
  <c r="N1466" i="2"/>
  <c r="AB1564" i="2"/>
  <c r="AD1564" i="2" s="1"/>
  <c r="N1564" i="2"/>
  <c r="Q1564" i="2"/>
  <c r="AE1564" i="2" s="1"/>
  <c r="BO1564" i="2" s="1"/>
  <c r="BM1564" i="2" s="1"/>
  <c r="N10" i="2"/>
  <c r="Q269" i="2"/>
  <c r="AE269" i="2" s="1"/>
  <c r="BO269" i="2" s="1"/>
  <c r="BM269" i="2" s="1"/>
  <c r="AB84" i="2"/>
  <c r="AD84" i="2" s="1"/>
  <c r="N84" i="2"/>
  <c r="Q84" i="2"/>
  <c r="AE84" i="2" s="1"/>
  <c r="BO84" i="2" s="1"/>
  <c r="BM84" i="2" s="1"/>
  <c r="Q628" i="2"/>
  <c r="AE628" i="2" s="1"/>
  <c r="BO628" i="2" s="1"/>
  <c r="BM628" i="2" s="1"/>
  <c r="Z690" i="2"/>
  <c r="N1348" i="2"/>
  <c r="AB1322" i="2"/>
  <c r="AD1322" i="2" s="1"/>
  <c r="N1322" i="2"/>
  <c r="Q1322" i="2"/>
  <c r="AE1322" i="2" s="1"/>
  <c r="BO1322" i="2" s="1"/>
  <c r="BM1322" i="2" s="1"/>
  <c r="Z4" i="2"/>
  <c r="N109" i="2"/>
  <c r="Z847" i="2"/>
  <c r="AB847" i="2" s="1"/>
  <c r="AD847" i="2" s="1"/>
  <c r="N847" i="2"/>
  <c r="Q505" i="2"/>
  <c r="AE505" i="2" s="1"/>
  <c r="BO505" i="2" s="1"/>
  <c r="BM505" i="2" s="1"/>
  <c r="Q317" i="2"/>
  <c r="AE317" i="2" s="1"/>
  <c r="BO317" i="2" s="1"/>
  <c r="BM317" i="2" s="1"/>
  <c r="AB317" i="2"/>
  <c r="AD317" i="2" s="1"/>
  <c r="N690" i="2"/>
  <c r="Z284" i="2"/>
  <c r="Q347" i="2"/>
  <c r="AE347" i="2" s="1"/>
  <c r="BO347" i="2" s="1"/>
  <c r="BM347" i="2" s="1"/>
  <c r="AB855" i="2"/>
  <c r="AD855" i="2" s="1"/>
  <c r="N855" i="2"/>
  <c r="Q855" i="2"/>
  <c r="AE855" i="2" s="1"/>
  <c r="BO855" i="2" s="1"/>
  <c r="BM855" i="2" s="1"/>
  <c r="AB24" i="2"/>
  <c r="AD24" i="2" s="1"/>
  <c r="N24" i="2"/>
  <c r="Q24" i="2"/>
  <c r="AE24" i="2" s="1"/>
  <c r="BO24" i="2" s="1"/>
  <c r="BM24" i="2" s="1"/>
  <c r="N792" i="2"/>
  <c r="Z792" i="2"/>
  <c r="AB1422" i="2"/>
  <c r="AD1422" i="2" s="1"/>
  <c r="AB449" i="2"/>
  <c r="AD449" i="2" s="1"/>
  <c r="Z1233" i="2"/>
  <c r="Z1376" i="2"/>
  <c r="Z879" i="2"/>
  <c r="Q879" i="2" s="1"/>
  <c r="AE879" i="2" s="1"/>
  <c r="BO879" i="2" s="1"/>
  <c r="BM879" i="2" s="1"/>
  <c r="Z1101" i="2"/>
  <c r="N11" i="2"/>
  <c r="Z11" i="2"/>
  <c r="N271" i="2"/>
  <c r="AB271" i="2" s="1"/>
  <c r="AD271" i="2" s="1"/>
  <c r="AB453" i="2"/>
  <c r="AD453" i="2" s="1"/>
  <c r="N1259" i="2"/>
  <c r="AB11" i="2"/>
  <c r="AD11" i="2" s="1"/>
  <c r="N374" i="2"/>
  <c r="Z374" i="2" s="1"/>
  <c r="N620" i="2"/>
  <c r="AB1018" i="2"/>
  <c r="AD1018" i="2" s="1"/>
  <c r="AB814" i="2"/>
  <c r="AD814" i="2" s="1"/>
  <c r="N763" i="2"/>
  <c r="Z814" i="2"/>
  <c r="Q814" i="2" s="1"/>
  <c r="N814" i="2"/>
  <c r="Z763" i="2"/>
  <c r="AB602" i="2"/>
  <c r="AD602" i="2" s="1"/>
  <c r="Z421" i="2"/>
  <c r="AB421" i="2" s="1"/>
  <c r="AD421" i="2" s="1"/>
  <c r="N421" i="2"/>
  <c r="Z327" i="2"/>
  <c r="Q327" i="2" s="1"/>
  <c r="AE327" i="2" s="1"/>
  <c r="BO327" i="2" s="1"/>
  <c r="BM327" i="2" s="1"/>
  <c r="N470" i="2"/>
  <c r="Z470" i="2"/>
  <c r="Z669" i="2"/>
  <c r="Q669" i="2" s="1"/>
  <c r="AE669" i="2" s="1"/>
  <c r="BO669" i="2" s="1"/>
  <c r="BM669" i="2" s="1"/>
  <c r="N980" i="2"/>
  <c r="Z1715" i="2"/>
  <c r="BO278" i="2"/>
  <c r="BM278" i="2" s="1"/>
  <c r="Q46" i="2"/>
  <c r="AE46" i="2" s="1"/>
  <c r="BO46" i="2" s="1"/>
  <c r="BM46" i="2" s="1"/>
  <c r="N46" i="2"/>
  <c r="N1552" i="2"/>
  <c r="N1104" i="2"/>
  <c r="Z455" i="2"/>
  <c r="N1232" i="2"/>
  <c r="Q1104" i="2"/>
  <c r="AE1104" i="2" s="1"/>
  <c r="BO1104" i="2" s="1"/>
  <c r="BM1104" i="2" s="1"/>
  <c r="AB46" i="2"/>
  <c r="AD46" i="2" s="1"/>
  <c r="Z1695" i="2"/>
  <c r="AB1695" i="2" s="1"/>
  <c r="AD1695" i="2" s="1"/>
  <c r="N1336" i="2"/>
  <c r="N1713" i="2"/>
  <c r="N176" i="2"/>
  <c r="N926" i="2"/>
  <c r="Z926" i="2"/>
  <c r="Q926" i="2" s="1"/>
  <c r="AE926" i="2" s="1"/>
  <c r="BO926" i="2" s="1"/>
  <c r="BM926" i="2" s="1"/>
  <c r="N950" i="2"/>
  <c r="N274" i="2"/>
  <c r="N1709" i="2"/>
  <c r="N105" i="2"/>
  <c r="N833" i="2"/>
  <c r="N530" i="2"/>
  <c r="N318" i="2"/>
  <c r="N1711" i="2"/>
  <c r="N376" i="2"/>
  <c r="N159" i="2"/>
  <c r="Z307" i="2"/>
  <c r="BO632" i="2"/>
  <c r="BM632" i="2" s="1"/>
  <c r="N830" i="2"/>
  <c r="N278" i="2"/>
  <c r="N949" i="2"/>
  <c r="N657" i="2"/>
  <c r="N1365" i="2"/>
  <c r="N1292" i="2"/>
  <c r="N550" i="2"/>
  <c r="N850" i="2"/>
  <c r="N940" i="2"/>
  <c r="Q853" i="2"/>
  <c r="AE853" i="2" s="1"/>
  <c r="BO853" i="2" s="1"/>
  <c r="BM853" i="2" s="1"/>
  <c r="N113" i="2"/>
  <c r="Z376" i="2"/>
  <c r="Z889" i="2"/>
  <c r="AB889" i="2" s="1"/>
  <c r="AD889" i="2" s="1"/>
  <c r="Z786" i="2"/>
  <c r="Z662" i="2"/>
  <c r="AB746" i="2"/>
  <c r="AD746" i="2" s="1"/>
  <c r="N146" i="2"/>
  <c r="N1307" i="2"/>
  <c r="N1006" i="2"/>
  <c r="Z339" i="2"/>
  <c r="Q339" i="2" s="1"/>
  <c r="AE339" i="2" s="1"/>
  <c r="BO339" i="2" s="1"/>
  <c r="BM339" i="2" s="1"/>
  <c r="Z745" i="2"/>
  <c r="AB853" i="2"/>
  <c r="AD853" i="2" s="1"/>
  <c r="N683" i="2"/>
  <c r="N86" i="2"/>
  <c r="N869" i="2"/>
  <c r="AB632" i="2"/>
  <c r="AD632" i="2" s="1"/>
  <c r="AB635" i="2"/>
  <c r="AD635" i="2" s="1"/>
  <c r="Z869" i="2"/>
  <c r="N350" i="2"/>
  <c r="N371" i="2"/>
  <c r="N946" i="2"/>
  <c r="Z675" i="2"/>
  <c r="AB1291" i="2"/>
  <c r="AD1291" i="2" s="1"/>
  <c r="Z1195" i="2"/>
  <c r="AB1140" i="2"/>
  <c r="AD1140" i="2" s="1"/>
  <c r="Z1709" i="2"/>
  <c r="Q1709" i="2" s="1"/>
  <c r="AE1709" i="2" s="1"/>
  <c r="BO1709" i="2" s="1"/>
  <c r="BM1709" i="2" s="1"/>
  <c r="N713" i="2"/>
  <c r="Z713" i="2"/>
  <c r="Q713" i="2" s="1"/>
  <c r="AE713" i="2" s="1"/>
  <c r="BO713" i="2" s="1"/>
  <c r="BM713" i="2" s="1"/>
  <c r="Q886" i="2"/>
  <c r="AE886" i="2" s="1"/>
  <c r="BO886" i="2" s="1"/>
  <c r="BM886" i="2" s="1"/>
  <c r="AB886" i="2"/>
  <c r="AD886" i="2" s="1"/>
  <c r="Z700" i="2"/>
  <c r="AB1033" i="2"/>
  <c r="AD1033" i="2" s="1"/>
  <c r="Z893" i="2"/>
  <c r="Z773" i="2"/>
  <c r="N378" i="2"/>
  <c r="Z431" i="2"/>
  <c r="Q431" i="2" s="1"/>
  <c r="AE431" i="2" s="1"/>
  <c r="BO431" i="2" s="1"/>
  <c r="BM431" i="2" s="1"/>
  <c r="Z515" i="2"/>
  <c r="N574" i="2"/>
  <c r="Z1390" i="2"/>
  <c r="Q1390" i="2" s="1"/>
  <c r="AE1390" i="2" s="1"/>
  <c r="BO1390" i="2" s="1"/>
  <c r="BM1390" i="2" s="1"/>
  <c r="Z1369" i="2"/>
  <c r="Q1369" i="2" s="1"/>
  <c r="AE1369" i="2" s="1"/>
  <c r="BO1369" i="2" s="1"/>
  <c r="BM1369" i="2" s="1"/>
  <c r="N893" i="2"/>
  <c r="Z1594" i="2"/>
  <c r="AB1121" i="2"/>
  <c r="AD1121" i="2" s="1"/>
  <c r="Q176" i="2"/>
  <c r="AE176" i="2" s="1"/>
  <c r="BO176" i="2" s="1"/>
  <c r="BM176" i="2" s="1"/>
  <c r="Q345" i="2"/>
  <c r="AE345" i="2" s="1"/>
  <c r="BO345" i="2" s="1"/>
  <c r="BM345" i="2" s="1"/>
  <c r="Z1242" i="2"/>
  <c r="AB1242" i="2" s="1"/>
  <c r="AD1242" i="2" s="1"/>
  <c r="N344" i="2"/>
  <c r="N987" i="2"/>
  <c r="Z1251" i="2"/>
  <c r="AB550" i="2"/>
  <c r="AD550" i="2" s="1"/>
  <c r="Q950" i="2"/>
  <c r="AE950" i="2" s="1"/>
  <c r="BO950" i="2" s="1"/>
  <c r="BM950" i="2" s="1"/>
  <c r="AB1218" i="2"/>
  <c r="AD1218" i="2" s="1"/>
  <c r="BO592" i="2"/>
  <c r="BM592" i="2" s="1"/>
  <c r="N1695" i="2"/>
  <c r="N60" i="2"/>
  <c r="Z631" i="2"/>
  <c r="Q635" i="2"/>
  <c r="AE635" i="2" s="1"/>
  <c r="BO635" i="2" s="1"/>
  <c r="BM635" i="2" s="1"/>
  <c r="N633" i="2"/>
  <c r="N175" i="2"/>
  <c r="N1049" i="2"/>
  <c r="Q651" i="2"/>
  <c r="AE651" i="2" s="1"/>
  <c r="BO651" i="2" s="1"/>
  <c r="BM651" i="2" s="1"/>
  <c r="Z371" i="2"/>
  <c r="AB371" i="2" s="1"/>
  <c r="AD371" i="2" s="1"/>
  <c r="AB651" i="2"/>
  <c r="AD651" i="2" s="1"/>
  <c r="Q1006" i="2"/>
  <c r="AE1006" i="2" s="1"/>
  <c r="BO1006" i="2" s="1"/>
  <c r="BM1006" i="2" s="1"/>
  <c r="N651" i="2"/>
  <c r="BO175" i="2"/>
  <c r="BM175" i="2" s="1"/>
  <c r="BO274" i="2"/>
  <c r="BM274" i="2" s="1"/>
  <c r="N881" i="2"/>
  <c r="Z668" i="2"/>
  <c r="AB668" i="2" s="1"/>
  <c r="AD668" i="2" s="1"/>
  <c r="AB1443" i="2"/>
  <c r="AD1443" i="2" s="1"/>
  <c r="AB114" i="2"/>
  <c r="AD114" i="2" s="1"/>
  <c r="Q1049" i="2"/>
  <c r="AE1049" i="2" s="1"/>
  <c r="BO1049" i="2" s="1"/>
  <c r="BM1049" i="2" s="1"/>
  <c r="N1132" i="2"/>
  <c r="N481" i="2"/>
  <c r="AB176" i="2"/>
  <c r="AD176" i="2" s="1"/>
  <c r="N307" i="2"/>
  <c r="Z850" i="2"/>
  <c r="N564" i="2"/>
  <c r="N668" i="2"/>
  <c r="Z1365" i="2"/>
  <c r="Q1365" i="2" s="1"/>
  <c r="AE1365" i="2" s="1"/>
  <c r="BO1365" i="2" s="1"/>
  <c r="BM1365" i="2" s="1"/>
  <c r="AB726" i="2"/>
  <c r="AD726" i="2" s="1"/>
  <c r="AB1056" i="2"/>
  <c r="AD1056" i="2" s="1"/>
  <c r="N147" i="2"/>
  <c r="N452" i="2"/>
  <c r="Q452" i="2"/>
  <c r="AE452" i="2" s="1"/>
  <c r="BO452" i="2" s="1"/>
  <c r="BM452" i="2" s="1"/>
  <c r="N345" i="2"/>
  <c r="Z159" i="2"/>
  <c r="Z147" i="2"/>
  <c r="BO105" i="2"/>
  <c r="BM105" i="2" s="1"/>
  <c r="Z1537" i="2"/>
  <c r="Q1537" i="2" s="1"/>
  <c r="AE1537" i="2" s="1"/>
  <c r="BO1537" i="2" s="1"/>
  <c r="BM1537" i="2" s="1"/>
  <c r="AB345" i="2"/>
  <c r="AD345" i="2" s="1"/>
  <c r="N771" i="2"/>
  <c r="N1208" i="2"/>
  <c r="N773" i="2"/>
  <c r="N428" i="2"/>
  <c r="N2" i="2"/>
  <c r="AB1235" i="2"/>
  <c r="AD1235" i="2" s="1"/>
  <c r="N592" i="2"/>
  <c r="AB503" i="2"/>
  <c r="AD503" i="2" s="1"/>
  <c r="N448" i="2"/>
  <c r="AB1006" i="2"/>
  <c r="AD1006" i="2" s="1"/>
  <c r="AB864" i="2"/>
  <c r="AD864" i="2" s="1"/>
  <c r="Q633" i="2"/>
  <c r="AE633" i="2" s="1"/>
  <c r="BO633" i="2" s="1"/>
  <c r="BM633" i="2" s="1"/>
  <c r="Q481" i="2"/>
  <c r="AE481" i="2" s="1"/>
  <c r="BO481" i="2" s="1"/>
  <c r="BM481" i="2" s="1"/>
  <c r="Q350" i="2"/>
  <c r="AE350" i="2" s="1"/>
  <c r="BO350" i="2" s="1"/>
  <c r="BM350" i="2" s="1"/>
  <c r="AB1132" i="2"/>
  <c r="AD1132" i="2" s="1"/>
  <c r="AB633" i="2"/>
  <c r="AD633" i="2" s="1"/>
  <c r="AB950" i="2"/>
  <c r="AD950" i="2" s="1"/>
  <c r="Q683" i="2"/>
  <c r="AE683" i="2" s="1"/>
  <c r="BO683" i="2" s="1"/>
  <c r="BM683" i="2" s="1"/>
  <c r="AB683" i="2"/>
  <c r="AD683" i="2" s="1"/>
  <c r="AB481" i="2"/>
  <c r="AD481" i="2" s="1"/>
  <c r="AB350" i="2"/>
  <c r="AD350" i="2" s="1"/>
  <c r="AB938" i="2"/>
  <c r="AD938" i="2" s="1"/>
  <c r="AB830" i="2"/>
  <c r="AD830" i="2" s="1"/>
  <c r="Q830" i="2"/>
  <c r="AE830" i="2" s="1"/>
  <c r="BO830" i="2" s="1"/>
  <c r="BM830" i="2" s="1"/>
  <c r="Q113" i="2"/>
  <c r="AE113" i="2" s="1"/>
  <c r="BO113" i="2" s="1"/>
  <c r="BM113" i="2" s="1"/>
  <c r="AB105" i="2"/>
  <c r="AD105" i="2" s="1"/>
  <c r="AB794" i="2"/>
  <c r="AD794" i="2" s="1"/>
  <c r="AB113" i="2"/>
  <c r="AD113" i="2" s="1"/>
  <c r="Q146" i="2"/>
  <c r="AE146" i="2" s="1"/>
  <c r="BO146" i="2" s="1"/>
  <c r="BM146" i="2" s="1"/>
  <c r="AB491" i="2"/>
  <c r="AD491" i="2" s="1"/>
  <c r="AB175" i="2"/>
  <c r="AD175" i="2" s="1"/>
  <c r="Q1132" i="2"/>
  <c r="AE1132" i="2" s="1"/>
  <c r="BO1132" i="2" s="1"/>
  <c r="BM1132" i="2" s="1"/>
  <c r="AB833" i="2"/>
  <c r="AD833" i="2" s="1"/>
  <c r="AB278" i="2"/>
  <c r="AD278" i="2" s="1"/>
  <c r="AB530" i="2"/>
  <c r="AD530" i="2" s="1"/>
  <c r="Q949" i="2"/>
  <c r="AE949" i="2" s="1"/>
  <c r="BO949" i="2" s="1"/>
  <c r="BM949" i="2" s="1"/>
  <c r="AB1049" i="2"/>
  <c r="AD1049" i="2" s="1"/>
  <c r="AB274" i="2"/>
  <c r="AD274" i="2" s="1"/>
  <c r="AB949" i="2"/>
  <c r="AD949" i="2" s="1"/>
  <c r="AB318" i="2"/>
  <c r="AD318" i="2" s="1"/>
  <c r="AB592" i="2"/>
  <c r="AD592" i="2" s="1"/>
  <c r="AB1232" i="2"/>
  <c r="AD1232" i="2" s="1"/>
  <c r="Q1232" i="2"/>
  <c r="AE1232" i="2" s="1"/>
  <c r="BO1232" i="2" s="1"/>
  <c r="BM1232" i="2" s="1"/>
  <c r="N264" i="2"/>
  <c r="N794" i="2"/>
  <c r="N491" i="2"/>
  <c r="N395" i="2"/>
  <c r="N938" i="2"/>
  <c r="N461" i="2"/>
  <c r="N806" i="2"/>
  <c r="N406" i="2"/>
  <c r="N503" i="2"/>
  <c r="Q264" i="2"/>
  <c r="AE264" i="2" s="1"/>
  <c r="BO264" i="2" s="1"/>
  <c r="BM264" i="2" s="1"/>
  <c r="Q794" i="2"/>
  <c r="AE794" i="2" s="1"/>
  <c r="BO794" i="2" s="1"/>
  <c r="BM794" i="2" s="1"/>
  <c r="Q491" i="2"/>
  <c r="AE491" i="2" s="1"/>
  <c r="BO491" i="2" s="1"/>
  <c r="BM491" i="2" s="1"/>
  <c r="Q395" i="2"/>
  <c r="AE395" i="2" s="1"/>
  <c r="BO395" i="2" s="1"/>
  <c r="BM395" i="2" s="1"/>
  <c r="Q938" i="2"/>
  <c r="AE938" i="2" s="1"/>
  <c r="BO938" i="2" s="1"/>
  <c r="BM938" i="2" s="1"/>
  <c r="Q461" i="2"/>
  <c r="AE461" i="2" s="1"/>
  <c r="BO461" i="2" s="1"/>
  <c r="BM461" i="2" s="1"/>
  <c r="Q806" i="2"/>
  <c r="AE806" i="2" s="1"/>
  <c r="BO806" i="2" s="1"/>
  <c r="BM806" i="2" s="1"/>
  <c r="Q406" i="2"/>
  <c r="AE406" i="2" s="1"/>
  <c r="BO406" i="2" s="1"/>
  <c r="BM406" i="2" s="1"/>
  <c r="Q503" i="2"/>
  <c r="AE503" i="2" s="1"/>
  <c r="BO503" i="2" s="1"/>
  <c r="BM503" i="2" s="1"/>
  <c r="N533" i="2"/>
  <c r="Z393" i="2"/>
  <c r="Z77" i="2"/>
  <c r="Z1307" i="2"/>
  <c r="N1276" i="2"/>
  <c r="N515" i="2"/>
  <c r="N1699" i="2"/>
  <c r="Q1121" i="2"/>
  <c r="AE1121" i="2" s="1"/>
  <c r="BO1121" i="2" s="1"/>
  <c r="BM1121" i="2" s="1"/>
  <c r="Z685" i="2"/>
  <c r="Q685" i="2" s="1"/>
  <c r="AE685" i="2" s="1"/>
  <c r="BO685" i="2" s="1"/>
  <c r="BM685" i="2" s="1"/>
  <c r="Z977" i="2"/>
  <c r="Q977" i="2" s="1"/>
  <c r="AE977" i="2" s="1"/>
  <c r="BO977" i="2" s="1"/>
  <c r="BM977" i="2" s="1"/>
  <c r="Z930" i="2"/>
  <c r="Q930" i="2" s="1"/>
  <c r="AE930" i="2" s="1"/>
  <c r="BO930" i="2" s="1"/>
  <c r="BM930" i="2" s="1"/>
  <c r="N930" i="2"/>
  <c r="Z86" i="2"/>
  <c r="Z645" i="2"/>
  <c r="Z946" i="2"/>
  <c r="N339" i="2"/>
  <c r="N1527" i="2"/>
  <c r="Z1276" i="2"/>
  <c r="Z120" i="2"/>
  <c r="Z755" i="2"/>
  <c r="Z1042" i="2"/>
  <c r="AB1042" i="2" s="1"/>
  <c r="AD1042" i="2" s="1"/>
  <c r="Z1699" i="2"/>
  <c r="AB1699" i="2" s="1"/>
  <c r="AD1699" i="2" s="1"/>
  <c r="N1697" i="2"/>
  <c r="Z954" i="2"/>
  <c r="N866" i="2"/>
  <c r="BJ60" i="2"/>
  <c r="BK60" i="2" s="1"/>
  <c r="N77" i="2"/>
  <c r="Z45" i="2"/>
  <c r="Q45" i="2" s="1"/>
  <c r="AE45" i="2" s="1"/>
  <c r="BO45" i="2" s="1"/>
  <c r="BM45" i="2" s="1"/>
  <c r="Z1527" i="2"/>
  <c r="Q1527" i="2" s="1"/>
  <c r="AE1527" i="2" s="1"/>
  <c r="BO1527" i="2" s="1"/>
  <c r="BM1527" i="2" s="1"/>
  <c r="Z1336" i="2"/>
  <c r="Z190" i="2"/>
  <c r="Z866" i="2"/>
  <c r="Q866" i="2" s="1"/>
  <c r="AE866" i="2" s="1"/>
  <c r="BO866" i="2" s="1"/>
  <c r="BM866" i="2" s="1"/>
  <c r="N236" i="2"/>
  <c r="Z1547" i="2"/>
  <c r="N1547" i="2"/>
  <c r="N1389" i="2"/>
  <c r="Z1389" i="2"/>
  <c r="Z1263" i="2"/>
  <c r="N1251" i="2"/>
  <c r="N1594" i="2"/>
  <c r="N1490" i="2"/>
  <c r="N120" i="2"/>
  <c r="N303" i="2"/>
  <c r="N1042" i="2"/>
  <c r="Z987" i="2"/>
  <c r="Q987" i="2" s="1"/>
  <c r="AE987" i="2" s="1"/>
  <c r="BO987" i="2" s="1"/>
  <c r="BM987" i="2" s="1"/>
  <c r="Z1060" i="2"/>
  <c r="AB1060" i="2" s="1"/>
  <c r="AD1060" i="2" s="1"/>
  <c r="Z92" i="2"/>
  <c r="Z417" i="2"/>
  <c r="N393" i="2"/>
  <c r="N20" i="2"/>
  <c r="N726" i="2"/>
  <c r="Z574" i="2"/>
  <c r="N1122" i="2"/>
  <c r="N1317" i="2"/>
  <c r="Z311" i="2"/>
  <c r="Q602" i="2"/>
  <c r="AE602" i="2" s="1"/>
  <c r="BO602" i="2" s="1"/>
  <c r="BM602" i="2" s="1"/>
  <c r="N602" i="2"/>
  <c r="N477" i="2"/>
  <c r="N825" i="2"/>
  <c r="N1053" i="2"/>
  <c r="N1341" i="2"/>
  <c r="Z948" i="2"/>
  <c r="Q746" i="2"/>
  <c r="AE746" i="2" s="1"/>
  <c r="BO746" i="2" s="1"/>
  <c r="BM746" i="2" s="1"/>
  <c r="N746" i="2"/>
  <c r="N1369" i="2"/>
  <c r="Z1341" i="2"/>
  <c r="Z303" i="2"/>
  <c r="N1121" i="2"/>
  <c r="Z408" i="2"/>
  <c r="N48" i="2"/>
  <c r="Z48" i="2"/>
  <c r="Z236" i="2"/>
  <c r="N889" i="2"/>
  <c r="N786" i="2"/>
  <c r="Q550" i="2"/>
  <c r="AE550" i="2" s="1"/>
  <c r="BO550" i="2" s="1"/>
  <c r="BM550" i="2" s="1"/>
  <c r="N662" i="2"/>
  <c r="N649" i="2"/>
  <c r="N811" i="2"/>
  <c r="N948" i="2"/>
  <c r="Z1523" i="2"/>
  <c r="AB1523" i="2" s="1"/>
  <c r="AD1523" i="2" s="1"/>
  <c r="N1523" i="2"/>
  <c r="Q114" i="2"/>
  <c r="AE114" i="2" s="1"/>
  <c r="BO114" i="2" s="1"/>
  <c r="BM114" i="2" s="1"/>
  <c r="N886" i="2"/>
  <c r="N635" i="2"/>
  <c r="Z649" i="2"/>
  <c r="Z1552" i="2"/>
  <c r="Q1235" i="2"/>
  <c r="AE1235" i="2" s="1"/>
  <c r="BO1235" i="2" s="1"/>
  <c r="BM1235" i="2" s="1"/>
  <c r="Z657" i="2"/>
  <c r="Q657" i="2" s="1"/>
  <c r="AE657" i="2" s="1"/>
  <c r="BO657" i="2" s="1"/>
  <c r="BM657" i="2" s="1"/>
  <c r="N1059" i="2"/>
  <c r="Z811" i="2"/>
  <c r="Z60" i="2"/>
  <c r="AB60" i="2" s="1"/>
  <c r="AD60" i="2" s="1"/>
  <c r="N632" i="2"/>
  <c r="Z2" i="2"/>
  <c r="AB2" i="2" s="1"/>
  <c r="AD2" i="2" s="1"/>
  <c r="N1235" i="2"/>
  <c r="Z1482" i="2"/>
  <c r="Q1482" i="2" s="1"/>
  <c r="Z940" i="2"/>
  <c r="AB940" i="2" s="1"/>
  <c r="AD940" i="2" s="1"/>
  <c r="N1537" i="2"/>
  <c r="Z428" i="2"/>
  <c r="Z516" i="2"/>
  <c r="Z626" i="2"/>
  <c r="Z448" i="2"/>
  <c r="N1482" i="2"/>
  <c r="N853" i="2"/>
  <c r="N1188" i="2"/>
  <c r="Z1188" i="2"/>
  <c r="N1242" i="2"/>
  <c r="N1072" i="2"/>
  <c r="Z1072" i="2"/>
  <c r="Q1291" i="2"/>
  <c r="N1291" i="2"/>
  <c r="Q1218" i="2"/>
  <c r="AE1218" i="2" s="1"/>
  <c r="BO1218" i="2" s="1"/>
  <c r="BM1218" i="2" s="1"/>
  <c r="N1218" i="2"/>
  <c r="N1286" i="2"/>
  <c r="Z1286" i="2"/>
  <c r="N1246" i="2"/>
  <c r="Z1246" i="2"/>
  <c r="N787" i="2"/>
  <c r="Z787" i="2"/>
  <c r="N572" i="2"/>
  <c r="Z572" i="2"/>
  <c r="N1263" i="2"/>
  <c r="Q1140" i="2"/>
  <c r="AE1140" i="2" s="1"/>
  <c r="BO1140" i="2" s="1"/>
  <c r="BM1140" i="2" s="1"/>
  <c r="N1140" i="2"/>
  <c r="N655" i="2"/>
  <c r="Z655" i="2"/>
  <c r="N1182" i="2"/>
  <c r="Z1182" i="2"/>
  <c r="AB1182" i="2" s="1"/>
  <c r="AD1182" i="2" s="1"/>
  <c r="N1295" i="2"/>
  <c r="N880" i="2"/>
  <c r="Z544" i="2"/>
  <c r="N544" i="2"/>
  <c r="Z1295" i="2"/>
  <c r="N1195" i="2"/>
  <c r="Z880" i="2"/>
  <c r="N700" i="2"/>
  <c r="Z591" i="2"/>
  <c r="N591" i="2"/>
  <c r="Z20" i="2"/>
  <c r="AB20" i="2" s="1"/>
  <c r="AD20" i="2" s="1"/>
  <c r="Z980" i="2"/>
  <c r="AB980" i="2" s="1"/>
  <c r="AD980" i="2" s="1"/>
  <c r="Q726" i="2"/>
  <c r="AE726" i="2" s="1"/>
  <c r="BO726" i="2" s="1"/>
  <c r="BM726" i="2" s="1"/>
  <c r="Z1259" i="2"/>
  <c r="N190" i="2"/>
  <c r="N1701" i="2"/>
  <c r="Z533" i="2"/>
  <c r="AB533" i="2" s="1"/>
  <c r="AD533" i="2" s="1"/>
  <c r="Z1205" i="2"/>
  <c r="Z1122" i="2"/>
  <c r="N1443" i="2"/>
  <c r="Q1033" i="2"/>
  <c r="AE1033" i="2" s="1"/>
  <c r="BO1033" i="2" s="1"/>
  <c r="BM1033" i="2" s="1"/>
  <c r="N399" i="2"/>
  <c r="Z1208" i="2"/>
  <c r="Z1713" i="2"/>
  <c r="N1060" i="2"/>
  <c r="N45" i="2"/>
  <c r="N92" i="2"/>
  <c r="N645" i="2"/>
  <c r="N675" i="2"/>
  <c r="Q1443" i="2"/>
  <c r="AE1443" i="2" s="1"/>
  <c r="BO1443" i="2" s="1"/>
  <c r="BM1443" i="2" s="1"/>
  <c r="N1033" i="2"/>
  <c r="Z1317" i="2"/>
  <c r="Z216" i="2"/>
  <c r="N216" i="2"/>
  <c r="Z771" i="2"/>
  <c r="N1390" i="2"/>
  <c r="Z1292" i="2"/>
  <c r="Z399" i="2"/>
  <c r="N1593" i="2"/>
  <c r="Z1593" i="2"/>
  <c r="N1429" i="2"/>
  <c r="N1602" i="2"/>
  <c r="Z1490" i="2"/>
  <c r="Z1697" i="2"/>
  <c r="N1205" i="2"/>
  <c r="Z1429" i="2"/>
  <c r="Z344" i="2"/>
  <c r="Z1602" i="2"/>
  <c r="N417" i="2"/>
  <c r="N1715" i="2"/>
  <c r="Z1711" i="2"/>
  <c r="AB1711" i="2" s="1"/>
  <c r="AD1711" i="2" s="1"/>
  <c r="N490" i="2"/>
  <c r="Z490" i="2"/>
  <c r="N1038" i="2"/>
  <c r="Z1038" i="2"/>
  <c r="Z1133" i="2"/>
  <c r="N1133" i="2"/>
  <c r="Z378" i="2"/>
  <c r="N698" i="2"/>
  <c r="Z401" i="2"/>
  <c r="N401" i="2"/>
  <c r="N1089" i="2"/>
  <c r="Z1089" i="2"/>
  <c r="AB1089" i="2" s="1"/>
  <c r="AD1089" i="2" s="1"/>
  <c r="Z698" i="2"/>
  <c r="N954" i="2"/>
  <c r="Z758" i="2"/>
  <c r="AB758" i="2" s="1"/>
  <c r="AD758" i="2" s="1"/>
  <c r="N758" i="2"/>
  <c r="N431" i="2"/>
  <c r="N408" i="2"/>
  <c r="N471" i="2"/>
  <c r="Z471" i="2"/>
  <c r="Z736" i="2"/>
  <c r="N736" i="2"/>
  <c r="N745" i="2"/>
  <c r="N68" i="2"/>
  <c r="Z68" i="2"/>
  <c r="N1062" i="2"/>
  <c r="Z1062" i="2"/>
  <c r="AB1062" i="2" s="1"/>
  <c r="AD1062" i="2" s="1"/>
  <c r="N114" i="2"/>
  <c r="N864" i="2"/>
  <c r="Q864" i="2"/>
  <c r="AE864" i="2" s="1"/>
  <c r="BO864" i="2" s="1"/>
  <c r="BM864" i="2" s="1"/>
  <c r="N517" i="2"/>
  <c r="N680" i="2"/>
  <c r="Z590" i="2"/>
  <c r="N995" i="2"/>
  <c r="N567" i="2"/>
  <c r="Z137" i="2"/>
  <c r="N56" i="2"/>
  <c r="Z881" i="2"/>
  <c r="Q881" i="2" s="1"/>
  <c r="AE881" i="2" s="1"/>
  <c r="BO881" i="2" s="1"/>
  <c r="BM881" i="2" s="1"/>
  <c r="Z734" i="2"/>
  <c r="Q734" i="2" s="1"/>
  <c r="AE734" i="2" s="1"/>
  <c r="BO734" i="2" s="1"/>
  <c r="BM734" i="2" s="1"/>
  <c r="Z1059" i="2"/>
  <c r="AB1059" i="2" s="1"/>
  <c r="AD1059" i="2" s="1"/>
  <c r="N673" i="2"/>
  <c r="N549" i="2"/>
  <c r="N1097" i="2"/>
  <c r="N218" i="2"/>
  <c r="N953" i="2"/>
  <c r="Z564" i="2"/>
  <c r="Q564" i="2" s="1"/>
  <c r="AE564" i="2" s="1"/>
  <c r="BO564" i="2" s="1"/>
  <c r="BM564" i="2" s="1"/>
  <c r="Z808" i="2"/>
  <c r="Z953" i="2"/>
  <c r="AB953" i="2" s="1"/>
  <c r="AD953" i="2" s="1"/>
  <c r="N734" i="2"/>
  <c r="N1039" i="2"/>
  <c r="Z617" i="2"/>
  <c r="Q617" i="2" s="1"/>
  <c r="AE617" i="2" s="1"/>
  <c r="BO617" i="2" s="1"/>
  <c r="BM617" i="2" s="1"/>
  <c r="Z897" i="2"/>
  <c r="Q897" i="2" s="1"/>
  <c r="AE897" i="2" s="1"/>
  <c r="BO897" i="2" s="1"/>
  <c r="BM897" i="2" s="1"/>
  <c r="Z1039" i="2"/>
  <c r="Q1039" i="2" s="1"/>
  <c r="AE1039" i="2" s="1"/>
  <c r="BO1039" i="2" s="1"/>
  <c r="BM1039" i="2" s="1"/>
  <c r="Z443" i="2"/>
  <c r="Z717" i="2"/>
  <c r="Z984" i="2"/>
  <c r="Z517" i="2"/>
  <c r="N516" i="2"/>
  <c r="Z680" i="2"/>
  <c r="N590" i="2"/>
  <c r="Z995" i="2"/>
  <c r="Z567" i="2"/>
  <c r="N137" i="2"/>
  <c r="Z56" i="2"/>
  <c r="N897" i="2"/>
  <c r="Z477" i="2"/>
  <c r="Q477" i="2" s="1"/>
  <c r="AE477" i="2" s="1"/>
  <c r="BO477" i="2" s="1"/>
  <c r="BM477" i="2" s="1"/>
  <c r="Z825" i="2"/>
  <c r="Q825" i="2" s="1"/>
  <c r="AE825" i="2" s="1"/>
  <c r="BO825" i="2" s="1"/>
  <c r="BM825" i="2" s="1"/>
  <c r="Z1053" i="2"/>
  <c r="Q1053" i="2" s="1"/>
  <c r="AE1053" i="2" s="1"/>
  <c r="BO1053" i="2" s="1"/>
  <c r="BM1053" i="2" s="1"/>
  <c r="Z673" i="2"/>
  <c r="Z549" i="2"/>
  <c r="Z1097" i="2"/>
  <c r="Z218" i="2"/>
  <c r="N685" i="2"/>
  <c r="Z614" i="2"/>
  <c r="Z887" i="2"/>
  <c r="Z800" i="2"/>
  <c r="N631" i="2"/>
  <c r="N626" i="2"/>
  <c r="N977" i="2"/>
  <c r="Z718" i="2"/>
  <c r="Z676" i="2"/>
  <c r="Z991" i="2"/>
  <c r="Q1056" i="2"/>
  <c r="AE1056" i="2" s="1"/>
  <c r="BO1056" i="2" s="1"/>
  <c r="BM1056" i="2" s="1"/>
  <c r="N614" i="2"/>
  <c r="N887" i="2"/>
  <c r="N800" i="2"/>
  <c r="N718" i="2"/>
  <c r="N676" i="2"/>
  <c r="N991" i="2"/>
  <c r="N443" i="2"/>
  <c r="N717" i="2"/>
  <c r="N984" i="2"/>
  <c r="N1056" i="2"/>
  <c r="AE315" i="2" l="1"/>
  <c r="BO315" i="2" s="1"/>
  <c r="BM315" i="2" s="1"/>
  <c r="Q937" i="2"/>
  <c r="AE937" i="2" s="1"/>
  <c r="BO937" i="2" s="1"/>
  <c r="BM937" i="2" s="1"/>
  <c r="Q798" i="2"/>
  <c r="AE798" i="2" s="1"/>
  <c r="BO798" i="2" s="1"/>
  <c r="BM798" i="2" s="1"/>
  <c r="Q1046" i="2"/>
  <c r="P1046" i="2" s="1"/>
  <c r="AE692" i="2"/>
  <c r="BO692" i="2" s="1"/>
  <c r="BM692" i="2" s="1"/>
  <c r="Q514" i="2"/>
  <c r="AE514" i="2" s="1"/>
  <c r="BO514" i="2" s="1"/>
  <c r="BM514" i="2" s="1"/>
  <c r="BO1043" i="2"/>
  <c r="BM1043" i="2" s="1"/>
  <c r="Q1447" i="2"/>
  <c r="AE1447" i="2" s="1"/>
  <c r="BO1447" i="2" s="1"/>
  <c r="BM1447" i="2" s="1"/>
  <c r="AB1684" i="2"/>
  <c r="AD1684" i="2" s="1"/>
  <c r="Z1684" i="2"/>
  <c r="Q1184" i="2"/>
  <c r="AE1184" i="2" s="1"/>
  <c r="BO1184" i="2" s="1"/>
  <c r="BM1184" i="2" s="1"/>
  <c r="AE1684" i="2"/>
  <c r="BO1684" i="2" s="1"/>
  <c r="BM1684" i="2" s="1"/>
  <c r="P888" i="2"/>
  <c r="AG888" i="2" s="1"/>
  <c r="AH888" i="2" s="1"/>
  <c r="Q576" i="2"/>
  <c r="AE576" i="2" s="1"/>
  <c r="BO576" i="2" s="1"/>
  <c r="BM576" i="2" s="1"/>
  <c r="BK691" i="2"/>
  <c r="P691" i="2"/>
  <c r="AE691" i="2"/>
  <c r="BO691" i="2" s="1"/>
  <c r="BM691" i="2" s="1"/>
  <c r="Q731" i="2"/>
  <c r="AE731" i="2" s="1"/>
  <c r="BO731" i="2" s="1"/>
  <c r="BM731" i="2" s="1"/>
  <c r="AC1684" i="2"/>
  <c r="BK576" i="2"/>
  <c r="AC315" i="2"/>
  <c r="AG692" i="2"/>
  <c r="AH692" i="2" s="1"/>
  <c r="AG1043" i="2"/>
  <c r="AH1043" i="2" s="1"/>
  <c r="AC1043" i="2"/>
  <c r="P784" i="2"/>
  <c r="AE784" i="2"/>
  <c r="BO784" i="2" s="1"/>
  <c r="BM784" i="2" s="1"/>
  <c r="AC1144" i="2"/>
  <c r="AC985" i="2"/>
  <c r="AC1019" i="2"/>
  <c r="AB1692" i="2"/>
  <c r="AD1692" i="2" s="1"/>
  <c r="AE1692" i="2"/>
  <c r="BO1692" i="2" s="1"/>
  <c r="BM1692" i="2" s="1"/>
  <c r="AC1692" i="2"/>
  <c r="Z1692" i="2"/>
  <c r="AB1019" i="2"/>
  <c r="AD1019" i="2" s="1"/>
  <c r="AE1019" i="2"/>
  <c r="BO1019" i="2" s="1"/>
  <c r="BM1019" i="2" s="1"/>
  <c r="AG985" i="2"/>
  <c r="AH985" i="2" s="1"/>
  <c r="AE762" i="2"/>
  <c r="BO762" i="2" s="1"/>
  <c r="BM762" i="2" s="1"/>
  <c r="AG762" i="2"/>
  <c r="AH762" i="2" s="1"/>
  <c r="AB762" i="2"/>
  <c r="AD762" i="2" s="1"/>
  <c r="AG1055" i="2"/>
  <c r="AH1055" i="2" s="1"/>
  <c r="AE1284" i="2"/>
  <c r="BO1284" i="2" s="1"/>
  <c r="BM1284" i="2" s="1"/>
  <c r="AE263" i="2"/>
  <c r="BO263" i="2" s="1"/>
  <c r="BM263" i="2" s="1"/>
  <c r="AE1055" i="2"/>
  <c r="BO1055" i="2" s="1"/>
  <c r="BM1055" i="2" s="1"/>
  <c r="AG775" i="2"/>
  <c r="AH775" i="2" s="1"/>
  <c r="AC1179" i="2"/>
  <c r="AC263" i="2"/>
  <c r="AE775" i="2"/>
  <c r="BO775" i="2" s="1"/>
  <c r="BM775" i="2" s="1"/>
  <c r="AB775" i="2"/>
  <c r="AD775" i="2" s="1"/>
  <c r="AB1179" i="2"/>
  <c r="AD1179" i="2" s="1"/>
  <c r="AC1055" i="2"/>
  <c r="AE1179" i="2"/>
  <c r="BO1179" i="2" s="1"/>
  <c r="BM1179" i="2" s="1"/>
  <c r="AB905" i="2"/>
  <c r="AD905" i="2" s="1"/>
  <c r="AE905" i="2"/>
  <c r="BO905" i="2" s="1"/>
  <c r="BM905" i="2" s="1"/>
  <c r="AC1689" i="2"/>
  <c r="AE1689" i="2"/>
  <c r="BO1689" i="2" s="1"/>
  <c r="BM1689" i="2" s="1"/>
  <c r="AB263" i="2"/>
  <c r="AD263" i="2" s="1"/>
  <c r="AG1679" i="2"/>
  <c r="AH1679" i="2" s="1"/>
  <c r="AG1217" i="2"/>
  <c r="AH1217" i="2" s="1"/>
  <c r="AC1217" i="2"/>
  <c r="AE985" i="2"/>
  <c r="BO985" i="2" s="1"/>
  <c r="BM985" i="2" s="1"/>
  <c r="AG309" i="2"/>
  <c r="AH309" i="2" s="1"/>
  <c r="AB1689" i="2"/>
  <c r="AD1689" i="2" s="1"/>
  <c r="AE1217" i="2"/>
  <c r="BO1217" i="2" s="1"/>
  <c r="BM1217" i="2" s="1"/>
  <c r="AB912" i="2"/>
  <c r="AD912" i="2" s="1"/>
  <c r="AE1215" i="2"/>
  <c r="BO1215" i="2" s="1"/>
  <c r="BM1215" i="2" s="1"/>
  <c r="AG1083" i="2"/>
  <c r="AH1083" i="2" s="1"/>
  <c r="Z1663" i="2"/>
  <c r="AE1083" i="2"/>
  <c r="BO1083" i="2" s="1"/>
  <c r="BM1083" i="2" s="1"/>
  <c r="AB1083" i="2"/>
  <c r="AD1083" i="2" s="1"/>
  <c r="AE912" i="2"/>
  <c r="BO912" i="2" s="1"/>
  <c r="BM912" i="2" s="1"/>
  <c r="AG912" i="2"/>
  <c r="AH912" i="2" s="1"/>
  <c r="AE309" i="2"/>
  <c r="BO309" i="2" s="1"/>
  <c r="BM309" i="2" s="1"/>
  <c r="AC905" i="2"/>
  <c r="AC309" i="2"/>
  <c r="AC1207" i="2"/>
  <c r="Z1674" i="2"/>
  <c r="Z1690" i="2"/>
  <c r="AB1274" i="2"/>
  <c r="AD1274" i="2" s="1"/>
  <c r="AE1674" i="2"/>
  <c r="BO1674" i="2" s="1"/>
  <c r="BM1674" i="2" s="1"/>
  <c r="AG1689" i="2"/>
  <c r="AH1689" i="2" s="1"/>
  <c r="AC1284" i="2"/>
  <c r="AB1207" i="2"/>
  <c r="AD1207" i="2" s="1"/>
  <c r="AE856" i="2"/>
  <c r="BO856" i="2" s="1"/>
  <c r="BM856" i="2" s="1"/>
  <c r="AG856" i="2"/>
  <c r="AH856" i="2" s="1"/>
  <c r="AC856" i="2"/>
  <c r="AC1674" i="2"/>
  <c r="AG1687" i="2"/>
  <c r="AH1687" i="2" s="1"/>
  <c r="AE1690" i="2"/>
  <c r="BO1690" i="2" s="1"/>
  <c r="BM1690" i="2" s="1"/>
  <c r="AE1207" i="2"/>
  <c r="BO1207" i="2" s="1"/>
  <c r="BM1207" i="2" s="1"/>
  <c r="AB1690" i="2"/>
  <c r="AD1690" i="2" s="1"/>
  <c r="AG1690" i="2"/>
  <c r="AH1690" i="2" s="1"/>
  <c r="AG1274" i="2"/>
  <c r="AH1274" i="2" s="1"/>
  <c r="AC1290" i="2"/>
  <c r="AB1674" i="2"/>
  <c r="AD1674" i="2" s="1"/>
  <c r="AE1680" i="2"/>
  <c r="BO1680" i="2" s="1"/>
  <c r="BM1680" i="2" s="1"/>
  <c r="AE1274" i="2"/>
  <c r="BO1274" i="2" s="1"/>
  <c r="BM1274" i="2" s="1"/>
  <c r="AG1207" i="2"/>
  <c r="AH1207" i="2" s="1"/>
  <c r="AG1144" i="2"/>
  <c r="AH1144" i="2" s="1"/>
  <c r="AB1687" i="2"/>
  <c r="AD1687" i="2" s="1"/>
  <c r="AC1215" i="2"/>
  <c r="AB1691" i="2"/>
  <c r="AD1691" i="2" s="1"/>
  <c r="AC1663" i="2"/>
  <c r="AB1680" i="2"/>
  <c r="AD1680" i="2" s="1"/>
  <c r="AE1663" i="2"/>
  <c r="BO1663" i="2" s="1"/>
  <c r="BM1663" i="2" s="1"/>
  <c r="AB1682" i="2"/>
  <c r="AD1682" i="2" s="1"/>
  <c r="AB1215" i="2"/>
  <c r="AD1215" i="2" s="1"/>
  <c r="AG1680" i="2"/>
  <c r="AH1680" i="2" s="1"/>
  <c r="AE1687" i="2"/>
  <c r="BO1687" i="2" s="1"/>
  <c r="BM1687" i="2" s="1"/>
  <c r="AB1284" i="2"/>
  <c r="AD1284" i="2" s="1"/>
  <c r="AG1284" i="2"/>
  <c r="AH1284" i="2" s="1"/>
  <c r="AB1144" i="2"/>
  <c r="AD1144" i="2" s="1"/>
  <c r="AE1290" i="2"/>
  <c r="BO1290" i="2" s="1"/>
  <c r="BM1290" i="2" s="1"/>
  <c r="AB1663" i="2"/>
  <c r="AD1663" i="2" s="1"/>
  <c r="AC1680" i="2"/>
  <c r="AB1290" i="2"/>
  <c r="AD1290" i="2" s="1"/>
  <c r="AG1290" i="2"/>
  <c r="AH1290" i="2" s="1"/>
  <c r="AE1144" i="2"/>
  <c r="BO1144" i="2" s="1"/>
  <c r="BM1144" i="2" s="1"/>
  <c r="AC1183" i="2"/>
  <c r="AE1183" i="2"/>
  <c r="BO1183" i="2" s="1"/>
  <c r="BM1183" i="2" s="1"/>
  <c r="AB1183" i="2"/>
  <c r="AD1183" i="2" s="1"/>
  <c r="AG1183" i="2"/>
  <c r="AH1183" i="2" s="1"/>
  <c r="AC1296" i="2"/>
  <c r="AG1296" i="2"/>
  <c r="AH1296" i="2" s="1"/>
  <c r="AE1296" i="2"/>
  <c r="BO1296" i="2" s="1"/>
  <c r="BM1296" i="2" s="1"/>
  <c r="AE1103" i="2"/>
  <c r="BO1103" i="2" s="1"/>
  <c r="BM1103" i="2" s="1"/>
  <c r="AG1103" i="2"/>
  <c r="AH1103" i="2" s="1"/>
  <c r="AC1103" i="2"/>
  <c r="AB1103" i="2"/>
  <c r="AD1103" i="2" s="1"/>
  <c r="AE1213" i="2"/>
  <c r="BO1213" i="2" s="1"/>
  <c r="BM1213" i="2" s="1"/>
  <c r="AG1213" i="2"/>
  <c r="AH1213" i="2" s="1"/>
  <c r="AC1213" i="2"/>
  <c r="AB1213" i="2"/>
  <c r="AD1213" i="2" s="1"/>
  <c r="AC1225" i="2"/>
  <c r="AE1225" i="2"/>
  <c r="BO1225" i="2" s="1"/>
  <c r="BM1225" i="2" s="1"/>
  <c r="AB1225" i="2"/>
  <c r="AD1225" i="2" s="1"/>
  <c r="AG1225" i="2"/>
  <c r="AH1225" i="2" s="1"/>
  <c r="AE1333" i="2"/>
  <c r="BO1333" i="2" s="1"/>
  <c r="BM1333" i="2" s="1"/>
  <c r="AC1333" i="2"/>
  <c r="AG1333" i="2"/>
  <c r="AH1333" i="2" s="1"/>
  <c r="AB1333" i="2"/>
  <c r="AD1333" i="2" s="1"/>
  <c r="AE1289" i="2"/>
  <c r="BO1289" i="2" s="1"/>
  <c r="BM1289" i="2" s="1"/>
  <c r="AC1289" i="2"/>
  <c r="AB1289" i="2"/>
  <c r="AD1289" i="2" s="1"/>
  <c r="AG1289" i="2"/>
  <c r="AH1289" i="2" s="1"/>
  <c r="AB1296" i="2"/>
  <c r="AD1296" i="2" s="1"/>
  <c r="AE1174" i="2"/>
  <c r="BO1174" i="2" s="1"/>
  <c r="BM1174" i="2" s="1"/>
  <c r="AC1174" i="2"/>
  <c r="AB1174" i="2"/>
  <c r="AD1174" i="2" s="1"/>
  <c r="AG1174" i="2"/>
  <c r="AH1174" i="2" s="1"/>
  <c r="AE1252" i="2"/>
  <c r="BO1252" i="2" s="1"/>
  <c r="BM1252" i="2" s="1"/>
  <c r="AC1252" i="2"/>
  <c r="AB1252" i="2"/>
  <c r="AD1252" i="2" s="1"/>
  <c r="AG1252" i="2"/>
  <c r="AH1252" i="2" s="1"/>
  <c r="AE621" i="2"/>
  <c r="BO621" i="2" s="1"/>
  <c r="BM621" i="2" s="1"/>
  <c r="AB621" i="2"/>
  <c r="AD621" i="2" s="1"/>
  <c r="AC621" i="2"/>
  <c r="AE682" i="2"/>
  <c r="BO682" i="2" s="1"/>
  <c r="BM682" i="2" s="1"/>
  <c r="AC682" i="2"/>
  <c r="AB682" i="2"/>
  <c r="AD682" i="2" s="1"/>
  <c r="AE1136" i="2"/>
  <c r="BO1136" i="2" s="1"/>
  <c r="BM1136" i="2" s="1"/>
  <c r="AC1136" i="2"/>
  <c r="AB1136" i="2"/>
  <c r="AD1136" i="2" s="1"/>
  <c r="AE674" i="2"/>
  <c r="BO674" i="2" s="1"/>
  <c r="BM674" i="2" s="1"/>
  <c r="AB674" i="2"/>
  <c r="AD674" i="2" s="1"/>
  <c r="AC674" i="2"/>
  <c r="AB815" i="2"/>
  <c r="AD815" i="2" s="1"/>
  <c r="AE815" i="2"/>
  <c r="BO815" i="2" s="1"/>
  <c r="BM815" i="2" s="1"/>
  <c r="AC815" i="2"/>
  <c r="AB702" i="2"/>
  <c r="AD702" i="2" s="1"/>
  <c r="AE702" i="2"/>
  <c r="BO702" i="2" s="1"/>
  <c r="BM702" i="2" s="1"/>
  <c r="AC702" i="2"/>
  <c r="AB972" i="2"/>
  <c r="AD972" i="2" s="1"/>
  <c r="AE972" i="2"/>
  <c r="BO972" i="2" s="1"/>
  <c r="BM972" i="2" s="1"/>
  <c r="AC972" i="2"/>
  <c r="Z1691" i="2"/>
  <c r="AE1686" i="2"/>
  <c r="BO1686" i="2" s="1"/>
  <c r="BM1686" i="2" s="1"/>
  <c r="AG1688" i="2"/>
  <c r="AH1688" i="2" s="1"/>
  <c r="Z1686" i="2"/>
  <c r="AB1679" i="2"/>
  <c r="AD1679" i="2" s="1"/>
  <c r="Z1679" i="2"/>
  <c r="AB1669" i="2"/>
  <c r="AD1669" i="2" s="1"/>
  <c r="AE1691" i="2"/>
  <c r="BO1691" i="2" s="1"/>
  <c r="BM1691" i="2" s="1"/>
  <c r="AG1691" i="2"/>
  <c r="AH1691" i="2" s="1"/>
  <c r="AB1686" i="2"/>
  <c r="AD1686" i="2" s="1"/>
  <c r="AE1679" i="2"/>
  <c r="BO1679" i="2" s="1"/>
  <c r="BM1679" i="2" s="1"/>
  <c r="Z1687" i="2"/>
  <c r="AE1669" i="2"/>
  <c r="BO1669" i="2" s="1"/>
  <c r="BM1669" i="2" s="1"/>
  <c r="AG1686" i="2"/>
  <c r="AH1686" i="2" s="1"/>
  <c r="Z1688" i="2"/>
  <c r="AE738" i="2"/>
  <c r="BO738" i="2" s="1"/>
  <c r="BM738" i="2" s="1"/>
  <c r="AC1666" i="2"/>
  <c r="AE1688" i="2"/>
  <c r="BO1688" i="2" s="1"/>
  <c r="BM1688" i="2" s="1"/>
  <c r="AB1683" i="2"/>
  <c r="AD1683" i="2" s="1"/>
  <c r="AE1653" i="2"/>
  <c r="BO1653" i="2" s="1"/>
  <c r="BM1653" i="2" s="1"/>
  <c r="AE1666" i="2"/>
  <c r="BO1666" i="2" s="1"/>
  <c r="BM1666" i="2" s="1"/>
  <c r="Z1666" i="2"/>
  <c r="AG1672" i="2"/>
  <c r="AH1672" i="2" s="1"/>
  <c r="AE1683" i="2"/>
  <c r="BO1683" i="2" s="1"/>
  <c r="BM1683" i="2" s="1"/>
  <c r="AC1688" i="2"/>
  <c r="AB1666" i="2"/>
  <c r="AD1666" i="2" s="1"/>
  <c r="AG1682" i="2"/>
  <c r="AH1682" i="2" s="1"/>
  <c r="AB1667" i="2"/>
  <c r="AD1667" i="2" s="1"/>
  <c r="Z1678" i="2"/>
  <c r="AB1672" i="2"/>
  <c r="AD1672" i="2" s="1"/>
  <c r="AC1667" i="2"/>
  <c r="AB1668" i="2"/>
  <c r="AD1668" i="2" s="1"/>
  <c r="AE1667" i="2"/>
  <c r="BO1667" i="2" s="1"/>
  <c r="BM1667" i="2" s="1"/>
  <c r="AB1676" i="2"/>
  <c r="AD1676" i="2" s="1"/>
  <c r="AC1683" i="2"/>
  <c r="AG1681" i="2"/>
  <c r="AH1681" i="2" s="1"/>
  <c r="AE1682" i="2"/>
  <c r="BO1682" i="2" s="1"/>
  <c r="BM1682" i="2" s="1"/>
  <c r="AE1672" i="2"/>
  <c r="BO1672" i="2" s="1"/>
  <c r="BM1672" i="2" s="1"/>
  <c r="Z1676" i="2"/>
  <c r="Z1672" i="2"/>
  <c r="AB1681" i="2"/>
  <c r="AD1681" i="2" s="1"/>
  <c r="Z1683" i="2"/>
  <c r="AE1681" i="2"/>
  <c r="BO1681" i="2" s="1"/>
  <c r="BM1681" i="2" s="1"/>
  <c r="AC1682" i="2"/>
  <c r="Z1667" i="2"/>
  <c r="AE1668" i="2"/>
  <c r="BO1668" i="2" s="1"/>
  <c r="BM1668" i="2" s="1"/>
  <c r="AE1676" i="2"/>
  <c r="BO1676" i="2" s="1"/>
  <c r="BM1676" i="2" s="1"/>
  <c r="AC1681" i="2"/>
  <c r="AE1678" i="2"/>
  <c r="BO1678" i="2" s="1"/>
  <c r="BM1678" i="2" s="1"/>
  <c r="M1693" i="2"/>
  <c r="AE1693" i="2"/>
  <c r="BO1693" i="2" s="1"/>
  <c r="BM1693" i="2" s="1"/>
  <c r="M1685" i="2"/>
  <c r="AE1685" i="2"/>
  <c r="BO1685" i="2" s="1"/>
  <c r="BM1685" i="2" s="1"/>
  <c r="AE1654" i="2"/>
  <c r="BO1654" i="2" s="1"/>
  <c r="BM1654" i="2" s="1"/>
  <c r="AC1669" i="2"/>
  <c r="Z1668" i="2"/>
  <c r="Z1669" i="2"/>
  <c r="AC1676" i="2"/>
  <c r="AC1668" i="2"/>
  <c r="AB1673" i="2"/>
  <c r="AD1673" i="2" s="1"/>
  <c r="AG1673" i="2"/>
  <c r="AH1673" i="2" s="1"/>
  <c r="M1665" i="2"/>
  <c r="AE1665" i="2"/>
  <c r="BO1665" i="2" s="1"/>
  <c r="BM1665" i="2" s="1"/>
  <c r="AE1673" i="2"/>
  <c r="BO1673" i="2" s="1"/>
  <c r="BM1673" i="2" s="1"/>
  <c r="AB1654" i="2"/>
  <c r="AD1654" i="2" s="1"/>
  <c r="AG1678" i="2"/>
  <c r="AH1678" i="2" s="1"/>
  <c r="AB1678" i="2"/>
  <c r="AD1678" i="2" s="1"/>
  <c r="Z1673" i="2"/>
  <c r="M1675" i="2"/>
  <c r="AE1675" i="2"/>
  <c r="BO1675" i="2" s="1"/>
  <c r="BM1675" i="2" s="1"/>
  <c r="M1677" i="2"/>
  <c r="AE1677" i="2"/>
  <c r="BO1677" i="2" s="1"/>
  <c r="BM1677" i="2" s="1"/>
  <c r="M1671" i="2"/>
  <c r="AE1671" i="2"/>
  <c r="BO1671" i="2" s="1"/>
  <c r="BM1671" i="2" s="1"/>
  <c r="M1670" i="2"/>
  <c r="AE1670" i="2"/>
  <c r="BO1670" i="2" s="1"/>
  <c r="BM1670" i="2" s="1"/>
  <c r="AG1655" i="2"/>
  <c r="AH1655" i="2" s="1"/>
  <c r="AE1660" i="2"/>
  <c r="BO1660" i="2" s="1"/>
  <c r="BM1660" i="2" s="1"/>
  <c r="Z1660" i="2"/>
  <c r="AE1655" i="2"/>
  <c r="BO1655" i="2" s="1"/>
  <c r="BM1655" i="2" s="1"/>
  <c r="AB1660" i="2"/>
  <c r="AD1660" i="2" s="1"/>
  <c r="Z1654" i="2"/>
  <c r="AB1655" i="2"/>
  <c r="AD1655" i="2" s="1"/>
  <c r="AG1654" i="2"/>
  <c r="AH1654" i="2" s="1"/>
  <c r="M1662" i="2"/>
  <c r="AE1662" i="2"/>
  <c r="BO1662" i="2" s="1"/>
  <c r="BM1662" i="2" s="1"/>
  <c r="M1656" i="2"/>
  <c r="AE1656" i="2"/>
  <c r="BO1656" i="2" s="1"/>
  <c r="BM1656" i="2" s="1"/>
  <c r="Z1655" i="2"/>
  <c r="AC1660" i="2"/>
  <c r="M1661" i="2"/>
  <c r="AE1661" i="2"/>
  <c r="BO1661" i="2" s="1"/>
  <c r="BM1661" i="2" s="1"/>
  <c r="M1664" i="2"/>
  <c r="Z1664" i="2" s="1"/>
  <c r="AE1664" i="2"/>
  <c r="BO1664" i="2" s="1"/>
  <c r="BM1664" i="2" s="1"/>
  <c r="M1659" i="2"/>
  <c r="Z1659" i="2" s="1"/>
  <c r="AE1659" i="2"/>
  <c r="BO1659" i="2" s="1"/>
  <c r="BM1659" i="2" s="1"/>
  <c r="M1658" i="2"/>
  <c r="AB1658" i="2" s="1"/>
  <c r="AD1658" i="2" s="1"/>
  <c r="AE1658" i="2"/>
  <c r="BO1658" i="2" s="1"/>
  <c r="BM1658" i="2" s="1"/>
  <c r="M1657" i="2"/>
  <c r="Z1657" i="2" s="1"/>
  <c r="AE1657" i="2"/>
  <c r="BO1657" i="2" s="1"/>
  <c r="BM1657" i="2" s="1"/>
  <c r="Z1653" i="2"/>
  <c r="AC1653" i="2"/>
  <c r="AB1653" i="2"/>
  <c r="AD1653" i="2" s="1"/>
  <c r="AE1539" i="2"/>
  <c r="AG1539" i="2"/>
  <c r="AH1539" i="2" s="1"/>
  <c r="Z1503" i="2"/>
  <c r="Q1503" i="2" s="1"/>
  <c r="AE1503" i="2" s="1"/>
  <c r="BO1503" i="2" s="1"/>
  <c r="BM1503" i="2" s="1"/>
  <c r="AD1181" i="2"/>
  <c r="N1580" i="2"/>
  <c r="AD1359" i="2"/>
  <c r="N1381" i="2"/>
  <c r="AD594" i="2"/>
  <c r="AD693" i="2"/>
  <c r="AD658" i="2"/>
  <c r="AD1391" i="2"/>
  <c r="Q1580" i="2"/>
  <c r="AE1580" i="2" s="1"/>
  <c r="BO1580" i="2" s="1"/>
  <c r="BM1580" i="2" s="1"/>
  <c r="Z1069" i="2"/>
  <c r="AD483" i="2"/>
  <c r="AD1503" i="2"/>
  <c r="AD1026" i="2"/>
  <c r="AF144" i="2"/>
  <c r="N144" i="2" s="1"/>
  <c r="AD144" i="2"/>
  <c r="AD1468" i="2"/>
  <c r="AD1294" i="2"/>
  <c r="AD721" i="2"/>
  <c r="AF93" i="2"/>
  <c r="N93" i="2" s="1"/>
  <c r="AD93" i="2"/>
  <c r="AF103" i="2"/>
  <c r="Z103" i="2" s="1"/>
  <c r="Q103" i="2" s="1"/>
  <c r="AE103" i="2" s="1"/>
  <c r="BO103" i="2" s="1"/>
  <c r="BM103" i="2" s="1"/>
  <c r="AD103" i="2"/>
  <c r="AD1037" i="2"/>
  <c r="AD796" i="2"/>
  <c r="AD981" i="2"/>
  <c r="AD1268" i="2"/>
  <c r="AD1435" i="2"/>
  <c r="AD587" i="2"/>
  <c r="AD1085" i="2"/>
  <c r="AF9" i="2"/>
  <c r="Z9" i="2" s="1"/>
  <c r="AD9" i="2"/>
  <c r="AD1054" i="2"/>
  <c r="AF1439" i="2"/>
  <c r="Z1439" i="2" s="1"/>
  <c r="AF1622" i="2"/>
  <c r="Z1181" i="2"/>
  <c r="Q334" i="2"/>
  <c r="AE334" i="2" s="1"/>
  <c r="BO334" i="2" s="1"/>
  <c r="BM334" i="2" s="1"/>
  <c r="AB334" i="2"/>
  <c r="AD334" i="2" s="1"/>
  <c r="AB316" i="2"/>
  <c r="AD316" i="2" s="1"/>
  <c r="Q35" i="2"/>
  <c r="AE35" i="2" s="1"/>
  <c r="BO35" i="2" s="1"/>
  <c r="BM35" i="2" s="1"/>
  <c r="AB35" i="2"/>
  <c r="AD35" i="2" s="1"/>
  <c r="Q125" i="2"/>
  <c r="AE125" i="2" s="1"/>
  <c r="BO125" i="2" s="1"/>
  <c r="BM125" i="2" s="1"/>
  <c r="Z967" i="2"/>
  <c r="Q967" i="2" s="1"/>
  <c r="AE967" i="2" s="1"/>
  <c r="BO967" i="2" s="1"/>
  <c r="BM967" i="2" s="1"/>
  <c r="Q479" i="2"/>
  <c r="AE479" i="2" s="1"/>
  <c r="BO479" i="2" s="1"/>
  <c r="BM479" i="2" s="1"/>
  <c r="N924" i="2"/>
  <c r="BO994" i="2"/>
  <c r="BM994" i="2" s="1"/>
  <c r="AC967" i="2"/>
  <c r="Q115" i="2"/>
  <c r="N1503" i="2"/>
  <c r="Q1496" i="2"/>
  <c r="AE1496" i="2" s="1"/>
  <c r="BO1496" i="2" s="1"/>
  <c r="BM1496" i="2" s="1"/>
  <c r="AC1015" i="2"/>
  <c r="AB1015" i="2"/>
  <c r="AD1015" i="2" s="1"/>
  <c r="AB115" i="2"/>
  <c r="AD115" i="2" s="1"/>
  <c r="AB1119" i="2"/>
  <c r="AD1119" i="2" s="1"/>
  <c r="AB524" i="2"/>
  <c r="AD524" i="2" s="1"/>
  <c r="Q524" i="2"/>
  <c r="AE524" i="2" s="1"/>
  <c r="BO524" i="2" s="1"/>
  <c r="BM524" i="2" s="1"/>
  <c r="AH1503" i="2"/>
  <c r="AB967" i="2"/>
  <c r="AD967" i="2" s="1"/>
  <c r="Q958" i="2"/>
  <c r="AE958" i="2" s="1"/>
  <c r="BO958" i="2" s="1"/>
  <c r="BM958" i="2" s="1"/>
  <c r="AC958" i="2"/>
  <c r="AB958" i="2"/>
  <c r="AD958" i="2" s="1"/>
  <c r="Q1568" i="2"/>
  <c r="AE1568" i="2" s="1"/>
  <c r="BO1568" i="2" s="1"/>
  <c r="BM1568" i="2" s="1"/>
  <c r="AG958" i="2"/>
  <c r="AH958" i="2" s="1"/>
  <c r="N1181" i="2"/>
  <c r="AH1181" i="2"/>
  <c r="Z1391" i="2"/>
  <c r="Z693" i="2"/>
  <c r="AH1391" i="2"/>
  <c r="AB906" i="2"/>
  <c r="AD906" i="2" s="1"/>
  <c r="Q906" i="2"/>
  <c r="AE906" i="2" s="1"/>
  <c r="BO906" i="2" s="1"/>
  <c r="BM906" i="2" s="1"/>
  <c r="N693" i="2"/>
  <c r="AH693" i="2"/>
  <c r="Q1381" i="2"/>
  <c r="AE1381" i="2" s="1"/>
  <c r="BO1381" i="2" s="1"/>
  <c r="BM1381" i="2" s="1"/>
  <c r="Q208" i="2"/>
  <c r="AE208" i="2" s="1"/>
  <c r="BO208" i="2" s="1"/>
  <c r="BM208" i="2" s="1"/>
  <c r="Q1015" i="2"/>
  <c r="AE1015" i="2" s="1"/>
  <c r="BO1015" i="2" s="1"/>
  <c r="BM1015" i="2" s="1"/>
  <c r="Q529" i="2"/>
  <c r="AE529" i="2" s="1"/>
  <c r="BO529" i="2" s="1"/>
  <c r="BM529" i="2" s="1"/>
  <c r="AG1015" i="2"/>
  <c r="AH1015" i="2" s="1"/>
  <c r="AB479" i="2"/>
  <c r="AD479" i="2" s="1"/>
  <c r="AC479" i="2"/>
  <c r="AE14" i="2"/>
  <c r="BO14" i="2" s="1"/>
  <c r="BM14" i="2" s="1"/>
  <c r="AC906" i="2"/>
  <c r="Q1405" i="2"/>
  <c r="AE1405" i="2" s="1"/>
  <c r="BO1405" i="2" s="1"/>
  <c r="BM1405" i="2" s="1"/>
  <c r="Q140" i="2"/>
  <c r="AE140" i="2" s="1"/>
  <c r="BO140" i="2" s="1"/>
  <c r="BM140" i="2" s="1"/>
  <c r="AG906" i="2"/>
  <c r="AH906" i="2" s="1"/>
  <c r="AG479" i="2"/>
  <c r="AH479" i="2" s="1"/>
  <c r="Q390" i="2"/>
  <c r="AE390" i="2" s="1"/>
  <c r="BO390" i="2" s="1"/>
  <c r="BM390" i="2" s="1"/>
  <c r="Q297" i="2"/>
  <c r="AE297" i="2" s="1"/>
  <c r="BO297" i="2" s="1"/>
  <c r="BM297" i="2" s="1"/>
  <c r="Q312" i="2"/>
  <c r="AE312" i="2" s="1"/>
  <c r="BO312" i="2" s="1"/>
  <c r="BM312" i="2" s="1"/>
  <c r="Q1209" i="2"/>
  <c r="AE1209" i="2" s="1"/>
  <c r="BO1209" i="2" s="1"/>
  <c r="BM1209" i="2" s="1"/>
  <c r="Q188" i="2"/>
  <c r="AE188" i="2" s="1"/>
  <c r="BO188" i="2" s="1"/>
  <c r="BM188" i="2" s="1"/>
  <c r="N1468" i="2"/>
  <c r="N329" i="2"/>
  <c r="AG1125" i="2"/>
  <c r="AH1125" i="2" s="1"/>
  <c r="Z1468" i="2"/>
  <c r="Q625" i="2"/>
  <c r="AE625" i="2" s="1"/>
  <c r="BO625" i="2" s="1"/>
  <c r="BM625" i="2" s="1"/>
  <c r="AC826" i="2"/>
  <c r="Q826" i="2"/>
  <c r="AE826" i="2" s="1"/>
  <c r="BO826" i="2" s="1"/>
  <c r="BM826" i="2" s="1"/>
  <c r="AG826" i="2"/>
  <c r="AH826" i="2" s="1"/>
  <c r="AB826" i="2"/>
  <c r="AD826" i="2" s="1"/>
  <c r="N1391" i="2"/>
  <c r="Z721" i="2"/>
  <c r="N721" i="2"/>
  <c r="Z483" i="2"/>
  <c r="N483" i="2"/>
  <c r="Q1241" i="2"/>
  <c r="AE1241" i="2" s="1"/>
  <c r="BO1241" i="2" s="1"/>
  <c r="BM1241" i="2" s="1"/>
  <c r="AC468" i="2"/>
  <c r="AG1124" i="2"/>
  <c r="AH1124" i="2" s="1"/>
  <c r="AC525" i="2"/>
  <c r="AH1026" i="2"/>
  <c r="AH483" i="2"/>
  <c r="AH721" i="2"/>
  <c r="Z1054" i="2"/>
  <c r="N1054" i="2"/>
  <c r="Z1124" i="2"/>
  <c r="N1359" i="2"/>
  <c r="AG1186" i="2"/>
  <c r="AH1186" i="2" s="1"/>
  <c r="Z1359" i="2"/>
  <c r="AH594" i="2"/>
  <c r="Z594" i="2"/>
  <c r="N594" i="2"/>
  <c r="AI560" i="2"/>
  <c r="AH560" i="2" s="1"/>
  <c r="AH658" i="2"/>
  <c r="Z658" i="2"/>
  <c r="AI1116" i="2"/>
  <c r="AH1116" i="2" s="1"/>
  <c r="AC748" i="2"/>
  <c r="Z1026" i="2"/>
  <c r="AG1433" i="2"/>
  <c r="AH1433" i="2" s="1"/>
  <c r="AC1111" i="2"/>
  <c r="AH1359" i="2"/>
  <c r="AI1212" i="2"/>
  <c r="AH1212" i="2" s="1"/>
  <c r="N658" i="2"/>
  <c r="Z891" i="2"/>
  <c r="AB891" i="2"/>
  <c r="AD891" i="2" s="1"/>
  <c r="AG891" i="2"/>
  <c r="AH891" i="2" s="1"/>
  <c r="Z1446" i="2"/>
  <c r="AB1446" i="2"/>
  <c r="AD1446" i="2" s="1"/>
  <c r="Z1265" i="2"/>
  <c r="Q1265" i="2" s="1"/>
  <c r="AB1265" i="2"/>
  <c r="AD1265" i="2" s="1"/>
  <c r="Z1079" i="2"/>
  <c r="AB1079" i="2"/>
  <c r="AD1079" i="2" s="1"/>
  <c r="AC1079" i="2"/>
  <c r="AG1079" i="2"/>
  <c r="AH1079" i="2" s="1"/>
  <c r="Z1325" i="2"/>
  <c r="AG1325" i="2"/>
  <c r="AH1325" i="2" s="1"/>
  <c r="AB1325" i="2"/>
  <c r="AD1325" i="2" s="1"/>
  <c r="AC1325" i="2"/>
  <c r="Z697" i="2"/>
  <c r="AB697" i="2"/>
  <c r="AD697" i="2" s="1"/>
  <c r="AG697" i="2"/>
  <c r="AH697" i="2" s="1"/>
  <c r="AC697" i="2"/>
  <c r="AC1178" i="2"/>
  <c r="AG1178" i="2"/>
  <c r="AH1178" i="2" s="1"/>
  <c r="AB1178" i="2"/>
  <c r="AD1178" i="2" s="1"/>
  <c r="AG1314" i="2"/>
  <c r="AH1314" i="2" s="1"/>
  <c r="Z1434" i="2"/>
  <c r="AB1434" i="2"/>
  <c r="AD1434" i="2" s="1"/>
  <c r="Z1109" i="2"/>
  <c r="AG1109" i="2"/>
  <c r="AH1109" i="2" s="1"/>
  <c r="AC1109" i="2"/>
  <c r="AB1109" i="2"/>
  <c r="AD1109" i="2" s="1"/>
  <c r="Z1203" i="2"/>
  <c r="AC1203" i="2"/>
  <c r="AG1203" i="2"/>
  <c r="AH1203" i="2" s="1"/>
  <c r="AB1203" i="2"/>
  <c r="AD1203" i="2" s="1"/>
  <c r="Z1200" i="2"/>
  <c r="AB1200" i="2"/>
  <c r="AD1200" i="2" s="1"/>
  <c r="AC1200" i="2"/>
  <c r="AG1200" i="2"/>
  <c r="AH1200" i="2" s="1"/>
  <c r="Z1150" i="2"/>
  <c r="AC1150" i="2"/>
  <c r="AB1150" i="2"/>
  <c r="AD1150" i="2" s="1"/>
  <c r="AG1150" i="2"/>
  <c r="AH1150" i="2" s="1"/>
  <c r="Z898" i="2"/>
  <c r="AG898" i="2"/>
  <c r="AH898" i="2" s="1"/>
  <c r="AB898" i="2"/>
  <c r="AD898" i="2" s="1"/>
  <c r="Z468" i="2"/>
  <c r="AB468" i="2"/>
  <c r="AD468" i="2" s="1"/>
  <c r="Z1420" i="2"/>
  <c r="Q1420" i="2" s="1"/>
  <c r="AB1420" i="2"/>
  <c r="AD1420" i="2" s="1"/>
  <c r="Z1302" i="2"/>
  <c r="AB1302" i="2"/>
  <c r="AD1302" i="2" s="1"/>
  <c r="AC1302" i="2"/>
  <c r="AG1302" i="2"/>
  <c r="AH1302" i="2" s="1"/>
  <c r="AG1434" i="2"/>
  <c r="AH1434" i="2" s="1"/>
  <c r="AC1265" i="2"/>
  <c r="Z1314" i="2"/>
  <c r="AB1314" i="2"/>
  <c r="AD1314" i="2" s="1"/>
  <c r="Z1087" i="2"/>
  <c r="AB1087" i="2"/>
  <c r="AD1087" i="2" s="1"/>
  <c r="Z1137" i="2"/>
  <c r="AG1137" i="2"/>
  <c r="AH1137" i="2" s="1"/>
  <c r="AC1137" i="2"/>
  <c r="AB1137" i="2"/>
  <c r="AD1137" i="2" s="1"/>
  <c r="Z1128" i="2"/>
  <c r="AB1128" i="2"/>
  <c r="AD1128" i="2" s="1"/>
  <c r="Z679" i="2"/>
  <c r="AB679" i="2"/>
  <c r="AD679" i="2" s="1"/>
  <c r="AC679" i="2"/>
  <c r="AG679" i="2"/>
  <c r="AH679" i="2" s="1"/>
  <c r="Z1067" i="2"/>
  <c r="AG1067" i="2"/>
  <c r="AH1067" i="2" s="1"/>
  <c r="AB1067" i="2"/>
  <c r="AD1067" i="2" s="1"/>
  <c r="Z976" i="2"/>
  <c r="AB976" i="2"/>
  <c r="AD976" i="2" s="1"/>
  <c r="AC976" i="2"/>
  <c r="Z1077" i="2"/>
  <c r="AG1077" i="2"/>
  <c r="AH1077" i="2" s="1"/>
  <c r="AB1077" i="2"/>
  <c r="AD1077" i="2" s="1"/>
  <c r="Z629" i="2"/>
  <c r="AB629" i="2"/>
  <c r="AD629" i="2" s="1"/>
  <c r="Z1342" i="2"/>
  <c r="Q1342" i="2" s="1"/>
  <c r="AE1342" i="2" s="1"/>
  <c r="AB1342" i="2"/>
  <c r="AD1342" i="2" s="1"/>
  <c r="Z1187" i="2"/>
  <c r="AG1187" i="2"/>
  <c r="AH1187" i="2" s="1"/>
  <c r="AC1187" i="2"/>
  <c r="AB1187" i="2"/>
  <c r="AD1187" i="2" s="1"/>
  <c r="Z1448" i="2"/>
  <c r="AB1448" i="2"/>
  <c r="AD1448" i="2" s="1"/>
  <c r="Z525" i="2"/>
  <c r="AB525" i="2"/>
  <c r="AD525" i="2" s="1"/>
  <c r="Z1186" i="2"/>
  <c r="Q1186" i="2" s="1"/>
  <c r="AB1186" i="2"/>
  <c r="AD1186" i="2" s="1"/>
  <c r="Z429" i="2"/>
  <c r="AG429" i="2"/>
  <c r="AH429" i="2" s="1"/>
  <c r="AB429" i="2"/>
  <c r="AD429" i="2" s="1"/>
  <c r="AC429" i="2"/>
  <c r="AG1265" i="2"/>
  <c r="AH1265" i="2" s="1"/>
  <c r="AG1128" i="2"/>
  <c r="AH1128" i="2" s="1"/>
  <c r="AC1342" i="2"/>
  <c r="AC629" i="2"/>
  <c r="Z1312" i="2"/>
  <c r="AB1312" i="2"/>
  <c r="AD1312" i="2" s="1"/>
  <c r="Z842" i="2"/>
  <c r="AB842" i="2"/>
  <c r="AD842" i="2" s="1"/>
  <c r="Z1153" i="2"/>
  <c r="Q1153" i="2" s="1"/>
  <c r="AB1153" i="2"/>
  <c r="AD1153" i="2" s="1"/>
  <c r="Z809" i="2"/>
  <c r="AG809" i="2"/>
  <c r="AH809" i="2" s="1"/>
  <c r="AB809" i="2"/>
  <c r="AD809" i="2" s="1"/>
  <c r="AC809" i="2"/>
  <c r="AB1124" i="2"/>
  <c r="AD1124" i="2" s="1"/>
  <c r="AG1420" i="2"/>
  <c r="AH1420" i="2" s="1"/>
  <c r="AG1087" i="2"/>
  <c r="AH1087" i="2" s="1"/>
  <c r="AC1067" i="2"/>
  <c r="Z996" i="2"/>
  <c r="AG996" i="2"/>
  <c r="AH996" i="2" s="1"/>
  <c r="AB996" i="2"/>
  <c r="AD996" i="2" s="1"/>
  <c r="Z1230" i="2"/>
  <c r="Q1230" i="2" s="1"/>
  <c r="AE1230" i="2" s="1"/>
  <c r="AG1230" i="2"/>
  <c r="AH1230" i="2" s="1"/>
  <c r="AB1230" i="2"/>
  <c r="AD1230" i="2" s="1"/>
  <c r="AC1230" i="2"/>
  <c r="Z874" i="2"/>
  <c r="AG874" i="2"/>
  <c r="AH874" i="2" s="1"/>
  <c r="AB874" i="2"/>
  <c r="AD874" i="2" s="1"/>
  <c r="Z1111" i="2"/>
  <c r="AB1111" i="2"/>
  <c r="AD1111" i="2" s="1"/>
  <c r="Z748" i="2"/>
  <c r="AB748" i="2"/>
  <c r="AD748" i="2" s="1"/>
  <c r="Z1433" i="2"/>
  <c r="Q1433" i="2" s="1"/>
  <c r="AE1433" i="2" s="1"/>
  <c r="AB1433" i="2"/>
  <c r="AD1433" i="2" s="1"/>
  <c r="Z841" i="2"/>
  <c r="Q841" i="2" s="1"/>
  <c r="AE841" i="2" s="1"/>
  <c r="AG841" i="2"/>
  <c r="AH841" i="2" s="1"/>
  <c r="AB841" i="2"/>
  <c r="AD841" i="2" s="1"/>
  <c r="AC841" i="2"/>
  <c r="Z1094" i="2"/>
  <c r="AG1094" i="2"/>
  <c r="AH1094" i="2" s="1"/>
  <c r="AB1094" i="2"/>
  <c r="AD1094" i="2" s="1"/>
  <c r="AC1094" i="2"/>
  <c r="Z1125" i="2"/>
  <c r="AB1125" i="2"/>
  <c r="AD1125" i="2" s="1"/>
  <c r="Z1086" i="2"/>
  <c r="AC1086" i="2"/>
  <c r="AB1086" i="2"/>
  <c r="AD1086" i="2" s="1"/>
  <c r="AG1086" i="2"/>
  <c r="AH1086" i="2" s="1"/>
  <c r="AG1342" i="2"/>
  <c r="AH1342" i="2" s="1"/>
  <c r="AG976" i="2"/>
  <c r="AH976" i="2" s="1"/>
  <c r="AG1448" i="2"/>
  <c r="AH1448" i="2" s="1"/>
  <c r="AC1446" i="2"/>
  <c r="AC1153" i="2"/>
  <c r="AC1128" i="2"/>
  <c r="AC891" i="2"/>
  <c r="AC842" i="2"/>
  <c r="AC1312" i="2"/>
  <c r="Q849" i="2"/>
  <c r="AE849" i="2" s="1"/>
  <c r="BO849" i="2" s="1"/>
  <c r="BM849" i="2" s="1"/>
  <c r="Q160" i="2"/>
  <c r="AE160" i="2" s="1"/>
  <c r="BO160" i="2" s="1"/>
  <c r="BM160" i="2" s="1"/>
  <c r="Q607" i="2"/>
  <c r="AE607" i="2" s="1"/>
  <c r="BO607" i="2" s="1"/>
  <c r="BM607" i="2" s="1"/>
  <c r="Q542" i="2"/>
  <c r="AE542" i="2" s="1"/>
  <c r="BO542" i="2" s="1"/>
  <c r="BM542" i="2" s="1"/>
  <c r="Q511" i="2"/>
  <c r="AE511" i="2" s="1"/>
  <c r="BO511" i="2" s="1"/>
  <c r="BM511" i="2" s="1"/>
  <c r="Q463" i="2"/>
  <c r="AE463" i="2" s="1"/>
  <c r="BO463" i="2" s="1"/>
  <c r="BM463" i="2" s="1"/>
  <c r="Q913" i="2"/>
  <c r="AE913" i="2" s="1"/>
  <c r="BO913" i="2" s="1"/>
  <c r="BM913" i="2" s="1"/>
  <c r="Q40" i="2"/>
  <c r="AE40" i="2" s="1"/>
  <c r="BO40" i="2" s="1"/>
  <c r="BM40" i="2" s="1"/>
  <c r="Q569" i="2"/>
  <c r="AE569" i="2" s="1"/>
  <c r="BO569" i="2" s="1"/>
  <c r="BM569" i="2" s="1"/>
  <c r="Q25" i="2"/>
  <c r="AE25" i="2" s="1"/>
  <c r="BO25" i="2" s="1"/>
  <c r="BM25" i="2" s="1"/>
  <c r="AE240" i="2"/>
  <c r="BO240" i="2" s="1"/>
  <c r="BM240" i="2" s="1"/>
  <c r="Q1262" i="2"/>
  <c r="AE1262" i="2" s="1"/>
  <c r="BO1262" i="2" s="1"/>
  <c r="BM1262" i="2" s="1"/>
  <c r="Q797" i="2"/>
  <c r="AE797" i="2" s="1"/>
  <c r="BO797" i="2" s="1"/>
  <c r="BM797" i="2" s="1"/>
  <c r="Q373" i="2"/>
  <c r="AE373" i="2" s="1"/>
  <c r="BO373" i="2" s="1"/>
  <c r="BM373" i="2" s="1"/>
  <c r="AE389" i="2"/>
  <c r="BO389" i="2" s="1"/>
  <c r="BM389" i="2" s="1"/>
  <c r="Q924" i="2"/>
  <c r="AE924" i="2" s="1"/>
  <c r="BO924" i="2" s="1"/>
  <c r="BM924" i="2" s="1"/>
  <c r="AE1157" i="2"/>
  <c r="BO1157" i="2" s="1"/>
  <c r="BM1157" i="2" s="1"/>
  <c r="AE561" i="2"/>
  <c r="BO561" i="2" s="1"/>
  <c r="BM561" i="2" s="1"/>
  <c r="AE929" i="2"/>
  <c r="BO929" i="2" s="1"/>
  <c r="BM929" i="2" s="1"/>
  <c r="Q27" i="2"/>
  <c r="AE27" i="2" s="1"/>
  <c r="BO27" i="2" s="1"/>
  <c r="BM27" i="2" s="1"/>
  <c r="Q1310" i="2"/>
  <c r="AE1310" i="2" s="1"/>
  <c r="BO1310" i="2" s="1"/>
  <c r="BM1310" i="2" s="1"/>
  <c r="Q22" i="2"/>
  <c r="AE22" i="2" s="1"/>
  <c r="BO22" i="2" s="1"/>
  <c r="BM22" i="2" s="1"/>
  <c r="Q601" i="2"/>
  <c r="AE601" i="2" s="1"/>
  <c r="BO601" i="2" s="1"/>
  <c r="BM601" i="2" s="1"/>
  <c r="Z1430" i="2"/>
  <c r="Q947" i="2"/>
  <c r="AE947" i="2" s="1"/>
  <c r="BO947" i="2" s="1"/>
  <c r="BM947" i="2" s="1"/>
  <c r="N601" i="2"/>
  <c r="AB1703" i="2"/>
  <c r="AD1703" i="2" s="1"/>
  <c r="AB14" i="2"/>
  <c r="AD14" i="2" s="1"/>
  <c r="Q30" i="2"/>
  <c r="AE30" i="2" s="1"/>
  <c r="BO30" i="2" s="1"/>
  <c r="BM30" i="2" s="1"/>
  <c r="AB1000" i="2"/>
  <c r="AD1000" i="2" s="1"/>
  <c r="N301" i="2"/>
  <c r="Q298" i="2"/>
  <c r="AE298" i="2" s="1"/>
  <c r="BO298" i="2" s="1"/>
  <c r="BM298" i="2" s="1"/>
  <c r="N1201" i="2"/>
  <c r="Q1392" i="2"/>
  <c r="AE1392" i="2" s="1"/>
  <c r="BO1392" i="2" s="1"/>
  <c r="BM1392" i="2" s="1"/>
  <c r="N1702" i="2"/>
  <c r="Z1704" i="2"/>
  <c r="Q1704" i="2" s="1"/>
  <c r="AE1704" i="2" s="1"/>
  <c r="BO1704" i="2" s="1"/>
  <c r="BM1704" i="2" s="1"/>
  <c r="AB1266" i="2"/>
  <c r="AD1266" i="2" s="1"/>
  <c r="AB1158" i="2"/>
  <c r="AD1158" i="2" s="1"/>
  <c r="Q1158" i="2"/>
  <c r="AE1158" i="2" s="1"/>
  <c r="BO1158" i="2" s="1"/>
  <c r="BM1158" i="2" s="1"/>
  <c r="Q1478" i="2"/>
  <c r="AE1478" i="2" s="1"/>
  <c r="BO1478" i="2" s="1"/>
  <c r="BM1478" i="2" s="1"/>
  <c r="Q1367" i="2"/>
  <c r="AE1367" i="2" s="1"/>
  <c r="BO1367" i="2" s="1"/>
  <c r="BM1367" i="2" s="1"/>
  <c r="Q1261" i="2"/>
  <c r="AE1261" i="2" s="1"/>
  <c r="BO1261" i="2" s="1"/>
  <c r="BM1261" i="2" s="1"/>
  <c r="Q1266" i="2"/>
  <c r="AE1266" i="2" s="1"/>
  <c r="BO1266" i="2" s="1"/>
  <c r="BM1266" i="2" s="1"/>
  <c r="AB321" i="2"/>
  <c r="AD321" i="2" s="1"/>
  <c r="AB375" i="2"/>
  <c r="AD375" i="2" s="1"/>
  <c r="Q1349" i="2"/>
  <c r="AE1349" i="2" s="1"/>
  <c r="BO1349" i="2" s="1"/>
  <c r="BM1349" i="2" s="1"/>
  <c r="Q597" i="2"/>
  <c r="AE597" i="2" s="1"/>
  <c r="BO597" i="2" s="1"/>
  <c r="BM597" i="2" s="1"/>
  <c r="Q952" i="2"/>
  <c r="AE952" i="2" s="1"/>
  <c r="BO952" i="2" s="1"/>
  <c r="BM952" i="2" s="1"/>
  <c r="Q1000" i="2"/>
  <c r="AE1000" i="2" s="1"/>
  <c r="BO1000" i="2" s="1"/>
  <c r="BM1000" i="2" s="1"/>
  <c r="AB1540" i="2"/>
  <c r="AD1540" i="2" s="1"/>
  <c r="Q352" i="2"/>
  <c r="AE352" i="2" s="1"/>
  <c r="BO352" i="2" s="1"/>
  <c r="BM352" i="2" s="1"/>
  <c r="AB1706" i="2"/>
  <c r="AD1706" i="2" s="1"/>
  <c r="Q990" i="2"/>
  <c r="AE990" i="2" s="1"/>
  <c r="BO990" i="2" s="1"/>
  <c r="BM990" i="2" s="1"/>
  <c r="Q1613" i="2"/>
  <c r="AE1613" i="2" s="1"/>
  <c r="BO1613" i="2" s="1"/>
  <c r="BM1613" i="2" s="1"/>
  <c r="Q1645" i="2"/>
  <c r="AE1645" i="2" s="1"/>
  <c r="BO1645" i="2" s="1"/>
  <c r="BM1645" i="2" s="1"/>
  <c r="N1165" i="2"/>
  <c r="AB456" i="2"/>
  <c r="AD456" i="2" s="1"/>
  <c r="Q456" i="2"/>
  <c r="AE456" i="2" s="1"/>
  <c r="BO456" i="2" s="1"/>
  <c r="BM456" i="2" s="1"/>
  <c r="N1540" i="2"/>
  <c r="Q182" i="2"/>
  <c r="AE182" i="2" s="1"/>
  <c r="BO182" i="2" s="1"/>
  <c r="BM182" i="2" s="1"/>
  <c r="AB1499" i="2"/>
  <c r="AD1499" i="2" s="1"/>
  <c r="Q1010" i="2"/>
  <c r="AE1010" i="2" s="1"/>
  <c r="BO1010" i="2" s="1"/>
  <c r="BM1010" i="2" s="1"/>
  <c r="AB1245" i="2"/>
  <c r="AD1245" i="2" s="1"/>
  <c r="Q1245" i="2"/>
  <c r="AE1245" i="2" s="1"/>
  <c r="BO1245" i="2" s="1"/>
  <c r="BM1245" i="2" s="1"/>
  <c r="Q1004" i="2"/>
  <c r="AE1004" i="2" s="1"/>
  <c r="BO1004" i="2" s="1"/>
  <c r="BM1004" i="2" s="1"/>
  <c r="AB1004" i="2"/>
  <c r="AD1004" i="2" s="1"/>
  <c r="Q1201" i="2"/>
  <c r="AE1201" i="2" s="1"/>
  <c r="BO1201" i="2" s="1"/>
  <c r="BM1201" i="2" s="1"/>
  <c r="AB1201" i="2"/>
  <c r="AD1201" i="2" s="1"/>
  <c r="AB1705" i="2"/>
  <c r="AD1705" i="2" s="1"/>
  <c r="AB1644" i="2"/>
  <c r="AD1644" i="2" s="1"/>
  <c r="N1705" i="2"/>
  <c r="Q301" i="2"/>
  <c r="AE301" i="2" s="1"/>
  <c r="BO301" i="2" s="1"/>
  <c r="BM301" i="2" s="1"/>
  <c r="AB1472" i="2"/>
  <c r="AD1472" i="2" s="1"/>
  <c r="Q248" i="2"/>
  <c r="AE248" i="2" s="1"/>
  <c r="BO248" i="2" s="1"/>
  <c r="BM248" i="2" s="1"/>
  <c r="AB301" i="2"/>
  <c r="AD301" i="2" s="1"/>
  <c r="Q1707" i="2"/>
  <c r="AE1707" i="2" s="1"/>
  <c r="BO1707" i="2" s="1"/>
  <c r="BM1707" i="2" s="1"/>
  <c r="AB1588" i="2"/>
  <c r="AD1588" i="2" s="1"/>
  <c r="Q1651" i="2"/>
  <c r="AE1651" i="2" s="1"/>
  <c r="BO1651" i="2" s="1"/>
  <c r="BM1651" i="2" s="1"/>
  <c r="Q1371" i="2"/>
  <c r="AE1371" i="2" s="1"/>
  <c r="BO1371" i="2" s="1"/>
  <c r="BM1371" i="2" s="1"/>
  <c r="AB441" i="2"/>
  <c r="AD441" i="2" s="1"/>
  <c r="Q132" i="2"/>
  <c r="AE132" i="2" s="1"/>
  <c r="BO132" i="2" s="1"/>
  <c r="BM132" i="2" s="1"/>
  <c r="Q1588" i="2"/>
  <c r="AE1588" i="2" s="1"/>
  <c r="BO1588" i="2" s="1"/>
  <c r="BM1588" i="2" s="1"/>
  <c r="Q1165" i="2"/>
  <c r="AE1165" i="2" s="1"/>
  <c r="BO1165" i="2" s="1"/>
  <c r="BM1165" i="2" s="1"/>
  <c r="AB1165" i="2"/>
  <c r="AD1165" i="2" s="1"/>
  <c r="AB917" i="2"/>
  <c r="AD917" i="2" s="1"/>
  <c r="Q16" i="2"/>
  <c r="AE16" i="2" s="1"/>
  <c r="BO16" i="2" s="1"/>
  <c r="BM16" i="2" s="1"/>
  <c r="AB16" i="2"/>
  <c r="AD16" i="2" s="1"/>
  <c r="Q1705" i="2"/>
  <c r="AE1705" i="2" s="1"/>
  <c r="BO1705" i="2" s="1"/>
  <c r="BM1705" i="2" s="1"/>
  <c r="Q1652" i="2"/>
  <c r="AE1652" i="2" s="1"/>
  <c r="BO1652" i="2" s="1"/>
  <c r="BM1652" i="2" s="1"/>
  <c r="AB1034" i="2"/>
  <c r="AD1034" i="2" s="1"/>
  <c r="AB1702" i="2"/>
  <c r="AD1702" i="2" s="1"/>
  <c r="Q1163" i="2"/>
  <c r="AE1163" i="2" s="1"/>
  <c r="BO1163" i="2" s="1"/>
  <c r="BM1163" i="2" s="1"/>
  <c r="AB266" i="2"/>
  <c r="AD266" i="2" s="1"/>
  <c r="Q903" i="2"/>
  <c r="AE903" i="2" s="1"/>
  <c r="BO903" i="2" s="1"/>
  <c r="BM903" i="2" s="1"/>
  <c r="AB903" i="2"/>
  <c r="AD903" i="2" s="1"/>
  <c r="AB910" i="2"/>
  <c r="AD910" i="2" s="1"/>
  <c r="Q910" i="2"/>
  <c r="AE910" i="2" s="1"/>
  <c r="BO910" i="2" s="1"/>
  <c r="BM910" i="2" s="1"/>
  <c r="Q266" i="2"/>
  <c r="AE266" i="2" s="1"/>
  <c r="BO266" i="2" s="1"/>
  <c r="BM266" i="2" s="1"/>
  <c r="Q865" i="2"/>
  <c r="AE865" i="2" s="1"/>
  <c r="BO865" i="2" s="1"/>
  <c r="BM865" i="2" s="1"/>
  <c r="AB865" i="2"/>
  <c r="AD865" i="2" s="1"/>
  <c r="Z135" i="2"/>
  <c r="Z909" i="2"/>
  <c r="Z238" i="2"/>
  <c r="AD1166" i="2"/>
  <c r="Q750" i="2"/>
  <c r="AE750" i="2" s="1"/>
  <c r="BO750" i="2" s="1"/>
  <c r="BM750" i="2" s="1"/>
  <c r="AB750" i="2"/>
  <c r="AD750" i="2" s="1"/>
  <c r="Q522" i="2"/>
  <c r="AE522" i="2" s="1"/>
  <c r="BO522" i="2" s="1"/>
  <c r="BM522" i="2" s="1"/>
  <c r="AB522" i="2"/>
  <c r="AD522" i="2" s="1"/>
  <c r="Q72" i="2"/>
  <c r="AE72" i="2" s="1"/>
  <c r="BO72" i="2" s="1"/>
  <c r="BM72" i="2" s="1"/>
  <c r="AB72" i="2"/>
  <c r="AD72" i="2" s="1"/>
  <c r="AE694" i="2"/>
  <c r="BO694" i="2" s="1"/>
  <c r="BM694" i="2" s="1"/>
  <c r="AB694" i="2"/>
  <c r="AD694" i="2" s="1"/>
  <c r="AB1454" i="2"/>
  <c r="AD1454" i="2" s="1"/>
  <c r="Q1454" i="2"/>
  <c r="AE1454" i="2" s="1"/>
  <c r="BO1454" i="2" s="1"/>
  <c r="BM1454" i="2" s="1"/>
  <c r="AB1250" i="2"/>
  <c r="AD1250" i="2" s="1"/>
  <c r="AB1473" i="2"/>
  <c r="Q1250" i="2"/>
  <c r="AE1250" i="2" s="1"/>
  <c r="BO1250" i="2" s="1"/>
  <c r="BM1250" i="2" s="1"/>
  <c r="AB1559" i="2"/>
  <c r="AD1559" i="2" s="1"/>
  <c r="AB1425" i="2"/>
  <c r="AD1425" i="2" s="1"/>
  <c r="Q50" i="2"/>
  <c r="AE50" i="2" s="1"/>
  <c r="BO50" i="2" s="1"/>
  <c r="BM50" i="2" s="1"/>
  <c r="AB1495" i="2"/>
  <c r="AD1495" i="2" s="1"/>
  <c r="Q1425" i="2"/>
  <c r="AE1425" i="2" s="1"/>
  <c r="BO1425" i="2" s="1"/>
  <c r="BM1425" i="2" s="1"/>
  <c r="AB1379" i="2"/>
  <c r="Q1379" i="2"/>
  <c r="AE1379" i="2" s="1"/>
  <c r="BO1379" i="2" s="1"/>
  <c r="BM1379" i="2" s="1"/>
  <c r="Q1357" i="2"/>
  <c r="AE1357" i="2" s="1"/>
  <c r="BO1357" i="2" s="1"/>
  <c r="BM1357" i="2" s="1"/>
  <c r="AB1357" i="2"/>
  <c r="AB1521" i="2"/>
  <c r="Q1419" i="2"/>
  <c r="Q1541" i="2"/>
  <c r="AE1541" i="2" s="1"/>
  <c r="BO1541" i="2" s="1"/>
  <c r="BM1541" i="2" s="1"/>
  <c r="Q712" i="2"/>
  <c r="Q1561" i="2"/>
  <c r="Q816" i="2"/>
  <c r="Q1085" i="2"/>
  <c r="Q1285" i="2"/>
  <c r="Q587" i="2"/>
  <c r="Q1532" i="2"/>
  <c r="AB464" i="2"/>
  <c r="AD464" i="2" s="1"/>
  <c r="Q242" i="2"/>
  <c r="AE242" i="2" s="1"/>
  <c r="BO242" i="2" s="1"/>
  <c r="BM242" i="2" s="1"/>
  <c r="Z422" i="2"/>
  <c r="Q422" i="2" s="1"/>
  <c r="AE422" i="2" s="1"/>
  <c r="BO422" i="2" s="1"/>
  <c r="BM422" i="2" s="1"/>
  <c r="AB242" i="2"/>
  <c r="AD242" i="2" s="1"/>
  <c r="Q464" i="2"/>
  <c r="AE464" i="2" s="1"/>
  <c r="BO464" i="2" s="1"/>
  <c r="BM464" i="2" s="1"/>
  <c r="Q1521" i="2"/>
  <c r="Z197" i="2"/>
  <c r="Q197" i="2" s="1"/>
  <c r="AE197" i="2" s="1"/>
  <c r="BO197" i="2" s="1"/>
  <c r="BM197" i="2" s="1"/>
  <c r="AB166" i="2"/>
  <c r="AD166" i="2" s="1"/>
  <c r="AB423" i="2"/>
  <c r="AD423" i="2" s="1"/>
  <c r="Z729" i="2"/>
  <c r="Q729" i="2" s="1"/>
  <c r="AE729" i="2" s="1"/>
  <c r="BO729" i="2" s="1"/>
  <c r="BM729" i="2" s="1"/>
  <c r="Q423" i="2"/>
  <c r="AE423" i="2" s="1"/>
  <c r="BO423" i="2" s="1"/>
  <c r="BM423" i="2" s="1"/>
  <c r="Z183" i="2"/>
  <c r="Q1360" i="2"/>
  <c r="AE1360" i="2" s="1"/>
  <c r="BO1360" i="2" s="1"/>
  <c r="BM1360" i="2" s="1"/>
  <c r="AB1500" i="2"/>
  <c r="AD1500" i="2" s="1"/>
  <c r="AB148" i="2"/>
  <c r="AD148" i="2" s="1"/>
  <c r="AB1293" i="2"/>
  <c r="AD1293" i="2" s="1"/>
  <c r="AB1696" i="2"/>
  <c r="AD1696" i="2" s="1"/>
  <c r="Q1461" i="2"/>
  <c r="AE1461" i="2" s="1"/>
  <c r="BO1461" i="2" s="1"/>
  <c r="BM1461" i="2" s="1"/>
  <c r="AB535" i="2"/>
  <c r="AD535" i="2" s="1"/>
  <c r="AB186" i="2"/>
  <c r="AD186" i="2" s="1"/>
  <c r="Q1579" i="2"/>
  <c r="AE1579" i="2" s="1"/>
  <c r="BO1579" i="2" s="1"/>
  <c r="BM1579" i="2" s="1"/>
  <c r="Q1525" i="2"/>
  <c r="AE1525" i="2" s="1"/>
  <c r="BO1525" i="2" s="1"/>
  <c r="BM1525" i="2" s="1"/>
  <c r="Q1348" i="2"/>
  <c r="AE1348" i="2" s="1"/>
  <c r="BO1348" i="2" s="1"/>
  <c r="BM1348" i="2" s="1"/>
  <c r="AB1522" i="2"/>
  <c r="AD1522" i="2" s="1"/>
  <c r="Q1135" i="2"/>
  <c r="AE1135" i="2" s="1"/>
  <c r="BO1135" i="2" s="1"/>
  <c r="BM1135" i="2" s="1"/>
  <c r="AB1361" i="2"/>
  <c r="AD1361" i="2" s="1"/>
  <c r="Q932" i="2"/>
  <c r="AE932" i="2" s="1"/>
  <c r="BO932" i="2" s="1"/>
  <c r="BM932" i="2" s="1"/>
  <c r="AE1291" i="2"/>
  <c r="BO1291" i="2" s="1"/>
  <c r="BM1291" i="2" s="1"/>
  <c r="AB1726" i="2"/>
  <c r="AD1726" i="2" s="1"/>
  <c r="Q1726" i="2"/>
  <c r="AE1726" i="2" s="1"/>
  <c r="BO1726" i="2" s="1"/>
  <c r="BM1726" i="2" s="1"/>
  <c r="AB1486" i="2"/>
  <c r="AD1486" i="2" s="1"/>
  <c r="Q965" i="2"/>
  <c r="AE965" i="2" s="1"/>
  <c r="BO965" i="2" s="1"/>
  <c r="BM965" i="2" s="1"/>
  <c r="AB1538" i="2"/>
  <c r="AD1538" i="2" s="1"/>
  <c r="Q911" i="2"/>
  <c r="AE911" i="2" s="1"/>
  <c r="BO911" i="2" s="1"/>
  <c r="BM911" i="2" s="1"/>
  <c r="AB353" i="2"/>
  <c r="AD353" i="2" s="1"/>
  <c r="Z291" i="2"/>
  <c r="Q291" i="2" s="1"/>
  <c r="AE291" i="2" s="1"/>
  <c r="BO291" i="2" s="1"/>
  <c r="BM291" i="2" s="1"/>
  <c r="Q48" i="2"/>
  <c r="AE48" i="2" s="1"/>
  <c r="BO48" i="2" s="1"/>
  <c r="BM48" i="2" s="1"/>
  <c r="AB1542" i="2"/>
  <c r="AD1542" i="2" s="1"/>
  <c r="Q1064" i="2"/>
  <c r="AE1064" i="2" s="1"/>
  <c r="BO1064" i="2" s="1"/>
  <c r="BM1064" i="2" s="1"/>
  <c r="Q1698" i="2"/>
  <c r="AE1698" i="2" s="1"/>
  <c r="BO1698" i="2" s="1"/>
  <c r="BM1698" i="2" s="1"/>
  <c r="Q1407" i="2"/>
  <c r="AE1407" i="2" s="1"/>
  <c r="BO1407" i="2" s="1"/>
  <c r="BM1407" i="2" s="1"/>
  <c r="AB1724" i="2"/>
  <c r="AD1724" i="2" s="1"/>
  <c r="Q1724" i="2"/>
  <c r="AE1724" i="2" s="1"/>
  <c r="BO1724" i="2" s="1"/>
  <c r="BM1724" i="2" s="1"/>
  <c r="AB1698" i="2"/>
  <c r="AD1698" i="2" s="1"/>
  <c r="AB1397" i="2"/>
  <c r="AD1397" i="2" s="1"/>
  <c r="Q1427" i="2"/>
  <c r="AE1427" i="2" s="1"/>
  <c r="BO1427" i="2" s="1"/>
  <c r="BM1427" i="2" s="1"/>
  <c r="AB1427" i="2"/>
  <c r="AD1427" i="2" s="1"/>
  <c r="Q1279" i="2"/>
  <c r="AE1279" i="2" s="1"/>
  <c r="BO1279" i="2" s="1"/>
  <c r="BM1279" i="2" s="1"/>
  <c r="AB1279" i="2"/>
  <c r="AD1279" i="2" s="1"/>
  <c r="Q1456" i="2"/>
  <c r="AE1456" i="2" s="1"/>
  <c r="BO1456" i="2" s="1"/>
  <c r="BM1456" i="2" s="1"/>
  <c r="AB1456" i="2"/>
  <c r="AD1456" i="2" s="1"/>
  <c r="Q314" i="2"/>
  <c r="AE314" i="2" s="1"/>
  <c r="BO314" i="2" s="1"/>
  <c r="BM314" i="2" s="1"/>
  <c r="Z385" i="2"/>
  <c r="Z362" i="2"/>
  <c r="Q362" i="2" s="1"/>
  <c r="AE362" i="2" s="1"/>
  <c r="BO362" i="2" s="1"/>
  <c r="BM362" i="2" s="1"/>
  <c r="AB965" i="2"/>
  <c r="AD965" i="2" s="1"/>
  <c r="Q1694" i="2"/>
  <c r="AE1694" i="2" s="1"/>
  <c r="BO1694" i="2" s="1"/>
  <c r="BM1694" i="2" s="1"/>
  <c r="AB1694" i="2"/>
  <c r="AD1694" i="2" s="1"/>
  <c r="Q707" i="2"/>
  <c r="AE707" i="2" s="1"/>
  <c r="BO707" i="2" s="1"/>
  <c r="BM707" i="2" s="1"/>
  <c r="AB754" i="2"/>
  <c r="AD754" i="2" s="1"/>
  <c r="Q1244" i="2"/>
  <c r="AE1244" i="2" s="1"/>
  <c r="BO1244" i="2" s="1"/>
  <c r="BM1244" i="2" s="1"/>
  <c r="Q1455" i="2"/>
  <c r="AE1455" i="2" s="1"/>
  <c r="BO1455" i="2" s="1"/>
  <c r="BM1455" i="2" s="1"/>
  <c r="AB1244" i="2"/>
  <c r="AD1244" i="2" s="1"/>
  <c r="Q512" i="2"/>
  <c r="AE512" i="2" s="1"/>
  <c r="BO512" i="2" s="1"/>
  <c r="BM512" i="2" s="1"/>
  <c r="Q191" i="2"/>
  <c r="AE191" i="2" s="1"/>
  <c r="BO191" i="2" s="1"/>
  <c r="BM191" i="2" s="1"/>
  <c r="Q1045" i="2"/>
  <c r="AE1045" i="2" s="1"/>
  <c r="BO1045" i="2" s="1"/>
  <c r="BM1045" i="2" s="1"/>
  <c r="AB314" i="2"/>
  <c r="AD314" i="2" s="1"/>
  <c r="AB1064" i="2"/>
  <c r="AD1064" i="2" s="1"/>
  <c r="AB851" i="2"/>
  <c r="AD851" i="2" s="1"/>
  <c r="Q1423" i="2"/>
  <c r="AE1423" i="2" s="1"/>
  <c r="BO1423" i="2" s="1"/>
  <c r="BM1423" i="2" s="1"/>
  <c r="AB706" i="2"/>
  <c r="AD706" i="2" s="1"/>
  <c r="AB770" i="2"/>
  <c r="AD770" i="2" s="1"/>
  <c r="AB171" i="2"/>
  <c r="AD171" i="2" s="1"/>
  <c r="Q158" i="2"/>
  <c r="AE158" i="2" s="1"/>
  <c r="BO158" i="2" s="1"/>
  <c r="BM158" i="2" s="1"/>
  <c r="AB1253" i="2"/>
  <c r="AD1253" i="2" s="1"/>
  <c r="AB290" i="2"/>
  <c r="AD290" i="2" s="1"/>
  <c r="AB565" i="2"/>
  <c r="AD565" i="2" s="1"/>
  <c r="Q1063" i="2"/>
  <c r="AE1063" i="2" s="1"/>
  <c r="BO1063" i="2" s="1"/>
  <c r="BM1063" i="2" s="1"/>
  <c r="AB1497" i="2"/>
  <c r="AD1497" i="2" s="1"/>
  <c r="Q353" i="2"/>
  <c r="AE353" i="2" s="1"/>
  <c r="BO353" i="2" s="1"/>
  <c r="BM353" i="2" s="1"/>
  <c r="Q593" i="2"/>
  <c r="AE593" i="2" s="1"/>
  <c r="BO593" i="2" s="1"/>
  <c r="BM593" i="2" s="1"/>
  <c r="AB158" i="2"/>
  <c r="AD158" i="2" s="1"/>
  <c r="AB191" i="2"/>
  <c r="AD191" i="2" s="1"/>
  <c r="AB512" i="2"/>
  <c r="AD512" i="2" s="1"/>
  <c r="Q1397" i="2"/>
  <c r="AE1397" i="2" s="1"/>
  <c r="BO1397" i="2" s="1"/>
  <c r="BM1397" i="2" s="1"/>
  <c r="Q876" i="2"/>
  <c r="AE876" i="2" s="1"/>
  <c r="BO876" i="2" s="1"/>
  <c r="BM876" i="2" s="1"/>
  <c r="AB876" i="2"/>
  <c r="AD876" i="2" s="1"/>
  <c r="AB593" i="2"/>
  <c r="AD593" i="2" s="1"/>
  <c r="AB1135" i="2"/>
  <c r="AD1135" i="2" s="1"/>
  <c r="Q706" i="2"/>
  <c r="AE706" i="2" s="1"/>
  <c r="BO706" i="2" s="1"/>
  <c r="BM706" i="2" s="1"/>
  <c r="AB172" i="2"/>
  <c r="AD172" i="2" s="1"/>
  <c r="AB1071" i="2"/>
  <c r="AD1071" i="2" s="1"/>
  <c r="Q1071" i="2"/>
  <c r="AE1071" i="2" s="1"/>
  <c r="BO1071" i="2" s="1"/>
  <c r="BM1071" i="2" s="1"/>
  <c r="Q1574" i="2"/>
  <c r="AE1574" i="2" s="1"/>
  <c r="BO1574" i="2" s="1"/>
  <c r="BM1574" i="2" s="1"/>
  <c r="Q1716" i="2"/>
  <c r="AE1716" i="2" s="1"/>
  <c r="BO1716" i="2" s="1"/>
  <c r="BM1716" i="2" s="1"/>
  <c r="Q1553" i="2"/>
  <c r="AE1553" i="2" s="1"/>
  <c r="BO1553" i="2" s="1"/>
  <c r="BM1553" i="2" s="1"/>
  <c r="Q1190" i="2"/>
  <c r="AE1190" i="2" s="1"/>
  <c r="BO1190" i="2" s="1"/>
  <c r="BM1190" i="2" s="1"/>
  <c r="AB1579" i="2"/>
  <c r="AD1579" i="2" s="1"/>
  <c r="AB760" i="2"/>
  <c r="AD760" i="2" s="1"/>
  <c r="Q1720" i="2"/>
  <c r="AE1720" i="2" s="1"/>
  <c r="BO1720" i="2" s="1"/>
  <c r="BM1720" i="2" s="1"/>
  <c r="AB1553" i="2"/>
  <c r="AD1553" i="2" s="1"/>
  <c r="AB99" i="2"/>
  <c r="AD99" i="2" s="1"/>
  <c r="AB1590" i="2"/>
  <c r="AD1590" i="2" s="1"/>
  <c r="Q1590" i="2"/>
  <c r="AE1590" i="2" s="1"/>
  <c r="BO1590" i="2" s="1"/>
  <c r="BM1590" i="2" s="1"/>
  <c r="AB1723" i="2"/>
  <c r="AD1723" i="2" s="1"/>
  <c r="Q513" i="2"/>
  <c r="AE513" i="2" s="1"/>
  <c r="BO513" i="2" s="1"/>
  <c r="BM513" i="2" s="1"/>
  <c r="Q556" i="2"/>
  <c r="AE556" i="2" s="1"/>
  <c r="BO556" i="2" s="1"/>
  <c r="BM556" i="2" s="1"/>
  <c r="Q754" i="2"/>
  <c r="AE754" i="2" s="1"/>
  <c r="BO754" i="2" s="1"/>
  <c r="BM754" i="2" s="1"/>
  <c r="AB319" i="2"/>
  <c r="AD319" i="2" s="1"/>
  <c r="Q1202" i="2"/>
  <c r="AE1202" i="2" s="1"/>
  <c r="BO1202" i="2" s="1"/>
  <c r="BM1202" i="2" s="1"/>
  <c r="Q999" i="2"/>
  <c r="AE999" i="2" s="1"/>
  <c r="BO999" i="2" s="1"/>
  <c r="BM999" i="2" s="1"/>
  <c r="AB513" i="2"/>
  <c r="AD513" i="2" s="1"/>
  <c r="Q759" i="2"/>
  <c r="AE759" i="2" s="1"/>
  <c r="BO759" i="2" s="1"/>
  <c r="BM759" i="2" s="1"/>
  <c r="Q133" i="2"/>
  <c r="AE133" i="2" s="1"/>
  <c r="BO133" i="2" s="1"/>
  <c r="BM133" i="2" s="1"/>
  <c r="Q760" i="2"/>
  <c r="AE760" i="2" s="1"/>
  <c r="BO760" i="2" s="1"/>
  <c r="BM760" i="2" s="1"/>
  <c r="AB1716" i="2"/>
  <c r="AD1716" i="2" s="1"/>
  <c r="Q290" i="2"/>
  <c r="AE290" i="2" s="1"/>
  <c r="BO290" i="2" s="1"/>
  <c r="BM290" i="2" s="1"/>
  <c r="Q1152" i="2"/>
  <c r="AE1152" i="2" s="1"/>
  <c r="BO1152" i="2" s="1"/>
  <c r="BM1152" i="2" s="1"/>
  <c r="Q262" i="2"/>
  <c r="AE262" i="2" s="1"/>
  <c r="BO262" i="2" s="1"/>
  <c r="BM262" i="2" s="1"/>
  <c r="AB1708" i="2"/>
  <c r="AD1708" i="2" s="1"/>
  <c r="AB1152" i="2"/>
  <c r="AD1152" i="2" s="1"/>
  <c r="Q476" i="2"/>
  <c r="AE476" i="2" s="1"/>
  <c r="BO476" i="2" s="1"/>
  <c r="BM476" i="2" s="1"/>
  <c r="AB476" i="2"/>
  <c r="AD476" i="2" s="1"/>
  <c r="AB707" i="2"/>
  <c r="AD707" i="2" s="1"/>
  <c r="AB310" i="2"/>
  <c r="AD310" i="2" s="1"/>
  <c r="Q575" i="2"/>
  <c r="AE575" i="2" s="1"/>
  <c r="BO575" i="2" s="1"/>
  <c r="BM575" i="2" s="1"/>
  <c r="Q325" i="2"/>
  <c r="AE325" i="2" s="1"/>
  <c r="BO325" i="2" s="1"/>
  <c r="BM325" i="2" s="1"/>
  <c r="AB133" i="2"/>
  <c r="AD133" i="2" s="1"/>
  <c r="Q770" i="2"/>
  <c r="AE770" i="2" s="1"/>
  <c r="BO770" i="2" s="1"/>
  <c r="BM770" i="2" s="1"/>
  <c r="Q241" i="2"/>
  <c r="AE241" i="2" s="1"/>
  <c r="BO241" i="2" s="1"/>
  <c r="BM241" i="2" s="1"/>
  <c r="Q565" i="2"/>
  <c r="AE565" i="2" s="1"/>
  <c r="BO565" i="2" s="1"/>
  <c r="BM565" i="2" s="1"/>
  <c r="Q1339" i="2"/>
  <c r="AE1339" i="2" s="1"/>
  <c r="BO1339" i="2" s="1"/>
  <c r="BM1339" i="2" s="1"/>
  <c r="AB241" i="2"/>
  <c r="AD241" i="2" s="1"/>
  <c r="AB149" i="2"/>
  <c r="AD149" i="2" s="1"/>
  <c r="Q171" i="2"/>
  <c r="AE171" i="2" s="1"/>
  <c r="BO171" i="2" s="1"/>
  <c r="BM171" i="2" s="1"/>
  <c r="Q447" i="2"/>
  <c r="AE447" i="2" s="1"/>
  <c r="BO447" i="2" s="1"/>
  <c r="BM447" i="2" s="1"/>
  <c r="Q1497" i="2"/>
  <c r="AE1497" i="2" s="1"/>
  <c r="BO1497" i="2" s="1"/>
  <c r="BM1497" i="2" s="1"/>
  <c r="Q1708" i="2"/>
  <c r="AE1708" i="2" s="1"/>
  <c r="BO1708" i="2" s="1"/>
  <c r="BM1708" i="2" s="1"/>
  <c r="AB1032" i="2"/>
  <c r="AD1032" i="2" s="1"/>
  <c r="AB1339" i="2"/>
  <c r="AD1339" i="2" s="1"/>
  <c r="AB568" i="2"/>
  <c r="AD568" i="2" s="1"/>
  <c r="Q440" i="2"/>
  <c r="AE440" i="2" s="1"/>
  <c r="BO440" i="2" s="1"/>
  <c r="BM440" i="2" s="1"/>
  <c r="AB170" i="2"/>
  <c r="AD170" i="2" s="1"/>
  <c r="Q568" i="2"/>
  <c r="AE568" i="2" s="1"/>
  <c r="BO568" i="2" s="1"/>
  <c r="BM568" i="2" s="1"/>
  <c r="AB221" i="2"/>
  <c r="AD221" i="2" s="1"/>
  <c r="Q420" i="2"/>
  <c r="AE420" i="2" s="1"/>
  <c r="BO420" i="2" s="1"/>
  <c r="BM420" i="2" s="1"/>
  <c r="Q170" i="2"/>
  <c r="AE170" i="2" s="1"/>
  <c r="BO170" i="2" s="1"/>
  <c r="BM170" i="2" s="1"/>
  <c r="AB420" i="2"/>
  <c r="AD420" i="2" s="1"/>
  <c r="AB440" i="2"/>
  <c r="AD440" i="2" s="1"/>
  <c r="AB15" i="2"/>
  <c r="AD15" i="2" s="1"/>
  <c r="Q586" i="2"/>
  <c r="AE586" i="2" s="1"/>
  <c r="BO586" i="2" s="1"/>
  <c r="BM586" i="2" s="1"/>
  <c r="AB586" i="2"/>
  <c r="AD586" i="2" s="1"/>
  <c r="Q616" i="2"/>
  <c r="AE616" i="2" s="1"/>
  <c r="BO616" i="2" s="1"/>
  <c r="BM616" i="2" s="1"/>
  <c r="Q725" i="2"/>
  <c r="AE725" i="2" s="1"/>
  <c r="BO725" i="2" s="1"/>
  <c r="BM725" i="2" s="1"/>
  <c r="Z1722" i="2"/>
  <c r="AB1722" i="2" s="1"/>
  <c r="AD1722" i="2" s="1"/>
  <c r="AB1190" i="2"/>
  <c r="AD1190" i="2" s="1"/>
  <c r="AB1193" i="2"/>
  <c r="AD1193" i="2" s="1"/>
  <c r="Q789" i="2"/>
  <c r="AE789" i="2" s="1"/>
  <c r="BO789" i="2" s="1"/>
  <c r="BM789" i="2" s="1"/>
  <c r="AB598" i="2"/>
  <c r="AD598" i="2" s="1"/>
  <c r="Q148" i="2"/>
  <c r="AE148" i="2" s="1"/>
  <c r="BO148" i="2" s="1"/>
  <c r="BM148" i="2" s="1"/>
  <c r="Z195" i="2"/>
  <c r="Q195" i="2" s="1"/>
  <c r="AE195" i="2" s="1"/>
  <c r="BO195" i="2" s="1"/>
  <c r="BM195" i="2" s="1"/>
  <c r="Q1591" i="2"/>
  <c r="AE1591" i="2" s="1"/>
  <c r="BO1591" i="2" s="1"/>
  <c r="BM1591" i="2" s="1"/>
  <c r="AB999" i="2"/>
  <c r="AD999" i="2" s="1"/>
  <c r="Q1253" i="2"/>
  <c r="AE1253" i="2" s="1"/>
  <c r="BO1253" i="2" s="1"/>
  <c r="BM1253" i="2" s="1"/>
  <c r="Q1723" i="2"/>
  <c r="AE1723" i="2" s="1"/>
  <c r="BO1723" i="2" s="1"/>
  <c r="BM1723" i="2" s="1"/>
  <c r="Q1299" i="2"/>
  <c r="AE1299" i="2" s="1"/>
  <c r="BO1299" i="2" s="1"/>
  <c r="BM1299" i="2" s="1"/>
  <c r="Z1725" i="2"/>
  <c r="AB1725" i="2" s="1"/>
  <c r="AD1725" i="2" s="1"/>
  <c r="AB510" i="2"/>
  <c r="AD510" i="2" s="1"/>
  <c r="AB1570" i="2"/>
  <c r="AD1570" i="2" s="1"/>
  <c r="AB1299" i="2"/>
  <c r="AD1299" i="2" s="1"/>
  <c r="Q15" i="2"/>
  <c r="AE15" i="2" s="1"/>
  <c r="BO15" i="2" s="1"/>
  <c r="BM15" i="2" s="1"/>
  <c r="AB1591" i="2"/>
  <c r="AD1591" i="2" s="1"/>
  <c r="Z1719" i="2"/>
  <c r="Q1717" i="2"/>
  <c r="AE1717" i="2" s="1"/>
  <c r="BO1717" i="2" s="1"/>
  <c r="BM1717" i="2" s="1"/>
  <c r="Q273" i="2"/>
  <c r="AE273" i="2" s="1"/>
  <c r="BO273" i="2" s="1"/>
  <c r="BM273" i="2" s="1"/>
  <c r="AB257" i="2"/>
  <c r="AD257" i="2" s="1"/>
  <c r="AB982" i="2"/>
  <c r="AD982" i="2" s="1"/>
  <c r="Q282" i="2"/>
  <c r="AE282" i="2" s="1"/>
  <c r="BO282" i="2" s="1"/>
  <c r="BM282" i="2" s="1"/>
  <c r="AB1063" i="2"/>
  <c r="AD1063" i="2" s="1"/>
  <c r="Q1518" i="2"/>
  <c r="AE1518" i="2" s="1"/>
  <c r="BO1518" i="2" s="1"/>
  <c r="BM1518" i="2" s="1"/>
  <c r="AB1202" i="2"/>
  <c r="AD1202" i="2" s="1"/>
  <c r="Q1721" i="2"/>
  <c r="AE1721" i="2" s="1"/>
  <c r="BO1721" i="2" s="1"/>
  <c r="BM1721" i="2" s="1"/>
  <c r="Q1193" i="2"/>
  <c r="AE1193" i="2" s="1"/>
  <c r="BO1193" i="2" s="1"/>
  <c r="BM1193" i="2" s="1"/>
  <c r="AB1717" i="2"/>
  <c r="AD1717" i="2" s="1"/>
  <c r="AB273" i="2"/>
  <c r="AD273" i="2" s="1"/>
  <c r="AB725" i="2"/>
  <c r="AD725" i="2" s="1"/>
  <c r="AB23" i="2"/>
  <c r="AD23" i="2" s="1"/>
  <c r="AB1383" i="2"/>
  <c r="AD1383" i="2" s="1"/>
  <c r="Q1383" i="2"/>
  <c r="AE1383" i="2" s="1"/>
  <c r="BO1383" i="2" s="1"/>
  <c r="BM1383" i="2" s="1"/>
  <c r="Q1718" i="2"/>
  <c r="AE1718" i="2" s="1"/>
  <c r="BO1718" i="2" s="1"/>
  <c r="BM1718" i="2" s="1"/>
  <c r="Q1280" i="2"/>
  <c r="AE1280" i="2" s="1"/>
  <c r="BO1280" i="2" s="1"/>
  <c r="BM1280" i="2" s="1"/>
  <c r="Q1032" i="2"/>
  <c r="AE1032" i="2" s="1"/>
  <c r="BO1032" i="2" s="1"/>
  <c r="BM1032" i="2" s="1"/>
  <c r="Q482" i="2"/>
  <c r="AE482" i="2" s="1"/>
  <c r="BO482" i="2" s="1"/>
  <c r="BM482" i="2" s="1"/>
  <c r="Q10" i="2"/>
  <c r="AE10" i="2" s="1"/>
  <c r="BO10" i="2" s="1"/>
  <c r="BM10" i="2" s="1"/>
  <c r="Q501" i="2"/>
  <c r="AE501" i="2" s="1"/>
  <c r="BO501" i="2" s="1"/>
  <c r="BM501" i="2" s="1"/>
  <c r="AB1298" i="2"/>
  <c r="AD1298" i="2" s="1"/>
  <c r="Q196" i="2"/>
  <c r="AE196" i="2" s="1"/>
  <c r="BO196" i="2" s="1"/>
  <c r="BM196" i="2" s="1"/>
  <c r="Q1017" i="2"/>
  <c r="AE1017" i="2" s="1"/>
  <c r="BO1017" i="2" s="1"/>
  <c r="BM1017" i="2" s="1"/>
  <c r="AB1278" i="2"/>
  <c r="AD1278" i="2" s="1"/>
  <c r="Q109" i="2"/>
  <c r="AE109" i="2" s="1"/>
  <c r="BO109" i="2" s="1"/>
  <c r="BM109" i="2" s="1"/>
  <c r="AB10" i="2"/>
  <c r="AD10" i="2" s="1"/>
  <c r="AB185" i="2"/>
  <c r="AD185" i="2" s="1"/>
  <c r="AB1120" i="2"/>
  <c r="AD1120" i="2" s="1"/>
  <c r="Q403" i="2"/>
  <c r="AE403" i="2" s="1"/>
  <c r="BO403" i="2" s="1"/>
  <c r="BM403" i="2" s="1"/>
  <c r="AB1712" i="2"/>
  <c r="AD1712" i="2" s="1"/>
  <c r="Q1712" i="2"/>
  <c r="AE1712" i="2" s="1"/>
  <c r="BO1712" i="2" s="1"/>
  <c r="BM1712" i="2" s="1"/>
  <c r="AB877" i="2"/>
  <c r="AD877" i="2" s="1"/>
  <c r="AB1017" i="2"/>
  <c r="AD1017" i="2" s="1"/>
  <c r="AB1348" i="2"/>
  <c r="AD1348" i="2" s="1"/>
  <c r="AB582" i="2"/>
  <c r="AD582" i="2" s="1"/>
  <c r="AB681" i="2"/>
  <c r="AD681" i="2" s="1"/>
  <c r="AB1199" i="2"/>
  <c r="AD1199" i="2" s="1"/>
  <c r="Q596" i="2"/>
  <c r="AE596" i="2" s="1"/>
  <c r="BO596" i="2" s="1"/>
  <c r="BM596" i="2" s="1"/>
  <c r="N453" i="2"/>
  <c r="AB107" i="2"/>
  <c r="AD107" i="2" s="1"/>
  <c r="AB501" i="2"/>
  <c r="AD501" i="2" s="1"/>
  <c r="Q107" i="2"/>
  <c r="AE107" i="2" s="1"/>
  <c r="BO107" i="2" s="1"/>
  <c r="BM107" i="2" s="1"/>
  <c r="AB1024" i="2"/>
  <c r="AD1024" i="2" s="1"/>
  <c r="AB1041" i="2"/>
  <c r="AD1041" i="2" s="1"/>
  <c r="Q1120" i="2"/>
  <c r="AE1120" i="2" s="1"/>
  <c r="BO1120" i="2" s="1"/>
  <c r="BM1120" i="2" s="1"/>
  <c r="AB1714" i="2"/>
  <c r="AD1714" i="2" s="1"/>
  <c r="Q1570" i="2"/>
  <c r="AE1570" i="2" s="1"/>
  <c r="BO1570" i="2" s="1"/>
  <c r="BM1570" i="2" s="1"/>
  <c r="Q582" i="2"/>
  <c r="AE582" i="2" s="1"/>
  <c r="BO582" i="2" s="1"/>
  <c r="BM582" i="2" s="1"/>
  <c r="Q1298" i="2"/>
  <c r="AE1298" i="2" s="1"/>
  <c r="BO1298" i="2" s="1"/>
  <c r="BM1298" i="2" s="1"/>
  <c r="Q877" i="2"/>
  <c r="AE877" i="2" s="1"/>
  <c r="BO877" i="2" s="1"/>
  <c r="BM877" i="2" s="1"/>
  <c r="Q153" i="2"/>
  <c r="AE153" i="2" s="1"/>
  <c r="BO153" i="2" s="1"/>
  <c r="BM153" i="2" s="1"/>
  <c r="AB153" i="2"/>
  <c r="AD153" i="2" s="1"/>
  <c r="Z418" i="2"/>
  <c r="Q418" i="2" s="1"/>
  <c r="AE418" i="2" s="1"/>
  <c r="BO418" i="2" s="1"/>
  <c r="BM418" i="2" s="1"/>
  <c r="Q605" i="2"/>
  <c r="AE605" i="2" s="1"/>
  <c r="BO605" i="2" s="1"/>
  <c r="BM605" i="2" s="1"/>
  <c r="AB76" i="2"/>
  <c r="AD76" i="2" s="1"/>
  <c r="AB1167" i="2"/>
  <c r="AD1167" i="2" s="1"/>
  <c r="AB652" i="2"/>
  <c r="AD652" i="2" s="1"/>
  <c r="Q854" i="2"/>
  <c r="AE854" i="2" s="1"/>
  <c r="BO854" i="2" s="1"/>
  <c r="BM854" i="2" s="1"/>
  <c r="Q1710" i="2"/>
  <c r="AE1710" i="2" s="1"/>
  <c r="BO1710" i="2" s="1"/>
  <c r="BM1710" i="2" s="1"/>
  <c r="AB1700" i="2"/>
  <c r="AD1700" i="2" s="1"/>
  <c r="AB1518" i="2"/>
  <c r="AD1518" i="2" s="1"/>
  <c r="AB1574" i="2"/>
  <c r="AD1574" i="2" s="1"/>
  <c r="AB789" i="2"/>
  <c r="AD789" i="2" s="1"/>
  <c r="Q99" i="2"/>
  <c r="AE99" i="2" s="1"/>
  <c r="BO99" i="2" s="1"/>
  <c r="BM99" i="2" s="1"/>
  <c r="AB761" i="2"/>
  <c r="AD761" i="2" s="1"/>
  <c r="Q5" i="2"/>
  <c r="AE5" i="2" s="1"/>
  <c r="BO5" i="2" s="1"/>
  <c r="BM5" i="2" s="1"/>
  <c r="Q1278" i="2"/>
  <c r="AE1278" i="2" s="1"/>
  <c r="BO1278" i="2" s="1"/>
  <c r="BM1278" i="2" s="1"/>
  <c r="AB605" i="2"/>
  <c r="AD605" i="2" s="1"/>
  <c r="AB1267" i="2"/>
  <c r="AD1267" i="2" s="1"/>
  <c r="AB1531" i="2"/>
  <c r="AD1531" i="2" s="1"/>
  <c r="AB1710" i="2"/>
  <c r="AD1710" i="2" s="1"/>
  <c r="AB663" i="2"/>
  <c r="AD663" i="2" s="1"/>
  <c r="AB1360" i="2"/>
  <c r="AD1360" i="2" s="1"/>
  <c r="Q761" i="2"/>
  <c r="AE761" i="2" s="1"/>
  <c r="BO761" i="2" s="1"/>
  <c r="BM761" i="2" s="1"/>
  <c r="AB1233" i="2"/>
  <c r="AD1233" i="2" s="1"/>
  <c r="Q537" i="2"/>
  <c r="AE537" i="2" s="1"/>
  <c r="BO537" i="2" s="1"/>
  <c r="BM537" i="2" s="1"/>
  <c r="AB282" i="2"/>
  <c r="AD282" i="2" s="1"/>
  <c r="Q65" i="2"/>
  <c r="AE65" i="2" s="1"/>
  <c r="BO65" i="2" s="1"/>
  <c r="BM65" i="2" s="1"/>
  <c r="Q161" i="2"/>
  <c r="AE161" i="2" s="1"/>
  <c r="BO161" i="2" s="1"/>
  <c r="BM161" i="2" s="1"/>
  <c r="AB838" i="2"/>
  <c r="AD838" i="2" s="1"/>
  <c r="AB854" i="2"/>
  <c r="AD854" i="2" s="1"/>
  <c r="Q1199" i="2"/>
  <c r="AE1199" i="2" s="1"/>
  <c r="BO1199" i="2" s="1"/>
  <c r="BM1199" i="2" s="1"/>
  <c r="AB616" i="2"/>
  <c r="AD616" i="2" s="1"/>
  <c r="AB1098" i="2"/>
  <c r="AD1098" i="2" s="1"/>
  <c r="Z69" i="2"/>
  <c r="AB690" i="2"/>
  <c r="AD690" i="2" s="1"/>
  <c r="Q185" i="2"/>
  <c r="AE185" i="2" s="1"/>
  <c r="BO185" i="2" s="1"/>
  <c r="BM185" i="2" s="1"/>
  <c r="AB1162" i="2"/>
  <c r="AD1162" i="2" s="1"/>
  <c r="AB196" i="2"/>
  <c r="AD196" i="2" s="1"/>
  <c r="Q663" i="2"/>
  <c r="AE663" i="2" s="1"/>
  <c r="BO663" i="2" s="1"/>
  <c r="BM663" i="2" s="1"/>
  <c r="Q610" i="2"/>
  <c r="AE610" i="2" s="1"/>
  <c r="BO610" i="2" s="1"/>
  <c r="BM610" i="2" s="1"/>
  <c r="AB610" i="2"/>
  <c r="AD610" i="2" s="1"/>
  <c r="AB109" i="2"/>
  <c r="AD109" i="2" s="1"/>
  <c r="Q1098" i="2"/>
  <c r="AE1098" i="2" s="1"/>
  <c r="BO1098" i="2" s="1"/>
  <c r="BM1098" i="2" s="1"/>
  <c r="Z226" i="2"/>
  <c r="Q1233" i="2"/>
  <c r="AE1233" i="2" s="1"/>
  <c r="BO1233" i="2" s="1"/>
  <c r="BM1233" i="2" s="1"/>
  <c r="Q90" i="2"/>
  <c r="AE90" i="2" s="1"/>
  <c r="BO90" i="2" s="1"/>
  <c r="BM90" i="2" s="1"/>
  <c r="AE814" i="2"/>
  <c r="BO814" i="2" s="1"/>
  <c r="BM814" i="2" s="1"/>
  <c r="Q1101" i="2"/>
  <c r="AE1101" i="2" s="1"/>
  <c r="BO1101" i="2" s="1"/>
  <c r="BM1101" i="2" s="1"/>
  <c r="AB1101" i="2"/>
  <c r="AD1101" i="2" s="1"/>
  <c r="AB4" i="2"/>
  <c r="AD4" i="2" s="1"/>
  <c r="AB284" i="2"/>
  <c r="AD284" i="2" s="1"/>
  <c r="AB792" i="2"/>
  <c r="AD792" i="2" s="1"/>
  <c r="AB1155" i="2"/>
  <c r="AD1155" i="2" s="1"/>
  <c r="AB1223" i="2"/>
  <c r="AD1223" i="2" s="1"/>
  <c r="Q33" i="2"/>
  <c r="AE33" i="2" s="1"/>
  <c r="BO33" i="2" s="1"/>
  <c r="BM33" i="2" s="1"/>
  <c r="Q149" i="2"/>
  <c r="AE149" i="2" s="1"/>
  <c r="BO149" i="2" s="1"/>
  <c r="BM149" i="2" s="1"/>
  <c r="Q4" i="2"/>
  <c r="AE4" i="2" s="1"/>
  <c r="BO4" i="2" s="1"/>
  <c r="BM4" i="2" s="1"/>
  <c r="Q502" i="2"/>
  <c r="AE502" i="2" s="1"/>
  <c r="BO502" i="2" s="1"/>
  <c r="BM502" i="2" s="1"/>
  <c r="AB502" i="2"/>
  <c r="AD502" i="2" s="1"/>
  <c r="Q393" i="2"/>
  <c r="AE393" i="2" s="1"/>
  <c r="BO393" i="2" s="1"/>
  <c r="BM393" i="2" s="1"/>
  <c r="Q792" i="2"/>
  <c r="AE792" i="2" s="1"/>
  <c r="BO792" i="2" s="1"/>
  <c r="BM792" i="2" s="1"/>
  <c r="Q847" i="2"/>
  <c r="AE847" i="2" s="1"/>
  <c r="BO847" i="2" s="1"/>
  <c r="BM847" i="2" s="1"/>
  <c r="Q690" i="2"/>
  <c r="AE690" i="2" s="1"/>
  <c r="BO690" i="2" s="1"/>
  <c r="BM690" i="2" s="1"/>
  <c r="AB1455" i="2"/>
  <c r="AD1455" i="2" s="1"/>
  <c r="AB33" i="2"/>
  <c r="AD33" i="2" s="1"/>
  <c r="AB396" i="2"/>
  <c r="AD396" i="2" s="1"/>
  <c r="AB537" i="2"/>
  <c r="AD537" i="2" s="1"/>
  <c r="Q76" i="2"/>
  <c r="AE76" i="2" s="1"/>
  <c r="BO76" i="2" s="1"/>
  <c r="BM76" i="2" s="1"/>
  <c r="Q80" i="2"/>
  <c r="AE80" i="2" s="1"/>
  <c r="BO80" i="2" s="1"/>
  <c r="BM80" i="2" s="1"/>
  <c r="AB1376" i="2"/>
  <c r="AD1376" i="2" s="1"/>
  <c r="Q251" i="2"/>
  <c r="AE251" i="2" s="1"/>
  <c r="BO251" i="2" s="1"/>
  <c r="BM251" i="2" s="1"/>
  <c r="Q1376" i="2"/>
  <c r="AB161" i="2"/>
  <c r="AD161" i="2" s="1"/>
  <c r="AB65" i="2"/>
  <c r="AD65" i="2" s="1"/>
  <c r="AB80" i="2"/>
  <c r="AD80" i="2" s="1"/>
  <c r="Z1018" i="2"/>
  <c r="Q1018" i="2" s="1"/>
  <c r="AE1018" i="2" s="1"/>
  <c r="BO1018" i="2" s="1"/>
  <c r="BM1018" i="2" s="1"/>
  <c r="Z271" i="2"/>
  <c r="AB879" i="2"/>
  <c r="AD879" i="2" s="1"/>
  <c r="AB90" i="2"/>
  <c r="AD90" i="2" s="1"/>
  <c r="Q284" i="2"/>
  <c r="AE284" i="2" s="1"/>
  <c r="BO284" i="2" s="1"/>
  <c r="BM284" i="2" s="1"/>
  <c r="N42" i="2"/>
  <c r="Z42" i="2"/>
  <c r="Q453" i="2"/>
  <c r="AE453" i="2" s="1"/>
  <c r="BO453" i="2" s="1"/>
  <c r="BM453" i="2" s="1"/>
  <c r="Q11" i="2"/>
  <c r="AE11" i="2" s="1"/>
  <c r="BO11" i="2" s="1"/>
  <c r="BM11" i="2" s="1"/>
  <c r="N904" i="2"/>
  <c r="Q374" i="2"/>
  <c r="AE374" i="2" s="1"/>
  <c r="BO374" i="2" s="1"/>
  <c r="BM374" i="2" s="1"/>
  <c r="AB374" i="2"/>
  <c r="AD374" i="2" s="1"/>
  <c r="Q1715" i="2"/>
  <c r="AE1715" i="2" s="1"/>
  <c r="BO1715" i="2" s="1"/>
  <c r="BM1715" i="2" s="1"/>
  <c r="Q763" i="2"/>
  <c r="AE763" i="2" s="1"/>
  <c r="BO763" i="2" s="1"/>
  <c r="BM763" i="2" s="1"/>
  <c r="BO257" i="2"/>
  <c r="BM257" i="2" s="1"/>
  <c r="BO186" i="2"/>
  <c r="BM186" i="2" s="1"/>
  <c r="AE535" i="2"/>
  <c r="BO535" i="2" s="1"/>
  <c r="BM535" i="2" s="1"/>
  <c r="AE166" i="2"/>
  <c r="BO166" i="2" s="1"/>
  <c r="BM166" i="2" s="1"/>
  <c r="AE310" i="2"/>
  <c r="BO310" i="2" s="1"/>
  <c r="BM310" i="2" s="1"/>
  <c r="Q869" i="2"/>
  <c r="AE869" i="2" s="1"/>
  <c r="BO869" i="2" s="1"/>
  <c r="BM869" i="2" s="1"/>
  <c r="AB1715" i="2"/>
  <c r="AD1715" i="2" s="1"/>
  <c r="AB327" i="2"/>
  <c r="AD327" i="2" s="1"/>
  <c r="Q376" i="2"/>
  <c r="AE376" i="2" s="1"/>
  <c r="BO376" i="2" s="1"/>
  <c r="BM376" i="2" s="1"/>
  <c r="Q375" i="2"/>
  <c r="Q470" i="2"/>
  <c r="AE470" i="2" s="1"/>
  <c r="BO470" i="2" s="1"/>
  <c r="BM470" i="2" s="1"/>
  <c r="AB470" i="2"/>
  <c r="AD470" i="2" s="1"/>
  <c r="Q319" i="2"/>
  <c r="Q1276" i="2"/>
  <c r="AE1276" i="2" s="1"/>
  <c r="BO1276" i="2" s="1"/>
  <c r="BM1276" i="2" s="1"/>
  <c r="Q421" i="2"/>
  <c r="AE421" i="2" s="1"/>
  <c r="BO421" i="2" s="1"/>
  <c r="BM421" i="2" s="1"/>
  <c r="Q92" i="2"/>
  <c r="AE92" i="2" s="1"/>
  <c r="BO92" i="2" s="1"/>
  <c r="BM92" i="2" s="1"/>
  <c r="AB669" i="2"/>
  <c r="AD669" i="2" s="1"/>
  <c r="AB926" i="2"/>
  <c r="AD926" i="2" s="1"/>
  <c r="Q172" i="2"/>
  <c r="Q1594" i="2"/>
  <c r="AE1594" i="2" s="1"/>
  <c r="BO1594" i="2" s="1"/>
  <c r="BM1594" i="2" s="1"/>
  <c r="Q786" i="2"/>
  <c r="AE786" i="2" s="1"/>
  <c r="BO786" i="2" s="1"/>
  <c r="BM786" i="2" s="1"/>
  <c r="Q889" i="2"/>
  <c r="AE889" i="2" s="1"/>
  <c r="BO889" i="2" s="1"/>
  <c r="BM889" i="2" s="1"/>
  <c r="Q700" i="2"/>
  <c r="AE700" i="2" s="1"/>
  <c r="BO700" i="2" s="1"/>
  <c r="BM700" i="2" s="1"/>
  <c r="AB850" i="2"/>
  <c r="AD850" i="2" s="1"/>
  <c r="Q675" i="2"/>
  <c r="AE675" i="2" s="1"/>
  <c r="BO675" i="2" s="1"/>
  <c r="BM675" i="2" s="1"/>
  <c r="Q850" i="2"/>
  <c r="AE850" i="2" s="1"/>
  <c r="BO850" i="2" s="1"/>
  <c r="BM850" i="2" s="1"/>
  <c r="Q455" i="2"/>
  <c r="AE455" i="2" s="1"/>
  <c r="BO455" i="2" s="1"/>
  <c r="BM455" i="2" s="1"/>
  <c r="Q1713" i="2"/>
  <c r="AE1713" i="2" s="1"/>
  <c r="BO1713" i="2" s="1"/>
  <c r="BM1713" i="2" s="1"/>
  <c r="Q448" i="2"/>
  <c r="AE448" i="2" s="1"/>
  <c r="BO448" i="2" s="1"/>
  <c r="BM448" i="2" s="1"/>
  <c r="Q755" i="2"/>
  <c r="AE755" i="2" s="1"/>
  <c r="BO755" i="2" s="1"/>
  <c r="BM755" i="2" s="1"/>
  <c r="Q1195" i="2"/>
  <c r="AE1195" i="2" s="1"/>
  <c r="BO1195" i="2" s="1"/>
  <c r="BM1195" i="2" s="1"/>
  <c r="AB455" i="2"/>
  <c r="AD455" i="2" s="1"/>
  <c r="Q1695" i="2"/>
  <c r="AE1695" i="2" s="1"/>
  <c r="BO1695" i="2" s="1"/>
  <c r="BM1695" i="2" s="1"/>
  <c r="AB662" i="2"/>
  <c r="AD662" i="2" s="1"/>
  <c r="Q773" i="2"/>
  <c r="AE773" i="2" s="1"/>
  <c r="BO773" i="2" s="1"/>
  <c r="BM773" i="2" s="1"/>
  <c r="Q662" i="2"/>
  <c r="AE662" i="2" s="1"/>
  <c r="BO662" i="2" s="1"/>
  <c r="BM662" i="2" s="1"/>
  <c r="AB869" i="2"/>
  <c r="AD869" i="2" s="1"/>
  <c r="Q1593" i="2"/>
  <c r="Q808" i="2"/>
  <c r="AE808" i="2" s="1"/>
  <c r="BO808" i="2" s="1"/>
  <c r="BM808" i="2" s="1"/>
  <c r="Q745" i="2"/>
  <c r="AE745" i="2" s="1"/>
  <c r="BO745" i="2" s="1"/>
  <c r="BM745" i="2" s="1"/>
  <c r="Q574" i="2"/>
  <c r="AE574" i="2" s="1"/>
  <c r="BO574" i="2" s="1"/>
  <c r="BM574" i="2" s="1"/>
  <c r="AB773" i="2"/>
  <c r="AD773" i="2" s="1"/>
  <c r="Q307" i="2"/>
  <c r="AE307" i="2" s="1"/>
  <c r="BO307" i="2" s="1"/>
  <c r="BM307" i="2" s="1"/>
  <c r="AB307" i="2"/>
  <c r="AD307" i="2" s="1"/>
  <c r="Q1259" i="2"/>
  <c r="AE1259" i="2" s="1"/>
  <c r="BO1259" i="2" s="1"/>
  <c r="BM1259" i="2" s="1"/>
  <c r="Q443" i="2"/>
  <c r="AE443" i="2" s="1"/>
  <c r="BO443" i="2" s="1"/>
  <c r="BM443" i="2" s="1"/>
  <c r="Q1307" i="2"/>
  <c r="AE1307" i="2" s="1"/>
  <c r="BO1307" i="2" s="1"/>
  <c r="BM1307" i="2" s="1"/>
  <c r="Q544" i="2"/>
  <c r="AE544" i="2" s="1"/>
  <c r="BO544" i="2" s="1"/>
  <c r="BM544" i="2" s="1"/>
  <c r="AB147" i="2"/>
  <c r="AD147" i="2" s="1"/>
  <c r="AB1390" i="2"/>
  <c r="AD1390" i="2" s="1"/>
  <c r="AB376" i="2"/>
  <c r="AD376" i="2" s="1"/>
  <c r="Q1263" i="2"/>
  <c r="AE1263" i="2" s="1"/>
  <c r="BO1263" i="2" s="1"/>
  <c r="BM1263" i="2" s="1"/>
  <c r="AB1709" i="2"/>
  <c r="AD1709" i="2" s="1"/>
  <c r="Q645" i="2"/>
  <c r="AE645" i="2" s="1"/>
  <c r="BO645" i="2" s="1"/>
  <c r="BM645" i="2" s="1"/>
  <c r="AB339" i="2"/>
  <c r="AD339" i="2" s="1"/>
  <c r="Q1547" i="2"/>
  <c r="AE1547" i="2" s="1"/>
  <c r="BO1547" i="2" s="1"/>
  <c r="BM1547" i="2" s="1"/>
  <c r="Q147" i="2"/>
  <c r="AE147" i="2" s="1"/>
  <c r="BO147" i="2" s="1"/>
  <c r="BM147" i="2" s="1"/>
  <c r="AB1365" i="2"/>
  <c r="AD1365" i="2" s="1"/>
  <c r="AB48" i="2"/>
  <c r="AD48" i="2" s="1"/>
  <c r="AB948" i="2"/>
  <c r="AD948" i="2" s="1"/>
  <c r="AB431" i="2"/>
  <c r="AD431" i="2" s="1"/>
  <c r="Q86" i="2"/>
  <c r="AE86" i="2" s="1"/>
  <c r="BO86" i="2" s="1"/>
  <c r="BM86" i="2" s="1"/>
  <c r="AB1188" i="2"/>
  <c r="AD1188" i="2" s="1"/>
  <c r="AB645" i="2"/>
  <c r="AD645" i="2" s="1"/>
  <c r="Q1188" i="2"/>
  <c r="AE1188" i="2" s="1"/>
  <c r="BO1188" i="2" s="1"/>
  <c r="BM1188" i="2" s="1"/>
  <c r="Q940" i="2"/>
  <c r="AE940" i="2" s="1"/>
  <c r="BO940" i="2" s="1"/>
  <c r="BM940" i="2" s="1"/>
  <c r="AB92" i="2"/>
  <c r="AD92" i="2" s="1"/>
  <c r="AB700" i="2"/>
  <c r="AD700" i="2" s="1"/>
  <c r="Q668" i="2"/>
  <c r="AE668" i="2" s="1"/>
  <c r="BO668" i="2" s="1"/>
  <c r="BM668" i="2" s="1"/>
  <c r="AB574" i="2"/>
  <c r="AD574" i="2" s="1"/>
  <c r="AB428" i="2"/>
  <c r="AD428" i="2" s="1"/>
  <c r="AB786" i="2"/>
  <c r="AD786" i="2" s="1"/>
  <c r="Q572" i="2"/>
  <c r="AE572" i="2" s="1"/>
  <c r="BO572" i="2" s="1"/>
  <c r="BM572" i="2" s="1"/>
  <c r="AB236" i="2"/>
  <c r="AD236" i="2" s="1"/>
  <c r="AB544" i="2"/>
  <c r="AD544" i="2" s="1"/>
  <c r="AB977" i="2"/>
  <c r="AD977" i="2" s="1"/>
  <c r="AB745" i="2"/>
  <c r="AD745" i="2" s="1"/>
  <c r="Q800" i="2"/>
  <c r="AE800" i="2" s="1"/>
  <c r="BO800" i="2" s="1"/>
  <c r="BM800" i="2" s="1"/>
  <c r="Q236" i="2"/>
  <c r="AE236" i="2" s="1"/>
  <c r="BO236" i="2" s="1"/>
  <c r="BM236" i="2" s="1"/>
  <c r="Q159" i="2"/>
  <c r="AE159" i="2" s="1"/>
  <c r="BO159" i="2" s="1"/>
  <c r="BM159" i="2" s="1"/>
  <c r="AB311" i="2"/>
  <c r="AD311" i="2" s="1"/>
  <c r="AB897" i="2"/>
  <c r="AD897" i="2" s="1"/>
  <c r="AB344" i="2"/>
  <c r="AD344" i="2" s="1"/>
  <c r="AB77" i="2"/>
  <c r="AD77" i="2" s="1"/>
  <c r="AB808" i="2"/>
  <c r="AD808" i="2" s="1"/>
  <c r="AB1594" i="2"/>
  <c r="AD1594" i="2" s="1"/>
  <c r="AB68" i="2"/>
  <c r="AD68" i="2" s="1"/>
  <c r="AB549" i="2"/>
  <c r="AD549" i="2" s="1"/>
  <c r="AB408" i="2"/>
  <c r="AD408" i="2" s="1"/>
  <c r="AB614" i="2"/>
  <c r="AD614" i="2" s="1"/>
  <c r="AB393" i="2"/>
  <c r="AD393" i="2" s="1"/>
  <c r="AB477" i="2"/>
  <c r="AD477" i="2" s="1"/>
  <c r="AB1307" i="2"/>
  <c r="AD1307" i="2" s="1"/>
  <c r="AB1276" i="2"/>
  <c r="AD1276" i="2" s="1"/>
  <c r="AB811" i="2"/>
  <c r="AD811" i="2" s="1"/>
  <c r="AB617" i="2"/>
  <c r="AD617" i="2" s="1"/>
  <c r="AB564" i="2"/>
  <c r="AD564" i="2" s="1"/>
  <c r="AB771" i="2"/>
  <c r="AD771" i="2" s="1"/>
  <c r="AB1317" i="2"/>
  <c r="AD1317" i="2" s="1"/>
  <c r="AB1286" i="2"/>
  <c r="AD1286" i="2" s="1"/>
  <c r="AB401" i="2"/>
  <c r="AD401" i="2" s="1"/>
  <c r="AB1389" i="2"/>
  <c r="AD1389" i="2" s="1"/>
  <c r="AB218" i="2"/>
  <c r="AD218" i="2" s="1"/>
  <c r="AB572" i="2"/>
  <c r="AD572" i="2" s="1"/>
  <c r="Q311" i="2"/>
  <c r="AE311" i="2" s="1"/>
  <c r="BO311" i="2" s="1"/>
  <c r="BM311" i="2" s="1"/>
  <c r="Q946" i="2"/>
  <c r="AE946" i="2" s="1"/>
  <c r="BO946" i="2" s="1"/>
  <c r="BM946" i="2" s="1"/>
  <c r="AB1208" i="2"/>
  <c r="AD1208" i="2" s="1"/>
  <c r="AB984" i="2"/>
  <c r="AD984" i="2" s="1"/>
  <c r="AB417" i="2"/>
  <c r="AD417" i="2" s="1"/>
  <c r="AB680" i="2"/>
  <c r="AD680" i="2" s="1"/>
  <c r="AB1713" i="2"/>
  <c r="AD1713" i="2" s="1"/>
  <c r="AB673" i="2"/>
  <c r="AD673" i="2" s="1"/>
  <c r="AB1205" i="2"/>
  <c r="AD1205" i="2" s="1"/>
  <c r="AB1369" i="2"/>
  <c r="AD1369" i="2" s="1"/>
  <c r="AB655" i="2"/>
  <c r="AD655" i="2" s="1"/>
  <c r="AB378" i="2"/>
  <c r="AD378" i="2" s="1"/>
  <c r="AB893" i="2"/>
  <c r="AD893" i="2" s="1"/>
  <c r="AB1537" i="2"/>
  <c r="AD1537" i="2" s="1"/>
  <c r="AB517" i="2"/>
  <c r="AD517" i="2" s="1"/>
  <c r="AB866" i="2"/>
  <c r="AD866" i="2" s="1"/>
  <c r="AB1547" i="2"/>
  <c r="AD1547" i="2" s="1"/>
  <c r="AB1482" i="2"/>
  <c r="AD1482" i="2" s="1"/>
  <c r="AB1341" i="2"/>
  <c r="AD1341" i="2" s="1"/>
  <c r="AB787" i="2"/>
  <c r="AD787" i="2" s="1"/>
  <c r="AB675" i="2"/>
  <c r="AD675" i="2" s="1"/>
  <c r="AB1097" i="2"/>
  <c r="AD1097" i="2" s="1"/>
  <c r="AB1602" i="2"/>
  <c r="AD1602" i="2" s="1"/>
  <c r="Q1552" i="2"/>
  <c r="AE1552" i="2" s="1"/>
  <c r="BO1552" i="2" s="1"/>
  <c r="BM1552" i="2" s="1"/>
  <c r="AB1552" i="2"/>
  <c r="AD1552" i="2" s="1"/>
  <c r="AB190" i="2"/>
  <c r="AD190" i="2" s="1"/>
  <c r="Q1341" i="2"/>
  <c r="AE1341" i="2" s="1"/>
  <c r="BO1341" i="2" s="1"/>
  <c r="BM1341" i="2" s="1"/>
  <c r="AB448" i="2"/>
  <c r="AD448" i="2" s="1"/>
  <c r="AB717" i="2"/>
  <c r="AD717" i="2" s="1"/>
  <c r="AB516" i="2"/>
  <c r="AD516" i="2" s="1"/>
  <c r="AB1701" i="2"/>
  <c r="AD1701" i="2" s="1"/>
  <c r="AB591" i="2"/>
  <c r="AD591" i="2" s="1"/>
  <c r="AB1295" i="2"/>
  <c r="AD1295" i="2" s="1"/>
  <c r="AB1122" i="2"/>
  <c r="AD1122" i="2" s="1"/>
  <c r="AB954" i="2"/>
  <c r="AD954" i="2" s="1"/>
  <c r="AB137" i="2"/>
  <c r="AD137" i="2" s="1"/>
  <c r="AB946" i="2"/>
  <c r="AD946" i="2" s="1"/>
  <c r="Q1697" i="2"/>
  <c r="AE1697" i="2" s="1"/>
  <c r="BO1697" i="2" s="1"/>
  <c r="BM1697" i="2" s="1"/>
  <c r="Q591" i="2"/>
  <c r="AE591" i="2" s="1"/>
  <c r="BO591" i="2" s="1"/>
  <c r="BM591" i="2" s="1"/>
  <c r="Q649" i="2"/>
  <c r="AE649" i="2" s="1"/>
  <c r="BO649" i="2" s="1"/>
  <c r="BM649" i="2" s="1"/>
  <c r="AB649" i="2"/>
  <c r="AD649" i="2" s="1"/>
  <c r="Q1389" i="2"/>
  <c r="AE1389" i="2" s="1"/>
  <c r="BO1389" i="2" s="1"/>
  <c r="BM1389" i="2" s="1"/>
  <c r="Q893" i="2"/>
  <c r="AE893" i="2" s="1"/>
  <c r="BO893" i="2" s="1"/>
  <c r="BM893" i="2" s="1"/>
  <c r="AB443" i="2"/>
  <c r="AD443" i="2" s="1"/>
  <c r="AB1527" i="2"/>
  <c r="AD1527" i="2" s="1"/>
  <c r="AB987" i="2"/>
  <c r="AD987" i="2" s="1"/>
  <c r="AB880" i="2"/>
  <c r="AD880" i="2" s="1"/>
  <c r="AB734" i="2"/>
  <c r="AD734" i="2" s="1"/>
  <c r="AB515" i="2"/>
  <c r="AD515" i="2" s="1"/>
  <c r="AB1072" i="2"/>
  <c r="AD1072" i="2" s="1"/>
  <c r="AB930" i="2"/>
  <c r="AD930" i="2" s="1"/>
  <c r="AB1697" i="2"/>
  <c r="AD1697" i="2" s="1"/>
  <c r="AB1195" i="2"/>
  <c r="AD1195" i="2" s="1"/>
  <c r="AB685" i="2"/>
  <c r="AD685" i="2" s="1"/>
  <c r="AB881" i="2"/>
  <c r="AD881" i="2" s="1"/>
  <c r="AB1038" i="2"/>
  <c r="AD1038" i="2" s="1"/>
  <c r="AB120" i="2"/>
  <c r="AD120" i="2" s="1"/>
  <c r="AB991" i="2"/>
  <c r="AD991" i="2" s="1"/>
  <c r="Q954" i="2"/>
  <c r="AE954" i="2" s="1"/>
  <c r="BO954" i="2" s="1"/>
  <c r="BM954" i="2" s="1"/>
  <c r="Q417" i="2"/>
  <c r="AE417" i="2" s="1"/>
  <c r="BO417" i="2" s="1"/>
  <c r="BM417" i="2" s="1"/>
  <c r="Q371" i="2"/>
  <c r="AE371" i="2" s="1"/>
  <c r="BO371" i="2" s="1"/>
  <c r="BM371" i="2" s="1"/>
  <c r="AB657" i="2"/>
  <c r="AD657" i="2" s="1"/>
  <c r="AB567" i="2"/>
  <c r="AD567" i="2" s="1"/>
  <c r="AB471" i="2"/>
  <c r="AD471" i="2" s="1"/>
  <c r="AB1251" i="2"/>
  <c r="AD1251" i="2" s="1"/>
  <c r="AB1246" i="2"/>
  <c r="AD1246" i="2" s="1"/>
  <c r="AB590" i="2"/>
  <c r="AD590" i="2" s="1"/>
  <c r="AB755" i="2"/>
  <c r="AD755" i="2" s="1"/>
  <c r="AB1336" i="2"/>
  <c r="AD1336" i="2" s="1"/>
  <c r="AB216" i="2"/>
  <c r="AD216" i="2" s="1"/>
  <c r="AB56" i="2"/>
  <c r="AD56" i="2" s="1"/>
  <c r="AB490" i="2"/>
  <c r="AD490" i="2" s="1"/>
  <c r="AB713" i="2"/>
  <c r="AD713" i="2" s="1"/>
  <c r="AB800" i="2"/>
  <c r="AD800" i="2" s="1"/>
  <c r="AB1593" i="2"/>
  <c r="AD1593" i="2" s="1"/>
  <c r="AB1053" i="2"/>
  <c r="AD1053" i="2" s="1"/>
  <c r="AB1490" i="2"/>
  <c r="AD1490" i="2" s="1"/>
  <c r="AB45" i="2"/>
  <c r="AD45" i="2" s="1"/>
  <c r="AB676" i="2"/>
  <c r="AD676" i="2" s="1"/>
  <c r="Q698" i="2"/>
  <c r="AE698" i="2" s="1"/>
  <c r="BO698" i="2" s="1"/>
  <c r="BM698" i="2" s="1"/>
  <c r="Q1038" i="2"/>
  <c r="AE1038" i="2" s="1"/>
  <c r="BO1038" i="2" s="1"/>
  <c r="BM1038" i="2" s="1"/>
  <c r="Q631" i="2"/>
  <c r="AE631" i="2" s="1"/>
  <c r="BO631" i="2" s="1"/>
  <c r="BM631" i="2" s="1"/>
  <c r="Q515" i="2"/>
  <c r="AE515" i="2" s="1"/>
  <c r="BO515" i="2" s="1"/>
  <c r="BM515" i="2" s="1"/>
  <c r="AB159" i="2"/>
  <c r="AD159" i="2" s="1"/>
  <c r="AB995" i="2"/>
  <c r="AD995" i="2" s="1"/>
  <c r="AB698" i="2"/>
  <c r="AD698" i="2" s="1"/>
  <c r="AB1039" i="2"/>
  <c r="AD1039" i="2" s="1"/>
  <c r="AB1292" i="2"/>
  <c r="AD1292" i="2" s="1"/>
  <c r="AB1263" i="2"/>
  <c r="AD1263" i="2" s="1"/>
  <c r="AB631" i="2"/>
  <c r="AD631" i="2" s="1"/>
  <c r="AB303" i="2"/>
  <c r="AD303" i="2" s="1"/>
  <c r="AB1429" i="2"/>
  <c r="AD1429" i="2" s="1"/>
  <c r="AB1259" i="2"/>
  <c r="AD1259" i="2" s="1"/>
  <c r="AB718" i="2"/>
  <c r="AD718" i="2" s="1"/>
  <c r="AB626" i="2"/>
  <c r="AD626" i="2" s="1"/>
  <c r="AB736" i="2"/>
  <c r="AD736" i="2" s="1"/>
  <c r="AB1133" i="2"/>
  <c r="AD1133" i="2" s="1"/>
  <c r="AB887" i="2"/>
  <c r="AD887" i="2" s="1"/>
  <c r="AB86" i="2"/>
  <c r="AD86" i="2" s="1"/>
  <c r="AB825" i="2"/>
  <c r="AD825" i="2" s="1"/>
  <c r="AB399" i="2"/>
  <c r="AD399" i="2" s="1"/>
  <c r="Q1251" i="2"/>
  <c r="AE1251" i="2" s="1"/>
  <c r="BO1251" i="2" s="1"/>
  <c r="BM1251" i="2" s="1"/>
  <c r="Q590" i="2"/>
  <c r="AE590" i="2" s="1"/>
  <c r="BO590" i="2" s="1"/>
  <c r="BM590" i="2" s="1"/>
  <c r="Q771" i="2"/>
  <c r="AE771" i="2" s="1"/>
  <c r="BO771" i="2" s="1"/>
  <c r="BM771" i="2" s="1"/>
  <c r="Q428" i="2"/>
  <c r="AE428" i="2" s="1"/>
  <c r="BO428" i="2" s="1"/>
  <c r="BM428" i="2" s="1"/>
  <c r="Q984" i="2"/>
  <c r="AE984" i="2" s="1"/>
  <c r="BO984" i="2" s="1"/>
  <c r="BM984" i="2" s="1"/>
  <c r="Q378" i="2"/>
  <c r="AE378" i="2" s="1"/>
  <c r="BO378" i="2" s="1"/>
  <c r="BM378" i="2" s="1"/>
  <c r="Q60" i="2"/>
  <c r="AE60" i="2" s="1"/>
  <c r="BO60" i="2" s="1"/>
  <c r="BM60" i="2" s="1"/>
  <c r="Q811" i="2"/>
  <c r="AE811" i="2" s="1"/>
  <c r="BO811" i="2" s="1"/>
  <c r="BM811" i="2" s="1"/>
  <c r="Q1523" i="2"/>
  <c r="AE1523" i="2" s="1"/>
  <c r="BO1523" i="2" s="1"/>
  <c r="BM1523" i="2" s="1"/>
  <c r="Q120" i="2"/>
  <c r="AE120" i="2" s="1"/>
  <c r="BO120" i="2" s="1"/>
  <c r="BM120" i="2" s="1"/>
  <c r="Q190" i="2"/>
  <c r="AE190" i="2" s="1"/>
  <c r="BO190" i="2" s="1"/>
  <c r="BM190" i="2" s="1"/>
  <c r="Q1699" i="2"/>
  <c r="AE1699" i="2" s="1"/>
  <c r="BO1699" i="2" s="1"/>
  <c r="BM1699" i="2" s="1"/>
  <c r="Q1097" i="2"/>
  <c r="AE1097" i="2" s="1"/>
  <c r="BO1097" i="2" s="1"/>
  <c r="BM1097" i="2" s="1"/>
  <c r="Q344" i="2"/>
  <c r="AE344" i="2" s="1"/>
  <c r="BO344" i="2" s="1"/>
  <c r="BM344" i="2" s="1"/>
  <c r="Q1042" i="2"/>
  <c r="AE1042" i="2" s="1"/>
  <c r="BO1042" i="2" s="1"/>
  <c r="BM1042" i="2" s="1"/>
  <c r="Q680" i="2"/>
  <c r="AE680" i="2" s="1"/>
  <c r="BO680" i="2" s="1"/>
  <c r="BM680" i="2" s="1"/>
  <c r="Q1122" i="2"/>
  <c r="AE1122" i="2" s="1"/>
  <c r="BO1122" i="2" s="1"/>
  <c r="BM1122" i="2" s="1"/>
  <c r="Q2" i="2"/>
  <c r="Q626" i="2"/>
  <c r="AE626" i="2" s="1"/>
  <c r="BO626" i="2" s="1"/>
  <c r="BM626" i="2" s="1"/>
  <c r="Q471" i="2"/>
  <c r="AE471" i="2" s="1"/>
  <c r="BO471" i="2" s="1"/>
  <c r="BM471" i="2" s="1"/>
  <c r="Q887" i="2"/>
  <c r="AE887" i="2" s="1"/>
  <c r="BO887" i="2" s="1"/>
  <c r="BM887" i="2" s="1"/>
  <c r="Q1336" i="2"/>
  <c r="AE1336" i="2" s="1"/>
  <c r="BO1336" i="2" s="1"/>
  <c r="BM1336" i="2" s="1"/>
  <c r="AE1482" i="2"/>
  <c r="BO1482" i="2" s="1"/>
  <c r="BM1482" i="2" s="1"/>
  <c r="Q77" i="2"/>
  <c r="AE77" i="2" s="1"/>
  <c r="BO77" i="2" s="1"/>
  <c r="BM77" i="2" s="1"/>
  <c r="Q567" i="2"/>
  <c r="AE567" i="2" s="1"/>
  <c r="BO567" i="2" s="1"/>
  <c r="BM567" i="2" s="1"/>
  <c r="Q614" i="2"/>
  <c r="AE614" i="2" s="1"/>
  <c r="BO614" i="2" s="1"/>
  <c r="BM614" i="2" s="1"/>
  <c r="Q408" i="2"/>
  <c r="AE408" i="2" s="1"/>
  <c r="BO408" i="2" s="1"/>
  <c r="BM408" i="2" s="1"/>
  <c r="Q401" i="2"/>
  <c r="AE401" i="2" s="1"/>
  <c r="BO401" i="2" s="1"/>
  <c r="BM401" i="2" s="1"/>
  <c r="Q1490" i="2"/>
  <c r="AE1490" i="2" s="1"/>
  <c r="BO1490" i="2" s="1"/>
  <c r="BM1490" i="2" s="1"/>
  <c r="Q1205" i="2"/>
  <c r="AE1205" i="2" s="1"/>
  <c r="BO1205" i="2" s="1"/>
  <c r="BM1205" i="2" s="1"/>
  <c r="Q1429" i="2"/>
  <c r="AE1429" i="2" s="1"/>
  <c r="BO1429" i="2" s="1"/>
  <c r="BM1429" i="2" s="1"/>
  <c r="Q787" i="2"/>
  <c r="AE787" i="2" s="1"/>
  <c r="BO787" i="2" s="1"/>
  <c r="BM787" i="2" s="1"/>
  <c r="Q516" i="2"/>
  <c r="AE516" i="2" s="1"/>
  <c r="BO516" i="2" s="1"/>
  <c r="BM516" i="2" s="1"/>
  <c r="Q948" i="2"/>
  <c r="AE948" i="2" s="1"/>
  <c r="BO948" i="2" s="1"/>
  <c r="BM948" i="2" s="1"/>
  <c r="Q1060" i="2"/>
  <c r="AE1060" i="2" s="1"/>
  <c r="BO1060" i="2" s="1"/>
  <c r="BM1060" i="2" s="1"/>
  <c r="Q303" i="2"/>
  <c r="AE303" i="2" s="1"/>
  <c r="BO303" i="2" s="1"/>
  <c r="BM303" i="2" s="1"/>
  <c r="Q991" i="2"/>
  <c r="AE991" i="2" s="1"/>
  <c r="BO991" i="2" s="1"/>
  <c r="BM991" i="2" s="1"/>
  <c r="Q1317" i="2"/>
  <c r="AE1317" i="2" s="1"/>
  <c r="BO1317" i="2" s="1"/>
  <c r="BM1317" i="2" s="1"/>
  <c r="Q20" i="2"/>
  <c r="AE20" i="2" s="1"/>
  <c r="BO20" i="2" s="1"/>
  <c r="BM20" i="2" s="1"/>
  <c r="Q399" i="2"/>
  <c r="AE399" i="2" s="1"/>
  <c r="BO399" i="2" s="1"/>
  <c r="BM399" i="2" s="1"/>
  <c r="Q1242" i="2"/>
  <c r="AE1242" i="2" s="1"/>
  <c r="BO1242" i="2" s="1"/>
  <c r="BM1242" i="2" s="1"/>
  <c r="Q1286" i="2"/>
  <c r="AE1286" i="2" s="1"/>
  <c r="BO1286" i="2" s="1"/>
  <c r="BM1286" i="2" s="1"/>
  <c r="Q655" i="2"/>
  <c r="AE655" i="2" s="1"/>
  <c r="BO655" i="2" s="1"/>
  <c r="BM655" i="2" s="1"/>
  <c r="Q1059" i="2"/>
  <c r="AE1059" i="2" s="1"/>
  <c r="BO1059" i="2" s="1"/>
  <c r="BM1059" i="2" s="1"/>
  <c r="Q490" i="2"/>
  <c r="AE490" i="2" s="1"/>
  <c r="BO490" i="2" s="1"/>
  <c r="BM490" i="2" s="1"/>
  <c r="Q718" i="2"/>
  <c r="AE718" i="2" s="1"/>
  <c r="BO718" i="2" s="1"/>
  <c r="BM718" i="2" s="1"/>
  <c r="Q758" i="2"/>
  <c r="AE758" i="2" s="1"/>
  <c r="BO758" i="2" s="1"/>
  <c r="BM758" i="2" s="1"/>
  <c r="Q1133" i="2"/>
  <c r="AE1133" i="2" s="1"/>
  <c r="BO1133" i="2" s="1"/>
  <c r="BM1133" i="2" s="1"/>
  <c r="Q880" i="2"/>
  <c r="AE880" i="2" s="1"/>
  <c r="BO880" i="2" s="1"/>
  <c r="BM880" i="2" s="1"/>
  <c r="Q953" i="2"/>
  <c r="AE953" i="2" s="1"/>
  <c r="BO953" i="2" s="1"/>
  <c r="BM953" i="2" s="1"/>
  <c r="Q676" i="2"/>
  <c r="AE676" i="2" s="1"/>
  <c r="BO676" i="2" s="1"/>
  <c r="BM676" i="2" s="1"/>
  <c r="Q717" i="2"/>
  <c r="AE717" i="2" s="1"/>
  <c r="BO717" i="2" s="1"/>
  <c r="BM717" i="2" s="1"/>
  <c r="Q218" i="2"/>
  <c r="AE218" i="2" s="1"/>
  <c r="BO218" i="2" s="1"/>
  <c r="BM218" i="2" s="1"/>
  <c r="Q56" i="2"/>
  <c r="AE56" i="2" s="1"/>
  <c r="BO56" i="2" s="1"/>
  <c r="BM56" i="2" s="1"/>
  <c r="Q517" i="2"/>
  <c r="AE517" i="2" s="1"/>
  <c r="BO517" i="2" s="1"/>
  <c r="BM517" i="2" s="1"/>
  <c r="Q68" i="2"/>
  <c r="AE68" i="2" s="1"/>
  <c r="BO68" i="2" s="1"/>
  <c r="BM68" i="2" s="1"/>
  <c r="Q736" i="2"/>
  <c r="AE736" i="2" s="1"/>
  <c r="BO736" i="2" s="1"/>
  <c r="BM736" i="2" s="1"/>
  <c r="Q1089" i="2"/>
  <c r="AE1089" i="2" s="1"/>
  <c r="BO1089" i="2" s="1"/>
  <c r="BM1089" i="2" s="1"/>
  <c r="Q1292" i="2"/>
  <c r="AE1292" i="2" s="1"/>
  <c r="BO1292" i="2" s="1"/>
  <c r="BM1292" i="2" s="1"/>
  <c r="Q1208" i="2"/>
  <c r="AE1208" i="2" s="1"/>
  <c r="BO1208" i="2" s="1"/>
  <c r="BM1208" i="2" s="1"/>
  <c r="Q1072" i="2"/>
  <c r="AE1072" i="2" s="1"/>
  <c r="BO1072" i="2" s="1"/>
  <c r="BM1072" i="2" s="1"/>
  <c r="Q1602" i="2"/>
  <c r="AE1602" i="2" s="1"/>
  <c r="BO1602" i="2" s="1"/>
  <c r="BM1602" i="2" s="1"/>
  <c r="Q533" i="2"/>
  <c r="AE533" i="2" s="1"/>
  <c r="BO533" i="2" s="1"/>
  <c r="BM533" i="2" s="1"/>
  <c r="Q1062" i="2"/>
  <c r="AE1062" i="2" s="1"/>
  <c r="BO1062" i="2" s="1"/>
  <c r="BM1062" i="2" s="1"/>
  <c r="Q1182" i="2"/>
  <c r="AE1182" i="2" s="1"/>
  <c r="BO1182" i="2" s="1"/>
  <c r="BM1182" i="2" s="1"/>
  <c r="Q216" i="2"/>
  <c r="AE216" i="2" s="1"/>
  <c r="BO216" i="2" s="1"/>
  <c r="BM216" i="2" s="1"/>
  <c r="Q549" i="2"/>
  <c r="AE549" i="2" s="1"/>
  <c r="BO549" i="2" s="1"/>
  <c r="BM549" i="2" s="1"/>
  <c r="Q673" i="2"/>
  <c r="AE673" i="2" s="1"/>
  <c r="BO673" i="2" s="1"/>
  <c r="BM673" i="2" s="1"/>
  <c r="Q995" i="2"/>
  <c r="AE995" i="2" s="1"/>
  <c r="BO995" i="2" s="1"/>
  <c r="BM995" i="2" s="1"/>
  <c r="Q137" i="2"/>
  <c r="AE137" i="2" s="1"/>
  <c r="BO137" i="2" s="1"/>
  <c r="BM137" i="2" s="1"/>
  <c r="Q1711" i="2"/>
  <c r="AE1711" i="2" s="1"/>
  <c r="BO1711" i="2" s="1"/>
  <c r="BM1711" i="2" s="1"/>
  <c r="Q980" i="2"/>
  <c r="AE980" i="2" s="1"/>
  <c r="BO980" i="2" s="1"/>
  <c r="BM980" i="2" s="1"/>
  <c r="Q1295" i="2"/>
  <c r="AE1295" i="2" s="1"/>
  <c r="BO1295" i="2" s="1"/>
  <c r="BM1295" i="2" s="1"/>
  <c r="Q1246" i="2"/>
  <c r="AE1246" i="2" s="1"/>
  <c r="BO1246" i="2" s="1"/>
  <c r="BM1246" i="2" s="1"/>
  <c r="AE115" i="2" l="1"/>
  <c r="BO115" i="2" s="1"/>
  <c r="BM115" i="2" s="1"/>
  <c r="P1447" i="2"/>
  <c r="AG1447" i="2" s="1"/>
  <c r="AH1447" i="2" s="1"/>
  <c r="P576" i="2"/>
  <c r="AG576" i="2" s="1"/>
  <c r="AH576" i="2" s="1"/>
  <c r="P798" i="2"/>
  <c r="AC798" i="2" s="1"/>
  <c r="P937" i="2"/>
  <c r="AG937" i="2" s="1"/>
  <c r="AH937" i="2" s="1"/>
  <c r="AE1046" i="2"/>
  <c r="BO1046" i="2" s="1"/>
  <c r="BM1046" i="2" s="1"/>
  <c r="P1184" i="2"/>
  <c r="AC1184" i="2" s="1"/>
  <c r="AC888" i="2"/>
  <c r="P514" i="2"/>
  <c r="AG514" i="2" s="1"/>
  <c r="AH514" i="2" s="1"/>
  <c r="AC1046" i="2"/>
  <c r="AG1046" i="2"/>
  <c r="AH1046" i="2" s="1"/>
  <c r="AC691" i="2"/>
  <c r="AG691" i="2"/>
  <c r="AH691" i="2" s="1"/>
  <c r="P731" i="2"/>
  <c r="AG731" i="2" s="1"/>
  <c r="AH731" i="2" s="1"/>
  <c r="AG784" i="2"/>
  <c r="AH784" i="2" s="1"/>
  <c r="AC784" i="2"/>
  <c r="AC1664" i="2"/>
  <c r="AB1664" i="2"/>
  <c r="AD1664" i="2" s="1"/>
  <c r="AC1658" i="2"/>
  <c r="AC1657" i="2"/>
  <c r="AC1659" i="2"/>
  <c r="AB1657" i="2"/>
  <c r="AD1657" i="2" s="1"/>
  <c r="AG1685" i="2"/>
  <c r="AH1685" i="2" s="1"/>
  <c r="Z1685" i="2"/>
  <c r="AC1685" i="2"/>
  <c r="AB1685" i="2"/>
  <c r="AD1685" i="2" s="1"/>
  <c r="AG1693" i="2"/>
  <c r="AH1693" i="2" s="1"/>
  <c r="Z1693" i="2"/>
  <c r="AC1693" i="2"/>
  <c r="AB1693" i="2"/>
  <c r="AD1693" i="2" s="1"/>
  <c r="AG1675" i="2"/>
  <c r="AH1675" i="2" s="1"/>
  <c r="Z1675" i="2"/>
  <c r="AB1675" i="2"/>
  <c r="AD1675" i="2" s="1"/>
  <c r="AC1675" i="2"/>
  <c r="AB1659" i="2"/>
  <c r="AD1659" i="2" s="1"/>
  <c r="AC1665" i="2"/>
  <c r="AG1665" i="2"/>
  <c r="AH1665" i="2" s="1"/>
  <c r="AB1665" i="2"/>
  <c r="AD1665" i="2" s="1"/>
  <c r="Z1665" i="2"/>
  <c r="AG1677" i="2"/>
  <c r="AH1677" i="2" s="1"/>
  <c r="Z1677" i="2"/>
  <c r="AB1677" i="2"/>
  <c r="AD1677" i="2" s="1"/>
  <c r="AC1677" i="2"/>
  <c r="AG1671" i="2"/>
  <c r="AH1671" i="2" s="1"/>
  <c r="Z1671" i="2"/>
  <c r="AC1671" i="2"/>
  <c r="AB1671" i="2"/>
  <c r="AD1671" i="2" s="1"/>
  <c r="AG1670" i="2"/>
  <c r="AH1670" i="2" s="1"/>
  <c r="Z1670" i="2"/>
  <c r="AB1670" i="2"/>
  <c r="AD1670" i="2" s="1"/>
  <c r="AC1670" i="2"/>
  <c r="AC1656" i="2"/>
  <c r="AG1656" i="2"/>
  <c r="AH1656" i="2" s="1"/>
  <c r="Z1656" i="2"/>
  <c r="AB1656" i="2"/>
  <c r="AD1656" i="2" s="1"/>
  <c r="AC1662" i="2"/>
  <c r="AG1662" i="2"/>
  <c r="AH1662" i="2" s="1"/>
  <c r="Z1662" i="2"/>
  <c r="AB1662" i="2"/>
  <c r="AD1662" i="2" s="1"/>
  <c r="Z1658" i="2"/>
  <c r="AC1661" i="2"/>
  <c r="AB1661" i="2"/>
  <c r="AD1661" i="2" s="1"/>
  <c r="Z1661" i="2"/>
  <c r="AG1661" i="2"/>
  <c r="AH1661" i="2" s="1"/>
  <c r="AG1664" i="2"/>
  <c r="AH1664" i="2" s="1"/>
  <c r="AG1659" i="2"/>
  <c r="AH1659" i="2" s="1"/>
  <c r="AG1658" i="2"/>
  <c r="AH1658" i="2" s="1"/>
  <c r="AG1657" i="2"/>
  <c r="AH1657" i="2" s="1"/>
  <c r="AE1376" i="2"/>
  <c r="BO1376" i="2" s="1"/>
  <c r="BM1376" i="2" s="1"/>
  <c r="AE1593" i="2"/>
  <c r="BO1593" i="2" s="1"/>
  <c r="BM1593" i="2" s="1"/>
  <c r="AE2" i="2"/>
  <c r="BO2" i="2" s="1"/>
  <c r="BM2" i="2" s="1"/>
  <c r="Z1622" i="2"/>
  <c r="Q1622" i="2" s="1"/>
  <c r="AE1622" i="2" s="1"/>
  <c r="BO1622" i="2" s="1"/>
  <c r="BM1622" i="2" s="1"/>
  <c r="N1126" i="2"/>
  <c r="Q1069" i="2"/>
  <c r="AE1069" i="2" s="1"/>
  <c r="BO1069" i="2" s="1"/>
  <c r="BM1069" i="2" s="1"/>
  <c r="N1622" i="2"/>
  <c r="Z144" i="2"/>
  <c r="N9" i="2"/>
  <c r="N103" i="2"/>
  <c r="Q9" i="2"/>
  <c r="AE9" i="2" s="1"/>
  <c r="BO9" i="2" s="1"/>
  <c r="BM9" i="2" s="1"/>
  <c r="AD1357" i="2"/>
  <c r="AD1473" i="2"/>
  <c r="AD1116" i="2"/>
  <c r="Q1439" i="2"/>
  <c r="AE1439" i="2" s="1"/>
  <c r="BO1439" i="2" s="1"/>
  <c r="BM1439" i="2" s="1"/>
  <c r="Z93" i="2"/>
  <c r="N1439" i="2"/>
  <c r="AD1212" i="2"/>
  <c r="AD560" i="2"/>
  <c r="AD1379" i="2"/>
  <c r="AD1521" i="2"/>
  <c r="Q1181" i="2"/>
  <c r="AE1181" i="2" s="1"/>
  <c r="BO1181" i="2" s="1"/>
  <c r="BM1181" i="2" s="1"/>
  <c r="Q1077" i="2"/>
  <c r="AE1077" i="2" s="1"/>
  <c r="BO1077" i="2" s="1"/>
  <c r="BM1077" i="2" s="1"/>
  <c r="Q629" i="2"/>
  <c r="AE629" i="2" s="1"/>
  <c r="BO629" i="2" s="1"/>
  <c r="BM629" i="2" s="1"/>
  <c r="Q1391" i="2"/>
  <c r="AE1391" i="2" s="1"/>
  <c r="BO1391" i="2" s="1"/>
  <c r="BM1391" i="2" s="1"/>
  <c r="Q1067" i="2"/>
  <c r="AE1067" i="2" s="1"/>
  <c r="BO1067" i="2" s="1"/>
  <c r="BM1067" i="2" s="1"/>
  <c r="Q693" i="2"/>
  <c r="AE693" i="2" s="1"/>
  <c r="BO693" i="2" s="1"/>
  <c r="BM693" i="2" s="1"/>
  <c r="Q1359" i="2"/>
  <c r="AE1359" i="2" s="1"/>
  <c r="BO1359" i="2" s="1"/>
  <c r="BM1359" i="2" s="1"/>
  <c r="Q1124" i="2"/>
  <c r="AE1124" i="2" s="1"/>
  <c r="BO1124" i="2" s="1"/>
  <c r="BM1124" i="2" s="1"/>
  <c r="Q1128" i="2"/>
  <c r="AE1128" i="2" s="1"/>
  <c r="BO1128" i="2" s="1"/>
  <c r="BM1128" i="2" s="1"/>
  <c r="Q1468" i="2"/>
  <c r="Q842" i="2"/>
  <c r="AE842" i="2" s="1"/>
  <c r="BO842" i="2" s="1"/>
  <c r="BM842" i="2" s="1"/>
  <c r="Q1054" i="2"/>
  <c r="AE1054" i="2" s="1"/>
  <c r="BO1054" i="2" s="1"/>
  <c r="BM1054" i="2" s="1"/>
  <c r="Q525" i="2"/>
  <c r="AE525" i="2" s="1"/>
  <c r="BO525" i="2" s="1"/>
  <c r="BM525" i="2" s="1"/>
  <c r="Q1079" i="2"/>
  <c r="AE1079" i="2" s="1"/>
  <c r="BO1079" i="2" s="1"/>
  <c r="BM1079" i="2" s="1"/>
  <c r="Q483" i="2"/>
  <c r="AE483" i="2" s="1"/>
  <c r="BO483" i="2" s="1"/>
  <c r="BM483" i="2" s="1"/>
  <c r="Q468" i="2"/>
  <c r="AE468" i="2" s="1"/>
  <c r="BO468" i="2" s="1"/>
  <c r="BM468" i="2" s="1"/>
  <c r="Q721" i="2"/>
  <c r="AE721" i="2" s="1"/>
  <c r="BO721" i="2" s="1"/>
  <c r="BM721" i="2" s="1"/>
  <c r="Q658" i="2"/>
  <c r="AE658" i="2" s="1"/>
  <c r="BO658" i="2" s="1"/>
  <c r="BM658" i="2" s="1"/>
  <c r="Q1314" i="2"/>
  <c r="AE1314" i="2" s="1"/>
  <c r="BO1314" i="2" s="1"/>
  <c r="BM1314" i="2" s="1"/>
  <c r="Q1026" i="2"/>
  <c r="AE1026" i="2" s="1"/>
  <c r="BO1026" i="2" s="1"/>
  <c r="BM1026" i="2" s="1"/>
  <c r="Q891" i="2"/>
  <c r="AE891" i="2" s="1"/>
  <c r="BO891" i="2" s="1"/>
  <c r="BM891" i="2" s="1"/>
  <c r="Q1446" i="2"/>
  <c r="AE1446" i="2" s="1"/>
  <c r="BO1446" i="2" s="1"/>
  <c r="BM1446" i="2" s="1"/>
  <c r="Q1434" i="2"/>
  <c r="AE1434" i="2" s="1"/>
  <c r="BO1434" i="2" s="1"/>
  <c r="BM1434" i="2" s="1"/>
  <c r="N1212" i="2"/>
  <c r="Z1212" i="2"/>
  <c r="Q594" i="2"/>
  <c r="AE594" i="2" s="1"/>
  <c r="BO594" i="2" s="1"/>
  <c r="BM594" i="2" s="1"/>
  <c r="Q1087" i="2"/>
  <c r="AE1087" i="2" s="1"/>
  <c r="BO1087" i="2" s="1"/>
  <c r="BM1087" i="2" s="1"/>
  <c r="Z1116" i="2"/>
  <c r="N1116" i="2"/>
  <c r="Z560" i="2"/>
  <c r="N560" i="2"/>
  <c r="Q1448" i="2"/>
  <c r="AE1448" i="2" s="1"/>
  <c r="BO1448" i="2" s="1"/>
  <c r="BM1448" i="2" s="1"/>
  <c r="AE1265" i="2"/>
  <c r="BO1265" i="2" s="1"/>
  <c r="BM1265" i="2" s="1"/>
  <c r="AE1153" i="2"/>
  <c r="BO1153" i="2" s="1"/>
  <c r="BM1153" i="2" s="1"/>
  <c r="AE1186" i="2"/>
  <c r="BO1186" i="2" s="1"/>
  <c r="BM1186" i="2" s="1"/>
  <c r="AE1420" i="2"/>
  <c r="BO1420" i="2" s="1"/>
  <c r="BM1420" i="2" s="1"/>
  <c r="Q429" i="2"/>
  <c r="Q748" i="2"/>
  <c r="Q1200" i="2"/>
  <c r="Q697" i="2"/>
  <c r="BO1342" i="2"/>
  <c r="BM1342" i="2" s="1"/>
  <c r="BO1433" i="2"/>
  <c r="BM1433" i="2" s="1"/>
  <c r="BO841" i="2"/>
  <c r="BM841" i="2" s="1"/>
  <c r="Q898" i="2"/>
  <c r="Q1109" i="2"/>
  <c r="Q1312" i="2"/>
  <c r="Q874" i="2"/>
  <c r="Q1125" i="2"/>
  <c r="BO1230" i="2"/>
  <c r="BM1230" i="2" s="1"/>
  <c r="Q1302" i="2"/>
  <c r="Q1150" i="2"/>
  <c r="Q809" i="2"/>
  <c r="Q1086" i="2"/>
  <c r="Q976" i="2"/>
  <c r="Q996" i="2"/>
  <c r="Q1111" i="2"/>
  <c r="Q1094" i="2"/>
  <c r="Q1187" i="2"/>
  <c r="Q679" i="2"/>
  <c r="Q1137" i="2"/>
  <c r="Q1203" i="2"/>
  <c r="Q1325" i="2"/>
  <c r="Q1430" i="2"/>
  <c r="AE1430" i="2" s="1"/>
  <c r="BO1430" i="2" s="1"/>
  <c r="BM1430" i="2" s="1"/>
  <c r="AB1704" i="2"/>
  <c r="AD1704" i="2" s="1"/>
  <c r="Q135" i="2"/>
  <c r="AE135" i="2" s="1"/>
  <c r="BO135" i="2" s="1"/>
  <c r="BM135" i="2" s="1"/>
  <c r="AB135" i="2"/>
  <c r="AD135" i="2" s="1"/>
  <c r="Q909" i="2"/>
  <c r="AE909" i="2" s="1"/>
  <c r="BO909" i="2" s="1"/>
  <c r="BM909" i="2" s="1"/>
  <c r="AB909" i="2"/>
  <c r="AD909" i="2" s="1"/>
  <c r="AB238" i="2"/>
  <c r="AD238" i="2" s="1"/>
  <c r="Q238" i="2"/>
  <c r="AE238" i="2" s="1"/>
  <c r="BO238" i="2" s="1"/>
  <c r="BM238" i="2" s="1"/>
  <c r="AE1085" i="2"/>
  <c r="BO1085" i="2" s="1"/>
  <c r="BM1085" i="2" s="1"/>
  <c r="AE816" i="2"/>
  <c r="BO816" i="2" s="1"/>
  <c r="BM816" i="2" s="1"/>
  <c r="AE1561" i="2"/>
  <c r="BO1561" i="2" s="1"/>
  <c r="BM1561" i="2" s="1"/>
  <c r="AE712" i="2"/>
  <c r="BO712" i="2" s="1"/>
  <c r="BM712" i="2" s="1"/>
  <c r="AE1521" i="2"/>
  <c r="BO1521" i="2" s="1"/>
  <c r="BM1521" i="2" s="1"/>
  <c r="AE1532" i="2"/>
  <c r="BO1532" i="2" s="1"/>
  <c r="BM1532" i="2" s="1"/>
  <c r="AE587" i="2"/>
  <c r="BO587" i="2" s="1"/>
  <c r="BM587" i="2" s="1"/>
  <c r="AE1419" i="2"/>
  <c r="BO1419" i="2" s="1"/>
  <c r="BM1419" i="2" s="1"/>
  <c r="AE1285" i="2"/>
  <c r="BO1285" i="2" s="1"/>
  <c r="BM1285" i="2" s="1"/>
  <c r="Q183" i="2"/>
  <c r="AE183" i="2" s="1"/>
  <c r="BO183" i="2" s="1"/>
  <c r="BM183" i="2" s="1"/>
  <c r="Q385" i="2"/>
  <c r="AE385" i="2" s="1"/>
  <c r="BO385" i="2" s="1"/>
  <c r="BM385" i="2" s="1"/>
  <c r="Q1719" i="2"/>
  <c r="AE1719" i="2" s="1"/>
  <c r="BO1719" i="2" s="1"/>
  <c r="BM1719" i="2" s="1"/>
  <c r="AB1719" i="2"/>
  <c r="AD1719" i="2" s="1"/>
  <c r="Q1725" i="2"/>
  <c r="AE1725" i="2" s="1"/>
  <c r="BO1725" i="2" s="1"/>
  <c r="BM1725" i="2" s="1"/>
  <c r="Q1722" i="2"/>
  <c r="AE1722" i="2" s="1"/>
  <c r="BO1722" i="2" s="1"/>
  <c r="BM1722" i="2" s="1"/>
  <c r="Q69" i="2"/>
  <c r="AE69" i="2" s="1"/>
  <c r="BO69" i="2" s="1"/>
  <c r="BM69" i="2" s="1"/>
  <c r="Q42" i="2"/>
  <c r="AE42" i="2" s="1"/>
  <c r="BO42" i="2" s="1"/>
  <c r="BM42" i="2" s="1"/>
  <c r="Q271" i="2"/>
  <c r="AE271" i="2" s="1"/>
  <c r="BO271" i="2" s="1"/>
  <c r="BM271" i="2" s="1"/>
  <c r="Q226" i="2"/>
  <c r="AE226" i="2" s="1"/>
  <c r="BO226" i="2" s="1"/>
  <c r="BM226" i="2" s="1"/>
  <c r="AE319" i="2"/>
  <c r="BO319" i="2" s="1"/>
  <c r="BM319" i="2" s="1"/>
  <c r="AE172" i="2"/>
  <c r="BO172" i="2" s="1"/>
  <c r="BM172" i="2" s="1"/>
  <c r="AE375" i="2"/>
  <c r="BO375" i="2" s="1"/>
  <c r="BM375" i="2" s="1"/>
  <c r="AC1447" i="2" l="1"/>
  <c r="AC937" i="2"/>
  <c r="AG798" i="2"/>
  <c r="AH798" i="2" s="1"/>
  <c r="AG1184" i="2"/>
  <c r="AH1184" i="2" s="1"/>
  <c r="AC576" i="2"/>
  <c r="AC731" i="2"/>
  <c r="AC514" i="2"/>
  <c r="AE1468" i="2"/>
  <c r="BO1468" i="2" s="1"/>
  <c r="BM1468" i="2" s="1"/>
  <c r="Q144" i="2"/>
  <c r="AE144" i="2" s="1"/>
  <c r="BO144" i="2" s="1"/>
  <c r="BM144" i="2" s="1"/>
  <c r="Q93" i="2"/>
  <c r="AE93" i="2" s="1"/>
  <c r="BO93" i="2" s="1"/>
  <c r="BM93" i="2" s="1"/>
  <c r="Q560" i="2"/>
  <c r="AE560" i="2" s="1"/>
  <c r="BO560" i="2" s="1"/>
  <c r="BM560" i="2" s="1"/>
  <c r="Q1212" i="2"/>
  <c r="AE1212" i="2" s="1"/>
  <c r="BO1212" i="2" s="1"/>
  <c r="BM1212" i="2" s="1"/>
  <c r="Q1116" i="2"/>
  <c r="AE1116" i="2" s="1"/>
  <c r="BO1116" i="2" s="1"/>
  <c r="BM1116" i="2" s="1"/>
  <c r="AE1150" i="2"/>
  <c r="BO1150" i="2" s="1"/>
  <c r="BM1150" i="2" s="1"/>
  <c r="AE697" i="2"/>
  <c r="BO697" i="2" s="1"/>
  <c r="BM697" i="2" s="1"/>
  <c r="AE1187" i="2"/>
  <c r="BO1187" i="2" s="1"/>
  <c r="BM1187" i="2" s="1"/>
  <c r="AE976" i="2"/>
  <c r="BO976" i="2" s="1"/>
  <c r="BM976" i="2" s="1"/>
  <c r="AE1200" i="2"/>
  <c r="BO1200" i="2" s="1"/>
  <c r="BM1200" i="2" s="1"/>
  <c r="AE1094" i="2"/>
  <c r="BO1094" i="2" s="1"/>
  <c r="BM1094" i="2" s="1"/>
  <c r="AE1302" i="2"/>
  <c r="BO1302" i="2" s="1"/>
  <c r="BM1302" i="2" s="1"/>
  <c r="AE1109" i="2"/>
  <c r="BO1109" i="2" s="1"/>
  <c r="BM1109" i="2" s="1"/>
  <c r="AE748" i="2"/>
  <c r="BO748" i="2" s="1"/>
  <c r="BM748" i="2" s="1"/>
  <c r="AE679" i="2"/>
  <c r="BO679" i="2" s="1"/>
  <c r="BM679" i="2" s="1"/>
  <c r="AE1325" i="2"/>
  <c r="BO1325" i="2" s="1"/>
  <c r="BM1325" i="2" s="1"/>
  <c r="AE1137" i="2"/>
  <c r="BO1137" i="2" s="1"/>
  <c r="BM1137" i="2" s="1"/>
  <c r="AE1086" i="2"/>
  <c r="BO1086" i="2" s="1"/>
  <c r="BM1086" i="2" s="1"/>
  <c r="AE809" i="2"/>
  <c r="BO809" i="2" s="1"/>
  <c r="BM809" i="2" s="1"/>
  <c r="AE1312" i="2"/>
  <c r="BO1312" i="2" s="1"/>
  <c r="BM1312" i="2" s="1"/>
  <c r="AE1203" i="2"/>
  <c r="BO1203" i="2" s="1"/>
  <c r="BM1203" i="2" s="1"/>
  <c r="AE1111" i="2"/>
  <c r="BO1111" i="2" s="1"/>
  <c r="BM1111" i="2" s="1"/>
  <c r="AE1125" i="2"/>
  <c r="BO1125" i="2" s="1"/>
  <c r="BM1125" i="2" s="1"/>
  <c r="AE429" i="2"/>
  <c r="BO429" i="2" s="1"/>
  <c r="BM429" i="2" s="1"/>
  <c r="AE996" i="2"/>
  <c r="BO996" i="2" s="1"/>
  <c r="BM996" i="2" s="1"/>
  <c r="BO1178" i="2"/>
  <c r="BM1178" i="2" s="1"/>
  <c r="AE874" i="2"/>
  <c r="BO874" i="2" s="1"/>
  <c r="BM874" i="2" s="1"/>
  <c r="AE898" i="2"/>
  <c r="BO898" i="2" s="1"/>
  <c r="BM898" i="2" s="1"/>
  <c r="AB231" i="2" l="1"/>
  <c r="AB603" i="2"/>
  <c r="AB96" i="2"/>
  <c r="AB1123" i="2"/>
  <c r="AB1141" i="2"/>
  <c r="AB558" i="2"/>
  <c r="AB193" i="2"/>
  <c r="AB478" i="2"/>
  <c r="AB237" i="2"/>
  <c r="AB539" i="2"/>
  <c r="AB267" i="2"/>
  <c r="AB1385" i="2"/>
  <c r="AB1484" i="2"/>
  <c r="AB78" i="2"/>
  <c r="AB438" i="2"/>
  <c r="AB1611" i="2"/>
  <c r="AB1601" i="2"/>
  <c r="AB145" i="2"/>
  <c r="AB1480" i="2"/>
  <c r="AB646" i="2"/>
  <c r="AB600" i="2"/>
  <c r="AB779" i="2"/>
  <c r="AB199" i="2"/>
  <c r="AB1228" i="2"/>
  <c r="AB543" i="2"/>
  <c r="AB469" i="2"/>
  <c r="AB1485" i="2"/>
  <c r="AB1638" i="2"/>
  <c r="AB1548" i="2"/>
  <c r="AB405" i="2"/>
  <c r="AB1198" i="2"/>
  <c r="AB684" i="2"/>
  <c r="AB1646" i="2"/>
  <c r="AB857" i="2"/>
  <c r="AB1510" i="2"/>
  <c r="AB1387" i="2"/>
  <c r="AB1169" i="2"/>
  <c r="AB404" i="2"/>
  <c r="AB585" i="2"/>
  <c r="AB250" i="2"/>
  <c r="AB845" i="2"/>
  <c r="AB335" i="2"/>
  <c r="AB1467" i="2"/>
  <c r="AB919" i="2"/>
  <c r="AB1352" i="2"/>
  <c r="AB234" i="2"/>
  <c r="AB349" i="2"/>
  <c r="AB164" i="2"/>
  <c r="AB400" i="2"/>
  <c r="AB964" i="2"/>
  <c r="AB1076" i="2"/>
  <c r="AB715" i="2"/>
  <c r="AB945" i="2"/>
  <c r="AB227" i="2"/>
  <c r="AB411" i="2"/>
  <c r="AB519" i="2"/>
  <c r="AB1634" i="2"/>
  <c r="AB52" i="2"/>
  <c r="AB82" i="2"/>
  <c r="AB837" i="2"/>
  <c r="AB1609" i="2"/>
  <c r="AB1626" i="2"/>
  <c r="AB163" i="2"/>
  <c r="AB112" i="2"/>
  <c r="AB1061" i="2"/>
  <c r="AB254" i="2"/>
  <c r="AB79" i="2"/>
  <c r="AB1080" i="2"/>
  <c r="AB1514" i="2"/>
  <c r="AB489" i="2"/>
  <c r="AB1364" i="2"/>
  <c r="AB1023" i="2"/>
  <c r="AB1481" i="2"/>
  <c r="AB1002" i="2"/>
  <c r="AB1220" i="2"/>
  <c r="AB634" i="2"/>
  <c r="AB324" i="2"/>
  <c r="AB612" i="2"/>
  <c r="AB969" i="2"/>
  <c r="AB1355" i="2"/>
  <c r="AB110" i="2"/>
  <c r="AB38" i="2"/>
  <c r="AB1585" i="2"/>
  <c r="AB494" i="2"/>
  <c r="AB1255" i="2"/>
  <c r="AB358" i="2"/>
  <c r="AB858" i="2"/>
  <c r="AB1106" i="2"/>
  <c r="AB737" i="2"/>
  <c r="AB739" i="2"/>
  <c r="AB127" i="2"/>
  <c r="AB868" i="2"/>
  <c r="AB1172" i="2"/>
  <c r="AB1354" i="2"/>
  <c r="AB1567" i="2"/>
  <c r="AB1117" i="2"/>
  <c r="AB1600" i="2"/>
  <c r="AB1036" i="2"/>
  <c r="AB230" i="2"/>
  <c r="AB427" i="2"/>
  <c r="Q112" i="2"/>
  <c r="AG112" i="2" s="1"/>
  <c r="AH112" i="2" s="1"/>
  <c r="Q1355" i="2"/>
  <c r="AG1355" i="2" s="1"/>
  <c r="AH1355" i="2" s="1"/>
  <c r="AB935" i="2"/>
  <c r="AB430" i="2"/>
  <c r="AB165" i="2"/>
  <c r="AB944" i="2"/>
  <c r="AB181" i="2"/>
  <c r="AB41" i="2"/>
  <c r="AB1536" i="2"/>
  <c r="AB1189" i="2"/>
  <c r="AB488" i="2"/>
  <c r="AB102" i="2"/>
  <c r="AB1416" i="2"/>
  <c r="AB1346" i="2"/>
  <c r="AB989" i="2"/>
  <c r="AB70" i="2"/>
  <c r="AB100" i="2"/>
  <c r="AB577" i="2"/>
  <c r="AB36" i="2"/>
  <c r="AB1146" i="2"/>
  <c r="AB1619" i="2"/>
  <c r="AB1270" i="2"/>
  <c r="AB416" i="2"/>
  <c r="AB12" i="2"/>
  <c r="AB1029" i="2"/>
  <c r="AB1048" i="2"/>
  <c r="AB1581" i="2"/>
  <c r="AB1647" i="2"/>
  <c r="AB1400" i="2"/>
  <c r="AB961" i="2"/>
  <c r="AB1173" i="2"/>
  <c r="AB224" i="2"/>
  <c r="AB803" i="2"/>
  <c r="AB846" i="2"/>
  <c r="AB923" i="2"/>
  <c r="AB1022" i="2"/>
  <c r="AB1627" i="2"/>
  <c r="AB1304" i="2"/>
  <c r="AB386" i="2"/>
  <c r="AB126" i="2"/>
  <c r="AB752" i="2"/>
  <c r="AB486" i="2"/>
  <c r="AB1282" i="2"/>
  <c r="AB228" i="2"/>
  <c r="AB871" i="2"/>
  <c r="AB157" i="2"/>
  <c r="AB1110" i="2"/>
  <c r="Q1585" i="2"/>
  <c r="AB31" i="2"/>
  <c r="AB1464" i="2"/>
  <c r="AB1221" i="2"/>
  <c r="AB18" i="2"/>
  <c r="AB1050" i="2"/>
  <c r="AB1147" i="2"/>
  <c r="AB599" i="2"/>
  <c r="AB902" i="2"/>
  <c r="AB361" i="2"/>
  <c r="AB915" i="2"/>
  <c r="AB656" i="2"/>
  <c r="AB941" i="2"/>
  <c r="AB1197" i="2"/>
  <c r="AB410" i="2"/>
  <c r="AB480" i="2"/>
  <c r="AB1460" i="2"/>
  <c r="AB1489" i="2"/>
  <c r="AB425" i="2"/>
  <c r="AB788" i="2"/>
  <c r="Q1239" i="2"/>
  <c r="AG1239" i="2" s="1"/>
  <c r="AH1239" i="2" s="1"/>
  <c r="AB1239" i="2"/>
  <c r="AB1013" i="2"/>
  <c r="AB724" i="2"/>
  <c r="AB34" i="2"/>
  <c r="AB588" i="2"/>
  <c r="AB1107" i="2"/>
  <c r="AB604" i="2"/>
  <c r="AB810" i="2"/>
  <c r="AB1328" i="2"/>
  <c r="AB1112" i="2"/>
  <c r="AB446" i="2"/>
  <c r="AB122" i="2"/>
  <c r="AB1505" i="2"/>
  <c r="AB1625" i="2"/>
  <c r="AB931" i="2"/>
  <c r="AB1009" i="2"/>
  <c r="AB526" i="2"/>
  <c r="AB119" i="2"/>
  <c r="AB83" i="2"/>
  <c r="AB207" i="2"/>
  <c r="AB233" i="2"/>
  <c r="AB1057" i="2"/>
  <c r="AB1237" i="2"/>
  <c r="AB1035" i="2"/>
  <c r="AB1374" i="2"/>
  <c r="AB1635" i="2"/>
  <c r="Q1387" i="2"/>
  <c r="AE1387" i="2" s="1"/>
  <c r="BO1387" i="2" s="1"/>
  <c r="BM1387" i="2" s="1"/>
  <c r="AB1632" i="2"/>
  <c r="AB780" i="2"/>
  <c r="AB1386" i="2"/>
  <c r="AB687" i="2"/>
  <c r="AB223" i="2"/>
  <c r="AB1154" i="2"/>
  <c r="AB485" i="2"/>
  <c r="AB1005" i="2"/>
  <c r="Q1220" i="2"/>
  <c r="AG1220" i="2" s="1"/>
  <c r="AH1220" i="2" s="1"/>
  <c r="AB437" i="2"/>
  <c r="Q526" i="2"/>
  <c r="AG526" i="2" s="1"/>
  <c r="AH526" i="2" s="1"/>
  <c r="AB822" i="2"/>
  <c r="AB1555" i="2"/>
  <c r="AB1450" i="2"/>
  <c r="AB793" i="2"/>
  <c r="AB402" i="2"/>
  <c r="AB703" i="2"/>
  <c r="AB753" i="2"/>
  <c r="AB380" i="2"/>
  <c r="AB1100" i="2"/>
  <c r="AB141" i="2"/>
  <c r="AB678" i="2"/>
  <c r="AB124" i="2"/>
  <c r="AB1393" i="2"/>
  <c r="AB959" i="2"/>
  <c r="AB474" i="2"/>
  <c r="AB1459" i="2"/>
  <c r="AB1511" i="2"/>
  <c r="AB118" i="2"/>
  <c r="AB973" i="2"/>
  <c r="AB202" i="2"/>
  <c r="Q102" i="2"/>
  <c r="AE102" i="2" s="1"/>
  <c r="BO102" i="2" s="1"/>
  <c r="BM102" i="2" s="1"/>
  <c r="AB205" i="2"/>
  <c r="AB527" i="2"/>
  <c r="AB1474" i="2"/>
  <c r="AB1118" i="2"/>
  <c r="AB258" i="2"/>
  <c r="AB212" i="2"/>
  <c r="AB322" i="2"/>
  <c r="AB98" i="2"/>
  <c r="AB1329" i="2"/>
  <c r="AB801" i="2"/>
  <c r="AB276" i="2"/>
  <c r="AB819" i="2"/>
  <c r="AB1516" i="2"/>
  <c r="AB279" i="2"/>
  <c r="AB495" i="2"/>
  <c r="AB508" i="2"/>
  <c r="AB398" i="2"/>
  <c r="AB774" i="2"/>
  <c r="AB767" i="2"/>
  <c r="AB518" i="2"/>
  <c r="AB26" i="2"/>
  <c r="AB367" i="2"/>
  <c r="AB520" i="2"/>
  <c r="AB689" i="2"/>
  <c r="AB672" i="2"/>
  <c r="AB951" i="2"/>
  <c r="AB907" i="2"/>
  <c r="AB554" i="2"/>
  <c r="AB260" i="2"/>
  <c r="AB820" i="2"/>
  <c r="AB1021" i="2"/>
  <c r="AB343" i="2"/>
  <c r="AB265" i="2"/>
  <c r="AB277" i="2"/>
  <c r="AB261" i="2"/>
  <c r="AB89" i="2"/>
  <c r="AB245" i="2"/>
  <c r="AB433" i="2"/>
  <c r="AB387" i="2"/>
  <c r="AB154" i="2"/>
  <c r="Q612" i="2"/>
  <c r="AE612" i="2" s="1"/>
  <c r="BO612" i="2" s="1"/>
  <c r="BM612" i="2" s="1"/>
  <c r="Q400" i="2"/>
  <c r="AG400" i="2" s="1"/>
  <c r="AH400" i="2" s="1"/>
  <c r="AB268" i="2"/>
  <c r="AB1524" i="2"/>
  <c r="AB769" i="2"/>
  <c r="AB1231" i="2"/>
  <c r="AB1650" i="2"/>
  <c r="AB1068" i="2"/>
  <c r="AB1584" i="2"/>
  <c r="AB1275" i="2"/>
  <c r="AB1493" i="2"/>
  <c r="AB936" i="2"/>
  <c r="AB217" i="2"/>
  <c r="AB1247" i="2"/>
  <c r="AB1576" i="2"/>
  <c r="AB1297" i="2"/>
  <c r="AB1362" i="2"/>
  <c r="AB1560" i="2"/>
  <c r="AB1605" i="2"/>
  <c r="AB538" i="2"/>
  <c r="AB1606" i="2"/>
  <c r="AB1234" i="2"/>
  <c r="AB1639" i="2"/>
  <c r="AB1520" i="2"/>
  <c r="AB998" i="2"/>
  <c r="Q202" i="2"/>
  <c r="AG202" i="2" s="1"/>
  <c r="AH202" i="2" s="1"/>
  <c r="Q1197" i="2"/>
  <c r="AE1197" i="2" s="1"/>
  <c r="BO1197" i="2" s="1"/>
  <c r="BM1197" i="2" s="1"/>
  <c r="AB7" i="2"/>
  <c r="AB354" i="2"/>
  <c r="AB571" i="2"/>
  <c r="AB342" i="2"/>
  <c r="AB150" i="2"/>
  <c r="Q1237" i="2"/>
  <c r="AE1237" i="2" s="1"/>
  <c r="BO1237" i="2" s="1"/>
  <c r="BM1237" i="2" s="1"/>
  <c r="AB131" i="2"/>
  <c r="AB426" i="2"/>
  <c r="AB827" i="2"/>
  <c r="AB283" i="2"/>
  <c r="AB892" i="2"/>
  <c r="AB1451" i="2"/>
  <c r="AB781" i="2"/>
  <c r="AB206" i="2"/>
  <c r="AB885" i="2"/>
  <c r="AB834" i="2"/>
  <c r="AB1323" i="2"/>
  <c r="AB1375" i="2"/>
  <c r="AB790" i="2"/>
  <c r="AB1088" i="2"/>
  <c r="AB1445" i="2"/>
  <c r="Q836" i="2"/>
  <c r="AB836" i="2"/>
  <c r="AB997" i="2"/>
  <c r="AB934" i="2"/>
  <c r="AB1001" i="2"/>
  <c r="AB203" i="2"/>
  <c r="AB860" i="2"/>
  <c r="AB1335" i="2"/>
  <c r="AB1631" i="2"/>
  <c r="AB1318" i="2"/>
  <c r="AB722" i="2"/>
  <c r="AB58" i="2"/>
  <c r="AB993" i="2"/>
  <c r="AB454" i="2"/>
  <c r="AB1260" i="2"/>
  <c r="AB419" i="2"/>
  <c r="AB730" i="2"/>
  <c r="AB650" i="2"/>
  <c r="AB1309" i="2"/>
  <c r="AB757" i="2"/>
  <c r="AB716" i="2"/>
  <c r="AB1308" i="2"/>
  <c r="Q407" i="2"/>
  <c r="AE407" i="2" s="1"/>
  <c r="BO407" i="2" s="1"/>
  <c r="BM407" i="2" s="1"/>
  <c r="AB407" i="2"/>
  <c r="AB1170" i="2"/>
  <c r="AB1344" i="2"/>
  <c r="Q1440" i="2"/>
  <c r="Q1141" i="2"/>
  <c r="AB1143" i="2"/>
  <c r="AB1368" i="2"/>
  <c r="Q398" i="2"/>
  <c r="AG398" i="2" s="1"/>
  <c r="AH398" i="2" s="1"/>
  <c r="AB1243" i="2"/>
  <c r="AB666" i="2"/>
  <c r="Q1106" i="2"/>
  <c r="AE1106" i="2" s="1"/>
  <c r="BO1106" i="2" s="1"/>
  <c r="BM1106" i="2" s="1"/>
  <c r="AB1412" i="2"/>
  <c r="Q450" i="2"/>
  <c r="AG450" i="2" s="1"/>
  <c r="AH450" i="2" s="1"/>
  <c r="AB450" i="2"/>
  <c r="AB360" i="2"/>
  <c r="AB305" i="2"/>
  <c r="AB1283" i="2"/>
  <c r="AB499" i="2"/>
  <c r="AB85" i="2"/>
  <c r="AB270" i="2"/>
  <c r="AB1573" i="2"/>
  <c r="AB890" i="2"/>
  <c r="AB862" i="2"/>
  <c r="AB1358" i="2"/>
  <c r="AB962" i="2"/>
  <c r="AB983" i="2"/>
  <c r="AB1185" i="2"/>
  <c r="AB1074" i="2"/>
  <c r="AB484" i="2"/>
  <c r="AB1372" i="2"/>
  <c r="Q802" i="2"/>
  <c r="AB802" i="2"/>
  <c r="Q355" i="2"/>
  <c r="AB355" i="2"/>
  <c r="AB1544" i="2"/>
  <c r="AB1551" i="2"/>
  <c r="AB894" i="2"/>
  <c r="AB1417" i="2"/>
  <c r="Q126" i="2"/>
  <c r="AE126" i="2" s="1"/>
  <c r="BO126" i="2" s="1"/>
  <c r="BM126" i="2" s="1"/>
  <c r="Q122" i="2"/>
  <c r="AB823" i="2"/>
  <c r="Q739" i="2"/>
  <c r="AG739" i="2" s="1"/>
  <c r="AH739" i="2" s="1"/>
  <c r="AB1492" i="2"/>
  <c r="Q1605" i="2"/>
  <c r="AG1605" i="2" s="1"/>
  <c r="AH1605" i="2" s="1"/>
  <c r="AB187" i="2"/>
  <c r="Q600" i="2"/>
  <c r="AG600" i="2" s="1"/>
  <c r="AH600" i="2" s="1"/>
  <c r="AB778" i="2"/>
  <c r="AB412" i="2"/>
  <c r="AB275" i="2"/>
  <c r="AB528" i="2"/>
  <c r="AB695" i="2"/>
  <c r="AB1091" i="2"/>
  <c r="AB509" i="2"/>
  <c r="AB167" i="2"/>
  <c r="AB1222" i="2"/>
  <c r="AB812" i="2"/>
  <c r="AB1073" i="2"/>
  <c r="AB444" i="2"/>
  <c r="Q1343" i="2"/>
  <c r="AG1343" i="2" s="1"/>
  <c r="AB579" i="2"/>
  <c r="AB719" i="2"/>
  <c r="AB244" i="2"/>
  <c r="AB142" i="2"/>
  <c r="AB1556" i="2"/>
  <c r="AB1463" i="2"/>
  <c r="AB534" i="2"/>
  <c r="Q1582" i="2"/>
  <c r="AB1582" i="2"/>
  <c r="AB392" i="2"/>
  <c r="AB1016" i="2"/>
  <c r="AB1502" i="2"/>
  <c r="AB256" i="2"/>
  <c r="AB498" i="2"/>
  <c r="AB467" i="2"/>
  <c r="AB383" i="2"/>
  <c r="AB608" i="2"/>
  <c r="AB545" i="2"/>
  <c r="AB661" i="2"/>
  <c r="AB1347" i="2"/>
  <c r="AB609" i="2"/>
  <c r="AB1145" i="2"/>
  <c r="AB249" i="2"/>
  <c r="Q604" i="2"/>
  <c r="AE604" i="2" s="1"/>
  <c r="BO604" i="2" s="1"/>
  <c r="BM604" i="2" s="1"/>
  <c r="AB768" i="2"/>
  <c r="Q508" i="2"/>
  <c r="AE508" i="2" s="1"/>
  <c r="BO508" i="2" s="1"/>
  <c r="BM508" i="2" s="1"/>
  <c r="AB573" i="2"/>
  <c r="AB19" i="2"/>
  <c r="AB1210" i="2"/>
  <c r="AB162" i="2"/>
  <c r="AB619" i="2"/>
  <c r="Q1275" i="2"/>
  <c r="AG1275" i="2" s="1"/>
  <c r="AH1275" i="2" s="1"/>
  <c r="AB1256" i="2"/>
  <c r="Q1146" i="2"/>
  <c r="AG1146" i="2" s="1"/>
  <c r="AH1146" i="2" s="1"/>
  <c r="Q538" i="2"/>
  <c r="AG538" i="2" s="1"/>
  <c r="AH538" i="2" s="1"/>
  <c r="AB1597" i="2"/>
  <c r="Q1001" i="2"/>
  <c r="AG1001" i="2" s="1"/>
  <c r="AH1001" i="2" s="1"/>
  <c r="Q1243" i="2"/>
  <c r="Q1469" i="2"/>
  <c r="AE1469" i="2" s="1"/>
  <c r="BO1469" i="2" s="1"/>
  <c r="BM1469" i="2" s="1"/>
  <c r="AB1469" i="2"/>
  <c r="AB688" i="2"/>
  <c r="AB1637" i="2"/>
  <c r="AB1409" i="2"/>
  <c r="AB1031" i="2"/>
  <c r="Q1129" i="2"/>
  <c r="Q379" i="2"/>
  <c r="AB379" i="2"/>
  <c r="Q469" i="2"/>
  <c r="AG469" i="2" s="1"/>
  <c r="AH469" i="2" s="1"/>
  <c r="Q907" i="2"/>
  <c r="Q1044" i="2"/>
  <c r="Q18" i="2"/>
  <c r="AE18" i="2" s="1"/>
  <c r="BO18" i="2" s="1"/>
  <c r="BM18" i="2" s="1"/>
  <c r="AB179" i="2"/>
  <c r="AB1534" i="2"/>
  <c r="AB1476" i="2"/>
  <c r="AB1326" i="2"/>
  <c r="AB332" i="2"/>
  <c r="AB351" i="2"/>
  <c r="AB111" i="2"/>
  <c r="AB859" i="2"/>
  <c r="AB1452" i="2"/>
  <c r="AB493" i="2"/>
  <c r="AB1332" i="2"/>
  <c r="AB916" i="2"/>
  <c r="AB699" i="2"/>
  <c r="AB939" i="2"/>
  <c r="AB723" i="2"/>
  <c r="AB1040" i="2"/>
  <c r="AB875" i="2"/>
  <c r="AB1610" i="2"/>
  <c r="AB1138" i="2"/>
  <c r="AB1402" i="2"/>
  <c r="AB1313" i="2"/>
  <c r="AB1506" i="2"/>
  <c r="AB340" i="2"/>
  <c r="AB1092" i="2"/>
  <c r="Q818" i="2"/>
  <c r="AE818" i="2" s="1"/>
  <c r="BO818" i="2" s="1"/>
  <c r="BM818" i="2" s="1"/>
  <c r="AB818" i="2"/>
  <c r="AB198" i="2"/>
  <c r="AB639" i="2"/>
  <c r="AB492" i="2"/>
  <c r="AB704" i="2"/>
  <c r="Q187" i="2"/>
  <c r="AG187" i="2" s="1"/>
  <c r="AH187" i="2" s="1"/>
  <c r="AB751" i="2"/>
  <c r="Q382" i="2"/>
  <c r="AG382" i="2" s="1"/>
  <c r="AH382" i="2" s="1"/>
  <c r="AB382" i="2"/>
  <c r="AB397" i="2"/>
  <c r="Q1099" i="2"/>
  <c r="AE1099" i="2" s="1"/>
  <c r="BO1099" i="2" s="1"/>
  <c r="BM1099" i="2" s="1"/>
  <c r="AB1099" i="2"/>
  <c r="Q324" i="2"/>
  <c r="AE324" i="2" s="1"/>
  <c r="BO324" i="2" s="1"/>
  <c r="BM324" i="2" s="1"/>
  <c r="AB978" i="2"/>
  <c r="AB711" i="2"/>
  <c r="AB1517" i="2"/>
  <c r="Q724" i="2"/>
  <c r="AG724" i="2" s="1"/>
  <c r="AH724" i="2" s="1"/>
  <c r="Q1375" i="2"/>
  <c r="AE1375" i="2" s="1"/>
  <c r="BO1375" i="2" s="1"/>
  <c r="BM1375" i="2" s="1"/>
  <c r="Q419" i="2"/>
  <c r="AG419" i="2" s="1"/>
  <c r="AH419" i="2" s="1"/>
  <c r="Q212" i="2"/>
  <c r="AG212" i="2" s="1"/>
  <c r="AH212" i="2" s="1"/>
  <c r="Q1524" i="2"/>
  <c r="AG1524" i="2" s="1"/>
  <c r="AH1524" i="2" s="1"/>
  <c r="AB1238" i="2"/>
  <c r="Q1346" i="2"/>
  <c r="AE1346" i="2" s="1"/>
  <c r="BO1346" i="2" s="1"/>
  <c r="BM1346" i="2" s="1"/>
  <c r="Q19" i="2"/>
  <c r="AB843" i="2"/>
  <c r="Q261" i="2"/>
  <c r="Q164" i="2"/>
  <c r="AE164" i="2" s="1"/>
  <c r="BO164" i="2" s="1"/>
  <c r="BM164" i="2" s="1"/>
  <c r="Q1255" i="2"/>
  <c r="AG1255" i="2" s="1"/>
  <c r="AH1255" i="2" s="1"/>
  <c r="Q1519" i="2"/>
  <c r="BO7" i="2"/>
  <c r="BM7" i="2" s="1"/>
  <c r="Q1625" i="2"/>
  <c r="AG1625" i="2" s="1"/>
  <c r="AH1625" i="2" s="1"/>
  <c r="Q868" i="2"/>
  <c r="AG868" i="2" s="1"/>
  <c r="AH868" i="2" s="1"/>
  <c r="Q206" i="2"/>
  <c r="AG206" i="2" s="1"/>
  <c r="AH206" i="2" s="1"/>
  <c r="Q1318" i="2"/>
  <c r="AG1318" i="2" s="1"/>
  <c r="AH1318" i="2" s="1"/>
  <c r="Q430" i="2"/>
  <c r="AG430" i="2" s="1"/>
  <c r="AH430" i="2" s="1"/>
  <c r="Q31" i="2"/>
  <c r="AG31" i="2" s="1"/>
  <c r="AH31" i="2" s="1"/>
  <c r="AB215" i="2"/>
  <c r="Q751" i="2"/>
  <c r="AE751" i="2" s="1"/>
  <c r="BO751" i="2" s="1"/>
  <c r="BM751" i="2" s="1"/>
  <c r="AB91" i="2"/>
  <c r="Q1485" i="2"/>
  <c r="AG1485" i="2" s="1"/>
  <c r="AH1485" i="2" s="1"/>
  <c r="Q672" i="2"/>
  <c r="Q1638" i="2"/>
  <c r="AG1638" i="2" s="1"/>
  <c r="AH1638" i="2" s="1"/>
  <c r="AB749" i="2"/>
  <c r="AB1142" i="2"/>
  <c r="AB1483" i="2"/>
  <c r="AB235" i="2"/>
  <c r="AB922" i="2"/>
  <c r="AB986" i="2"/>
  <c r="AB151" i="2"/>
  <c r="AB43" i="2"/>
  <c r="AB895" i="2"/>
  <c r="AB743" i="2"/>
  <c r="AB204" i="2"/>
  <c r="AB756" i="2"/>
  <c r="Q106" i="2"/>
  <c r="AE106" i="2" s="1"/>
  <c r="BO106" i="2" s="1"/>
  <c r="BM106" i="2" s="1"/>
  <c r="AB106" i="2"/>
  <c r="AB184" i="2"/>
  <c r="AB1470" i="2"/>
  <c r="AB1533" i="2"/>
  <c r="AB1411" i="2"/>
  <c r="Q498" i="2"/>
  <c r="Q696" i="2"/>
  <c r="AG696" i="2" s="1"/>
  <c r="AH696" i="2" s="1"/>
  <c r="AB696" i="2"/>
  <c r="AB1236" i="2"/>
  <c r="AB1161" i="2"/>
  <c r="Q1533" i="2"/>
  <c r="AE1533" i="2" s="1"/>
  <c r="BO1533" i="2" s="1"/>
  <c r="BM1533" i="2" s="1"/>
  <c r="Q752" i="2"/>
  <c r="AG752" i="2" s="1"/>
  <c r="AH752" i="2" s="1"/>
  <c r="AB348" i="2"/>
  <c r="Q1287" i="2"/>
  <c r="AE1287" i="2" s="1"/>
  <c r="BO1287" i="2" s="1"/>
  <c r="BM1287" i="2" s="1"/>
  <c r="AB1287" i="2"/>
  <c r="AB413" i="2"/>
  <c r="AB333" i="2"/>
  <c r="AB414" i="2"/>
  <c r="AB1102" i="2"/>
  <c r="AB710" i="2"/>
  <c r="Q256" i="2"/>
  <c r="AE256" i="2" s="1"/>
  <c r="BO256" i="2" s="1"/>
  <c r="BM256" i="2" s="1"/>
  <c r="AB1583" i="2"/>
  <c r="AB733" i="2"/>
  <c r="AB1156" i="2"/>
  <c r="AB292" i="2"/>
  <c r="AB139" i="2"/>
  <c r="AB434" i="2"/>
  <c r="Q26" i="2"/>
  <c r="AG26" i="2" s="1"/>
  <c r="AH26" i="2" s="1"/>
  <c r="Q488" i="2"/>
  <c r="AG488" i="2" s="1"/>
  <c r="AH488" i="2" s="1"/>
  <c r="AB415" i="2"/>
  <c r="Q1221" i="2"/>
  <c r="AE1221" i="2" s="1"/>
  <c r="BO1221" i="2" s="1"/>
  <c r="BM1221" i="2" s="1"/>
  <c r="Q467" i="2"/>
  <c r="AG467" i="2" s="1"/>
  <c r="AH467" i="2" s="1"/>
  <c r="AB1558" i="2"/>
  <c r="Q237" i="2"/>
  <c r="AE237" i="2" s="1"/>
  <c r="BO237" i="2" s="1"/>
  <c r="BM237" i="2" s="1"/>
  <c r="Q275" i="2"/>
  <c r="AE275" i="2" s="1"/>
  <c r="BO275" i="2" s="1"/>
  <c r="BM275" i="2" s="1"/>
  <c r="Q1529" i="2"/>
  <c r="AG1529" i="2" s="1"/>
  <c r="Q1489" i="2"/>
  <c r="AG1489" i="2" s="1"/>
  <c r="AH1489" i="2" s="1"/>
  <c r="AB1509" i="2"/>
  <c r="AB1240" i="2"/>
  <c r="Q666" i="2"/>
  <c r="AE666" i="2" s="1"/>
  <c r="BO666" i="2" s="1"/>
  <c r="BM666" i="2" s="1"/>
  <c r="AB381" i="2"/>
  <c r="Q267" i="2"/>
  <c r="AE267" i="2" s="1"/>
  <c r="BO267" i="2" s="1"/>
  <c r="BM267" i="2" s="1"/>
  <c r="Q1113" i="2"/>
  <c r="Q414" i="2"/>
  <c r="AE414" i="2" s="1"/>
  <c r="BO414" i="2" s="1"/>
  <c r="BM414" i="2" s="1"/>
  <c r="Q215" i="2"/>
  <c r="AG215" i="2" s="1"/>
  <c r="AH215" i="2" s="1"/>
  <c r="Q1326" i="2"/>
  <c r="AE1326" i="2" s="1"/>
  <c r="BO1326" i="2" s="1"/>
  <c r="BM1326" i="2" s="1"/>
  <c r="AB899" i="2"/>
  <c r="AB213" i="2"/>
  <c r="AB861" i="2"/>
  <c r="AB32" i="2"/>
  <c r="AB1078" i="2"/>
  <c r="Q394" i="2"/>
  <c r="AE394" i="2" s="1"/>
  <c r="BO394" i="2" s="1"/>
  <c r="BM394" i="2" s="1"/>
  <c r="AB394" i="2"/>
  <c r="AB848" i="2"/>
  <c r="AB1457" i="2"/>
  <c r="AB475" i="2"/>
  <c r="AB667" i="2"/>
  <c r="Q280" i="2"/>
  <c r="AB280" i="2"/>
  <c r="AB1436" i="2"/>
  <c r="AB323" i="2"/>
  <c r="AB805" i="2"/>
  <c r="Q194" i="2"/>
  <c r="AE194" i="2" s="1"/>
  <c r="BO194" i="2" s="1"/>
  <c r="BM194" i="2" s="1"/>
  <c r="AB194" i="2"/>
  <c r="AB960" i="2"/>
  <c r="AB1640" i="2"/>
  <c r="Q294" i="2"/>
  <c r="AE294" i="2" s="1"/>
  <c r="BO294" i="2" s="1"/>
  <c r="BM294" i="2" s="1"/>
  <c r="AB294" i="2"/>
  <c r="AB286" i="2"/>
  <c r="AB436" i="2"/>
  <c r="Q1606" i="2"/>
  <c r="AB1281" i="2"/>
  <c r="Q1164" i="2"/>
  <c r="AB1164" i="2"/>
  <c r="AB1030" i="2"/>
  <c r="AB1363" i="2"/>
  <c r="Q1156" i="2"/>
  <c r="AE1156" i="2" s="1"/>
  <c r="BO1156" i="2" s="1"/>
  <c r="BM1156" i="2" s="1"/>
  <c r="Q857" i="2"/>
  <c r="AE857" i="2" s="1"/>
  <c r="BO857" i="2" s="1"/>
  <c r="BM857" i="2" s="1"/>
  <c r="Q603" i="2"/>
  <c r="AG603" i="2" s="1"/>
  <c r="AH603" i="2" s="1"/>
  <c r="Q1031" i="2"/>
  <c r="AG1031" i="2" s="1"/>
  <c r="AH1031" i="2" s="1"/>
  <c r="Q788" i="2"/>
  <c r="AE788" i="2" s="1"/>
  <c r="BO788" i="2" s="1"/>
  <c r="BM788" i="2" s="1"/>
  <c r="Q335" i="2"/>
  <c r="AG335" i="2" s="1"/>
  <c r="AH335" i="2" s="1"/>
  <c r="Q1238" i="2"/>
  <c r="AE1238" i="2" s="1"/>
  <c r="BO1238" i="2" s="1"/>
  <c r="BM1238" i="2" s="1"/>
  <c r="AB338" i="2"/>
  <c r="Q1502" i="2"/>
  <c r="AG1502" i="2" s="1"/>
  <c r="AH1502" i="2" s="1"/>
  <c r="Q667" i="2"/>
  <c r="AG667" i="2" s="1"/>
  <c r="AH667" i="2" s="1"/>
  <c r="Q768" i="2"/>
  <c r="AG768" i="2" s="1"/>
  <c r="AH768" i="2" s="1"/>
  <c r="Q157" i="2"/>
  <c r="Q1016" i="2"/>
  <c r="AG1016" i="2" s="1"/>
  <c r="AH1016" i="2" s="1"/>
  <c r="Q1516" i="2"/>
  <c r="AG1516" i="2" s="1"/>
  <c r="AH1516" i="2" s="1"/>
  <c r="Q163" i="2"/>
  <c r="AG163" i="2" s="1"/>
  <c r="AH163" i="2" s="1"/>
  <c r="Q193" i="2"/>
  <c r="AG193" i="2" s="1"/>
  <c r="AH193" i="2" s="1"/>
  <c r="Q945" i="2"/>
  <c r="AE945" i="2" s="1"/>
  <c r="BO945" i="2" s="1"/>
  <c r="BM945" i="2" s="1"/>
  <c r="Q964" i="2"/>
  <c r="AG964" i="2" s="1"/>
  <c r="AH964" i="2" s="1"/>
  <c r="Q1270" i="2"/>
  <c r="AG1270" i="2" s="1"/>
  <c r="AH1270" i="2" s="1"/>
  <c r="Q127" i="2"/>
  <c r="AE127" i="2" s="1"/>
  <c r="BO127" i="2" s="1"/>
  <c r="BM127" i="2" s="1"/>
  <c r="Q661" i="2"/>
  <c r="AG661" i="2" s="1"/>
  <c r="AH661" i="2" s="1"/>
  <c r="AB559" i="2"/>
  <c r="AB1406" i="2"/>
  <c r="AB473" i="2"/>
  <c r="AB1636" i="2"/>
  <c r="AB370" i="2"/>
  <c r="AB1353" i="2"/>
  <c r="Q1092" i="2"/>
  <c r="AE1092" i="2" s="1"/>
  <c r="BO1092" i="2" s="1"/>
  <c r="BM1092" i="2" s="1"/>
  <c r="Q1169" i="2"/>
  <c r="AG1169" i="2" s="1"/>
  <c r="AH1169" i="2" s="1"/>
  <c r="Q1082" i="2"/>
  <c r="AE1082" i="2" s="1"/>
  <c r="BO1082" i="2" s="1"/>
  <c r="BM1082" i="2" s="1"/>
  <c r="AB1082" i="2"/>
  <c r="AB1599" i="2"/>
  <c r="AB29" i="2"/>
  <c r="Q993" i="2"/>
  <c r="AG993" i="2" s="1"/>
  <c r="AH993" i="2" s="1"/>
  <c r="AB104" i="2"/>
  <c r="AB363" i="2"/>
  <c r="Q1626" i="2"/>
  <c r="AG1626" i="2" s="1"/>
  <c r="AH1626" i="2" s="1"/>
  <c r="AB174" i="2"/>
  <c r="AB439" i="2"/>
  <c r="Q780" i="2"/>
  <c r="AG780" i="2" s="1"/>
  <c r="AH780" i="2" s="1"/>
  <c r="Q559" i="2"/>
  <c r="AG559" i="2" s="1"/>
  <c r="AH559" i="2" s="1"/>
  <c r="Q1544" i="2"/>
  <c r="AG1544" i="2" s="1"/>
  <c r="AH1544" i="2" s="1"/>
  <c r="Q634" i="2"/>
  <c r="AG634" i="2" s="1"/>
  <c r="AH634" i="2" s="1"/>
  <c r="Q935" i="2"/>
  <c r="AE935" i="2" s="1"/>
  <c r="BO935" i="2" s="1"/>
  <c r="BM935" i="2" s="1"/>
  <c r="AB8" i="2"/>
  <c r="Q1514" i="2"/>
  <c r="AG1514" i="2" s="1"/>
  <c r="AH1514" i="2" s="1"/>
  <c r="Q609" i="2"/>
  <c r="AE609" i="2" s="1"/>
  <c r="BO609" i="2" s="1"/>
  <c r="BM609" i="2" s="1"/>
  <c r="Q845" i="2"/>
  <c r="AG845" i="2" s="1"/>
  <c r="AH845" i="2" s="1"/>
  <c r="AB553" i="2"/>
  <c r="Q181" i="2"/>
  <c r="AG181" i="2" s="1"/>
  <c r="AH181" i="2" s="1"/>
  <c r="Q1112" i="2"/>
  <c r="AE1112" i="2" s="1"/>
  <c r="BO1112" i="2" s="1"/>
  <c r="BM1112" i="2" s="1"/>
  <c r="Q474" i="2"/>
  <c r="AG474" i="2" s="1"/>
  <c r="AH474" i="2" s="1"/>
  <c r="Q871" i="2"/>
  <c r="AG871" i="2" s="1"/>
  <c r="AH871" i="2" s="1"/>
  <c r="Q986" i="2"/>
  <c r="AG986" i="2" s="1"/>
  <c r="AH986" i="2" s="1"/>
  <c r="AB1641" i="2"/>
  <c r="Q1511" i="2"/>
  <c r="AE1511" i="2" s="1"/>
  <c r="BO1511" i="2" s="1"/>
  <c r="BM1511" i="2" s="1"/>
  <c r="Q1073" i="2"/>
  <c r="AG1073" i="2" s="1"/>
  <c r="AH1073" i="2" s="1"/>
  <c r="AB225" i="2"/>
  <c r="AB1168" i="2"/>
  <c r="AB1149" i="2"/>
  <c r="Q1234" i="2"/>
  <c r="AG1234" i="2" s="1"/>
  <c r="AH1234" i="2" s="1"/>
  <c r="AB88" i="2"/>
  <c r="AB1020" i="2"/>
  <c r="AB1546" i="2"/>
  <c r="AB1421" i="2"/>
  <c r="Q370" i="2"/>
  <c r="AG370" i="2" s="1"/>
  <c r="AH370" i="2" s="1"/>
  <c r="Q83" i="2"/>
  <c r="AG83" i="2" s="1"/>
  <c r="AH83" i="2" s="1"/>
  <c r="Q410" i="2"/>
  <c r="AG410" i="2" s="1"/>
  <c r="AH410" i="2" s="1"/>
  <c r="Q179" i="2"/>
  <c r="AE179" i="2" s="1"/>
  <c r="BO179" i="2" s="1"/>
  <c r="BM179" i="2" s="1"/>
  <c r="Q1313" i="2"/>
  <c r="AE1313" i="2" s="1"/>
  <c r="BO1313" i="2" s="1"/>
  <c r="BM1313" i="2" s="1"/>
  <c r="Q58" i="2"/>
  <c r="AB589" i="2"/>
  <c r="AB1575" i="2"/>
  <c r="Q767" i="2"/>
  <c r="Q899" i="2"/>
  <c r="AG899" i="2" s="1"/>
  <c r="AH899" i="2" s="1"/>
  <c r="Q595" i="2"/>
  <c r="AE595" i="2" s="1"/>
  <c r="BO595" i="2" s="1"/>
  <c r="BM595" i="2" s="1"/>
  <c r="AB595" i="2"/>
  <c r="Q619" i="2"/>
  <c r="AE619" i="2" s="1"/>
  <c r="BO619" i="2" s="1"/>
  <c r="BM619" i="2" s="1"/>
  <c r="Q719" i="2"/>
  <c r="AE719" i="2" s="1"/>
  <c r="BO719" i="2" s="1"/>
  <c r="BM719" i="2" s="1"/>
  <c r="Q119" i="2"/>
  <c r="Q244" i="2"/>
  <c r="AG244" i="2" s="1"/>
  <c r="AH244" i="2" s="1"/>
  <c r="Q553" i="2"/>
  <c r="AG553" i="2" s="1"/>
  <c r="AH553" i="2" s="1"/>
  <c r="AB47" i="2"/>
  <c r="AB293" i="2"/>
  <c r="Q1143" i="2"/>
  <c r="AG1143" i="2" s="1"/>
  <c r="AH1143" i="2" s="1"/>
  <c r="Q254" i="2"/>
  <c r="AG254" i="2" s="1"/>
  <c r="AH254" i="2" s="1"/>
  <c r="Q961" i="2"/>
  <c r="Q534" i="2"/>
  <c r="Q1510" i="2"/>
  <c r="AG1510" i="2" s="1"/>
  <c r="AH1510" i="2" s="1"/>
  <c r="Q96" i="2"/>
  <c r="AE96" i="2" s="1"/>
  <c r="BO96" i="2" s="1"/>
  <c r="BM96" i="2" s="1"/>
  <c r="Q1530" i="2"/>
  <c r="Q779" i="2"/>
  <c r="AE779" i="2" s="1"/>
  <c r="BO779" i="2" s="1"/>
  <c r="BM779" i="2" s="1"/>
  <c r="Q1021" i="2"/>
  <c r="AG1021" i="2" s="1"/>
  <c r="AH1021" i="2" s="1"/>
  <c r="Q1196" i="2"/>
  <c r="AE1196" i="2" s="1"/>
  <c r="BO1196" i="2" s="1"/>
  <c r="BM1196" i="2" s="1"/>
  <c r="AB1196" i="2"/>
  <c r="AB130" i="2"/>
  <c r="AB747" i="2"/>
  <c r="Q1257" i="2"/>
  <c r="Q1557" i="2"/>
  <c r="Q584" i="2"/>
  <c r="AE584" i="2" s="1"/>
  <c r="BO584" i="2" s="1"/>
  <c r="BM584" i="2" s="1"/>
  <c r="AB584" i="2"/>
  <c r="AB1487" i="2"/>
  <c r="AB432" i="2"/>
  <c r="Q1642" i="2"/>
  <c r="AB1642" i="2"/>
  <c r="Q1236" i="2"/>
  <c r="AG1236" i="2" s="1"/>
  <c r="AH1236" i="2" s="1"/>
  <c r="AB1377" i="2"/>
  <c r="AB1577" i="2"/>
  <c r="AB900" i="2"/>
  <c r="AB117" i="2"/>
  <c r="AB1378" i="2"/>
  <c r="Q168" i="2"/>
  <c r="AG168" i="2" s="1"/>
  <c r="AH168" i="2" s="1"/>
  <c r="AB168" i="2"/>
  <c r="AB1442" i="2"/>
  <c r="AB943" i="2"/>
  <c r="AB1614" i="2"/>
  <c r="Q774" i="2"/>
  <c r="AG774" i="2" s="1"/>
  <c r="AH774" i="2" s="1"/>
  <c r="Q1148" i="2"/>
  <c r="AE1148" i="2" s="1"/>
  <c r="BO1148" i="2" s="1"/>
  <c r="BM1148" i="2" s="1"/>
  <c r="AB1148" i="2"/>
  <c r="AB1008" i="2"/>
  <c r="AB1051" i="2"/>
  <c r="Q61" i="2"/>
  <c r="AB61" i="2"/>
  <c r="Q349" i="2"/>
  <c r="AE349" i="2" s="1"/>
  <c r="BO349" i="2" s="1"/>
  <c r="BM349" i="2" s="1"/>
  <c r="Q1362" i="2"/>
  <c r="AE1362" i="2" s="1"/>
  <c r="BO1362" i="2" s="1"/>
  <c r="BM1362" i="2" s="1"/>
  <c r="Q124" i="2"/>
  <c r="Q1543" i="2"/>
  <c r="AB366" i="2"/>
  <c r="AB152" i="2"/>
  <c r="AB1316" i="2"/>
  <c r="AB169" i="2"/>
  <c r="Q227" i="2"/>
  <c r="AG227" i="2" s="1"/>
  <c r="AH227" i="2" s="1"/>
  <c r="Q943" i="2"/>
  <c r="AG943" i="2" s="1"/>
  <c r="AH943" i="2" s="1"/>
  <c r="Q495" i="2"/>
  <c r="AE495" i="2" s="1"/>
  <c r="BO495" i="2" s="1"/>
  <c r="BM495" i="2" s="1"/>
  <c r="Q1352" i="2"/>
  <c r="AE1352" i="2" s="1"/>
  <c r="BO1352" i="2" s="1"/>
  <c r="BM1352" i="2" s="1"/>
  <c r="Q1487" i="2"/>
  <c r="Q1421" i="2"/>
  <c r="AG1421" i="2" s="1"/>
  <c r="AH1421" i="2" s="1"/>
  <c r="Q70" i="2"/>
  <c r="AE70" i="2" s="1"/>
  <c r="BO70" i="2" s="1"/>
  <c r="BM70" i="2" s="1"/>
  <c r="Q1610" i="2"/>
  <c r="AG1610" i="2" s="1"/>
  <c r="AH1610" i="2" s="1"/>
  <c r="Q934" i="2"/>
  <c r="AB551" i="2"/>
  <c r="Q1535" i="2"/>
  <c r="Q1142" i="2"/>
  <c r="Q1078" i="2"/>
  <c r="AG1078" i="2" s="1"/>
  <c r="AH1078" i="2" s="1"/>
  <c r="Q848" i="2"/>
  <c r="AE848" i="2" s="1"/>
  <c r="BO848" i="2" s="1"/>
  <c r="BM848" i="2" s="1"/>
  <c r="Q1198" i="2"/>
  <c r="Q846" i="2"/>
  <c r="Q1029" i="2"/>
  <c r="AG1029" i="2" s="1"/>
  <c r="AH1029" i="2" s="1"/>
  <c r="Q85" i="2"/>
  <c r="AE85" i="2" s="1"/>
  <c r="BO85" i="2" s="1"/>
  <c r="BM85" i="2" s="1"/>
  <c r="Q492" i="2"/>
  <c r="Q1555" i="2"/>
  <c r="AG1555" i="2" s="1"/>
  <c r="AH1555" i="2" s="1"/>
  <c r="Q484" i="2"/>
  <c r="AG484" i="2" s="1"/>
  <c r="AH484" i="2" s="1"/>
  <c r="Q1107" i="2"/>
  <c r="Q416" i="2"/>
  <c r="Q1438" i="2"/>
  <c r="Q837" i="2"/>
  <c r="AG837" i="2" s="1"/>
  <c r="AH837" i="2" s="1"/>
  <c r="Q1417" i="2"/>
  <c r="Q348" i="2"/>
  <c r="Q268" i="2"/>
  <c r="AG268" i="2" s="1"/>
  <c r="AH268" i="2" s="1"/>
  <c r="AB1303" i="2"/>
  <c r="AB1204" i="2"/>
  <c r="Q1271" i="2"/>
  <c r="AE1271" i="2" s="1"/>
  <c r="BO1271" i="2" s="1"/>
  <c r="BM1271" i="2" s="1"/>
  <c r="AB1271" i="2"/>
  <c r="AB209" i="2"/>
  <c r="Q878" i="2"/>
  <c r="AE878" i="2" s="1"/>
  <c r="BO878" i="2" s="1"/>
  <c r="BM878" i="2" s="1"/>
  <c r="AB878" i="2"/>
  <c r="AB1300" i="2"/>
  <c r="Q1431" i="2"/>
  <c r="AE1431" i="2" s="1"/>
  <c r="BO1431" i="2" s="1"/>
  <c r="BM1431" i="2" s="1"/>
  <c r="AB1431" i="2"/>
  <c r="Q388" i="2"/>
  <c r="AB388" i="2"/>
  <c r="Q646" i="2"/>
  <c r="Q1504" i="2"/>
  <c r="Q1643" i="2"/>
  <c r="AE1643" i="2" s="1"/>
  <c r="BO1643" i="2" s="1"/>
  <c r="BM1643" i="2" s="1"/>
  <c r="AB1643" i="2"/>
  <c r="AB870" i="2"/>
  <c r="AB81" i="2"/>
  <c r="Q1118" i="2"/>
  <c r="AE1118" i="2" s="1"/>
  <c r="BO1118" i="2" s="1"/>
  <c r="BM1118" i="2" s="1"/>
  <c r="Q1171" i="2"/>
  <c r="AE1171" i="2" s="1"/>
  <c r="BO1171" i="2" s="1"/>
  <c r="BM1171" i="2" s="1"/>
  <c r="AB1171" i="2"/>
  <c r="AB901" i="2"/>
  <c r="Q1494" i="2"/>
  <c r="AE1494" i="2" s="1"/>
  <c r="BO1494" i="2" s="1"/>
  <c r="BM1494" i="2" s="1"/>
  <c r="AB1494" i="2"/>
  <c r="Q340" i="2"/>
  <c r="AG340" i="2" s="1"/>
  <c r="AH340" i="2" s="1"/>
  <c r="Q1463" i="2"/>
  <c r="AE1463" i="2" s="1"/>
  <c r="BO1463" i="2" s="1"/>
  <c r="BM1463" i="2" s="1"/>
  <c r="Q834" i="2"/>
  <c r="AG834" i="2" s="1"/>
  <c r="AH834" i="2" s="1"/>
  <c r="Q894" i="2"/>
  <c r="Q427" i="2"/>
  <c r="AE427" i="2" s="1"/>
  <c r="BO427" i="2" s="1"/>
  <c r="BM427" i="2" s="1"/>
  <c r="Q875" i="2"/>
  <c r="AE875" i="2" s="1"/>
  <c r="BO875" i="2" s="1"/>
  <c r="BM875" i="2" s="1"/>
  <c r="Q1149" i="2"/>
  <c r="AG1149" i="2" s="1"/>
  <c r="AH1149" i="2" s="1"/>
  <c r="Q716" i="2"/>
  <c r="AG716" i="2" s="1"/>
  <c r="AH716" i="2" s="1"/>
  <c r="Q599" i="2"/>
  <c r="Q543" i="2"/>
  <c r="Q1030" i="2"/>
  <c r="Q1335" i="2"/>
  <c r="AG1335" i="2" s="1"/>
  <c r="AH1335" i="2" s="1"/>
  <c r="Q756" i="2"/>
  <c r="AE756" i="2" s="1"/>
  <c r="BO756" i="2" s="1"/>
  <c r="BM756" i="2" s="1"/>
  <c r="Q1134" i="2"/>
  <c r="AB1134" i="2"/>
  <c r="Q704" i="2"/>
  <c r="AE704" i="2" s="1"/>
  <c r="BO704" i="2" s="1"/>
  <c r="BM704" i="2" s="1"/>
  <c r="Q687" i="2"/>
  <c r="AG687" i="2" s="1"/>
  <c r="AH687" i="2" s="1"/>
  <c r="AB313" i="2"/>
  <c r="Q1620" i="2"/>
  <c r="AE1620" i="2" s="1"/>
  <c r="BO1620" i="2" s="1"/>
  <c r="BM1620" i="2" s="1"/>
  <c r="AB1620" i="2"/>
  <c r="Q817" i="2"/>
  <c r="AE817" i="2" s="1"/>
  <c r="BO817" i="2" s="1"/>
  <c r="BM817" i="2" s="1"/>
  <c r="AB817" i="2"/>
  <c r="Q225" i="2"/>
  <c r="AG225" i="2" s="1"/>
  <c r="AH225" i="2" s="1"/>
  <c r="Q805" i="2"/>
  <c r="Q413" i="2"/>
  <c r="Q293" i="2"/>
  <c r="AG293" i="2" s="1"/>
  <c r="AH293" i="2" s="1"/>
  <c r="AB1139" i="2"/>
  <c r="AB295" i="2"/>
  <c r="Q154" i="2"/>
  <c r="Q383" i="2"/>
  <c r="AG383" i="2" s="1"/>
  <c r="AH383" i="2" s="1"/>
  <c r="Q322" i="2"/>
  <c r="AG322" i="2" s="1"/>
  <c r="AH322" i="2" s="1"/>
  <c r="Q527" i="2"/>
  <c r="AG527" i="2" s="1"/>
  <c r="AH527" i="2" s="1"/>
  <c r="AB192" i="2"/>
  <c r="Q1057" i="2"/>
  <c r="AG1057" i="2" s="1"/>
  <c r="AH1057" i="2" s="1"/>
  <c r="Q1546" i="2"/>
  <c r="AG1546" i="2" s="1"/>
  <c r="AH1546" i="2" s="1"/>
  <c r="Q973" i="2"/>
  <c r="AG973" i="2" s="1"/>
  <c r="AH973" i="2" s="1"/>
  <c r="Q915" i="2"/>
  <c r="AG915" i="2" s="1"/>
  <c r="AH915" i="2" s="1"/>
  <c r="Q295" i="2"/>
  <c r="AG295" i="2" s="1"/>
  <c r="AH295" i="2" s="1"/>
  <c r="Q1170" i="2"/>
  <c r="Q1315" i="2"/>
  <c r="AB740" i="2"/>
  <c r="Q622" i="2"/>
  <c r="AE622" i="2" s="1"/>
  <c r="BO622" i="2" s="1"/>
  <c r="BM622" i="2" s="1"/>
  <c r="AB622" i="2"/>
  <c r="Q1382" i="2"/>
  <c r="Q34" i="2"/>
  <c r="Q1634" i="2"/>
  <c r="AE1634" i="2" s="1"/>
  <c r="BO1634" i="2" s="1"/>
  <c r="BM1634" i="2" s="1"/>
  <c r="Q630" i="2"/>
  <c r="AE630" i="2" s="1"/>
  <c r="BO630" i="2" s="1"/>
  <c r="BM630" i="2" s="1"/>
  <c r="AB630" i="2"/>
  <c r="Q563" i="2"/>
  <c r="AE563" i="2" s="1"/>
  <c r="BO563" i="2" s="1"/>
  <c r="BM563" i="2" s="1"/>
  <c r="AB563" i="2"/>
  <c r="AB53" i="2"/>
  <c r="AB1648" i="2"/>
  <c r="Q354" i="2"/>
  <c r="Q1492" i="2"/>
  <c r="AG1492" i="2" s="1"/>
  <c r="AH1492" i="2" s="1"/>
  <c r="Q333" i="2"/>
  <c r="AG333" i="2" s="1"/>
  <c r="AH333" i="2" s="1"/>
  <c r="Q95" i="2"/>
  <c r="AE95" i="2" s="1"/>
  <c r="BO95" i="2" s="1"/>
  <c r="BM95" i="2" s="1"/>
  <c r="AB95" i="2"/>
  <c r="Q1227" i="2"/>
  <c r="AB1227" i="2"/>
  <c r="AB1373" i="2"/>
  <c r="AB500" i="2"/>
  <c r="AB873" i="2"/>
  <c r="AB979" i="2"/>
  <c r="Q259" i="2"/>
  <c r="AE259" i="2" s="1"/>
  <c r="BO259" i="2" s="1"/>
  <c r="BM259" i="2" s="1"/>
  <c r="AB259" i="2"/>
  <c r="Q192" i="2"/>
  <c r="AG192" i="2" s="1"/>
  <c r="AH192" i="2" s="1"/>
  <c r="AB1248" i="2"/>
  <c r="AB1408" i="2"/>
  <c r="AB844" i="2"/>
  <c r="Q585" i="2"/>
  <c r="Q1303" i="2"/>
  <c r="AE1303" i="2" s="1"/>
  <c r="BO1303" i="2" s="1"/>
  <c r="BM1303" i="2" s="1"/>
  <c r="Q1601" i="2"/>
  <c r="AG1601" i="2" s="1"/>
  <c r="AH1601" i="2" s="1"/>
  <c r="Q1636" i="2"/>
  <c r="AG1636" i="2" s="1"/>
  <c r="AH1636" i="2" s="1"/>
  <c r="Q983" i="2"/>
  <c r="AE983" i="2" s="1"/>
  <c r="BO983" i="2" s="1"/>
  <c r="BM983" i="2" s="1"/>
  <c r="Q1256" i="2"/>
  <c r="AE1256" i="2" s="1"/>
  <c r="BO1256" i="2" s="1"/>
  <c r="BM1256" i="2" s="1"/>
  <c r="AB552" i="2"/>
  <c r="AB1288" i="2"/>
  <c r="Q578" i="2"/>
  <c r="AE578" i="2" s="1"/>
  <c r="BO578" i="2" s="1"/>
  <c r="BM578" i="2" s="1"/>
  <c r="AB578" i="2"/>
  <c r="Q250" i="2"/>
  <c r="AE250" i="2" s="1"/>
  <c r="BO250" i="2" s="1"/>
  <c r="BM250" i="2" s="1"/>
  <c r="Q426" i="2"/>
  <c r="AG426" i="2" s="1"/>
  <c r="AH426" i="2" s="1"/>
  <c r="Q1450" i="2"/>
  <c r="Q1470" i="2"/>
  <c r="AG1470" i="2" s="1"/>
  <c r="AH1470" i="2" s="1"/>
  <c r="Q577" i="2"/>
  <c r="AE577" i="2" s="1"/>
  <c r="BO577" i="2" s="1"/>
  <c r="BM577" i="2" s="1"/>
  <c r="Q741" i="2"/>
  <c r="AE741" i="2" s="1"/>
  <c r="BO741" i="2" s="1"/>
  <c r="BM741" i="2" s="1"/>
  <c r="AB741" i="2"/>
  <c r="Q920" i="2"/>
  <c r="AE920" i="2" s="1"/>
  <c r="BO920" i="2" s="1"/>
  <c r="BM920" i="2" s="1"/>
  <c r="AB920" i="2"/>
  <c r="AB1549" i="2"/>
  <c r="Q733" i="2"/>
  <c r="AG733" i="2" s="1"/>
  <c r="AH733" i="2" s="1"/>
  <c r="Q1260" i="2"/>
  <c r="Q1308" i="2"/>
  <c r="Q1501" i="2"/>
  <c r="AG1501" i="2" s="1"/>
  <c r="Q1231" i="2"/>
  <c r="AE1231" i="2" s="1"/>
  <c r="BO1231" i="2" s="1"/>
  <c r="BM1231" i="2" s="1"/>
  <c r="Q1005" i="2"/>
  <c r="Q276" i="2"/>
  <c r="AG276" i="2" s="1"/>
  <c r="AH276" i="2" s="1"/>
  <c r="Q100" i="2"/>
  <c r="AE100" i="2" s="1"/>
  <c r="BO100" i="2" s="1"/>
  <c r="BM100" i="2" s="1"/>
  <c r="Q1558" i="2"/>
  <c r="AG1558" i="2" s="1"/>
  <c r="AH1558" i="2" s="1"/>
  <c r="Q737" i="2"/>
  <c r="AG737" i="2" s="1"/>
  <c r="AH737" i="2" s="1"/>
  <c r="Q1619" i="2"/>
  <c r="AE1619" i="2" s="1"/>
  <c r="BO1619" i="2" s="1"/>
  <c r="BM1619" i="2" s="1"/>
  <c r="Q1599" i="2"/>
  <c r="AG1599" i="2" s="1"/>
  <c r="AH1599" i="2" s="1"/>
  <c r="Q475" i="2"/>
  <c r="AG475" i="2" s="1"/>
  <c r="AH475" i="2" s="1"/>
  <c r="Q1288" i="2"/>
  <c r="AE1288" i="2" s="1"/>
  <c r="BO1288" i="2" s="1"/>
  <c r="BM1288" i="2" s="1"/>
  <c r="Q749" i="2"/>
  <c r="AG749" i="2" s="1"/>
  <c r="AH749" i="2" s="1"/>
  <c r="Q1513" i="2"/>
  <c r="Q821" i="2"/>
  <c r="AE821" i="2" s="1"/>
  <c r="BO821" i="2" s="1"/>
  <c r="BM821" i="2" s="1"/>
  <c r="AB821" i="2"/>
  <c r="Q1517" i="2"/>
  <c r="AE1517" i="2" s="1"/>
  <c r="BO1517" i="2" s="1"/>
  <c r="BM1517" i="2" s="1"/>
  <c r="Q249" i="2"/>
  <c r="AG249" i="2" s="1"/>
  <c r="AH249" i="2" s="1"/>
  <c r="Q1035" i="2"/>
  <c r="AG1035" i="2" s="1"/>
  <c r="AH1035" i="2" s="1"/>
  <c r="Q434" i="2"/>
  <c r="AE434" i="2" s="1"/>
  <c r="BO434" i="2" s="1"/>
  <c r="BM434" i="2" s="1"/>
  <c r="Q919" i="2"/>
  <c r="AE919" i="2" s="1"/>
  <c r="BO919" i="2" s="1"/>
  <c r="BM919" i="2" s="1"/>
  <c r="AB785" i="2"/>
  <c r="Q1131" i="2"/>
  <c r="AB1131" i="2"/>
  <c r="Q705" i="2"/>
  <c r="AE705" i="2" s="1"/>
  <c r="BO705" i="2" s="1"/>
  <c r="BM705" i="2" s="1"/>
  <c r="AB705" i="2"/>
  <c r="Q332" i="2"/>
  <c r="AG332" i="2" s="1"/>
  <c r="AH332" i="2" s="1"/>
  <c r="Q38" i="2"/>
  <c r="AE38" i="2" s="1"/>
  <c r="BO38" i="2" s="1"/>
  <c r="BM38" i="2" s="1"/>
  <c r="Q1476" i="2"/>
  <c r="AE1476" i="2" s="1"/>
  <c r="BO1476" i="2" s="1"/>
  <c r="BM1476" i="2" s="1"/>
  <c r="Q695" i="2"/>
  <c r="AE695" i="2" s="1"/>
  <c r="BO695" i="2" s="1"/>
  <c r="BM695" i="2" s="1"/>
  <c r="Q1258" i="2"/>
  <c r="Q235" i="2"/>
  <c r="AE235" i="2" s="1"/>
  <c r="BO235" i="2" s="1"/>
  <c r="BM235" i="2" s="1"/>
  <c r="Q366" i="2"/>
  <c r="AG366" i="2" s="1"/>
  <c r="AH366" i="2" s="1"/>
  <c r="Q1161" i="2"/>
  <c r="AE1161" i="2" s="1"/>
  <c r="BO1161" i="2" s="1"/>
  <c r="BM1161" i="2" s="1"/>
  <c r="Q518" i="2"/>
  <c r="AG518" i="2" s="1"/>
  <c r="AH518" i="2" s="1"/>
  <c r="Q1404" i="2"/>
  <c r="AE1404" i="2" s="1"/>
  <c r="BO1404" i="2" s="1"/>
  <c r="BM1404" i="2" s="1"/>
  <c r="AB1404" i="2"/>
  <c r="Q247" i="2"/>
  <c r="AE247" i="2" s="1"/>
  <c r="BO247" i="2" s="1"/>
  <c r="BM247" i="2" s="1"/>
  <c r="AB247" i="2"/>
  <c r="Q831" i="2"/>
  <c r="AB831" i="2"/>
  <c r="Q486" i="2"/>
  <c r="AG486" i="2" s="1"/>
  <c r="AH486" i="2" s="1"/>
  <c r="Q1400" i="2"/>
  <c r="AE1400" i="2" s="1"/>
  <c r="BO1400" i="2" s="1"/>
  <c r="BM1400" i="2" s="1"/>
  <c r="Q305" i="2"/>
  <c r="AG305" i="2" s="1"/>
  <c r="AH305" i="2" s="1"/>
  <c r="Q735" i="2"/>
  <c r="AE735" i="2" s="1"/>
  <c r="BO735" i="2" s="1"/>
  <c r="BM735" i="2" s="1"/>
  <c r="AB735" i="2"/>
  <c r="AB496" i="2"/>
  <c r="Q204" i="2"/>
  <c r="AE204" i="2" s="1"/>
  <c r="BO204" i="2" s="1"/>
  <c r="BM204" i="2" s="1"/>
  <c r="Q49" i="2"/>
  <c r="AE49" i="2" s="1"/>
  <c r="BO49" i="2" s="1"/>
  <c r="BM49" i="2" s="1"/>
  <c r="AB49" i="2"/>
  <c r="AB1587" i="2"/>
  <c r="Q184" i="2"/>
  <c r="AG184" i="2" s="1"/>
  <c r="AH184" i="2" s="1"/>
  <c r="Q367" i="2"/>
  <c r="Q558" i="2"/>
  <c r="AG558" i="2" s="1"/>
  <c r="AH558" i="2" s="1"/>
  <c r="AB128" i="2"/>
  <c r="Q941" i="2"/>
  <c r="AE941" i="2" s="1"/>
  <c r="BO941" i="2" s="1"/>
  <c r="BM941" i="2" s="1"/>
  <c r="Q1481" i="2"/>
  <c r="AG1481" i="2" s="1"/>
  <c r="AH1481" i="2" s="1"/>
  <c r="Q1441" i="2"/>
  <c r="AG1441" i="2" s="1"/>
  <c r="Q128" i="2"/>
  <c r="AG128" i="2" s="1"/>
  <c r="AH128" i="2" s="1"/>
  <c r="Q1493" i="2"/>
  <c r="AE1493" i="2" s="1"/>
  <c r="BO1493" i="2" s="1"/>
  <c r="BM1493" i="2" s="1"/>
  <c r="Q433" i="2"/>
  <c r="AG433" i="2" s="1"/>
  <c r="AH433" i="2" s="1"/>
  <c r="Q494" i="2"/>
  <c r="AG494" i="2" s="1"/>
  <c r="AH494" i="2" s="1"/>
  <c r="Q1575" i="2"/>
  <c r="AG1575" i="2" s="1"/>
  <c r="AH1575" i="2" s="1"/>
  <c r="Q520" i="2"/>
  <c r="AG520" i="2" s="1"/>
  <c r="AH520" i="2" s="1"/>
  <c r="Q892" i="2"/>
  <c r="AE892" i="2" s="1"/>
  <c r="BO892" i="2" s="1"/>
  <c r="BM892" i="2" s="1"/>
  <c r="Q1509" i="2"/>
  <c r="AG1509" i="2" s="1"/>
  <c r="AH1509" i="2" s="1"/>
  <c r="Q404" i="2"/>
  <c r="AG404" i="2" s="1"/>
  <c r="AH404" i="2" s="1"/>
  <c r="Q902" i="2"/>
  <c r="AG902" i="2" s="1"/>
  <c r="AH902" i="2" s="1"/>
  <c r="Q1022" i="2"/>
  <c r="Q793" i="2"/>
  <c r="AG793" i="2" s="1"/>
  <c r="AH793" i="2" s="1"/>
  <c r="Q1550" i="2"/>
  <c r="Q150" i="2"/>
  <c r="AG150" i="2" s="1"/>
  <c r="AH150" i="2" s="1"/>
  <c r="Q1595" i="2"/>
  <c r="AE1595" i="2" s="1"/>
  <c r="BO1595" i="2" s="1"/>
  <c r="BM1595" i="2" s="1"/>
  <c r="AB1595" i="2"/>
  <c r="Q32" i="2"/>
  <c r="AE32" i="2" s="1"/>
  <c r="BO32" i="2" s="1"/>
  <c r="BM32" i="2" s="1"/>
  <c r="Q711" i="2"/>
  <c r="AE711" i="2" s="1"/>
  <c r="BO711" i="2" s="1"/>
  <c r="BM711" i="2" s="1"/>
  <c r="Q1488" i="2"/>
  <c r="Q497" i="2"/>
  <c r="AE497" i="2" s="1"/>
  <c r="BO497" i="2" s="1"/>
  <c r="BM497" i="2" s="1"/>
  <c r="AB497" i="2"/>
  <c r="AB1081" i="2"/>
  <c r="Q1408" i="2"/>
  <c r="AG1408" i="2" s="1"/>
  <c r="AH1408" i="2" s="1"/>
  <c r="Q1646" i="2"/>
  <c r="AG1646" i="2" s="1"/>
  <c r="Q1076" i="2"/>
  <c r="AG1076" i="2" s="1"/>
  <c r="AH1076" i="2" s="1"/>
  <c r="Q338" i="2"/>
  <c r="AG338" i="2" s="1"/>
  <c r="AH338" i="2" s="1"/>
  <c r="Q519" i="2"/>
  <c r="AG519" i="2" s="1"/>
  <c r="Q392" i="2"/>
  <c r="AE392" i="2" s="1"/>
  <c r="BO392" i="2" s="1"/>
  <c r="BM392" i="2" s="1"/>
  <c r="Q1627" i="2"/>
  <c r="AG1627" i="2" s="1"/>
  <c r="AH1627" i="2" s="1"/>
  <c r="Q41" i="2"/>
  <c r="AE41" i="2" s="1"/>
  <c r="BO41" i="2" s="1"/>
  <c r="BM41" i="2" s="1"/>
  <c r="Q1377" i="2"/>
  <c r="AG1377" i="2" s="1"/>
  <c r="AH1377" i="2" s="1"/>
  <c r="Q873" i="2"/>
  <c r="AG873" i="2" s="1"/>
  <c r="AH873" i="2" s="1"/>
  <c r="Q174" i="2"/>
  <c r="AG174" i="2" s="1"/>
  <c r="AH174" i="2" s="1"/>
  <c r="Q554" i="2"/>
  <c r="AB504" i="2"/>
  <c r="Q167" i="2"/>
  <c r="AG167" i="2" s="1"/>
  <c r="AH167" i="2" s="1"/>
  <c r="Q1138" i="2"/>
  <c r="AG1138" i="2" s="1"/>
  <c r="AH1138" i="2" s="1"/>
  <c r="Q1402" i="2"/>
  <c r="AE1402" i="2" s="1"/>
  <c r="BO1402" i="2" s="1"/>
  <c r="BM1402" i="2" s="1"/>
  <c r="Q1536" i="2"/>
  <c r="AE1536" i="2" s="1"/>
  <c r="BO1536" i="2" s="1"/>
  <c r="BM1536" i="2" s="1"/>
  <c r="Q223" i="2"/>
  <c r="AE223" i="2" s="1"/>
  <c r="BO223" i="2" s="1"/>
  <c r="BM223" i="2" s="1"/>
  <c r="Q858" i="2"/>
  <c r="Q688" i="2"/>
  <c r="AE688" i="2" s="1"/>
  <c r="BO688" i="2" s="1"/>
  <c r="BM688" i="2" s="1"/>
  <c r="Q454" i="2"/>
  <c r="AG454" i="2" s="1"/>
  <c r="AH454" i="2" s="1"/>
  <c r="Q1399" i="2"/>
  <c r="Q1526" i="2"/>
  <c r="Q1023" i="2"/>
  <c r="Q1581" i="2"/>
  <c r="Q1614" i="2"/>
  <c r="AE1614" i="2" s="1"/>
  <c r="BO1614" i="2" s="1"/>
  <c r="BM1614" i="2" s="1"/>
  <c r="Q998" i="2"/>
  <c r="AE998" i="2" s="1"/>
  <c r="BO998" i="2" s="1"/>
  <c r="BM998" i="2" s="1"/>
  <c r="AB686" i="2"/>
  <c r="Q285" i="2"/>
  <c r="AB285" i="2"/>
  <c r="Q778" i="2"/>
  <c r="AG778" i="2" s="1"/>
  <c r="Q822" i="2"/>
  <c r="AE822" i="2" s="1"/>
  <c r="BO822" i="2" s="1"/>
  <c r="BM822" i="2" s="1"/>
  <c r="Q142" i="2"/>
  <c r="Q118" i="2"/>
  <c r="Q827" i="2"/>
  <c r="Q939" i="2"/>
  <c r="AE939" i="2" s="1"/>
  <c r="BO939" i="2" s="1"/>
  <c r="BM939" i="2" s="1"/>
  <c r="Q1412" i="2"/>
  <c r="AE1412" i="2" s="1"/>
  <c r="BO1412" i="2" s="1"/>
  <c r="BM1412" i="2" s="1"/>
  <c r="Q1061" i="2"/>
  <c r="Q801" i="2"/>
  <c r="AG801" i="2" s="1"/>
  <c r="AH801" i="2" s="1"/>
  <c r="AB97" i="2"/>
  <c r="Q962" i="2"/>
  <c r="AG962" i="2" s="1"/>
  <c r="AH962" i="2" s="1"/>
  <c r="Q1415" i="2"/>
  <c r="Q1354" i="2"/>
  <c r="AE1354" i="2" s="1"/>
  <c r="BO1354" i="2" s="1"/>
  <c r="BM1354" i="2" s="1"/>
  <c r="Q1635" i="2"/>
  <c r="Q743" i="2"/>
  <c r="AG743" i="2" s="1"/>
  <c r="AH743" i="2" s="1"/>
  <c r="Q98" i="2"/>
  <c r="AE98" i="2" s="1"/>
  <c r="BO98" i="2" s="1"/>
  <c r="BM98" i="2" s="1"/>
  <c r="Q209" i="2"/>
  <c r="AE209" i="2" s="1"/>
  <c r="BO209" i="2" s="1"/>
  <c r="BM209" i="2" s="1"/>
  <c r="AB835" i="2"/>
  <c r="Q541" i="2"/>
  <c r="AE541" i="2" s="1"/>
  <c r="BO541" i="2" s="1"/>
  <c r="BM541" i="2" s="1"/>
  <c r="AB541" i="2"/>
  <c r="Q968" i="2"/>
  <c r="AB968" i="2"/>
  <c r="Q1462" i="2"/>
  <c r="AG1462" i="2" s="1"/>
  <c r="Q843" i="2"/>
  <c r="AG843" i="2" s="1"/>
  <c r="AH843" i="2" s="1"/>
  <c r="Q1048" i="2"/>
  <c r="AE1048" i="2" s="1"/>
  <c r="BO1048" i="2" s="1"/>
  <c r="BM1048" i="2" s="1"/>
  <c r="Q53" i="2"/>
  <c r="AE53" i="2" s="1"/>
  <c r="BO53" i="2" s="1"/>
  <c r="BM53" i="2" s="1"/>
  <c r="Q213" i="2"/>
  <c r="AE213" i="2" s="1"/>
  <c r="BO213" i="2" s="1"/>
  <c r="BM213" i="2" s="1"/>
  <c r="AB94" i="2"/>
  <c r="Q336" i="2"/>
  <c r="AB336" i="2"/>
  <c r="Q258" i="2"/>
  <c r="AG258" i="2" s="1"/>
  <c r="AH258" i="2" s="1"/>
  <c r="Q110" i="2"/>
  <c r="AG110" i="2" s="1"/>
  <c r="AH110" i="2" s="1"/>
  <c r="Q552" i="2"/>
  <c r="AG552" i="2" s="1"/>
  <c r="AH552" i="2" s="1"/>
  <c r="Q1506" i="2"/>
  <c r="AG1506" i="2" s="1"/>
  <c r="AH1506" i="2" s="1"/>
  <c r="Q270" i="2"/>
  <c r="AE270" i="2" s="1"/>
  <c r="BO270" i="2" s="1"/>
  <c r="BM270" i="2" s="1"/>
  <c r="Q1560" i="2"/>
  <c r="AG1560" i="2" s="1"/>
  <c r="AH1560" i="2" s="1"/>
  <c r="Q579" i="2"/>
  <c r="AE579" i="2" s="1"/>
  <c r="BO579" i="2" s="1"/>
  <c r="BM579" i="2" s="1"/>
  <c r="Q1282" i="2"/>
  <c r="AG1282" i="2" s="1"/>
  <c r="AH1282" i="2" s="1"/>
  <c r="Q1329" i="2"/>
  <c r="AG1329" i="2" s="1"/>
  <c r="AH1329" i="2" s="1"/>
  <c r="Q1051" i="2"/>
  <c r="AG1051" i="2" s="1"/>
  <c r="AH1051" i="2" s="1"/>
  <c r="Q145" i="2"/>
  <c r="AE145" i="2" s="1"/>
  <c r="BO145" i="2" s="1"/>
  <c r="BM145" i="2" s="1"/>
  <c r="Q1154" i="2"/>
  <c r="Q740" i="2"/>
  <c r="Q1640" i="2"/>
  <c r="AG1640" i="2" s="1"/>
  <c r="AH1640" i="2" s="1"/>
  <c r="Q1583" i="2"/>
  <c r="AG1583" i="2" s="1"/>
  <c r="AH1583" i="2" s="1"/>
  <c r="Q959" i="2"/>
  <c r="Q1074" i="2"/>
  <c r="Q415" i="2"/>
  <c r="AG415" i="2" s="1"/>
  <c r="AH415" i="2" s="1"/>
  <c r="Q528" i="2"/>
  <c r="AG528" i="2" s="1"/>
  <c r="AH528" i="2" s="1"/>
  <c r="Q1309" i="2"/>
  <c r="AE1309" i="2" s="1"/>
  <c r="BO1309" i="2" s="1"/>
  <c r="BM1309" i="2" s="1"/>
  <c r="Q860" i="2"/>
  <c r="AG860" i="2" s="1"/>
  <c r="AH860" i="2" s="1"/>
  <c r="Q872" i="2"/>
  <c r="AE872" i="2" s="1"/>
  <c r="BO872" i="2" s="1"/>
  <c r="BM872" i="2" s="1"/>
  <c r="AB872" i="2"/>
  <c r="Q499" i="2"/>
  <c r="AE499" i="2" s="1"/>
  <c r="BO499" i="2" s="1"/>
  <c r="BM499" i="2" s="1"/>
  <c r="Q1334" i="2"/>
  <c r="AB1334" i="2"/>
  <c r="Q1080" i="2"/>
  <c r="AE1080" i="2" s="1"/>
  <c r="BO1080" i="2" s="1"/>
  <c r="BM1080" i="2" s="1"/>
  <c r="Q44" i="2"/>
  <c r="AE44" i="2" s="1"/>
  <c r="BO44" i="2" s="1"/>
  <c r="BM44" i="2" s="1"/>
  <c r="AB44" i="2"/>
  <c r="Q91" i="2"/>
  <c r="Q650" i="2"/>
  <c r="Q228" i="2"/>
  <c r="AG228" i="2" s="1"/>
  <c r="AH228" i="2" s="1"/>
  <c r="Q151" i="2"/>
  <c r="Q916" i="2"/>
  <c r="AG916" i="2" s="1"/>
  <c r="AH916" i="2" s="1"/>
  <c r="Q1445" i="2"/>
  <c r="AG1445" i="2" s="1"/>
  <c r="AH1445" i="2" s="1"/>
  <c r="Q989" i="2"/>
  <c r="Q686" i="2"/>
  <c r="AG686" i="2" s="1"/>
  <c r="AH686" i="2" s="1"/>
  <c r="Q588" i="2"/>
  <c r="AG588" i="2" s="1"/>
  <c r="AH588" i="2" s="1"/>
  <c r="Q361" i="2"/>
  <c r="AG361" i="2" s="1"/>
  <c r="AH361" i="2" s="1"/>
  <c r="Q1650" i="2"/>
  <c r="AG1650" i="2" s="1"/>
  <c r="Q710" i="2"/>
  <c r="AG710" i="2" s="1"/>
  <c r="AH710" i="2" s="1"/>
  <c r="Q969" i="2"/>
  <c r="AE969" i="2" s="1"/>
  <c r="BO969" i="2" s="1"/>
  <c r="BM969" i="2" s="1"/>
  <c r="Q1172" i="2"/>
  <c r="AE1172" i="2" s="1"/>
  <c r="BO1172" i="2" s="1"/>
  <c r="BM1172" i="2" s="1"/>
  <c r="Q1068" i="2"/>
  <c r="AG1068" i="2" s="1"/>
  <c r="AH1068" i="2" s="1"/>
  <c r="Q1467" i="2"/>
  <c r="AE1467" i="2" s="1"/>
  <c r="BO1467" i="2" s="1"/>
  <c r="BM1467" i="2" s="1"/>
  <c r="Q1649" i="2"/>
  <c r="AB1649" i="2"/>
  <c r="Q1281" i="2"/>
  <c r="AG1281" i="2" s="1"/>
  <c r="AH1281" i="2" s="1"/>
  <c r="Q207" i="2"/>
  <c r="AG207" i="2" s="1"/>
  <c r="AH207" i="2" s="1"/>
  <c r="Q381" i="2"/>
  <c r="AE381" i="2" s="1"/>
  <c r="BO381" i="2" s="1"/>
  <c r="BM381" i="2" s="1"/>
  <c r="Q445" i="2"/>
  <c r="AE445" i="2" s="1"/>
  <c r="BO445" i="2" s="1"/>
  <c r="BM445" i="2" s="1"/>
  <c r="AB445" i="2"/>
  <c r="Q1331" i="2"/>
  <c r="AE1331" i="2" s="1"/>
  <c r="BO1331" i="2" s="1"/>
  <c r="BM1331" i="2" s="1"/>
  <c r="AB1331" i="2"/>
  <c r="Q437" i="2"/>
  <c r="AG437" i="2" s="1"/>
  <c r="AH437" i="2" s="1"/>
  <c r="Q1363" i="2"/>
  <c r="AG1363" i="2" s="1"/>
  <c r="AH1363" i="2" s="1"/>
  <c r="Q1009" i="2"/>
  <c r="AG1009" i="2" s="1"/>
  <c r="Q618" i="2"/>
  <c r="AH618" i="2" s="1"/>
  <c r="AB618" i="2"/>
  <c r="Q104" i="2"/>
  <c r="AG104" i="2" s="1"/>
  <c r="AH104" i="2" s="1"/>
  <c r="Q111" i="2"/>
  <c r="AG111" i="2" s="1"/>
  <c r="AH111" i="2" s="1"/>
  <c r="Q859" i="2"/>
  <c r="AG859" i="2" s="1"/>
  <c r="AH859" i="2" s="1"/>
  <c r="Q1147" i="2"/>
  <c r="Q1013" i="2"/>
  <c r="AG1013" i="2" s="1"/>
  <c r="AH1013" i="2" s="1"/>
  <c r="Q1587" i="2"/>
  <c r="AE1587" i="2" s="1"/>
  <c r="BO1587" i="2" s="1"/>
  <c r="BM1587" i="2" s="1"/>
  <c r="Q1008" i="2"/>
  <c r="AG1008" i="2" s="1"/>
  <c r="AH1008" i="2" s="1"/>
  <c r="Q224" i="2"/>
  <c r="AG224" i="2" s="1"/>
  <c r="AH224" i="2" s="1"/>
  <c r="Q1452" i="2"/>
  <c r="AG1452" i="2" s="1"/>
  <c r="AH1452" i="2" s="1"/>
  <c r="Q571" i="2"/>
  <c r="AG571" i="2" s="1"/>
  <c r="AH571" i="2" s="1"/>
  <c r="Q812" i="2"/>
  <c r="AG812" i="2" s="1"/>
  <c r="AH812" i="2" s="1"/>
  <c r="Q496" i="2"/>
  <c r="AG496" i="2" s="1"/>
  <c r="AH496" i="2" s="1"/>
  <c r="Q78" i="2"/>
  <c r="AG78" i="2" s="1"/>
  <c r="AH78" i="2" s="1"/>
  <c r="Q199" i="2"/>
  <c r="AG199" i="2" s="1"/>
  <c r="AH199" i="2" s="1"/>
  <c r="Q908" i="2"/>
  <c r="AE908" i="2" s="1"/>
  <c r="BO908" i="2" s="1"/>
  <c r="BM908" i="2" s="1"/>
  <c r="AB908" i="2"/>
  <c r="Q265" i="2"/>
  <c r="AG265" i="2" s="1"/>
  <c r="Q722" i="2"/>
  <c r="AG722" i="2" s="1"/>
  <c r="AH722" i="2" s="1"/>
  <c r="Q1297" i="2"/>
  <c r="AE1297" i="2" s="1"/>
  <c r="BO1297" i="2" s="1"/>
  <c r="BM1297" i="2" s="1"/>
  <c r="Q162" i="2"/>
  <c r="AG162" i="2" s="1"/>
  <c r="AH162" i="2" s="1"/>
  <c r="Q539" i="2"/>
  <c r="AG539" i="2" s="1"/>
  <c r="AH539" i="2" s="1"/>
  <c r="Q283" i="2"/>
  <c r="AE283" i="2" s="1"/>
  <c r="BO283" i="2" s="1"/>
  <c r="BM283" i="2" s="1"/>
  <c r="Q296" i="2"/>
  <c r="AE296" i="2" s="1"/>
  <c r="BO296" i="2" s="1"/>
  <c r="BM296" i="2" s="1"/>
  <c r="AB296" i="2"/>
  <c r="Q1460" i="2"/>
  <c r="AG1460" i="2" s="1"/>
  <c r="AH1460" i="2" s="1"/>
  <c r="Q1240" i="2"/>
  <c r="Q1639" i="2"/>
  <c r="AG1639" i="2" s="1"/>
  <c r="AH1639" i="2" s="1"/>
  <c r="Q699" i="2"/>
  <c r="AG699" i="2" s="1"/>
  <c r="AH699" i="2" s="1"/>
  <c r="Q1185" i="2"/>
  <c r="AE1185" i="2" s="1"/>
  <c r="BO1185" i="2" s="1"/>
  <c r="BM1185" i="2" s="1"/>
  <c r="Q1459" i="2"/>
  <c r="AG1459" i="2" s="1"/>
  <c r="AH1459" i="2" s="1"/>
  <c r="Q1631" i="2"/>
  <c r="AG1631" i="2" s="1"/>
  <c r="AH1631" i="2" s="1"/>
  <c r="Q1344" i="2"/>
  <c r="AE1344" i="2" s="1"/>
  <c r="BO1344" i="2" s="1"/>
  <c r="BM1344" i="2" s="1"/>
  <c r="Q1491" i="2"/>
  <c r="Q444" i="2"/>
  <c r="AG444" i="2" s="1"/>
  <c r="AH444" i="2" s="1"/>
  <c r="Q1385" i="2"/>
  <c r="AE1385" i="2" s="1"/>
  <c r="BO1385" i="2" s="1"/>
  <c r="BM1385" i="2" s="1"/>
  <c r="Q1411" i="2"/>
  <c r="AE1411" i="2" s="1"/>
  <c r="BO1411" i="2" s="1"/>
  <c r="BM1411" i="2" s="1"/>
  <c r="Q260" i="2"/>
  <c r="AE260" i="2" s="1"/>
  <c r="BO260" i="2" s="1"/>
  <c r="BM260" i="2" s="1"/>
  <c r="Q473" i="2"/>
  <c r="Q1081" i="2"/>
  <c r="AG1081" i="2" s="1"/>
  <c r="AH1081" i="2" s="1"/>
  <c r="Q1145" i="2"/>
  <c r="AG1145" i="2" s="1"/>
  <c r="AH1145" i="2" s="1"/>
  <c r="Q81" i="2"/>
  <c r="AE81" i="2" s="1"/>
  <c r="BO81" i="2" s="1"/>
  <c r="BM81" i="2" s="1"/>
  <c r="Q232" i="2"/>
  <c r="AE232" i="2" s="1"/>
  <c r="BO232" i="2" s="1"/>
  <c r="BM232" i="2" s="1"/>
  <c r="AB232" i="2"/>
  <c r="Q246" i="2"/>
  <c r="AB246" i="2"/>
  <c r="Q1641" i="2"/>
  <c r="Q1505" i="2"/>
  <c r="AG1505" i="2" s="1"/>
  <c r="AH1505" i="2" s="1"/>
  <c r="AB1028" i="2"/>
  <c r="AB1388" i="2"/>
  <c r="Q217" i="2"/>
  <c r="AG217" i="2" s="1"/>
  <c r="AH217" i="2" s="1"/>
  <c r="Q978" i="2"/>
  <c r="AE978" i="2" s="1"/>
  <c r="BO978" i="2" s="1"/>
  <c r="BM978" i="2" s="1"/>
  <c r="Q446" i="2"/>
  <c r="AE446" i="2" s="1"/>
  <c r="BO446" i="2" s="1"/>
  <c r="BM446" i="2" s="1"/>
  <c r="Q1088" i="2"/>
  <c r="AG1088" i="2" s="1"/>
  <c r="AH1088" i="2" s="1"/>
  <c r="Q790" i="2"/>
  <c r="AE790" i="2" s="1"/>
  <c r="BO790" i="2" s="1"/>
  <c r="BM790" i="2" s="1"/>
  <c r="Q1300" i="2"/>
  <c r="AG1300" i="2" s="1"/>
  <c r="AH1300" i="2" s="1"/>
  <c r="Q432" i="2"/>
  <c r="AG432" i="2" s="1"/>
  <c r="AH432" i="2" s="1"/>
  <c r="Q412" i="2"/>
  <c r="AG412" i="2" s="1"/>
  <c r="AH412" i="2" s="1"/>
  <c r="Q97" i="2"/>
  <c r="AE97" i="2" s="1"/>
  <c r="BO97" i="2" s="1"/>
  <c r="BM97" i="2" s="1"/>
  <c r="Q1002" i="2"/>
  <c r="AG1002" i="2" s="1"/>
  <c r="AH1002" i="2" s="1"/>
  <c r="Q1563" i="2"/>
  <c r="AG1563" i="2" s="1"/>
  <c r="AH1563" i="2" s="1"/>
  <c r="AB1563" i="2"/>
  <c r="Q36" i="2"/>
  <c r="AE36" i="2" s="1"/>
  <c r="BO36" i="2" s="1"/>
  <c r="BM36" i="2" s="1"/>
  <c r="Q1549" i="2"/>
  <c r="AG1549" i="2" s="1"/>
  <c r="AH1549" i="2" s="1"/>
  <c r="Q139" i="2"/>
  <c r="Q901" i="2"/>
  <c r="AG901" i="2" s="1"/>
  <c r="Q744" i="2"/>
  <c r="AE744" i="2" s="1"/>
  <c r="BO744" i="2" s="1"/>
  <c r="BM744" i="2" s="1"/>
  <c r="AB744" i="2"/>
  <c r="Q1584" i="2"/>
  <c r="AG1584" i="2" s="1"/>
  <c r="AH1584" i="2" s="1"/>
  <c r="Q769" i="2"/>
  <c r="AG769" i="2" s="1"/>
  <c r="AH769" i="2" s="1"/>
  <c r="Q885" i="2"/>
  <c r="AG885" i="2" s="1"/>
  <c r="AH885" i="2" s="1"/>
  <c r="Q1100" i="2"/>
  <c r="AG1100" i="2" s="1"/>
  <c r="AH1100" i="2" s="1"/>
  <c r="Q835" i="2"/>
  <c r="Q1173" i="2"/>
  <c r="AG1173" i="2" s="1"/>
  <c r="AH1173" i="2" s="1"/>
  <c r="Q323" i="2"/>
  <c r="AG323" i="2" s="1"/>
  <c r="AH323" i="2" s="1"/>
  <c r="Q1483" i="2"/>
  <c r="AG1483" i="2" s="1"/>
  <c r="AH1483" i="2" s="1"/>
  <c r="Q438" i="2"/>
  <c r="AG438" i="2" s="1"/>
  <c r="AH438" i="2" s="1"/>
  <c r="Q286" i="2"/>
  <c r="AE286" i="2" s="1"/>
  <c r="BO286" i="2" s="1"/>
  <c r="BM286" i="2" s="1"/>
  <c r="Q951" i="2"/>
  <c r="AG951" i="2" s="1"/>
  <c r="AH951" i="2" s="1"/>
  <c r="Q1114" i="2"/>
  <c r="AE1114" i="2" s="1"/>
  <c r="BO1114" i="2" s="1"/>
  <c r="BM1114" i="2" s="1"/>
  <c r="AB1114" i="2"/>
  <c r="Q489" i="2"/>
  <c r="AE489" i="2" s="1"/>
  <c r="BO489" i="2" s="1"/>
  <c r="BM489" i="2" s="1"/>
  <c r="Q551" i="2"/>
  <c r="Q203" i="2"/>
  <c r="AG203" i="2" s="1"/>
  <c r="AH203" i="2" s="1"/>
  <c r="Q411" i="2"/>
  <c r="AG411" i="2" s="1"/>
  <c r="AH411" i="2" s="1"/>
  <c r="Q757" i="2"/>
  <c r="AG757" i="2" s="1"/>
  <c r="AH757" i="2" s="1"/>
  <c r="Q545" i="2"/>
  <c r="AG545" i="2" s="1"/>
  <c r="AH545" i="2" s="1"/>
  <c r="Q1050" i="2"/>
  <c r="AG1050" i="2" s="1"/>
  <c r="AH1050" i="2" s="1"/>
  <c r="Q342" i="2"/>
  <c r="AG342" i="2" s="1"/>
  <c r="AH342" i="2" s="1"/>
  <c r="Q1609" i="2"/>
  <c r="AG1609" i="2" s="1"/>
  <c r="AH1609" i="2" s="1"/>
  <c r="Q1632" i="2"/>
  <c r="AE1632" i="2" s="1"/>
  <c r="BO1632" i="2" s="1"/>
  <c r="BM1632" i="2" s="1"/>
  <c r="Q8" i="2"/>
  <c r="AE8" i="2" s="1"/>
  <c r="BO8" i="2" s="1"/>
  <c r="BM8" i="2" s="1"/>
  <c r="Q165" i="2"/>
  <c r="AE165" i="2" s="1"/>
  <c r="BO165" i="2" s="1"/>
  <c r="BM165" i="2" s="1"/>
  <c r="Q493" i="2"/>
  <c r="AG493" i="2" s="1"/>
  <c r="AH493" i="2" s="1"/>
  <c r="Q79" i="2"/>
  <c r="AE79" i="2" s="1"/>
  <c r="BO79" i="2" s="1"/>
  <c r="BM79" i="2" s="1"/>
  <c r="Q279" i="2"/>
  <c r="AG279" i="2" s="1"/>
  <c r="AH279" i="2" s="1"/>
  <c r="Q1386" i="2"/>
  <c r="AG1386" i="2" s="1"/>
  <c r="AH1386" i="2" s="1"/>
  <c r="Q1534" i="2"/>
  <c r="AE1534" i="2" s="1"/>
  <c r="BO1534" i="2" s="1"/>
  <c r="BM1534" i="2" s="1"/>
  <c r="Q1577" i="2"/>
  <c r="Q277" i="2"/>
  <c r="AG277" i="2" s="1"/>
  <c r="AH277" i="2" s="1"/>
  <c r="Q313" i="2"/>
  <c r="AG313" i="2" s="1"/>
  <c r="AH313" i="2" s="1"/>
  <c r="Q363" i="2"/>
  <c r="AG363" i="2" s="1"/>
  <c r="AH363" i="2" s="1"/>
  <c r="Q1040" i="2"/>
  <c r="Q485" i="2"/>
  <c r="AG485" i="2" s="1"/>
  <c r="AH485" i="2" s="1"/>
  <c r="Q134" i="2"/>
  <c r="AE134" i="2" s="1"/>
  <c r="BO134" i="2" s="1"/>
  <c r="BM134" i="2" s="1"/>
  <c r="AB134" i="2"/>
  <c r="AB1623" i="2"/>
  <c r="Q536" i="2"/>
  <c r="AE536" i="2" s="1"/>
  <c r="BO536" i="2" s="1"/>
  <c r="BM536" i="2" s="1"/>
  <c r="AB536" i="2"/>
  <c r="Q292" i="2"/>
  <c r="AG292" i="2" s="1"/>
  <c r="AH292" i="2" s="1"/>
  <c r="Q220" i="2"/>
  <c r="AE220" i="2" s="1"/>
  <c r="BO220" i="2" s="1"/>
  <c r="BM220" i="2" s="1"/>
  <c r="AB220" i="2"/>
  <c r="Q360" i="2"/>
  <c r="AG360" i="2" s="1"/>
  <c r="AH360" i="2" s="1"/>
  <c r="Q678" i="2"/>
  <c r="AG678" i="2" s="1"/>
  <c r="AH678" i="2" s="1"/>
  <c r="Q500" i="2"/>
  <c r="AE500" i="2" s="1"/>
  <c r="BO500" i="2" s="1"/>
  <c r="BM500" i="2" s="1"/>
  <c r="Q730" i="2"/>
  <c r="AG730" i="2" s="1"/>
  <c r="AH730" i="2" s="1"/>
  <c r="Q723" i="2"/>
  <c r="AG723" i="2" s="1"/>
  <c r="AH723" i="2" s="1"/>
  <c r="Q1520" i="2"/>
  <c r="Q117" i="2"/>
  <c r="AG117" i="2" s="1"/>
  <c r="AH117" i="2" s="1"/>
  <c r="Q233" i="2"/>
  <c r="AE233" i="2" s="1"/>
  <c r="BO233" i="2" s="1"/>
  <c r="BM233" i="2" s="1"/>
  <c r="Q1647" i="2"/>
  <c r="AG1647" i="2" s="1"/>
  <c r="AB531" i="2"/>
  <c r="Q931" i="2"/>
  <c r="AG931" i="2" s="1"/>
  <c r="AH931" i="2" s="1"/>
  <c r="Q1028" i="2"/>
  <c r="Q169" i="2"/>
  <c r="AE169" i="2" s="1"/>
  <c r="BO169" i="2" s="1"/>
  <c r="BM169" i="2" s="1"/>
  <c r="Q1123" i="2"/>
  <c r="AG1123" i="2" s="1"/>
  <c r="AH1123" i="2" s="1"/>
  <c r="Q1409" i="2"/>
  <c r="AG1409" i="2" s="1"/>
  <c r="AH1409" i="2" s="1"/>
  <c r="Q1247" i="2"/>
  <c r="Q1637" i="2"/>
  <c r="AG1637" i="2" s="1"/>
  <c r="AH1637" i="2" s="1"/>
  <c r="Q747" i="2"/>
  <c r="AG747" i="2" s="1"/>
  <c r="AH747" i="2" s="1"/>
  <c r="Q823" i="2"/>
  <c r="AG823" i="2" s="1"/>
  <c r="AH823" i="2" s="1"/>
  <c r="Q436" i="2"/>
  <c r="Q405" i="2"/>
  <c r="AG405" i="2" s="1"/>
  <c r="AH405" i="2" s="1"/>
  <c r="Q1436" i="2"/>
  <c r="AG1436" i="2" s="1"/>
  <c r="AH1436" i="2" s="1"/>
  <c r="Q573" i="2"/>
  <c r="AE573" i="2" s="1"/>
  <c r="BO573" i="2" s="1"/>
  <c r="BM573" i="2" s="1"/>
  <c r="Q810" i="2"/>
  <c r="AG810" i="2" s="1"/>
  <c r="AH810" i="2" s="1"/>
  <c r="Q88" i="2"/>
  <c r="AG88" i="2" s="1"/>
  <c r="AH88" i="2" s="1"/>
  <c r="Q870" i="2"/>
  <c r="AE870" i="2" s="1"/>
  <c r="BO870" i="2" s="1"/>
  <c r="BM870" i="2" s="1"/>
  <c r="Q1479" i="2"/>
  <c r="Q205" i="2"/>
  <c r="AG205" i="2" s="1"/>
  <c r="AH205" i="2" s="1"/>
  <c r="Q715" i="2"/>
  <c r="AG715" i="2" s="1"/>
  <c r="AH715" i="2" s="1"/>
  <c r="Q397" i="2"/>
  <c r="AE397" i="2" s="1"/>
  <c r="BO397" i="2" s="1"/>
  <c r="BM397" i="2" s="1"/>
  <c r="Q1406" i="2"/>
  <c r="AG1406" i="2" s="1"/>
  <c r="AH1406" i="2" s="1"/>
  <c r="Q1374" i="2"/>
  <c r="AG1374" i="2" s="1"/>
  <c r="AH1374" i="2" s="1"/>
  <c r="Q94" i="2"/>
  <c r="Q343" i="2"/>
  <c r="AG343" i="2" s="1"/>
  <c r="AH343" i="2" s="1"/>
  <c r="Q231" i="2"/>
  <c r="AE231" i="2" s="1"/>
  <c r="BO231" i="2" s="1"/>
  <c r="BM231" i="2" s="1"/>
  <c r="Q1168" i="2"/>
  <c r="AG1168" i="2" s="1"/>
  <c r="AH1168" i="2" s="1"/>
  <c r="Q979" i="2"/>
  <c r="AE979" i="2" s="1"/>
  <c r="BO979" i="2" s="1"/>
  <c r="BM979" i="2" s="1"/>
  <c r="Q198" i="2"/>
  <c r="AE198" i="2" s="1"/>
  <c r="BO198" i="2" s="1"/>
  <c r="BM198" i="2" s="1"/>
  <c r="Q1327" i="2"/>
  <c r="Q1272" i="2"/>
  <c r="Q861" i="2"/>
  <c r="AG861" i="2" s="1"/>
  <c r="AH861" i="2" s="1"/>
  <c r="Q900" i="2"/>
  <c r="AE900" i="2" s="1"/>
  <c r="BO900" i="2" s="1"/>
  <c r="BM900" i="2" s="1"/>
  <c r="Q1012" i="2"/>
  <c r="AG1012" i="2" s="1"/>
  <c r="Q689" i="2"/>
  <c r="AG689" i="2" s="1"/>
  <c r="AH689" i="2" s="1"/>
  <c r="Q87" i="2"/>
  <c r="AB87" i="2"/>
  <c r="Q944" i="2"/>
  <c r="AG944" i="2" s="1"/>
  <c r="AH944" i="2" s="1"/>
  <c r="Q351" i="2"/>
  <c r="AE351" i="2" s="1"/>
  <c r="BO351" i="2" s="1"/>
  <c r="BM351" i="2" s="1"/>
  <c r="Q439" i="2"/>
  <c r="AE439" i="2" s="1"/>
  <c r="BO439" i="2" s="1"/>
  <c r="BM439" i="2" s="1"/>
  <c r="Q656" i="2"/>
  <c r="Q1228" i="2"/>
  <c r="AG1228" i="2" s="1"/>
  <c r="AH1228" i="2" s="1"/>
  <c r="Q1020" i="2"/>
  <c r="AE1020" i="2" s="1"/>
  <c r="BO1020" i="2" s="1"/>
  <c r="BM1020" i="2" s="1"/>
  <c r="Q895" i="2"/>
  <c r="AE895" i="2" s="1"/>
  <c r="BO895" i="2" s="1"/>
  <c r="BM895" i="2" s="1"/>
  <c r="Q720" i="2"/>
  <c r="AG720" i="2" s="1"/>
  <c r="Q777" i="2"/>
  <c r="Q89" i="2"/>
  <c r="AG89" i="2" s="1"/>
  <c r="AH89" i="2" s="1"/>
  <c r="Q1110" i="2"/>
  <c r="AG1110" i="2" s="1"/>
  <c r="AH1110" i="2" s="1"/>
  <c r="Q1611" i="2"/>
  <c r="AH1611" i="2" s="1"/>
  <c r="Q387" i="2"/>
  <c r="Q753" i="2"/>
  <c r="Q1222" i="2"/>
  <c r="AG1222" i="2" s="1"/>
  <c r="AH1222" i="2" s="1"/>
  <c r="Q1304" i="2"/>
  <c r="AG1304" i="2" s="1"/>
  <c r="AH1304" i="2" s="1"/>
  <c r="Q245" i="2"/>
  <c r="AG245" i="2" s="1"/>
  <c r="AH245" i="2" s="1"/>
  <c r="Q1248" i="2"/>
  <c r="Q819" i="2"/>
  <c r="AG819" i="2" s="1"/>
  <c r="AH819" i="2" s="1"/>
  <c r="Q936" i="2"/>
  <c r="Q12" i="2"/>
  <c r="AE12" i="2" s="1"/>
  <c r="BO12" i="2" s="1"/>
  <c r="BM12" i="2" s="1"/>
  <c r="Q1416" i="2"/>
  <c r="AE1416" i="2" s="1"/>
  <c r="BO1416" i="2" s="1"/>
  <c r="BM1416" i="2" s="1"/>
  <c r="Q922" i="2"/>
  <c r="Q43" i="2"/>
  <c r="AG43" i="2" s="1"/>
  <c r="AH43" i="2" s="1"/>
  <c r="Q504" i="2"/>
  <c r="AG504" i="2" s="1"/>
  <c r="AH504" i="2" s="1"/>
  <c r="Q639" i="2"/>
  <c r="AE639" i="2" s="1"/>
  <c r="BO639" i="2" s="1"/>
  <c r="BM639" i="2" s="1"/>
  <c r="Q1283" i="2"/>
  <c r="Q365" i="2"/>
  <c r="AE365" i="2" s="1"/>
  <c r="BO365" i="2" s="1"/>
  <c r="BM365" i="2" s="1"/>
  <c r="AB365" i="2"/>
  <c r="Q1373" i="2"/>
  <c r="Q997" i="2"/>
  <c r="AE997" i="2" s="1"/>
  <c r="BO997" i="2" s="1"/>
  <c r="BM997" i="2" s="1"/>
  <c r="Q1368" i="2"/>
  <c r="AE1368" i="2" s="1"/>
  <c r="BO1368" i="2" s="1"/>
  <c r="BM1368" i="2" s="1"/>
  <c r="Q1508" i="2"/>
  <c r="Q402" i="2"/>
  <c r="AE402" i="2" s="1"/>
  <c r="BO402" i="2" s="1"/>
  <c r="BM402" i="2" s="1"/>
  <c r="Q1451" i="2"/>
  <c r="AG1451" i="2" s="1"/>
  <c r="AH1451" i="2" s="1"/>
  <c r="Q1556" i="2"/>
  <c r="AG1556" i="2" s="1"/>
  <c r="AH1556" i="2" s="1"/>
  <c r="Q478" i="2"/>
  <c r="AE478" i="2" s="1"/>
  <c r="BO478" i="2" s="1"/>
  <c r="BM478" i="2" s="1"/>
  <c r="Q1210" i="2"/>
  <c r="AG1210" i="2" s="1"/>
  <c r="AH1210" i="2" s="1"/>
  <c r="Q386" i="2"/>
  <c r="AG386" i="2" s="1"/>
  <c r="AH386" i="2" s="1"/>
  <c r="Q1474" i="2"/>
  <c r="AG1474" i="2" s="1"/>
  <c r="AH1474" i="2" s="1"/>
  <c r="Q509" i="2"/>
  <c r="AE509" i="2" s="1"/>
  <c r="BO509" i="2" s="1"/>
  <c r="BM509" i="2" s="1"/>
  <c r="Q1597" i="2"/>
  <c r="AE1597" i="2" s="1"/>
  <c r="BO1597" i="2" s="1"/>
  <c r="BM1597" i="2" s="1"/>
  <c r="Q425" i="2"/>
  <c r="AE425" i="2" s="1"/>
  <c r="BO425" i="2" s="1"/>
  <c r="BM425" i="2" s="1"/>
  <c r="Q703" i="2"/>
  <c r="AE703" i="2" s="1"/>
  <c r="BO703" i="2" s="1"/>
  <c r="BM703" i="2" s="1"/>
  <c r="Q862" i="2"/>
  <c r="AE862" i="2" s="1"/>
  <c r="BO862" i="2" s="1"/>
  <c r="BM862" i="2" s="1"/>
  <c r="Q1139" i="2"/>
  <c r="AG1139" i="2" s="1"/>
  <c r="AH1139" i="2" s="1"/>
  <c r="Q1328" i="2"/>
  <c r="AG1328" i="2" s="1"/>
  <c r="AH1328" i="2" s="1"/>
  <c r="Q380" i="2"/>
  <c r="AG380" i="2" s="1"/>
  <c r="AH380" i="2" s="1"/>
  <c r="Q844" i="2"/>
  <c r="AG844" i="2" s="1"/>
  <c r="AH844" i="2" s="1"/>
  <c r="Q1323" i="2"/>
  <c r="AG1323" i="2" s="1"/>
  <c r="AH1323" i="2" s="1"/>
  <c r="Q152" i="2"/>
  <c r="AG152" i="2" s="1"/>
  <c r="AH152" i="2" s="1"/>
  <c r="Q1457" i="2"/>
  <c r="AG1457" i="2" s="1"/>
  <c r="AH1457" i="2" s="1"/>
  <c r="Q1623" i="2"/>
  <c r="AG1623" i="2" s="1"/>
  <c r="AH1623" i="2" s="1"/>
  <c r="Q1464" i="2"/>
  <c r="AG1464" i="2" s="1"/>
  <c r="AH1464" i="2" s="1"/>
  <c r="Q1358" i="2"/>
  <c r="AG1358" i="2" s="1"/>
  <c r="AH1358" i="2" s="1"/>
  <c r="Q1442" i="2"/>
  <c r="AG1442" i="2" s="1"/>
  <c r="AH1442" i="2" s="1"/>
  <c r="Q1426" i="2"/>
  <c r="Q1204" i="2"/>
  <c r="AG1204" i="2" s="1"/>
  <c r="AH1204" i="2" s="1"/>
  <c r="Q1117" i="2"/>
  <c r="AG1117" i="2" s="1"/>
  <c r="AH1117" i="2" s="1"/>
  <c r="Q1551" i="2"/>
  <c r="AE1551" i="2" s="1"/>
  <c r="BO1551" i="2" s="1"/>
  <c r="BM1551" i="2" s="1"/>
  <c r="Q1484" i="2"/>
  <c r="AE1484" i="2" s="1"/>
  <c r="BO1484" i="2" s="1"/>
  <c r="BM1484" i="2" s="1"/>
  <c r="Q234" i="2"/>
  <c r="AG234" i="2" s="1"/>
  <c r="Q1036" i="2"/>
  <c r="AG1036" i="2" s="1"/>
  <c r="AH1036" i="2" s="1"/>
  <c r="Q608" i="2"/>
  <c r="AE608" i="2" s="1"/>
  <c r="BO608" i="2" s="1"/>
  <c r="BM608" i="2" s="1"/>
  <c r="Q1648" i="2"/>
  <c r="AE1648" i="2" s="1"/>
  <c r="BO1648" i="2" s="1"/>
  <c r="BM1648" i="2" s="1"/>
  <c r="Q1393" i="2"/>
  <c r="AG1393" i="2" s="1"/>
  <c r="AH1393" i="2" s="1"/>
  <c r="Q1548" i="2"/>
  <c r="AG1548" i="2" s="1"/>
  <c r="AH1548" i="2" s="1"/>
  <c r="Q1573" i="2"/>
  <c r="AE1573" i="2" s="1"/>
  <c r="BO1573" i="2" s="1"/>
  <c r="BM1573" i="2" s="1"/>
  <c r="Q785" i="2"/>
  <c r="AG785" i="2" s="1"/>
  <c r="AH785" i="2" s="1"/>
  <c r="Q1364" i="2"/>
  <c r="AG1364" i="2" s="1"/>
  <c r="AH1364" i="2" s="1"/>
  <c r="Q358" i="2"/>
  <c r="AG358" i="2" s="1"/>
  <c r="AH358" i="2" s="1"/>
  <c r="Q82" i="2"/>
  <c r="AG82" i="2" s="1"/>
  <c r="AH82" i="2" s="1"/>
  <c r="Q1332" i="2"/>
  <c r="AG1332" i="2" s="1"/>
  <c r="AH1332" i="2" s="1"/>
  <c r="Q589" i="2"/>
  <c r="AE589" i="2" s="1"/>
  <c r="BO589" i="2" s="1"/>
  <c r="BM589" i="2" s="1"/>
  <c r="Q480" i="2"/>
  <c r="AE480" i="2" s="1"/>
  <c r="BO480" i="2" s="1"/>
  <c r="BM480" i="2" s="1"/>
  <c r="Q1600" i="2"/>
  <c r="AE1600" i="2" s="1"/>
  <c r="BO1600" i="2" s="1"/>
  <c r="BM1600" i="2" s="1"/>
  <c r="Q803" i="2"/>
  <c r="AE803" i="2" s="1"/>
  <c r="BO803" i="2" s="1"/>
  <c r="BM803" i="2" s="1"/>
  <c r="Q531" i="2"/>
  <c r="AG531" i="2" s="1"/>
  <c r="AH531" i="2" s="1"/>
  <c r="Q141" i="2"/>
  <c r="AG141" i="2" s="1"/>
  <c r="AH141" i="2" s="1"/>
  <c r="Q1576" i="2"/>
  <c r="AG1576" i="2" s="1"/>
  <c r="AH1576" i="2" s="1"/>
  <c r="Q47" i="2"/>
  <c r="AE47" i="2" s="1"/>
  <c r="BO47" i="2" s="1"/>
  <c r="BM47" i="2" s="1"/>
  <c r="Q1347" i="2"/>
  <c r="AH1347" i="2" s="1"/>
  <c r="Q131" i="2"/>
  <c r="AE131" i="2" s="1"/>
  <c r="BO131" i="2" s="1"/>
  <c r="BM131" i="2" s="1"/>
  <c r="Q1567" i="2"/>
  <c r="AG1567" i="2" s="1"/>
  <c r="AH1567" i="2" s="1"/>
  <c r="Q1102" i="2"/>
  <c r="AG1102" i="2" s="1"/>
  <c r="AH1102" i="2" s="1"/>
  <c r="Q890" i="2"/>
  <c r="AE890" i="2" s="1"/>
  <c r="BO890" i="2" s="1"/>
  <c r="BM890" i="2" s="1"/>
  <c r="Q960" i="2"/>
  <c r="AG960" i="2" s="1"/>
  <c r="AH960" i="2" s="1"/>
  <c r="Q923" i="2"/>
  <c r="AG923" i="2" s="1"/>
  <c r="AH923" i="2" s="1"/>
  <c r="Q1480" i="2"/>
  <c r="AE1480" i="2" s="1"/>
  <c r="BO1480" i="2" s="1"/>
  <c r="BM1480" i="2" s="1"/>
  <c r="Q130" i="2"/>
  <c r="AE130" i="2" s="1"/>
  <c r="BO130" i="2" s="1"/>
  <c r="BM130" i="2" s="1"/>
  <c r="Q684" i="2"/>
  <c r="AE684" i="2" s="1"/>
  <c r="BO684" i="2" s="1"/>
  <c r="BM684" i="2" s="1"/>
  <c r="Q820" i="2"/>
  <c r="AG820" i="2" s="1"/>
  <c r="AH820" i="2" s="1"/>
  <c r="Q781" i="2"/>
  <c r="AE781" i="2" s="1"/>
  <c r="BO781" i="2" s="1"/>
  <c r="BM781" i="2" s="1"/>
  <c r="Q1353" i="2"/>
  <c r="Q1388" i="2"/>
  <c r="AE1388" i="2" s="1"/>
  <c r="BO1388" i="2" s="1"/>
  <c r="BM1388" i="2" s="1"/>
  <c r="Q1372" i="2"/>
  <c r="AG1372" i="2" s="1"/>
  <c r="AH1372" i="2" s="1"/>
  <c r="Q1091" i="2"/>
  <c r="AE1091" i="2" s="1"/>
  <c r="BO1091" i="2" s="1"/>
  <c r="BM1091" i="2" s="1"/>
  <c r="Q1189" i="2"/>
  <c r="AG1189" i="2" s="1"/>
  <c r="AH1189" i="2" s="1"/>
  <c r="Q29" i="2"/>
  <c r="AE29" i="2" s="1"/>
  <c r="BO29" i="2" s="1"/>
  <c r="BM29" i="2" s="1"/>
  <c r="Q230" i="2"/>
  <c r="AG230" i="2" s="1"/>
  <c r="AH230" i="2" s="1"/>
  <c r="Q1316" i="2"/>
  <c r="AE1316" i="2" s="1"/>
  <c r="BO1316" i="2" s="1"/>
  <c r="BM1316" i="2" s="1"/>
  <c r="Q1378" i="2"/>
  <c r="AG1378" i="2" s="1"/>
  <c r="AH1378" i="2" s="1"/>
  <c r="Q52" i="2"/>
  <c r="AG52" i="2" s="1"/>
  <c r="AH52" i="2" s="1"/>
  <c r="AG1353" i="2" l="1"/>
  <c r="AH1353" i="2" s="1"/>
  <c r="AE1353" i="2"/>
  <c r="AG1257" i="2"/>
  <c r="AH1257" i="2" s="1"/>
  <c r="AE1272" i="2"/>
  <c r="BO1272" i="2" s="1"/>
  <c r="BM1272" i="2" s="1"/>
  <c r="AG1272" i="2"/>
  <c r="AH1272" i="2" s="1"/>
  <c r="AE1504" i="2"/>
  <c r="BO1504" i="2" s="1"/>
  <c r="BM1504" i="2" s="1"/>
  <c r="AG1504" i="2"/>
  <c r="AH1504" i="2" s="1"/>
  <c r="AG1129" i="2"/>
  <c r="AH1129" i="2" s="1"/>
  <c r="AE1113" i="2"/>
  <c r="BO1113" i="2" s="1"/>
  <c r="BM1113" i="2" s="1"/>
  <c r="AG1113" i="2"/>
  <c r="AH1113" i="2" s="1"/>
  <c r="AG1440" i="2"/>
  <c r="AH1440" i="2" s="1"/>
  <c r="AE1327" i="2"/>
  <c r="BO1327" i="2" s="1"/>
  <c r="BM1327" i="2" s="1"/>
  <c r="AG1327" i="2"/>
  <c r="AH1327" i="2" s="1"/>
  <c r="AE1426" i="2"/>
  <c r="BO1426" i="2" s="1"/>
  <c r="BM1426" i="2" s="1"/>
  <c r="AG1426" i="2"/>
  <c r="AH1426" i="2" s="1"/>
  <c r="AG1526" i="2"/>
  <c r="AH1526" i="2" s="1"/>
  <c r="AG1399" i="2"/>
  <c r="AH1399" i="2" s="1"/>
  <c r="AG1550" i="2"/>
  <c r="AH1550" i="2" s="1"/>
  <c r="AE1315" i="2"/>
  <c r="BO1315" i="2" s="1"/>
  <c r="BM1315" i="2" s="1"/>
  <c r="AG1315" i="2"/>
  <c r="AH1315" i="2" s="1"/>
  <c r="AE1535" i="2"/>
  <c r="BO1535" i="2" s="1"/>
  <c r="BM1535" i="2" s="1"/>
  <c r="AG1535" i="2"/>
  <c r="AH1535" i="2" s="1"/>
  <c r="AE1044" i="2"/>
  <c r="BO1044" i="2" s="1"/>
  <c r="BM1044" i="2" s="1"/>
  <c r="AG1044" i="2"/>
  <c r="AH1044" i="2" s="1"/>
  <c r="AE1519" i="2"/>
  <c r="BO1519" i="2" s="1"/>
  <c r="BM1519" i="2" s="1"/>
  <c r="AG1519" i="2"/>
  <c r="AH1519" i="2" s="1"/>
  <c r="AG1488" i="2"/>
  <c r="AH1488" i="2" s="1"/>
  <c r="AG1258" i="2"/>
  <c r="AH1258" i="2" s="1"/>
  <c r="AG1543" i="2"/>
  <c r="AH1543" i="2" s="1"/>
  <c r="AE1479" i="2"/>
  <c r="BO1479" i="2" s="1"/>
  <c r="BM1479" i="2" s="1"/>
  <c r="AG1479" i="2"/>
  <c r="AH1479" i="2" s="1"/>
  <c r="AE1513" i="2"/>
  <c r="BO1513" i="2" s="1"/>
  <c r="BM1513" i="2" s="1"/>
  <c r="AG1513" i="2"/>
  <c r="AH1513" i="2" s="1"/>
  <c r="AG1438" i="2"/>
  <c r="AH1438" i="2" s="1"/>
  <c r="AG1415" i="2"/>
  <c r="AH1415" i="2" s="1"/>
  <c r="AE1491" i="2"/>
  <c r="BO1491" i="2" s="1"/>
  <c r="BM1491" i="2" s="1"/>
  <c r="AG1491" i="2"/>
  <c r="AH1491" i="2" s="1"/>
  <c r="AE1508" i="2"/>
  <c r="BO1508" i="2" s="1"/>
  <c r="BM1508" i="2" s="1"/>
  <c r="AG1508" i="2"/>
  <c r="AH1508" i="2" s="1"/>
  <c r="AG777" i="2"/>
  <c r="AH777" i="2" s="1"/>
  <c r="AE1382" i="2"/>
  <c r="BO1382" i="2" s="1"/>
  <c r="BM1382" i="2" s="1"/>
  <c r="AG1382" i="2"/>
  <c r="AH1382" i="2" s="1"/>
  <c r="AG1557" i="2"/>
  <c r="AH1557" i="2" s="1"/>
  <c r="AG1530" i="2"/>
  <c r="AH1530" i="2" s="1"/>
  <c r="AH1529" i="2"/>
  <c r="AE1529" i="2"/>
  <c r="BO1529" i="2" s="1"/>
  <c r="BM1529" i="2" s="1"/>
  <c r="AE1501" i="2"/>
  <c r="BO1501" i="2" s="1"/>
  <c r="BM1501" i="2" s="1"/>
  <c r="AE553" i="2"/>
  <c r="BO553" i="2" s="1"/>
  <c r="BM553" i="2" s="1"/>
  <c r="AE305" i="2"/>
  <c r="BO305" i="2" s="1"/>
  <c r="BM305" i="2" s="1"/>
  <c r="AE588" i="2"/>
  <c r="BO588" i="2" s="1"/>
  <c r="BM588" i="2" s="1"/>
  <c r="AH1647" i="2"/>
  <c r="AE245" i="2"/>
  <c r="BO245" i="2" s="1"/>
  <c r="BM245" i="2" s="1"/>
  <c r="AG751" i="2"/>
  <c r="AH751" i="2" s="1"/>
  <c r="AE1372" i="2"/>
  <c r="BO1372" i="2" s="1"/>
  <c r="BM1372" i="2" s="1"/>
  <c r="AE1228" i="2"/>
  <c r="BO1228" i="2" s="1"/>
  <c r="BM1228" i="2" s="1"/>
  <c r="AG1480" i="2"/>
  <c r="AH1480" i="2" s="1"/>
  <c r="AE1440" i="2"/>
  <c r="BO1440" i="2" s="1"/>
  <c r="BM1440" i="2" s="1"/>
  <c r="AE777" i="2"/>
  <c r="BO777" i="2" s="1"/>
  <c r="BM777" i="2" s="1"/>
  <c r="AE1647" i="2"/>
  <c r="BO1647" i="2" s="1"/>
  <c r="BM1647" i="2" s="1"/>
  <c r="AG489" i="2"/>
  <c r="AH489" i="2" s="1"/>
  <c r="AG895" i="2"/>
  <c r="AH895" i="2" s="1"/>
  <c r="AE944" i="2"/>
  <c r="BO944" i="2" s="1"/>
  <c r="BM944" i="2" s="1"/>
  <c r="AG892" i="2"/>
  <c r="AH892" i="2" s="1"/>
  <c r="AG96" i="2"/>
  <c r="AH96" i="2" s="1"/>
  <c r="AG1048" i="2"/>
  <c r="AH1048" i="2" s="1"/>
  <c r="AG939" i="2"/>
  <c r="AH939" i="2" s="1"/>
  <c r="AE313" i="2"/>
  <c r="BO313" i="2" s="1"/>
  <c r="BM313" i="2" s="1"/>
  <c r="AG446" i="2"/>
  <c r="AH446" i="2" s="1"/>
  <c r="AG145" i="2"/>
  <c r="AH145" i="2" s="1"/>
  <c r="AG735" i="2"/>
  <c r="AH735" i="2" s="1"/>
  <c r="AE1599" i="2"/>
  <c r="BO1599" i="2" s="1"/>
  <c r="BM1599" i="2" s="1"/>
  <c r="AG983" i="2"/>
  <c r="AH70" i="2"/>
  <c r="AG349" i="2"/>
  <c r="AH349" i="2" s="1"/>
  <c r="AE1220" i="2"/>
  <c r="BO1220" i="2" s="1"/>
  <c r="BM1220" i="2" s="1"/>
  <c r="AE1300" i="2"/>
  <c r="BO1300" i="2" s="1"/>
  <c r="BM1300" i="2" s="1"/>
  <c r="AG711" i="2"/>
  <c r="AH711" i="2" s="1"/>
  <c r="AE1318" i="2"/>
  <c r="BO1318" i="2" s="1"/>
  <c r="BM1318" i="2" s="1"/>
  <c r="AE902" i="2"/>
  <c r="BO902" i="2" s="1"/>
  <c r="BM902" i="2" s="1"/>
  <c r="AG38" i="2"/>
  <c r="AH38" i="2" s="1"/>
  <c r="AE749" i="2"/>
  <c r="BO749" i="2" s="1"/>
  <c r="BM749" i="2" s="1"/>
  <c r="AG744" i="2"/>
  <c r="AH744" i="2" s="1"/>
  <c r="AE545" i="2"/>
  <c r="BO545" i="2" s="1"/>
  <c r="BM545" i="2" s="1"/>
  <c r="AG70" i="2"/>
  <c r="AE1516" i="2"/>
  <c r="BO1516" i="2" s="1"/>
  <c r="BM1516" i="2" s="1"/>
  <c r="AG666" i="2"/>
  <c r="AH666" i="2" s="1"/>
  <c r="AE230" i="2"/>
  <c r="BO230" i="2" s="1"/>
  <c r="BM230" i="2" s="1"/>
  <c r="AE82" i="2"/>
  <c r="BO82" i="2" s="1"/>
  <c r="BM82" i="2" s="1"/>
  <c r="AE89" i="2"/>
  <c r="BO89" i="2" s="1"/>
  <c r="BM89" i="2" s="1"/>
  <c r="AG397" i="2"/>
  <c r="AH397" i="2" s="1"/>
  <c r="AE730" i="2"/>
  <c r="BO730" i="2" s="1"/>
  <c r="BM730" i="2" s="1"/>
  <c r="AE292" i="2"/>
  <c r="BO292" i="2" s="1"/>
  <c r="BM292" i="2" s="1"/>
  <c r="AG1534" i="2"/>
  <c r="AH1534" i="2" s="1"/>
  <c r="AG165" i="2"/>
  <c r="AH165" i="2" s="1"/>
  <c r="AG1385" i="2"/>
  <c r="AH1385" i="2" s="1"/>
  <c r="AG1467" i="2"/>
  <c r="AH1467" i="2" s="1"/>
  <c r="AE1445" i="2"/>
  <c r="BO1445" i="2" s="1"/>
  <c r="BM1445" i="2" s="1"/>
  <c r="AE150" i="2"/>
  <c r="BO150" i="2" s="1"/>
  <c r="BM150" i="2" s="1"/>
  <c r="AG941" i="2"/>
  <c r="AH941" i="2" s="1"/>
  <c r="AE426" i="2"/>
  <c r="BO426" i="2" s="1"/>
  <c r="BM426" i="2" s="1"/>
  <c r="AE1149" i="2"/>
  <c r="BO1149" i="2" s="1"/>
  <c r="BM1149" i="2" s="1"/>
  <c r="AG1362" i="2"/>
  <c r="AH1362" i="2" s="1"/>
  <c r="AE26" i="2"/>
  <c r="BO26" i="2" s="1"/>
  <c r="BM26" i="2" s="1"/>
  <c r="AG1416" i="2"/>
  <c r="AH1416" i="2" s="1"/>
  <c r="AE1008" i="2"/>
  <c r="BO1008" i="2" s="1"/>
  <c r="BM1008" i="2" s="1"/>
  <c r="AE1399" i="2"/>
  <c r="BO1399" i="2" s="1"/>
  <c r="BM1399" i="2" s="1"/>
  <c r="AG41" i="2"/>
  <c r="AE1550" i="2"/>
  <c r="BO1550" i="2" s="1"/>
  <c r="BM1550" i="2" s="1"/>
  <c r="AE558" i="2"/>
  <c r="BO558" i="2" s="1"/>
  <c r="BM558" i="2" s="1"/>
  <c r="AG563" i="2"/>
  <c r="AH563" i="2" s="1"/>
  <c r="AG756" i="2"/>
  <c r="AH756" i="2" s="1"/>
  <c r="AG1326" i="2"/>
  <c r="AH1326" i="2" s="1"/>
  <c r="AG781" i="2"/>
  <c r="AH781" i="2" s="1"/>
  <c r="AG1648" i="2"/>
  <c r="AE951" i="2"/>
  <c r="BO951" i="2" s="1"/>
  <c r="BM951" i="2" s="1"/>
  <c r="AE1460" i="2"/>
  <c r="BO1460" i="2" s="1"/>
  <c r="BM1460" i="2" s="1"/>
  <c r="AG1331" i="2"/>
  <c r="AH1331" i="2" s="1"/>
  <c r="AE1506" i="2"/>
  <c r="BO1506" i="2" s="1"/>
  <c r="BM1506" i="2" s="1"/>
  <c r="AE268" i="2"/>
  <c r="BO268" i="2" s="1"/>
  <c r="BM268" i="2" s="1"/>
  <c r="AE1610" i="2"/>
  <c r="BO1610" i="2" s="1"/>
  <c r="BM1610" i="2" s="1"/>
  <c r="AE163" i="2"/>
  <c r="BO163" i="2" s="1"/>
  <c r="BM163" i="2" s="1"/>
  <c r="AE1255" i="2"/>
  <c r="BO1255" i="2" s="1"/>
  <c r="BM1255" i="2" s="1"/>
  <c r="AE1524" i="2"/>
  <c r="BO1524" i="2" s="1"/>
  <c r="BM1524" i="2" s="1"/>
  <c r="AE785" i="2"/>
  <c r="BO785" i="2" s="1"/>
  <c r="BM785" i="2" s="1"/>
  <c r="AH1648" i="2"/>
  <c r="AH425" i="2"/>
  <c r="AG220" i="2"/>
  <c r="AH220" i="2" s="1"/>
  <c r="AE217" i="2"/>
  <c r="BO217" i="2" s="1"/>
  <c r="BM217" i="2" s="1"/>
  <c r="AE1282" i="2"/>
  <c r="BO1282" i="2" s="1"/>
  <c r="BM1282" i="2" s="1"/>
  <c r="AG209" i="2"/>
  <c r="AH209" i="2" s="1"/>
  <c r="AG1614" i="2"/>
  <c r="AH1614" i="2" s="1"/>
  <c r="AG392" i="2"/>
  <c r="AH392" i="2" s="1"/>
  <c r="AE1057" i="2"/>
  <c r="BO1057" i="2" s="1"/>
  <c r="BM1057" i="2" s="1"/>
  <c r="AG817" i="2"/>
  <c r="AH817" i="2" s="1"/>
  <c r="AE1510" i="2"/>
  <c r="BO1510" i="2" s="1"/>
  <c r="BM1510" i="2" s="1"/>
  <c r="AG106" i="2"/>
  <c r="AH106" i="2" s="1"/>
  <c r="AE600" i="2"/>
  <c r="BO600" i="2" s="1"/>
  <c r="BM600" i="2" s="1"/>
  <c r="AE1102" i="2"/>
  <c r="BO1102" i="2" s="1"/>
  <c r="BM1102" i="2" s="1"/>
  <c r="AE1576" i="2"/>
  <c r="BO1576" i="2" s="1"/>
  <c r="BM1576" i="2" s="1"/>
  <c r="AG1600" i="2"/>
  <c r="AH1600" i="2" s="1"/>
  <c r="AE1332" i="2"/>
  <c r="BO1332" i="2" s="1"/>
  <c r="BM1332" i="2" s="1"/>
  <c r="AG509" i="2"/>
  <c r="AH509" i="2" s="1"/>
  <c r="AG79" i="2"/>
  <c r="AH79" i="2" s="1"/>
  <c r="AE885" i="2"/>
  <c r="BO885" i="2" s="1"/>
  <c r="BM885" i="2" s="1"/>
  <c r="AE699" i="2"/>
  <c r="BO699" i="2" s="1"/>
  <c r="BM699" i="2" s="1"/>
  <c r="AE962" i="2"/>
  <c r="BO962" i="2" s="1"/>
  <c r="BM962" i="2" s="1"/>
  <c r="AG1412" i="2"/>
  <c r="AH1412" i="2" s="1"/>
  <c r="AG822" i="2"/>
  <c r="AH822" i="2" s="1"/>
  <c r="AG1536" i="2"/>
  <c r="AH1536" i="2" s="1"/>
  <c r="AE1509" i="2"/>
  <c r="BO1509" i="2" s="1"/>
  <c r="BM1509" i="2" s="1"/>
  <c r="AG1161" i="2"/>
  <c r="AH1161" i="2" s="1"/>
  <c r="AG414" i="2"/>
  <c r="AH414" i="2" s="1"/>
  <c r="AE504" i="2"/>
  <c r="BO504" i="2" s="1"/>
  <c r="BM504" i="2" s="1"/>
  <c r="AE363" i="2"/>
  <c r="BO363" i="2" s="1"/>
  <c r="BM363" i="2" s="1"/>
  <c r="AE1483" i="2"/>
  <c r="BO1483" i="2" s="1"/>
  <c r="BM1483" i="2" s="1"/>
  <c r="AE571" i="2"/>
  <c r="BO571" i="2" s="1"/>
  <c r="BM571" i="2" s="1"/>
  <c r="AE361" i="2"/>
  <c r="BO361" i="2" s="1"/>
  <c r="BM361" i="2" s="1"/>
  <c r="AE778" i="2"/>
  <c r="BO778" i="2" s="1"/>
  <c r="BM778" i="2" s="1"/>
  <c r="AG577" i="2"/>
  <c r="AH577" i="2" s="1"/>
  <c r="AE1601" i="2"/>
  <c r="BO1601" i="2" s="1"/>
  <c r="BM1601" i="2" s="1"/>
  <c r="AE1492" i="2"/>
  <c r="BO1492" i="2" s="1"/>
  <c r="BM1492" i="2" s="1"/>
  <c r="AE295" i="2"/>
  <c r="BO295" i="2" s="1"/>
  <c r="BM295" i="2" s="1"/>
  <c r="AE225" i="2"/>
  <c r="BO225" i="2" s="1"/>
  <c r="BM225" i="2" s="1"/>
  <c r="AE687" i="2"/>
  <c r="BO687" i="2" s="1"/>
  <c r="BM687" i="2" s="1"/>
  <c r="AG427" i="2"/>
  <c r="AH427" i="2" s="1"/>
  <c r="AE1078" i="2"/>
  <c r="BO1078" i="2" s="1"/>
  <c r="BM1078" i="2" s="1"/>
  <c r="AE1257" i="2"/>
  <c r="BO1257" i="2" s="1"/>
  <c r="BM1257" i="2" s="1"/>
  <c r="AE1169" i="2"/>
  <c r="BO1169" i="2" s="1"/>
  <c r="BM1169" i="2" s="1"/>
  <c r="AE1485" i="2"/>
  <c r="BO1485" i="2" s="1"/>
  <c r="BM1485" i="2" s="1"/>
  <c r="AE31" i="2"/>
  <c r="BO31" i="2" s="1"/>
  <c r="BM31" i="2" s="1"/>
  <c r="AG1099" i="2"/>
  <c r="AH1099" i="2" s="1"/>
  <c r="AE187" i="2"/>
  <c r="BO187" i="2" s="1"/>
  <c r="BM187" i="2" s="1"/>
  <c r="AE538" i="2"/>
  <c r="BO538" i="2" s="1"/>
  <c r="BM538" i="2" s="1"/>
  <c r="AG1106" i="2"/>
  <c r="AH1106" i="2" s="1"/>
  <c r="AG1387" i="2"/>
  <c r="AH1387" i="2" s="1"/>
  <c r="AE380" i="2"/>
  <c r="BO380" i="2" s="1"/>
  <c r="BM380" i="2" s="1"/>
  <c r="AE1222" i="2"/>
  <c r="BO1222" i="2" s="1"/>
  <c r="BM1222" i="2" s="1"/>
  <c r="AG1020" i="2"/>
  <c r="AH1020" i="2" s="1"/>
  <c r="AE715" i="2"/>
  <c r="BO715" i="2" s="1"/>
  <c r="BM715" i="2" s="1"/>
  <c r="AG233" i="2"/>
  <c r="AH233" i="2" s="1"/>
  <c r="AE1609" i="2"/>
  <c r="BO1609" i="2" s="1"/>
  <c r="BM1609" i="2" s="1"/>
  <c r="AE203" i="2"/>
  <c r="BO203" i="2" s="1"/>
  <c r="BM203" i="2" s="1"/>
  <c r="AG260" i="2"/>
  <c r="AH260" i="2" s="1"/>
  <c r="AG1587" i="2"/>
  <c r="AH1587" i="2" s="1"/>
  <c r="AE1009" i="2"/>
  <c r="BO1009" i="2" s="1"/>
  <c r="BM1009" i="2" s="1"/>
  <c r="AE843" i="2"/>
  <c r="BO843" i="2" s="1"/>
  <c r="BM843" i="2" s="1"/>
  <c r="AH778" i="2"/>
  <c r="AG688" i="2"/>
  <c r="AH688" i="2" s="1"/>
  <c r="AG1402" i="2"/>
  <c r="AH1402" i="2" s="1"/>
  <c r="AE338" i="2"/>
  <c r="BO338" i="2" s="1"/>
  <c r="BM338" i="2" s="1"/>
  <c r="AG434" i="2"/>
  <c r="AH434" i="2" s="1"/>
  <c r="AG1288" i="2"/>
  <c r="AH1288" i="2" s="1"/>
  <c r="AG250" i="2"/>
  <c r="AH250" i="2" s="1"/>
  <c r="AE293" i="2"/>
  <c r="BO293" i="2" s="1"/>
  <c r="BM293" i="2" s="1"/>
  <c r="AE834" i="2"/>
  <c r="BO834" i="2" s="1"/>
  <c r="BM834" i="2" s="1"/>
  <c r="AE1438" i="2"/>
  <c r="BO1438" i="2" s="1"/>
  <c r="BM1438" i="2" s="1"/>
  <c r="AG394" i="2"/>
  <c r="AH394" i="2" s="1"/>
  <c r="AG267" i="2"/>
  <c r="AH267" i="2" s="1"/>
  <c r="AE212" i="2"/>
  <c r="BO212" i="2" s="1"/>
  <c r="BM212" i="2" s="1"/>
  <c r="AG407" i="2"/>
  <c r="AH407" i="2" s="1"/>
  <c r="AG589" i="2"/>
  <c r="AE43" i="2"/>
  <c r="BO43" i="2" s="1"/>
  <c r="BM43" i="2" s="1"/>
  <c r="AG979" i="2"/>
  <c r="AH979" i="2" s="1"/>
  <c r="AH1009" i="2"/>
  <c r="AG1493" i="2"/>
  <c r="AH1493" i="2" s="1"/>
  <c r="AG1619" i="2"/>
  <c r="AH1619" i="2" s="1"/>
  <c r="AG1303" i="2"/>
  <c r="AH1303" i="2" s="1"/>
  <c r="AG704" i="2"/>
  <c r="AH704" i="2" s="1"/>
  <c r="AG495" i="2"/>
  <c r="AH495" i="2" s="1"/>
  <c r="AG1156" i="2"/>
  <c r="AH1156" i="2" s="1"/>
  <c r="AG1287" i="2"/>
  <c r="AH1287" i="2" s="1"/>
  <c r="AG7" i="2"/>
  <c r="AH7" i="2" s="1"/>
  <c r="AG102" i="2"/>
  <c r="AH102" i="2" s="1"/>
  <c r="AE112" i="2"/>
  <c r="BO112" i="2" s="1"/>
  <c r="BM112" i="2" s="1"/>
  <c r="AH589" i="2"/>
  <c r="AH234" i="2"/>
  <c r="AE1204" i="2"/>
  <c r="BO1204" i="2" s="1"/>
  <c r="BM1204" i="2" s="1"/>
  <c r="AE1406" i="2"/>
  <c r="BO1406" i="2" s="1"/>
  <c r="BM1406" i="2" s="1"/>
  <c r="AG1309" i="2"/>
  <c r="AH1309" i="2" s="1"/>
  <c r="AG213" i="2"/>
  <c r="AH213" i="2" s="1"/>
  <c r="AH41" i="2"/>
  <c r="AE1035" i="2"/>
  <c r="BO1035" i="2" s="1"/>
  <c r="BM1035" i="2" s="1"/>
  <c r="AG741" i="2"/>
  <c r="AH741" i="2" s="1"/>
  <c r="AG578" i="2"/>
  <c r="AH578" i="2" s="1"/>
  <c r="AG1118" i="2"/>
  <c r="AH1118" i="2" s="1"/>
  <c r="AG1643" i="2"/>
  <c r="AH1643" i="2" s="1"/>
  <c r="AE943" i="2"/>
  <c r="BO943" i="2" s="1"/>
  <c r="BM943" i="2" s="1"/>
  <c r="AG584" i="2"/>
  <c r="AH584" i="2" s="1"/>
  <c r="AE661" i="2"/>
  <c r="BO661" i="2" s="1"/>
  <c r="BM661" i="2" s="1"/>
  <c r="AE768" i="2"/>
  <c r="BO768" i="2" s="1"/>
  <c r="BM768" i="2" s="1"/>
  <c r="AE206" i="2"/>
  <c r="BO206" i="2" s="1"/>
  <c r="BM206" i="2" s="1"/>
  <c r="AG18" i="2"/>
  <c r="AH18" i="2" s="1"/>
  <c r="AE1275" i="2"/>
  <c r="BO1275" i="2" s="1"/>
  <c r="BM1275" i="2" s="1"/>
  <c r="AG12" i="2"/>
  <c r="AH12" i="2" s="1"/>
  <c r="AG1185" i="2"/>
  <c r="AH1185" i="2" s="1"/>
  <c r="AG1297" i="2"/>
  <c r="AH1297" i="2" s="1"/>
  <c r="AE1640" i="2"/>
  <c r="BO1640" i="2" s="1"/>
  <c r="BM1640" i="2" s="1"/>
  <c r="AG541" i="2"/>
  <c r="AH541" i="2" s="1"/>
  <c r="AG1595" i="2"/>
  <c r="AH1595" i="2" s="1"/>
  <c r="AE404" i="2"/>
  <c r="BO404" i="2" s="1"/>
  <c r="BM404" i="2" s="1"/>
  <c r="AE249" i="2"/>
  <c r="BO249" i="2" s="1"/>
  <c r="BM249" i="2" s="1"/>
  <c r="AG1231" i="2"/>
  <c r="AH1231" i="2" s="1"/>
  <c r="AG1170" i="2"/>
  <c r="AH1170" i="2" s="1"/>
  <c r="AE1170" i="2"/>
  <c r="BO1170" i="2" s="1"/>
  <c r="BM1170" i="2" s="1"/>
  <c r="AG805" i="2"/>
  <c r="AH805" i="2" s="1"/>
  <c r="AE805" i="2"/>
  <c r="BO805" i="2" s="1"/>
  <c r="BM805" i="2" s="1"/>
  <c r="AE599" i="2"/>
  <c r="BO599" i="2" s="1"/>
  <c r="BM599" i="2" s="1"/>
  <c r="AG599" i="2"/>
  <c r="AH599" i="2" s="1"/>
  <c r="AG1091" i="2"/>
  <c r="AH1091" i="2" s="1"/>
  <c r="AE820" i="2"/>
  <c r="BO820" i="2" s="1"/>
  <c r="BM820" i="2" s="1"/>
  <c r="AG480" i="2"/>
  <c r="AH480" i="2" s="1"/>
  <c r="AE1364" i="2"/>
  <c r="BO1364" i="2" s="1"/>
  <c r="BM1364" i="2" s="1"/>
  <c r="AE1623" i="2"/>
  <c r="BO1623" i="2" s="1"/>
  <c r="BM1623" i="2" s="1"/>
  <c r="AG478" i="2"/>
  <c r="AH478" i="2" s="1"/>
  <c r="AG997" i="2"/>
  <c r="AH997" i="2" s="1"/>
  <c r="AG639" i="2"/>
  <c r="AH639" i="2" s="1"/>
  <c r="AE1304" i="2"/>
  <c r="BO1304" i="2" s="1"/>
  <c r="BM1304" i="2" s="1"/>
  <c r="AG351" i="2"/>
  <c r="AH351" i="2" s="1"/>
  <c r="AE689" i="2"/>
  <c r="BO689" i="2" s="1"/>
  <c r="BM689" i="2" s="1"/>
  <c r="AG198" i="2"/>
  <c r="AE405" i="2"/>
  <c r="BO405" i="2" s="1"/>
  <c r="BM405" i="2" s="1"/>
  <c r="AE747" i="2"/>
  <c r="BO747" i="2" s="1"/>
  <c r="BM747" i="2" s="1"/>
  <c r="AH169" i="2"/>
  <c r="AE360" i="2"/>
  <c r="BO360" i="2" s="1"/>
  <c r="BM360" i="2" s="1"/>
  <c r="AE1100" i="2"/>
  <c r="BO1100" i="2" s="1"/>
  <c r="BM1100" i="2" s="1"/>
  <c r="AE769" i="2"/>
  <c r="BO769" i="2" s="1"/>
  <c r="BM769" i="2" s="1"/>
  <c r="AE1002" i="2"/>
  <c r="BO1002" i="2" s="1"/>
  <c r="BM1002" i="2" s="1"/>
  <c r="AG978" i="2"/>
  <c r="AH978" i="2" s="1"/>
  <c r="AE1459" i="2"/>
  <c r="BO1459" i="2" s="1"/>
  <c r="BM1459" i="2" s="1"/>
  <c r="AE162" i="2"/>
  <c r="BO162" i="2" s="1"/>
  <c r="BM162" i="2" s="1"/>
  <c r="AE78" i="2"/>
  <c r="BO78" i="2" s="1"/>
  <c r="BM78" i="2" s="1"/>
  <c r="AE1013" i="2"/>
  <c r="BO1013" i="2" s="1"/>
  <c r="BM1013" i="2" s="1"/>
  <c r="AE1281" i="2"/>
  <c r="BO1281" i="2" s="1"/>
  <c r="BM1281" i="2" s="1"/>
  <c r="AE1068" i="2"/>
  <c r="BO1068" i="2" s="1"/>
  <c r="BM1068" i="2" s="1"/>
  <c r="AE228" i="2"/>
  <c r="BO228" i="2" s="1"/>
  <c r="BM228" i="2" s="1"/>
  <c r="AE1329" i="2"/>
  <c r="BO1329" i="2" s="1"/>
  <c r="BM1329" i="2" s="1"/>
  <c r="AE552" i="2"/>
  <c r="BO552" i="2" s="1"/>
  <c r="BM552" i="2" s="1"/>
  <c r="AG98" i="2"/>
  <c r="AE801" i="2"/>
  <c r="BO801" i="2" s="1"/>
  <c r="BM801" i="2" s="1"/>
  <c r="AE1526" i="2"/>
  <c r="BO1526" i="2" s="1"/>
  <c r="BM1526" i="2" s="1"/>
  <c r="AE454" i="2"/>
  <c r="BO454" i="2" s="1"/>
  <c r="BM454" i="2" s="1"/>
  <c r="AE1076" i="2"/>
  <c r="BO1076" i="2" s="1"/>
  <c r="BM1076" i="2" s="1"/>
  <c r="AE1408" i="2"/>
  <c r="BO1408" i="2" s="1"/>
  <c r="BM1408" i="2" s="1"/>
  <c r="AE494" i="2"/>
  <c r="BO494" i="2" s="1"/>
  <c r="BM494" i="2" s="1"/>
  <c r="AG705" i="2"/>
  <c r="AH705" i="2" s="1"/>
  <c r="AE276" i="2"/>
  <c r="BO276" i="2" s="1"/>
  <c r="BM276" i="2" s="1"/>
  <c r="AE1450" i="2"/>
  <c r="BO1450" i="2" s="1"/>
  <c r="BM1450" i="2" s="1"/>
  <c r="AG1450" i="2"/>
  <c r="AH1450" i="2" s="1"/>
  <c r="AE1134" i="2"/>
  <c r="BO1134" i="2" s="1"/>
  <c r="BM1134" i="2" s="1"/>
  <c r="AG1134" i="2"/>
  <c r="AH1134" i="2" s="1"/>
  <c r="AE844" i="2"/>
  <c r="BO844" i="2" s="1"/>
  <c r="BM844" i="2" s="1"/>
  <c r="AE1328" i="2"/>
  <c r="BO1328" i="2" s="1"/>
  <c r="BM1328" i="2" s="1"/>
  <c r="AE1474" i="2"/>
  <c r="BO1474" i="2" s="1"/>
  <c r="BM1474" i="2" s="1"/>
  <c r="AE1556" i="2"/>
  <c r="BO1556" i="2" s="1"/>
  <c r="BM1556" i="2" s="1"/>
  <c r="AE819" i="2"/>
  <c r="BO819" i="2" s="1"/>
  <c r="BM819" i="2" s="1"/>
  <c r="AG1611" i="2"/>
  <c r="AE205" i="2"/>
  <c r="BO205" i="2" s="1"/>
  <c r="BM205" i="2" s="1"/>
  <c r="BO1539" i="2"/>
  <c r="BM1539" i="2" s="1"/>
  <c r="AE117" i="2"/>
  <c r="BO117" i="2" s="1"/>
  <c r="BM117" i="2" s="1"/>
  <c r="AE279" i="2"/>
  <c r="BO279" i="2" s="1"/>
  <c r="BM279" i="2" s="1"/>
  <c r="AE323" i="2"/>
  <c r="BO323" i="2" s="1"/>
  <c r="BM323" i="2" s="1"/>
  <c r="AG36" i="2"/>
  <c r="AE444" i="2"/>
  <c r="BO444" i="2" s="1"/>
  <c r="BM444" i="2" s="1"/>
  <c r="AE496" i="2"/>
  <c r="BO496" i="2" s="1"/>
  <c r="BM496" i="2" s="1"/>
  <c r="AE1452" i="2"/>
  <c r="BO1452" i="2" s="1"/>
  <c r="BM1452" i="2" s="1"/>
  <c r="AG445" i="2"/>
  <c r="AH445" i="2" s="1"/>
  <c r="AE1650" i="2"/>
  <c r="BO1650" i="2" s="1"/>
  <c r="BM1650" i="2" s="1"/>
  <c r="AE528" i="2"/>
  <c r="BO528" i="2" s="1"/>
  <c r="BM528" i="2" s="1"/>
  <c r="AE1583" i="2"/>
  <c r="BO1583" i="2" s="1"/>
  <c r="BM1583" i="2" s="1"/>
  <c r="AE110" i="2"/>
  <c r="BO110" i="2" s="1"/>
  <c r="BM110" i="2" s="1"/>
  <c r="AH98" i="2"/>
  <c r="AG998" i="2"/>
  <c r="AH998" i="2" s="1"/>
  <c r="AE519" i="2"/>
  <c r="BO519" i="2" s="1"/>
  <c r="BM519" i="2" s="1"/>
  <c r="AG32" i="2"/>
  <c r="AE128" i="2"/>
  <c r="BO128" i="2" s="1"/>
  <c r="BM128" i="2" s="1"/>
  <c r="AG49" i="2"/>
  <c r="AH49" i="2" s="1"/>
  <c r="AG1404" i="2"/>
  <c r="AH1404" i="2" s="1"/>
  <c r="AE366" i="2"/>
  <c r="BO366" i="2" s="1"/>
  <c r="BM366" i="2" s="1"/>
  <c r="AG695" i="2"/>
  <c r="AH695" i="2" s="1"/>
  <c r="AE737" i="2"/>
  <c r="BO737" i="2" s="1"/>
  <c r="BM737" i="2" s="1"/>
  <c r="AE354" i="2"/>
  <c r="BO354" i="2" s="1"/>
  <c r="BM354" i="2" s="1"/>
  <c r="AG354" i="2"/>
  <c r="AH354" i="2"/>
  <c r="AG1005" i="2"/>
  <c r="AH1005" i="2" s="1"/>
  <c r="AE1005" i="2"/>
  <c r="BO1005" i="2" s="1"/>
  <c r="BM1005" i="2" s="1"/>
  <c r="AE1308" i="2"/>
  <c r="BO1308" i="2" s="1"/>
  <c r="BM1308" i="2" s="1"/>
  <c r="AG1308" i="2"/>
  <c r="AH1308" i="2" s="1"/>
  <c r="AG130" i="2"/>
  <c r="AE152" i="2"/>
  <c r="BO152" i="2" s="1"/>
  <c r="BM152" i="2" s="1"/>
  <c r="AG365" i="2"/>
  <c r="AH365" i="2" s="1"/>
  <c r="AG439" i="2"/>
  <c r="AH439" i="2" s="1"/>
  <c r="AE861" i="2"/>
  <c r="BO861" i="2" s="1"/>
  <c r="BM861" i="2" s="1"/>
  <c r="AE1168" i="2"/>
  <c r="BO1168" i="2" s="1"/>
  <c r="BM1168" i="2" s="1"/>
  <c r="AE1374" i="2"/>
  <c r="BO1374" i="2" s="1"/>
  <c r="BM1374" i="2" s="1"/>
  <c r="AE823" i="2"/>
  <c r="BO823" i="2" s="1"/>
  <c r="BM823" i="2" s="1"/>
  <c r="AE1409" i="2"/>
  <c r="BO1409" i="2" s="1"/>
  <c r="BM1409" i="2" s="1"/>
  <c r="AE1123" i="2"/>
  <c r="BO1123" i="2" s="1"/>
  <c r="BM1123" i="2" s="1"/>
  <c r="AE931" i="2"/>
  <c r="BO931" i="2" s="1"/>
  <c r="BM931" i="2" s="1"/>
  <c r="AE678" i="2"/>
  <c r="BO678" i="2" s="1"/>
  <c r="BM678" i="2" s="1"/>
  <c r="AG536" i="2"/>
  <c r="AH536" i="2" s="1"/>
  <c r="AE1050" i="2"/>
  <c r="BO1050" i="2" s="1"/>
  <c r="BM1050" i="2" s="1"/>
  <c r="AE411" i="2"/>
  <c r="BO411" i="2" s="1"/>
  <c r="BM411" i="2" s="1"/>
  <c r="AH36" i="2"/>
  <c r="AH81" i="2"/>
  <c r="AG296" i="2"/>
  <c r="AH296" i="2" s="1"/>
  <c r="AE812" i="2"/>
  <c r="BO812" i="2" s="1"/>
  <c r="BM812" i="2" s="1"/>
  <c r="AE859" i="2"/>
  <c r="BO859" i="2" s="1"/>
  <c r="BM859" i="2" s="1"/>
  <c r="AH1650" i="2"/>
  <c r="AG872" i="2"/>
  <c r="AH872" i="2" s="1"/>
  <c r="AE743" i="2"/>
  <c r="BO743" i="2" s="1"/>
  <c r="BM743" i="2" s="1"/>
  <c r="AE174" i="2"/>
  <c r="BO174" i="2" s="1"/>
  <c r="BM174" i="2" s="1"/>
  <c r="AE1627" i="2"/>
  <c r="BO1627" i="2" s="1"/>
  <c r="BM1627" i="2" s="1"/>
  <c r="AH519" i="2"/>
  <c r="AE518" i="2"/>
  <c r="BO518" i="2" s="1"/>
  <c r="BM518" i="2" s="1"/>
  <c r="AE332" i="2"/>
  <c r="BO332" i="2" s="1"/>
  <c r="BM332" i="2" s="1"/>
  <c r="AG821" i="2"/>
  <c r="AH821" i="2" s="1"/>
  <c r="AE1030" i="2"/>
  <c r="BO1030" i="2" s="1"/>
  <c r="BM1030" i="2" s="1"/>
  <c r="AG1030" i="2"/>
  <c r="AH1030" i="2" s="1"/>
  <c r="AH130" i="2"/>
  <c r="AE1464" i="2"/>
  <c r="BO1464" i="2" s="1"/>
  <c r="BM1464" i="2" s="1"/>
  <c r="AE1436" i="2"/>
  <c r="BO1436" i="2" s="1"/>
  <c r="BM1436" i="2" s="1"/>
  <c r="AE1145" i="2"/>
  <c r="BO1145" i="2" s="1"/>
  <c r="BM1145" i="2" s="1"/>
  <c r="AE415" i="2"/>
  <c r="BO415" i="2" s="1"/>
  <c r="BM415" i="2" s="1"/>
  <c r="AE258" i="2"/>
  <c r="BO258" i="2" s="1"/>
  <c r="BM258" i="2" s="1"/>
  <c r="AE1646" i="2"/>
  <c r="BO1646" i="2" s="1"/>
  <c r="BM1646" i="2" s="1"/>
  <c r="AE1575" i="2"/>
  <c r="BO1575" i="2" s="1"/>
  <c r="BM1575" i="2" s="1"/>
  <c r="AG235" i="2"/>
  <c r="AH235" i="2" s="1"/>
  <c r="AG100" i="2"/>
  <c r="AH100" i="2" s="1"/>
  <c r="AG413" i="2"/>
  <c r="AH413" i="2" s="1"/>
  <c r="AE413" i="2"/>
  <c r="BO413" i="2" s="1"/>
  <c r="BM413" i="2" s="1"/>
  <c r="AH1501" i="2"/>
  <c r="AE1636" i="2"/>
  <c r="BO1636" i="2" s="1"/>
  <c r="BM1636" i="2" s="1"/>
  <c r="AE192" i="2"/>
  <c r="BO192" i="2" s="1"/>
  <c r="BM192" i="2" s="1"/>
  <c r="AE333" i="2"/>
  <c r="BO333" i="2" s="1"/>
  <c r="BM333" i="2" s="1"/>
  <c r="AG1463" i="2"/>
  <c r="AH1463" i="2" s="1"/>
  <c r="AG85" i="2"/>
  <c r="AH85" i="2" s="1"/>
  <c r="AE1421" i="2"/>
  <c r="BO1421" i="2" s="1"/>
  <c r="BM1421" i="2" s="1"/>
  <c r="AG1148" i="2"/>
  <c r="AH1148" i="2" s="1"/>
  <c r="AE244" i="2"/>
  <c r="BO244" i="2" s="1"/>
  <c r="BM244" i="2" s="1"/>
  <c r="AG1313" i="2"/>
  <c r="AH1313" i="2" s="1"/>
  <c r="AE83" i="2"/>
  <c r="BO83" i="2" s="1"/>
  <c r="BM83" i="2" s="1"/>
  <c r="AG609" i="2"/>
  <c r="AH609" i="2" s="1"/>
  <c r="AG935" i="2"/>
  <c r="AH935" i="2" s="1"/>
  <c r="AG1238" i="2"/>
  <c r="AH1238" i="2" s="1"/>
  <c r="AE1031" i="2"/>
  <c r="BO1031" i="2" s="1"/>
  <c r="BM1031" i="2" s="1"/>
  <c r="AG1346" i="2"/>
  <c r="AH1346" i="2" s="1"/>
  <c r="AG324" i="2"/>
  <c r="AH324" i="2" s="1"/>
  <c r="AE450" i="2"/>
  <c r="BO450" i="2" s="1"/>
  <c r="BM450" i="2" s="1"/>
  <c r="AG1197" i="2"/>
  <c r="AH1197" i="2" s="1"/>
  <c r="AE1239" i="2"/>
  <c r="BO1239" i="2" s="1"/>
  <c r="BM1239" i="2" s="1"/>
  <c r="AE1029" i="2"/>
  <c r="BO1029" i="2" s="1"/>
  <c r="BM1029" i="2" s="1"/>
  <c r="AE181" i="2"/>
  <c r="BO181" i="2" s="1"/>
  <c r="BM181" i="2" s="1"/>
  <c r="AE1514" i="2"/>
  <c r="BO1514" i="2" s="1"/>
  <c r="BM1514" i="2" s="1"/>
  <c r="AE335" i="2"/>
  <c r="BO335" i="2" s="1"/>
  <c r="BM335" i="2" s="1"/>
  <c r="AE752" i="2"/>
  <c r="BO752" i="2" s="1"/>
  <c r="BM752" i="2" s="1"/>
  <c r="AE1001" i="2"/>
  <c r="BO1001" i="2" s="1"/>
  <c r="BM1001" i="2" s="1"/>
  <c r="AE739" i="2"/>
  <c r="BO739" i="2" s="1"/>
  <c r="BM739" i="2" s="1"/>
  <c r="AE202" i="2"/>
  <c r="BO202" i="2" s="1"/>
  <c r="BM202" i="2" s="1"/>
  <c r="AE400" i="2"/>
  <c r="BO400" i="2" s="1"/>
  <c r="BM400" i="2" s="1"/>
  <c r="AG920" i="2"/>
  <c r="AH920" i="2" s="1"/>
  <c r="AE1470" i="2"/>
  <c r="BO1470" i="2" s="1"/>
  <c r="BM1470" i="2" s="1"/>
  <c r="AE1546" i="2"/>
  <c r="BO1546" i="2" s="1"/>
  <c r="BM1546" i="2" s="1"/>
  <c r="AE527" i="2"/>
  <c r="BO527" i="2" s="1"/>
  <c r="BM527" i="2" s="1"/>
  <c r="AE383" i="2"/>
  <c r="BO383" i="2" s="1"/>
  <c r="BM383" i="2" s="1"/>
  <c r="AG1620" i="2"/>
  <c r="AH1620" i="2" s="1"/>
  <c r="AG1494" i="2"/>
  <c r="AH1494" i="2" s="1"/>
  <c r="AG1431" i="2"/>
  <c r="AH1431" i="2" s="1"/>
  <c r="AE1555" i="2"/>
  <c r="BO1555" i="2" s="1"/>
  <c r="BM1555" i="2" s="1"/>
  <c r="AE1021" i="2"/>
  <c r="BO1021" i="2" s="1"/>
  <c r="BM1021" i="2" s="1"/>
  <c r="AE254" i="2"/>
  <c r="BO254" i="2" s="1"/>
  <c r="BM254" i="2" s="1"/>
  <c r="AE1234" i="2"/>
  <c r="BO1234" i="2" s="1"/>
  <c r="BM1234" i="2" s="1"/>
  <c r="AE871" i="2"/>
  <c r="BO871" i="2" s="1"/>
  <c r="BM871" i="2" s="1"/>
  <c r="AE559" i="2"/>
  <c r="BO559" i="2" s="1"/>
  <c r="BM559" i="2" s="1"/>
  <c r="AE1626" i="2"/>
  <c r="BO1626" i="2" s="1"/>
  <c r="BM1626" i="2" s="1"/>
  <c r="AE964" i="2"/>
  <c r="BO964" i="2" s="1"/>
  <c r="BM964" i="2" s="1"/>
  <c r="AE603" i="2"/>
  <c r="BO603" i="2" s="1"/>
  <c r="BM603" i="2" s="1"/>
  <c r="AG294" i="2"/>
  <c r="AH294" i="2" s="1"/>
  <c r="AG1221" i="2"/>
  <c r="AH1221" i="2" s="1"/>
  <c r="AG1375" i="2"/>
  <c r="AH1375" i="2" s="1"/>
  <c r="AG1237" i="2"/>
  <c r="AH1237" i="2" s="1"/>
  <c r="AE526" i="2"/>
  <c r="BO526" i="2" s="1"/>
  <c r="BM526" i="2" s="1"/>
  <c r="AE1625" i="2"/>
  <c r="BO1625" i="2" s="1"/>
  <c r="BM1625" i="2" s="1"/>
  <c r="AE1605" i="2"/>
  <c r="BO1605" i="2" s="1"/>
  <c r="BM1605" i="2" s="1"/>
  <c r="AE398" i="2"/>
  <c r="BO398" i="2" s="1"/>
  <c r="BM398" i="2" s="1"/>
  <c r="AG1634" i="2"/>
  <c r="AH1634" i="2" s="1"/>
  <c r="AH983" i="2"/>
  <c r="AG875" i="2"/>
  <c r="AH875" i="2" s="1"/>
  <c r="AE1543" i="2"/>
  <c r="BO1543" i="2" s="1"/>
  <c r="BM1543" i="2" s="1"/>
  <c r="AE1143" i="2"/>
  <c r="BO1143" i="2" s="1"/>
  <c r="BM1143" i="2" s="1"/>
  <c r="AE474" i="2"/>
  <c r="BO474" i="2" s="1"/>
  <c r="BM474" i="2" s="1"/>
  <c r="AE780" i="2"/>
  <c r="BO780" i="2" s="1"/>
  <c r="BM780" i="2" s="1"/>
  <c r="AG788" i="2"/>
  <c r="AH788" i="2" s="1"/>
  <c r="AE215" i="2"/>
  <c r="BO215" i="2" s="1"/>
  <c r="BM215" i="2" s="1"/>
  <c r="AE488" i="2"/>
  <c r="BO488" i="2" s="1"/>
  <c r="BM488" i="2" s="1"/>
  <c r="AE1378" i="2"/>
  <c r="BO1378" i="2" s="1"/>
  <c r="BM1378" i="2" s="1"/>
  <c r="AG29" i="2"/>
  <c r="AH29" i="2" s="1"/>
  <c r="AG1388" i="2"/>
  <c r="AH1388" i="2" s="1"/>
  <c r="AG684" i="2"/>
  <c r="AH684" i="2" s="1"/>
  <c r="AE960" i="2"/>
  <c r="BO960" i="2" s="1"/>
  <c r="BM960" i="2" s="1"/>
  <c r="AH131" i="2"/>
  <c r="AE531" i="2"/>
  <c r="BO531" i="2" s="1"/>
  <c r="BM531" i="2" s="1"/>
  <c r="AG1573" i="2"/>
  <c r="AH1573" i="2" s="1"/>
  <c r="AG608" i="2"/>
  <c r="AH608" i="2" s="1"/>
  <c r="AG1551" i="2"/>
  <c r="AH1551" i="2" s="1"/>
  <c r="AE1358" i="2"/>
  <c r="BO1358" i="2" s="1"/>
  <c r="BM1358" i="2" s="1"/>
  <c r="AE1139" i="2"/>
  <c r="BO1139" i="2" s="1"/>
  <c r="BM1139" i="2" s="1"/>
  <c r="AG1597" i="2"/>
  <c r="AH1597" i="2" s="1"/>
  <c r="AE386" i="2"/>
  <c r="BO386" i="2" s="1"/>
  <c r="BM386" i="2" s="1"/>
  <c r="AG402" i="2"/>
  <c r="AH402" i="2" s="1"/>
  <c r="AG1368" i="2"/>
  <c r="AH1368" i="2" s="1"/>
  <c r="AH720" i="2"/>
  <c r="AE720" i="2"/>
  <c r="BO720" i="2" s="1"/>
  <c r="BM720" i="2" s="1"/>
  <c r="AG900" i="2"/>
  <c r="AH900" i="2" s="1"/>
  <c r="AE436" i="2"/>
  <c r="BO436" i="2" s="1"/>
  <c r="BM436" i="2" s="1"/>
  <c r="AG436" i="2"/>
  <c r="AH436" i="2" s="1"/>
  <c r="AE1577" i="2"/>
  <c r="BO1577" i="2" s="1"/>
  <c r="BM1577" i="2" s="1"/>
  <c r="AG1577" i="2"/>
  <c r="AH1577" i="2" s="1"/>
  <c r="AE1641" i="2"/>
  <c r="BO1641" i="2" s="1"/>
  <c r="BM1641" i="2" s="1"/>
  <c r="AG1641" i="2"/>
  <c r="AH1641" i="2" s="1"/>
  <c r="AE1373" i="2"/>
  <c r="BO1373" i="2" s="1"/>
  <c r="BM1373" i="2" s="1"/>
  <c r="AG1373" i="2"/>
  <c r="AH1373" i="2" s="1"/>
  <c r="AG862" i="2"/>
  <c r="AH862" i="2" s="1"/>
  <c r="AG1347" i="2"/>
  <c r="AG87" i="2"/>
  <c r="AH87" i="2" s="1"/>
  <c r="AE87" i="2"/>
  <c r="BO87" i="2" s="1"/>
  <c r="BM87" i="2" s="1"/>
  <c r="AE1247" i="2"/>
  <c r="BO1247" i="2" s="1"/>
  <c r="BM1247" i="2" s="1"/>
  <c r="AG1247" i="2"/>
  <c r="AH1247" i="2" s="1"/>
  <c r="AE1147" i="2"/>
  <c r="BO1147" i="2" s="1"/>
  <c r="BM1147" i="2" s="1"/>
  <c r="AG1147" i="2"/>
  <c r="AH1147" i="2" s="1"/>
  <c r="AG703" i="2"/>
  <c r="AH703" i="2" s="1"/>
  <c r="AE52" i="2"/>
  <c r="BO52" i="2" s="1"/>
  <c r="BM52" i="2" s="1"/>
  <c r="AE923" i="2"/>
  <c r="BO923" i="2" s="1"/>
  <c r="BM923" i="2" s="1"/>
  <c r="AE1567" i="2"/>
  <c r="BO1567" i="2" s="1"/>
  <c r="BM1567" i="2" s="1"/>
  <c r="AE141" i="2"/>
  <c r="BO141" i="2" s="1"/>
  <c r="BM141" i="2" s="1"/>
  <c r="AE1393" i="2"/>
  <c r="BO1393" i="2" s="1"/>
  <c r="BM1393" i="2" s="1"/>
  <c r="AE234" i="2"/>
  <c r="BO234" i="2" s="1"/>
  <c r="BM234" i="2" s="1"/>
  <c r="AE1442" i="2"/>
  <c r="BO1442" i="2" s="1"/>
  <c r="BM1442" i="2" s="1"/>
  <c r="AG425" i="2"/>
  <c r="AG922" i="2"/>
  <c r="AH922" i="2" s="1"/>
  <c r="AE922" i="2"/>
  <c r="BO922" i="2" s="1"/>
  <c r="BM922" i="2" s="1"/>
  <c r="AE656" i="2"/>
  <c r="BO656" i="2" s="1"/>
  <c r="BM656" i="2" s="1"/>
  <c r="AG656" i="2"/>
  <c r="AH656" i="2" s="1"/>
  <c r="AE1028" i="2"/>
  <c r="BO1028" i="2" s="1"/>
  <c r="BM1028" i="2" s="1"/>
  <c r="AG1028" i="2"/>
  <c r="AH1028" i="2" s="1"/>
  <c r="AE835" i="2"/>
  <c r="BO835" i="2" s="1"/>
  <c r="BM835" i="2" s="1"/>
  <c r="AG835" i="2"/>
  <c r="AH835" i="2" s="1"/>
  <c r="AE246" i="2"/>
  <c r="BO246" i="2" s="1"/>
  <c r="BM246" i="2" s="1"/>
  <c r="AG246" i="2"/>
  <c r="AH246" i="2" s="1"/>
  <c r="AE650" i="2"/>
  <c r="BO650" i="2" s="1"/>
  <c r="BM650" i="2" s="1"/>
  <c r="AG650" i="2"/>
  <c r="AH650" i="2" s="1"/>
  <c r="AE1334" i="2"/>
  <c r="BO1334" i="2" s="1"/>
  <c r="BM1334" i="2" s="1"/>
  <c r="AG1334" i="2"/>
  <c r="AH1334" i="2" s="1"/>
  <c r="AG803" i="2"/>
  <c r="AH803" i="2" s="1"/>
  <c r="AE1189" i="2"/>
  <c r="BO1189" i="2" s="1"/>
  <c r="BM1189" i="2" s="1"/>
  <c r="BO1353" i="2"/>
  <c r="BM1353" i="2" s="1"/>
  <c r="AE1347" i="2"/>
  <c r="BO1347" i="2" s="1"/>
  <c r="BM1347" i="2" s="1"/>
  <c r="AE358" i="2"/>
  <c r="BO358" i="2" s="1"/>
  <c r="BM358" i="2" s="1"/>
  <c r="AE1548" i="2"/>
  <c r="BO1548" i="2" s="1"/>
  <c r="BM1548" i="2" s="1"/>
  <c r="AE1036" i="2"/>
  <c r="BO1036" i="2" s="1"/>
  <c r="BM1036" i="2" s="1"/>
  <c r="AE1117" i="2"/>
  <c r="BO1117" i="2" s="1"/>
  <c r="BM1117" i="2" s="1"/>
  <c r="AE1457" i="2"/>
  <c r="BO1457" i="2" s="1"/>
  <c r="BM1457" i="2" s="1"/>
  <c r="AE1323" i="2"/>
  <c r="BO1323" i="2" s="1"/>
  <c r="BM1323" i="2" s="1"/>
  <c r="AE1451" i="2"/>
  <c r="BO1451" i="2" s="1"/>
  <c r="BM1451" i="2" s="1"/>
  <c r="AG1283" i="2"/>
  <c r="AH1283" i="2" s="1"/>
  <c r="AE1283" i="2"/>
  <c r="BO1283" i="2" s="1"/>
  <c r="BM1283" i="2" s="1"/>
  <c r="AG936" i="2"/>
  <c r="AH936" i="2" s="1"/>
  <c r="AE936" i="2"/>
  <c r="BO936" i="2" s="1"/>
  <c r="BM936" i="2" s="1"/>
  <c r="AE1110" i="2"/>
  <c r="BO1110" i="2" s="1"/>
  <c r="BM1110" i="2" s="1"/>
  <c r="AG94" i="2"/>
  <c r="AH94" i="2" s="1"/>
  <c r="AE94" i="2"/>
  <c r="BO94" i="2" s="1"/>
  <c r="BM94" i="2" s="1"/>
  <c r="AE1520" i="2"/>
  <c r="BO1520" i="2" s="1"/>
  <c r="BM1520" i="2" s="1"/>
  <c r="AG1520" i="2"/>
  <c r="AH1520" i="2" s="1"/>
  <c r="AE91" i="2"/>
  <c r="BO91" i="2" s="1"/>
  <c r="BM91" i="2" s="1"/>
  <c r="AG91" i="2"/>
  <c r="AH91" i="2" s="1"/>
  <c r="AG890" i="2"/>
  <c r="AH890" i="2" s="1"/>
  <c r="AG753" i="2"/>
  <c r="AH753" i="2"/>
  <c r="AE753" i="2"/>
  <c r="BO753" i="2" s="1"/>
  <c r="BM753" i="2" s="1"/>
  <c r="AE139" i="2"/>
  <c r="BO139" i="2" s="1"/>
  <c r="BM139" i="2" s="1"/>
  <c r="AG139" i="2"/>
  <c r="AH139" i="2"/>
  <c r="AE473" i="2"/>
  <c r="BO473" i="2" s="1"/>
  <c r="BM473" i="2" s="1"/>
  <c r="AG473" i="2"/>
  <c r="AH473" i="2" s="1"/>
  <c r="AE989" i="2"/>
  <c r="BO989" i="2" s="1"/>
  <c r="BM989" i="2" s="1"/>
  <c r="AG989" i="2"/>
  <c r="AH989" i="2" s="1"/>
  <c r="AE1074" i="2"/>
  <c r="BO1074" i="2" s="1"/>
  <c r="BM1074" i="2" s="1"/>
  <c r="AG1074" i="2"/>
  <c r="AH1074" i="2" s="1"/>
  <c r="AG1316" i="2"/>
  <c r="AH1316" i="2" s="1"/>
  <c r="AG1484" i="2"/>
  <c r="AH1484" i="2" s="1"/>
  <c r="AE1210" i="2"/>
  <c r="BO1210" i="2" s="1"/>
  <c r="BM1210" i="2" s="1"/>
  <c r="AG1248" i="2"/>
  <c r="AH1248" i="2" s="1"/>
  <c r="AE1248" i="2"/>
  <c r="BO1248" i="2" s="1"/>
  <c r="BM1248" i="2" s="1"/>
  <c r="AE1040" i="2"/>
  <c r="BO1040" i="2" s="1"/>
  <c r="BM1040" i="2" s="1"/>
  <c r="AG1040" i="2"/>
  <c r="AH1040" i="2" s="1"/>
  <c r="AE551" i="2"/>
  <c r="BO551" i="2" s="1"/>
  <c r="BM551" i="2" s="1"/>
  <c r="AG551" i="2"/>
  <c r="AH551" i="2" s="1"/>
  <c r="AE151" i="2"/>
  <c r="BO151" i="2" s="1"/>
  <c r="BM151" i="2" s="1"/>
  <c r="AG151" i="2"/>
  <c r="AH151" i="2" s="1"/>
  <c r="AE959" i="2"/>
  <c r="BO959" i="2" s="1"/>
  <c r="BM959" i="2" s="1"/>
  <c r="AG959" i="2"/>
  <c r="AH959" i="2" s="1"/>
  <c r="AE740" i="2"/>
  <c r="BO740" i="2" s="1"/>
  <c r="BM740" i="2" s="1"/>
  <c r="AG740" i="2"/>
  <c r="AH740" i="2" s="1"/>
  <c r="AE142" i="2"/>
  <c r="BO142" i="2" s="1"/>
  <c r="BM142" i="2" s="1"/>
  <c r="AG142" i="2"/>
  <c r="AH142" i="2" s="1"/>
  <c r="AG47" i="2"/>
  <c r="AH47" i="2" s="1"/>
  <c r="AG131" i="2"/>
  <c r="AE387" i="2"/>
  <c r="BO387" i="2" s="1"/>
  <c r="BM387" i="2" s="1"/>
  <c r="AG387" i="2"/>
  <c r="AH387" i="2" s="1"/>
  <c r="AH1012" i="2"/>
  <c r="AE1012" i="2"/>
  <c r="BO1012" i="2" s="1"/>
  <c r="BM1012" i="2" s="1"/>
  <c r="AE1240" i="2"/>
  <c r="BO1240" i="2" s="1"/>
  <c r="BM1240" i="2" s="1"/>
  <c r="AG1240" i="2"/>
  <c r="AH1240" i="2" s="1"/>
  <c r="AE1649" i="2"/>
  <c r="BO1649" i="2" s="1"/>
  <c r="BM1649" i="2" s="1"/>
  <c r="AG1649" i="2"/>
  <c r="AH1649" i="2"/>
  <c r="AE1154" i="2"/>
  <c r="BO1154" i="2" s="1"/>
  <c r="BM1154" i="2" s="1"/>
  <c r="AG1154" i="2"/>
  <c r="AH1154" i="2" s="1"/>
  <c r="AG231" i="2"/>
  <c r="AH231" i="2" s="1"/>
  <c r="AG870" i="2"/>
  <c r="AH870" i="2" s="1"/>
  <c r="AE810" i="2"/>
  <c r="BO810" i="2" s="1"/>
  <c r="BM810" i="2" s="1"/>
  <c r="AG573" i="2"/>
  <c r="AH573" i="2" s="1"/>
  <c r="AE1637" i="2"/>
  <c r="BO1637" i="2" s="1"/>
  <c r="BM1637" i="2" s="1"/>
  <c r="AG500" i="2"/>
  <c r="AH500" i="2" s="1"/>
  <c r="AE485" i="2"/>
  <c r="BO485" i="2" s="1"/>
  <c r="BM485" i="2" s="1"/>
  <c r="AE277" i="2"/>
  <c r="BO277" i="2" s="1"/>
  <c r="BM277" i="2" s="1"/>
  <c r="AE1386" i="2"/>
  <c r="BO1386" i="2" s="1"/>
  <c r="BM1386" i="2" s="1"/>
  <c r="AG8" i="2"/>
  <c r="AH8" i="2" s="1"/>
  <c r="AG1632" i="2"/>
  <c r="AH1632" i="2" s="1"/>
  <c r="AE757" i="2"/>
  <c r="BO757" i="2" s="1"/>
  <c r="BM757" i="2" s="1"/>
  <c r="AG286" i="2"/>
  <c r="AH286" i="2" s="1"/>
  <c r="AE1173" i="2"/>
  <c r="BO1173" i="2" s="1"/>
  <c r="BM1173" i="2" s="1"/>
  <c r="AE1584" i="2"/>
  <c r="BO1584" i="2" s="1"/>
  <c r="BM1584" i="2" s="1"/>
  <c r="AG97" i="2"/>
  <c r="AH97" i="2" s="1"/>
  <c r="AG790" i="2"/>
  <c r="AH790" i="2" s="1"/>
  <c r="AE1505" i="2"/>
  <c r="BO1505" i="2" s="1"/>
  <c r="BM1505" i="2" s="1"/>
  <c r="AE1081" i="2"/>
  <c r="BO1081" i="2" s="1"/>
  <c r="BM1081" i="2" s="1"/>
  <c r="AG1411" i="2"/>
  <c r="AH1411" i="2" s="1"/>
  <c r="AG1344" i="2"/>
  <c r="AH1344" i="2" s="1"/>
  <c r="AE1639" i="2"/>
  <c r="BO1639" i="2" s="1"/>
  <c r="BM1639" i="2" s="1"/>
  <c r="AG283" i="2"/>
  <c r="AH283" i="2" s="1"/>
  <c r="AG908" i="2"/>
  <c r="AH908" i="2" s="1"/>
  <c r="AE224" i="2"/>
  <c r="BO224" i="2" s="1"/>
  <c r="BM224" i="2" s="1"/>
  <c r="AE104" i="2"/>
  <c r="BO104" i="2" s="1"/>
  <c r="BM104" i="2" s="1"/>
  <c r="AE1363" i="2"/>
  <c r="BO1363" i="2" s="1"/>
  <c r="BM1363" i="2" s="1"/>
  <c r="AE437" i="2"/>
  <c r="BO437" i="2" s="1"/>
  <c r="BM437" i="2" s="1"/>
  <c r="AG381" i="2"/>
  <c r="AH381" i="2" s="1"/>
  <c r="AG1172" i="2"/>
  <c r="AH1172" i="2" s="1"/>
  <c r="AG969" i="2"/>
  <c r="AH969" i="2" s="1"/>
  <c r="AE686" i="2"/>
  <c r="BO686" i="2" s="1"/>
  <c r="BM686" i="2" s="1"/>
  <c r="AE916" i="2"/>
  <c r="BO916" i="2" s="1"/>
  <c r="BM916" i="2" s="1"/>
  <c r="AG1080" i="2"/>
  <c r="AH1080" i="2" s="1"/>
  <c r="AG499" i="2"/>
  <c r="AH499" i="2" s="1"/>
  <c r="AE860" i="2"/>
  <c r="BO860" i="2" s="1"/>
  <c r="BM860" i="2" s="1"/>
  <c r="AG579" i="2"/>
  <c r="AH579" i="2" s="1"/>
  <c r="AG270" i="2"/>
  <c r="AH270" i="2" s="1"/>
  <c r="AG858" i="2"/>
  <c r="AH858" i="2" s="1"/>
  <c r="AE858" i="2"/>
  <c r="BO858" i="2" s="1"/>
  <c r="BM858" i="2" s="1"/>
  <c r="AE1441" i="2"/>
  <c r="BO1441" i="2" s="1"/>
  <c r="BM1441" i="2" s="1"/>
  <c r="AH1441" i="2"/>
  <c r="AE1611" i="2"/>
  <c r="BO1611" i="2" s="1"/>
  <c r="BM1611" i="2" s="1"/>
  <c r="AE618" i="2"/>
  <c r="BO618" i="2" s="1"/>
  <c r="BM618" i="2" s="1"/>
  <c r="AG618" i="2"/>
  <c r="AE336" i="2"/>
  <c r="BO336" i="2" s="1"/>
  <c r="BM336" i="2" s="1"/>
  <c r="AG336" i="2"/>
  <c r="AH336" i="2" s="1"/>
  <c r="AE1563" i="2"/>
  <c r="BO1563" i="2" s="1"/>
  <c r="BM1563" i="2" s="1"/>
  <c r="AE831" i="2"/>
  <c r="BO831" i="2" s="1"/>
  <c r="BM831" i="2" s="1"/>
  <c r="AG831" i="2"/>
  <c r="AH831" i="2" s="1"/>
  <c r="AE1131" i="2"/>
  <c r="BO1131" i="2" s="1"/>
  <c r="BM1131" i="2" s="1"/>
  <c r="AG1131" i="2"/>
  <c r="AH1131" i="2" s="1"/>
  <c r="AE585" i="2"/>
  <c r="BO585" i="2" s="1"/>
  <c r="BM585" i="2" s="1"/>
  <c r="AG585" i="2"/>
  <c r="AH585" i="2" s="1"/>
  <c r="AG1354" i="2"/>
  <c r="AH1354" i="2" s="1"/>
  <c r="AG1061" i="2"/>
  <c r="AH1061" i="2" s="1"/>
  <c r="AE1061" i="2"/>
  <c r="BO1061" i="2" s="1"/>
  <c r="BM1061" i="2" s="1"/>
  <c r="AG223" i="2"/>
  <c r="AH223" i="2" s="1"/>
  <c r="AE367" i="2"/>
  <c r="BO367" i="2" s="1"/>
  <c r="BM367" i="2" s="1"/>
  <c r="AG367" i="2"/>
  <c r="AH367" i="2" s="1"/>
  <c r="AH198" i="2"/>
  <c r="AE343" i="2"/>
  <c r="BO343" i="2" s="1"/>
  <c r="BM343" i="2" s="1"/>
  <c r="AE88" i="2"/>
  <c r="BO88" i="2" s="1"/>
  <c r="BM88" i="2" s="1"/>
  <c r="AE723" i="2"/>
  <c r="BO723" i="2" s="1"/>
  <c r="BM723" i="2" s="1"/>
  <c r="AG134" i="2"/>
  <c r="AH134" i="2" s="1"/>
  <c r="AE493" i="2"/>
  <c r="BO493" i="2" s="1"/>
  <c r="BM493" i="2" s="1"/>
  <c r="AE342" i="2"/>
  <c r="BO342" i="2" s="1"/>
  <c r="BM342" i="2" s="1"/>
  <c r="AE438" i="2"/>
  <c r="BO438" i="2" s="1"/>
  <c r="BM438" i="2" s="1"/>
  <c r="AE901" i="2"/>
  <c r="BO901" i="2" s="1"/>
  <c r="BM901" i="2" s="1"/>
  <c r="AE1549" i="2"/>
  <c r="BO1549" i="2" s="1"/>
  <c r="BM1549" i="2" s="1"/>
  <c r="AE412" i="2"/>
  <c r="BO412" i="2" s="1"/>
  <c r="BM412" i="2" s="1"/>
  <c r="AE432" i="2"/>
  <c r="BO432" i="2" s="1"/>
  <c r="BM432" i="2" s="1"/>
  <c r="AE1088" i="2"/>
  <c r="BO1088" i="2" s="1"/>
  <c r="BM1088" i="2" s="1"/>
  <c r="AG232" i="2"/>
  <c r="AH232" i="2" s="1"/>
  <c r="AE1631" i="2"/>
  <c r="BO1631" i="2" s="1"/>
  <c r="BM1631" i="2" s="1"/>
  <c r="AE539" i="2"/>
  <c r="BO539" i="2" s="1"/>
  <c r="BM539" i="2" s="1"/>
  <c r="AE722" i="2"/>
  <c r="BO722" i="2" s="1"/>
  <c r="BM722" i="2" s="1"/>
  <c r="AE265" i="2"/>
  <c r="BO265" i="2" s="1"/>
  <c r="BM265" i="2" s="1"/>
  <c r="AE199" i="2"/>
  <c r="BO199" i="2" s="1"/>
  <c r="BM199" i="2" s="1"/>
  <c r="AE111" i="2"/>
  <c r="BO111" i="2" s="1"/>
  <c r="BM111" i="2" s="1"/>
  <c r="AE207" i="2"/>
  <c r="BO207" i="2" s="1"/>
  <c r="BM207" i="2" s="1"/>
  <c r="AE710" i="2"/>
  <c r="BO710" i="2" s="1"/>
  <c r="BM710" i="2" s="1"/>
  <c r="AG44" i="2"/>
  <c r="AH44" i="2" s="1"/>
  <c r="AE1051" i="2"/>
  <c r="BO1051" i="2" s="1"/>
  <c r="BM1051" i="2" s="1"/>
  <c r="AE1560" i="2"/>
  <c r="BO1560" i="2" s="1"/>
  <c r="BM1560" i="2" s="1"/>
  <c r="AG53" i="2"/>
  <c r="AH53" i="2" s="1"/>
  <c r="AH1462" i="2"/>
  <c r="AE1462" i="2"/>
  <c r="BO1462" i="2" s="1"/>
  <c r="BM1462" i="2" s="1"/>
  <c r="AE1415" i="2"/>
  <c r="BO1415" i="2" s="1"/>
  <c r="BM1415" i="2" s="1"/>
  <c r="AE827" i="2"/>
  <c r="BO827" i="2" s="1"/>
  <c r="BM827" i="2" s="1"/>
  <c r="AH827" i="2"/>
  <c r="AG827" i="2"/>
  <c r="AE285" i="2"/>
  <c r="BO285" i="2" s="1"/>
  <c r="BM285" i="2" s="1"/>
  <c r="AG285" i="2"/>
  <c r="AH285" i="2" s="1"/>
  <c r="AE1022" i="2"/>
  <c r="BO1022" i="2" s="1"/>
  <c r="BM1022" i="2" s="1"/>
  <c r="AG1022" i="2"/>
  <c r="AH1022" i="2" s="1"/>
  <c r="AE1260" i="2"/>
  <c r="BO1260" i="2" s="1"/>
  <c r="BM1260" i="2" s="1"/>
  <c r="AG1260" i="2"/>
  <c r="AH1260" i="2" s="1"/>
  <c r="AG1581" i="2"/>
  <c r="AH1581" i="2" s="1"/>
  <c r="AE1581" i="2"/>
  <c r="BO1581" i="2" s="1"/>
  <c r="BM1581" i="2" s="1"/>
  <c r="AG169" i="2"/>
  <c r="AG1114" i="2"/>
  <c r="AH1114" i="2" s="1"/>
  <c r="AH901" i="2"/>
  <c r="AG81" i="2"/>
  <c r="AH265" i="2"/>
  <c r="AG118" i="2"/>
  <c r="AH118" i="2" s="1"/>
  <c r="AE118" i="2"/>
  <c r="BO118" i="2" s="1"/>
  <c r="BM118" i="2" s="1"/>
  <c r="AE968" i="2"/>
  <c r="BO968" i="2" s="1"/>
  <c r="BM968" i="2" s="1"/>
  <c r="AG968" i="2"/>
  <c r="AH968" i="2" s="1"/>
  <c r="AG1635" i="2"/>
  <c r="AH1635" i="2" s="1"/>
  <c r="AE1635" i="2"/>
  <c r="BO1635" i="2" s="1"/>
  <c r="BM1635" i="2" s="1"/>
  <c r="AG1023" i="2"/>
  <c r="AH1023" i="2" s="1"/>
  <c r="AE1023" i="2"/>
  <c r="BO1023" i="2" s="1"/>
  <c r="BM1023" i="2" s="1"/>
  <c r="AE554" i="2"/>
  <c r="BO554" i="2" s="1"/>
  <c r="BM554" i="2" s="1"/>
  <c r="AG554" i="2"/>
  <c r="AH554" i="2" s="1"/>
  <c r="AE1138" i="2"/>
  <c r="BO1138" i="2" s="1"/>
  <c r="BM1138" i="2" s="1"/>
  <c r="AE167" i="2"/>
  <c r="BO167" i="2" s="1"/>
  <c r="BM167" i="2" s="1"/>
  <c r="AG497" i="2"/>
  <c r="AH497" i="2" s="1"/>
  <c r="AE793" i="2"/>
  <c r="BO793" i="2" s="1"/>
  <c r="BM793" i="2" s="1"/>
  <c r="AE486" i="2"/>
  <c r="BO486" i="2" s="1"/>
  <c r="BM486" i="2" s="1"/>
  <c r="AE1258" i="2"/>
  <c r="BO1258" i="2" s="1"/>
  <c r="BM1258" i="2" s="1"/>
  <c r="AE475" i="2"/>
  <c r="BO475" i="2" s="1"/>
  <c r="BM475" i="2" s="1"/>
  <c r="AE1558" i="2"/>
  <c r="BO1558" i="2" s="1"/>
  <c r="BM1558" i="2" s="1"/>
  <c r="AE1107" i="2"/>
  <c r="BO1107" i="2" s="1"/>
  <c r="BM1107" i="2" s="1"/>
  <c r="AG1107" i="2"/>
  <c r="AH1107" i="2" s="1"/>
  <c r="AE1227" i="2"/>
  <c r="BO1227" i="2" s="1"/>
  <c r="BM1227" i="2" s="1"/>
  <c r="AG1227" i="2"/>
  <c r="AH1227" i="2" s="1"/>
  <c r="AE34" i="2"/>
  <c r="BO34" i="2" s="1"/>
  <c r="BM34" i="2" s="1"/>
  <c r="AG34" i="2"/>
  <c r="AH34" i="2" s="1"/>
  <c r="AE348" i="2"/>
  <c r="BO348" i="2" s="1"/>
  <c r="BM348" i="2" s="1"/>
  <c r="AG348" i="2"/>
  <c r="AH348" i="2" s="1"/>
  <c r="AG204" i="2"/>
  <c r="AH204" i="2" s="1"/>
  <c r="AE543" i="2"/>
  <c r="BO543" i="2" s="1"/>
  <c r="BM543" i="2" s="1"/>
  <c r="AG543" i="2"/>
  <c r="AH543" i="2" s="1"/>
  <c r="AE1417" i="2"/>
  <c r="BO1417" i="2" s="1"/>
  <c r="BM1417" i="2" s="1"/>
  <c r="AG1417" i="2"/>
  <c r="AH1417" i="2" s="1"/>
  <c r="AE873" i="2"/>
  <c r="BO873" i="2" s="1"/>
  <c r="BM873" i="2" s="1"/>
  <c r="AE1377" i="2"/>
  <c r="BO1377" i="2" s="1"/>
  <c r="BM1377" i="2" s="1"/>
  <c r="AH1646" i="2"/>
  <c r="AE1488" i="2"/>
  <c r="BO1488" i="2" s="1"/>
  <c r="BM1488" i="2" s="1"/>
  <c r="AH32" i="2"/>
  <c r="AE520" i="2"/>
  <c r="BO520" i="2" s="1"/>
  <c r="BM520" i="2" s="1"/>
  <c r="AE433" i="2"/>
  <c r="BO433" i="2" s="1"/>
  <c r="BM433" i="2" s="1"/>
  <c r="AE1481" i="2"/>
  <c r="BO1481" i="2" s="1"/>
  <c r="BM1481" i="2" s="1"/>
  <c r="AE184" i="2"/>
  <c r="BO184" i="2" s="1"/>
  <c r="BM184" i="2" s="1"/>
  <c r="AG247" i="2"/>
  <c r="AH247" i="2" s="1"/>
  <c r="AG1476" i="2"/>
  <c r="AH1476" i="2" s="1"/>
  <c r="AG919" i="2"/>
  <c r="AH919" i="2" s="1"/>
  <c r="AE646" i="2"/>
  <c r="BO646" i="2" s="1"/>
  <c r="BM646" i="2" s="1"/>
  <c r="AG646" i="2"/>
  <c r="AH646" i="2" s="1"/>
  <c r="AE846" i="2"/>
  <c r="BO846" i="2" s="1"/>
  <c r="BM846" i="2" s="1"/>
  <c r="AG846" i="2"/>
  <c r="AH846" i="2" s="1"/>
  <c r="AE733" i="2"/>
  <c r="BO733" i="2" s="1"/>
  <c r="BM733" i="2" s="1"/>
  <c r="AG259" i="2"/>
  <c r="AH259" i="2" s="1"/>
  <c r="AG95" i="2"/>
  <c r="AH95" i="2" s="1"/>
  <c r="AE58" i="2"/>
  <c r="BO58" i="2" s="1"/>
  <c r="BM58" i="2" s="1"/>
  <c r="AG58" i="2"/>
  <c r="AH58" i="2" s="1"/>
  <c r="AG1400" i="2"/>
  <c r="AH1400" i="2" s="1"/>
  <c r="AE154" i="2"/>
  <c r="BO154" i="2" s="1"/>
  <c r="BM154" i="2" s="1"/>
  <c r="AG154" i="2"/>
  <c r="AH154" i="2" s="1"/>
  <c r="AE894" i="2"/>
  <c r="BO894" i="2" s="1"/>
  <c r="BM894" i="2" s="1"/>
  <c r="AG894" i="2"/>
  <c r="AH894" i="2" s="1"/>
  <c r="AG1517" i="2"/>
  <c r="AH1517" i="2" s="1"/>
  <c r="AG1256" i="2"/>
  <c r="AH1256" i="2" s="1"/>
  <c r="AE388" i="2"/>
  <c r="BO388" i="2" s="1"/>
  <c r="BM388" i="2" s="1"/>
  <c r="AG388" i="2"/>
  <c r="AH388" i="2" s="1"/>
  <c r="AG1171" i="2"/>
  <c r="AH1171" i="2" s="1"/>
  <c r="AG1271" i="2"/>
  <c r="AH1271" i="2" s="1"/>
  <c r="AE1642" i="2"/>
  <c r="BO1642" i="2" s="1"/>
  <c r="BM1642" i="2" s="1"/>
  <c r="AG1642" i="2"/>
  <c r="AH1642" i="2" s="1"/>
  <c r="AG119" i="2"/>
  <c r="AH119" i="2" s="1"/>
  <c r="AE119" i="2"/>
  <c r="BO119" i="2" s="1"/>
  <c r="BM119" i="2" s="1"/>
  <c r="AE1198" i="2"/>
  <c r="BO1198" i="2" s="1"/>
  <c r="BM1198" i="2" s="1"/>
  <c r="AG1198" i="2"/>
  <c r="AH1198" i="2" s="1"/>
  <c r="AG934" i="2"/>
  <c r="AH934" i="2" s="1"/>
  <c r="AE934" i="2"/>
  <c r="BO934" i="2" s="1"/>
  <c r="BM934" i="2" s="1"/>
  <c r="AE767" i="2"/>
  <c r="BO767" i="2" s="1"/>
  <c r="BM767" i="2" s="1"/>
  <c r="AG767" i="2"/>
  <c r="AH767" i="2" s="1"/>
  <c r="AG622" i="2"/>
  <c r="AH622" i="2" s="1"/>
  <c r="AE915" i="2"/>
  <c r="BO915" i="2" s="1"/>
  <c r="BM915" i="2" s="1"/>
  <c r="AE973" i="2"/>
  <c r="BO973" i="2" s="1"/>
  <c r="BM973" i="2" s="1"/>
  <c r="AE322" i="2"/>
  <c r="BO322" i="2" s="1"/>
  <c r="BM322" i="2" s="1"/>
  <c r="AE1335" i="2"/>
  <c r="BO1335" i="2" s="1"/>
  <c r="BM1335" i="2" s="1"/>
  <c r="AE716" i="2"/>
  <c r="BO716" i="2" s="1"/>
  <c r="BM716" i="2" s="1"/>
  <c r="AE340" i="2"/>
  <c r="BO340" i="2" s="1"/>
  <c r="BM340" i="2" s="1"/>
  <c r="AG878" i="2"/>
  <c r="AH878" i="2" s="1"/>
  <c r="AE837" i="2"/>
  <c r="BO837" i="2" s="1"/>
  <c r="BM837" i="2" s="1"/>
  <c r="AE484" i="2"/>
  <c r="BO484" i="2" s="1"/>
  <c r="BM484" i="2" s="1"/>
  <c r="AE492" i="2"/>
  <c r="BO492" i="2" s="1"/>
  <c r="BM492" i="2" s="1"/>
  <c r="AG492" i="2"/>
  <c r="AH492" i="2" s="1"/>
  <c r="AG1352" i="2"/>
  <c r="AH1352" i="2" s="1"/>
  <c r="AG719" i="2"/>
  <c r="AH719" i="2" s="1"/>
  <c r="AE168" i="2"/>
  <c r="BO168" i="2" s="1"/>
  <c r="BM168" i="2" s="1"/>
  <c r="AE416" i="2"/>
  <c r="BO416" i="2" s="1"/>
  <c r="BM416" i="2" s="1"/>
  <c r="AG416" i="2"/>
  <c r="AH416" i="2" s="1"/>
  <c r="AG124" i="2"/>
  <c r="AH124" i="2" s="1"/>
  <c r="AE124" i="2"/>
  <c r="BO124" i="2" s="1"/>
  <c r="BM124" i="2" s="1"/>
  <c r="AG630" i="2"/>
  <c r="AH630" i="2" s="1"/>
  <c r="AE227" i="2"/>
  <c r="BO227" i="2" s="1"/>
  <c r="BM227" i="2" s="1"/>
  <c r="AG534" i="2"/>
  <c r="AH534" i="2" s="1"/>
  <c r="AE534" i="2"/>
  <c r="BO534" i="2" s="1"/>
  <c r="BM534" i="2" s="1"/>
  <c r="AE157" i="2"/>
  <c r="BO157" i="2" s="1"/>
  <c r="BM157" i="2" s="1"/>
  <c r="AG157" i="2"/>
  <c r="AH157" i="2" s="1"/>
  <c r="AG848" i="2"/>
  <c r="AH848" i="2" s="1"/>
  <c r="AG1142" i="2"/>
  <c r="AH1142" i="2" s="1"/>
  <c r="AE1142" i="2"/>
  <c r="BO1142" i="2" s="1"/>
  <c r="BM1142" i="2" s="1"/>
  <c r="AE1487" i="2"/>
  <c r="BO1487" i="2" s="1"/>
  <c r="BM1487" i="2" s="1"/>
  <c r="AG1487" i="2"/>
  <c r="AH1487" i="2" s="1"/>
  <c r="AE61" i="2"/>
  <c r="BO61" i="2" s="1"/>
  <c r="BM61" i="2" s="1"/>
  <c r="AG61" i="2"/>
  <c r="AH61" i="2" s="1"/>
  <c r="AG961" i="2"/>
  <c r="AH961" i="2" s="1"/>
  <c r="AE961" i="2"/>
  <c r="BO961" i="2" s="1"/>
  <c r="BM961" i="2" s="1"/>
  <c r="AG779" i="2"/>
  <c r="AH779" i="2" s="1"/>
  <c r="AG619" i="2"/>
  <c r="AH619" i="2" s="1"/>
  <c r="AE899" i="2"/>
  <c r="BO899" i="2" s="1"/>
  <c r="BM899" i="2" s="1"/>
  <c r="AG179" i="2"/>
  <c r="AH179" i="2" s="1"/>
  <c r="AE370" i="2"/>
  <c r="BO370" i="2" s="1"/>
  <c r="BM370" i="2" s="1"/>
  <c r="AG1511" i="2"/>
  <c r="AH1511" i="2" s="1"/>
  <c r="AG1112" i="2"/>
  <c r="AH1112" i="2" s="1"/>
  <c r="AE993" i="2"/>
  <c r="BO993" i="2" s="1"/>
  <c r="BM993" i="2" s="1"/>
  <c r="AG1092" i="2"/>
  <c r="AH1092" i="2" s="1"/>
  <c r="AG127" i="2"/>
  <c r="AH127" i="2" s="1"/>
  <c r="AG945" i="2"/>
  <c r="AH945" i="2" s="1"/>
  <c r="AE1016" i="2"/>
  <c r="BO1016" i="2" s="1"/>
  <c r="BM1016" i="2" s="1"/>
  <c r="AE498" i="2"/>
  <c r="BO498" i="2" s="1"/>
  <c r="BM498" i="2" s="1"/>
  <c r="AG498" i="2"/>
  <c r="AH498" i="2" s="1"/>
  <c r="AE261" i="2"/>
  <c r="BO261" i="2" s="1"/>
  <c r="BM261" i="2" s="1"/>
  <c r="AG261" i="2"/>
  <c r="AH261" i="2" s="1"/>
  <c r="AE907" i="2"/>
  <c r="BO907" i="2" s="1"/>
  <c r="BM907" i="2" s="1"/>
  <c r="AG907" i="2"/>
  <c r="AH907" i="2" s="1"/>
  <c r="AE1243" i="2"/>
  <c r="BO1243" i="2" s="1"/>
  <c r="BM1243" i="2" s="1"/>
  <c r="AG1243" i="2"/>
  <c r="AH1243" i="2" s="1"/>
  <c r="AE280" i="2"/>
  <c r="BO280" i="2" s="1"/>
  <c r="BM280" i="2" s="1"/>
  <c r="AG280" i="2"/>
  <c r="AH280" i="2" s="1"/>
  <c r="AG857" i="2"/>
  <c r="AH857" i="2" s="1"/>
  <c r="AE1606" i="2"/>
  <c r="BO1606" i="2" s="1"/>
  <c r="BM1606" i="2" s="1"/>
  <c r="AG1606" i="2"/>
  <c r="AH1606" i="2" s="1"/>
  <c r="AE19" i="2"/>
  <c r="BO19" i="2" s="1"/>
  <c r="BM19" i="2" s="1"/>
  <c r="AG19" i="2"/>
  <c r="AH19" i="2" s="1"/>
  <c r="AE774" i="2"/>
  <c r="BO774" i="2" s="1"/>
  <c r="BM774" i="2" s="1"/>
  <c r="AE1236" i="2"/>
  <c r="BO1236" i="2" s="1"/>
  <c r="BM1236" i="2" s="1"/>
  <c r="AE1557" i="2"/>
  <c r="BO1557" i="2" s="1"/>
  <c r="BM1557" i="2" s="1"/>
  <c r="AE1530" i="2"/>
  <c r="BO1530" i="2" s="1"/>
  <c r="BM1530" i="2" s="1"/>
  <c r="AG595" i="2"/>
  <c r="AH595" i="2" s="1"/>
  <c r="AE410" i="2"/>
  <c r="BO410" i="2" s="1"/>
  <c r="BM410" i="2" s="1"/>
  <c r="AE1073" i="2"/>
  <c r="BO1073" i="2" s="1"/>
  <c r="BM1073" i="2" s="1"/>
  <c r="AE986" i="2"/>
  <c r="BO986" i="2" s="1"/>
  <c r="BM986" i="2" s="1"/>
  <c r="AE845" i="2"/>
  <c r="BO845" i="2" s="1"/>
  <c r="BM845" i="2" s="1"/>
  <c r="AE634" i="2"/>
  <c r="BO634" i="2" s="1"/>
  <c r="BM634" i="2" s="1"/>
  <c r="AE1544" i="2"/>
  <c r="BO1544" i="2" s="1"/>
  <c r="BM1544" i="2" s="1"/>
  <c r="AE1270" i="2"/>
  <c r="BO1270" i="2" s="1"/>
  <c r="BM1270" i="2" s="1"/>
  <c r="AE193" i="2"/>
  <c r="BO193" i="2" s="1"/>
  <c r="BM193" i="2" s="1"/>
  <c r="AE667" i="2"/>
  <c r="BO667" i="2" s="1"/>
  <c r="BM667" i="2" s="1"/>
  <c r="AE1502" i="2"/>
  <c r="BO1502" i="2" s="1"/>
  <c r="BM1502" i="2" s="1"/>
  <c r="AE672" i="2"/>
  <c r="BO672" i="2" s="1"/>
  <c r="BM672" i="2" s="1"/>
  <c r="AG672" i="2"/>
  <c r="AH672" i="2" s="1"/>
  <c r="AE1164" i="2"/>
  <c r="BO1164" i="2" s="1"/>
  <c r="BM1164" i="2" s="1"/>
  <c r="AG1164" i="2"/>
  <c r="AH1164" i="2" s="1"/>
  <c r="AG379" i="2"/>
  <c r="AH379" i="2" s="1"/>
  <c r="AE379" i="2"/>
  <c r="BO379" i="2" s="1"/>
  <c r="BM379" i="2" s="1"/>
  <c r="AG1196" i="2"/>
  <c r="AH1196" i="2" s="1"/>
  <c r="AG1082" i="2"/>
  <c r="AH1082" i="2" s="1"/>
  <c r="AG275" i="2"/>
  <c r="AH275" i="2" s="1"/>
  <c r="AG237" i="2"/>
  <c r="AH237" i="2" s="1"/>
  <c r="AG256" i="2"/>
  <c r="AH256" i="2" s="1"/>
  <c r="AG1533" i="2"/>
  <c r="AH1533" i="2" s="1"/>
  <c r="AE1638" i="2"/>
  <c r="BO1638" i="2" s="1"/>
  <c r="BM1638" i="2" s="1"/>
  <c r="AE430" i="2"/>
  <c r="BO430" i="2" s="1"/>
  <c r="BM430" i="2" s="1"/>
  <c r="AE868" i="2"/>
  <c r="BO868" i="2" s="1"/>
  <c r="BM868" i="2" s="1"/>
  <c r="AG164" i="2"/>
  <c r="AH164" i="2" s="1"/>
  <c r="AE419" i="2"/>
  <c r="BO419" i="2" s="1"/>
  <c r="BM419" i="2" s="1"/>
  <c r="AE724" i="2"/>
  <c r="BO724" i="2" s="1"/>
  <c r="BM724" i="2" s="1"/>
  <c r="AE1146" i="2"/>
  <c r="BO1146" i="2" s="1"/>
  <c r="BM1146" i="2" s="1"/>
  <c r="AG508" i="2"/>
  <c r="AH508" i="2" s="1"/>
  <c r="AG604" i="2"/>
  <c r="AH604" i="2" s="1"/>
  <c r="AG122" i="2"/>
  <c r="AH122" i="2" s="1"/>
  <c r="AE122" i="2"/>
  <c r="BO122" i="2" s="1"/>
  <c r="BM122" i="2" s="1"/>
  <c r="AE355" i="2"/>
  <c r="BO355" i="2" s="1"/>
  <c r="BM355" i="2" s="1"/>
  <c r="AG355" i="2"/>
  <c r="AH355" i="2" s="1"/>
  <c r="AG194" i="2"/>
  <c r="AH194" i="2" s="1"/>
  <c r="AE696" i="2"/>
  <c r="BO696" i="2" s="1"/>
  <c r="BM696" i="2" s="1"/>
  <c r="AG818" i="2"/>
  <c r="AH818" i="2" s="1"/>
  <c r="AE836" i="2"/>
  <c r="BO836" i="2" s="1"/>
  <c r="BM836" i="2" s="1"/>
  <c r="AG836" i="2"/>
  <c r="AH836" i="2" s="1"/>
  <c r="AE1343" i="2"/>
  <c r="BO1343" i="2" s="1"/>
  <c r="BM1343" i="2" s="1"/>
  <c r="AH1343" i="2"/>
  <c r="AE802" i="2"/>
  <c r="BO802" i="2" s="1"/>
  <c r="BM802" i="2" s="1"/>
  <c r="AG802" i="2"/>
  <c r="AH802" i="2" s="1"/>
  <c r="AE1489" i="2"/>
  <c r="BO1489" i="2" s="1"/>
  <c r="BM1489" i="2" s="1"/>
  <c r="AE467" i="2"/>
  <c r="BO467" i="2" s="1"/>
  <c r="BM467" i="2" s="1"/>
  <c r="AE469" i="2"/>
  <c r="BO469" i="2" s="1"/>
  <c r="BM469" i="2" s="1"/>
  <c r="AE1129" i="2"/>
  <c r="BO1129" i="2" s="1"/>
  <c r="BM1129" i="2" s="1"/>
  <c r="AG1469" i="2"/>
  <c r="AH1469" i="2" s="1"/>
  <c r="AG1582" i="2"/>
  <c r="AH1582" i="2" s="1"/>
  <c r="AE1582" i="2"/>
  <c r="BO1582" i="2" s="1"/>
  <c r="BM1582" i="2" s="1"/>
  <c r="AG126" i="2"/>
  <c r="AH126" i="2" s="1"/>
  <c r="AG1585" i="2"/>
  <c r="AH1585" i="2" s="1"/>
  <c r="AE1585" i="2"/>
  <c r="BO1585" i="2" s="1"/>
  <c r="BM1585" i="2" s="1"/>
  <c r="AE382" i="2"/>
  <c r="BO382" i="2" s="1"/>
  <c r="BM382" i="2" s="1"/>
  <c r="AG1141" i="2"/>
  <c r="AH1141" i="2" s="1"/>
  <c r="AE1141" i="2"/>
  <c r="BO1141" i="2" s="1"/>
  <c r="BM1141" i="2" s="1"/>
  <c r="AG612" i="2"/>
  <c r="AH612" i="2" s="1"/>
  <c r="AE1355" i="2"/>
  <c r="BO1355" i="2" s="1"/>
  <c r="BM1355" i="2" s="1"/>
  <c r="Q200" i="2" l="1"/>
  <c r="P200" i="2" l="1"/>
  <c r="AE200" i="2"/>
  <c r="BO200" i="2" s="1"/>
  <c r="BM200" i="2" s="1"/>
  <c r="N200" i="2"/>
  <c r="AG200" i="2" l="1"/>
  <c r="AH200" i="2" s="1"/>
  <c r="AC200" i="2"/>
</calcChain>
</file>

<file path=xl/sharedStrings.xml><?xml version="1.0" encoding="utf-8"?>
<sst xmlns="http://schemas.openxmlformats.org/spreadsheetml/2006/main" count="69715" uniqueCount="806">
  <si>
    <t>description</t>
  </si>
  <si>
    <t>tin_C</t>
  </si>
  <si>
    <t>tout_C</t>
  </si>
  <si>
    <t>tout_exact_value</t>
  </si>
  <si>
    <t>food_product</t>
  </si>
  <si>
    <t>above_nd</t>
  </si>
  <si>
    <t>genus</t>
  </si>
  <si>
    <t>species</t>
  </si>
  <si>
    <t>strain</t>
  </si>
  <si>
    <t>serogroup</t>
  </si>
  <si>
    <t>type_of_cells</t>
  </si>
  <si>
    <t>incubation_time_h</t>
  </si>
  <si>
    <t>est_growth_stage</t>
  </si>
  <si>
    <t>recovery_media</t>
  </si>
  <si>
    <t>selective_yes_no</t>
  </si>
  <si>
    <t>5d_reduction_yes_no</t>
  </si>
  <si>
    <t>reduction_used_for_modelling</t>
  </si>
  <si>
    <t>observations_fitting</t>
  </si>
  <si>
    <t>logd_log_min</t>
  </si>
  <si>
    <t>d_min</t>
  </si>
  <si>
    <t>dest_min</t>
  </si>
  <si>
    <t>dest_se</t>
  </si>
  <si>
    <t>big_logn0_cfu_g_ml</t>
  </si>
  <si>
    <t>big_logn0_cfu_g_ml_se</t>
  </si>
  <si>
    <t>big_rmse</t>
  </si>
  <si>
    <t>reference</t>
  </si>
  <si>
    <t>year</t>
  </si>
  <si>
    <t>doi</t>
  </si>
  <si>
    <t>remarks</t>
  </si>
  <si>
    <t>Escherichia</t>
  </si>
  <si>
    <t>coli</t>
  </si>
  <si>
    <t>no</t>
  </si>
  <si>
    <t>yes</t>
  </si>
  <si>
    <t>NA</t>
  </si>
  <si>
    <t>Yildiz et al.</t>
  </si>
  <si>
    <t>10.1016/j.ifset.2019.102195</t>
  </si>
  <si>
    <t>electrode_configuration</t>
  </si>
  <si>
    <t>equipment_size</t>
  </si>
  <si>
    <t>brand_of_equipment</t>
  </si>
  <si>
    <t>continuous_batch</t>
  </si>
  <si>
    <t>cooling_applied_yes_no</t>
  </si>
  <si>
    <t>voltage_V</t>
  </si>
  <si>
    <t>current_A</t>
  </si>
  <si>
    <t>electric_field_strength_kV_cm</t>
  </si>
  <si>
    <t>pulse_frequency_pps_Hz</t>
  </si>
  <si>
    <t>pulse_width_mus</t>
  </si>
  <si>
    <t>residence_time_s</t>
  </si>
  <si>
    <t>est_residence_time_s</t>
  </si>
  <si>
    <t>pulse_shape</t>
  </si>
  <si>
    <t>number_of_treatment_chambers</t>
  </si>
  <si>
    <t>electrode_distance_mm</t>
  </si>
  <si>
    <t>chamber_diameter_mm</t>
  </si>
  <si>
    <t>chamber_volume_cm3</t>
  </si>
  <si>
    <t>est_chamber_volume_cm3</t>
  </si>
  <si>
    <t>flow_rate_cm3_s</t>
  </si>
  <si>
    <t>est_flow_rate_cm3_s</t>
  </si>
  <si>
    <t>pulse_number_per_chamber</t>
  </si>
  <si>
    <t>est_pulse_number_per_chamber_1</t>
  </si>
  <si>
    <t>est_pulse_number_per_chamber_2</t>
  </si>
  <si>
    <t>est_energy_input_2_J_ml</t>
  </si>
  <si>
    <t>tot_eff_treatment_time_mus</t>
  </si>
  <si>
    <t>est_eff_treatment_time_mus</t>
  </si>
  <si>
    <t>est_tot_eff_treatment_time_mus</t>
  </si>
  <si>
    <t>treatment_cycles_nr</t>
  </si>
  <si>
    <t>conductivity_mus_cm</t>
  </si>
  <si>
    <t>matrix_category</t>
  </si>
  <si>
    <t>matrix_acidity</t>
  </si>
  <si>
    <t>food_pH</t>
  </si>
  <si>
    <t>density_kg_m3</t>
  </si>
  <si>
    <t>cp_J_kg_K</t>
  </si>
  <si>
    <t>log_n0_CFU_ml</t>
  </si>
  <si>
    <t>logn_CFU_ml</t>
  </si>
  <si>
    <t>log_n0_n_cfu_ml</t>
  </si>
  <si>
    <t>recovered_after_h</t>
  </si>
  <si>
    <t>document_type</t>
  </si>
  <si>
    <t>energy_input_remarks</t>
  </si>
  <si>
    <t>PowerMod</t>
  </si>
  <si>
    <t>continuous</t>
  </si>
  <si>
    <t>journal</t>
  </si>
  <si>
    <r>
      <t xml:space="preserve">Subjecting </t>
    </r>
    <r>
      <rPr>
        <i/>
        <sz val="11"/>
        <color theme="1"/>
        <rFont val="Calibri"/>
        <family val="2"/>
        <scheme val="minor"/>
      </rPr>
      <t>E.coli</t>
    </r>
    <r>
      <rPr>
        <sz val="11"/>
        <color theme="1"/>
        <rFont val="Calibri"/>
        <family val="2"/>
        <scheme val="minor"/>
      </rPr>
      <t xml:space="preserve"> ATCC8739 in raw goat milk by PEF (20, 25, 30, 35 kV/cm and 5, 7, 10, 13 mus processing time)</t>
    </r>
  </si>
  <si>
    <t>stationary</t>
  </si>
  <si>
    <t>vegetative</t>
  </si>
  <si>
    <t>10.1111/jfpe.13779</t>
  </si>
  <si>
    <t>10.1016/j.ifset.2012.10.002</t>
  </si>
  <si>
    <t>Sampedro et al.</t>
  </si>
  <si>
    <t>Subjecting E.coli ATCC35218/O157:H7 in orange juice by PEF (18, 22, 26, 30, 34 kV/cm and 40, 50C and 50 mus treatment time)</t>
  </si>
  <si>
    <t>fruit juice</t>
  </si>
  <si>
    <t>MacConkey</t>
  </si>
  <si>
    <t>plantarum</t>
  </si>
  <si>
    <r>
      <t xml:space="preserve">Subjecting </t>
    </r>
    <r>
      <rPr>
        <i/>
        <sz val="11"/>
        <color theme="1"/>
        <rFont val="Calibri"/>
        <family val="2"/>
        <scheme val="minor"/>
      </rPr>
      <t>L. plantarum</t>
    </r>
    <r>
      <rPr>
        <sz val="11"/>
        <color theme="1"/>
        <rFont val="Calibri"/>
        <family val="2"/>
        <scheme val="minor"/>
      </rPr>
      <t xml:space="preserve"> ATCC49445 in Orange juice by PEF (18, 22, 26, 30, 34 kV/cm at 40, 50, 60C and 50 mus processing time)</t>
    </r>
  </si>
  <si>
    <t>Estimated flow rate varies largely due to high pulse frequency and effective treatment time variation whilst listed value only accounts for 1 treatment time rather than the entire tested range</t>
  </si>
  <si>
    <t>10.4315/0362-028X.JFP-11-099</t>
  </si>
  <si>
    <t>Listeria</t>
  </si>
  <si>
    <t>monocytogenes</t>
  </si>
  <si>
    <t>Scott A</t>
  </si>
  <si>
    <t>California</t>
  </si>
  <si>
    <t>V7</t>
  </si>
  <si>
    <t>OSY-8517</t>
  </si>
  <si>
    <t>OSY-8576</t>
  </si>
  <si>
    <t>OSY-8578</t>
  </si>
  <si>
    <t>OSY-8579</t>
  </si>
  <si>
    <t>OSY-8580</t>
  </si>
  <si>
    <t>OSY-8732</t>
  </si>
  <si>
    <t>liquid medium</t>
  </si>
  <si>
    <t>Subjecting L. monocytogenes Scott A in 50% acid whey to PEF treatment (25 kV/cm, 23C, 48 mus)</t>
  </si>
  <si>
    <t>Subjecting L. monocytogenes California in 50% acid whey to PEF treatment (25 kV/cm, 23C, 48 mus)</t>
  </si>
  <si>
    <t>Subjecting L. monocytogenes V7 in 50% acid whey to PEF treatment (25 kV/cm, 23C, 48 mus)</t>
  </si>
  <si>
    <t>Subjecting L. monocytogenes OSY-8517 in 50% acid whey to PEF treatment (25 kV/cm, 23C, 48 mus)</t>
  </si>
  <si>
    <t>Subjecting L. monocytogenes OSY-8576 in 50% acid whey to PEF treatment (25 kV/cm, 23C, 48 mus)</t>
  </si>
  <si>
    <t>Subjecting L. monocytogenes OSY-8578 in 50% acid whey to PEF treatment (25 kV/cm, 23C, 48 mus)</t>
  </si>
  <si>
    <t>Subjecting L. monocytogenes OSY-8579 in 50% acid whey to PEF treatment (25 kV/cm, 23C, 48 mus)</t>
  </si>
  <si>
    <t>Subjecting L. monocytogenes OSY-8580 in 50% acid whey to PEF treatment (25 kV/cm, 23C, 48 mus)</t>
  </si>
  <si>
    <t>Subjecting L. monocytogenes OSY-8732 in 50% acid whey to PEF treatment (25 kV/cm, 23C, 48 mus)</t>
  </si>
  <si>
    <t>post-treatment agar growth time is not listed, growth time prior to treatment listed as 'overnight' was assumed &gt;12h</t>
  </si>
  <si>
    <t>0.1% NaCl solution</t>
  </si>
  <si>
    <r>
      <t>Subjecting</t>
    </r>
    <r>
      <rPr>
        <i/>
        <sz val="11"/>
        <color theme="1"/>
        <rFont val="Calibri"/>
        <family val="2"/>
        <scheme val="minor"/>
      </rPr>
      <t xml:space="preserve"> L. plantarum</t>
    </r>
    <r>
      <rPr>
        <sz val="11"/>
        <color theme="1"/>
        <rFont val="Calibri"/>
        <family val="2"/>
        <scheme val="minor"/>
      </rPr>
      <t xml:space="preserve"> ATCC8014 in 0.1% NaCl to PEF treatment (25 kV/cm, 23C, 144 mus)</t>
    </r>
  </si>
  <si>
    <t>Waite-Cusic, Diono &amp; Yousef et al.</t>
  </si>
  <si>
    <t>Mohamad et al.</t>
  </si>
  <si>
    <t>OSU-4</t>
  </si>
  <si>
    <t>innocua</t>
  </si>
  <si>
    <t>ATCC 33090</t>
  </si>
  <si>
    <t>Subjecting L. innocua ATCC 33090 in 0.1% NaCl solution to PEF treatment (25 kV/cm, 23C, 144 mus)</t>
  </si>
  <si>
    <t>Subjecting L. innocua ATCC 33090 in 50% acid whey to PEF treatment (25 kV/cm, 23C, 48 mus)</t>
  </si>
  <si>
    <t>Lactobacillus</t>
  </si>
  <si>
    <t>acidophilus</t>
  </si>
  <si>
    <t>bulgaricus</t>
  </si>
  <si>
    <t>leichmanii</t>
  </si>
  <si>
    <t>OSY-135</t>
  </si>
  <si>
    <t>ATCC 19992</t>
  </si>
  <si>
    <t>ATCC 4797</t>
  </si>
  <si>
    <t>low acidic liquid medium</t>
  </si>
  <si>
    <r>
      <t xml:space="preserve">Subjecting </t>
    </r>
    <r>
      <rPr>
        <i/>
        <sz val="11"/>
        <color theme="1"/>
        <rFont val="Calibri"/>
        <family val="2"/>
        <scheme val="minor"/>
      </rPr>
      <t xml:space="preserve">L. leichmanii </t>
    </r>
    <r>
      <rPr>
        <sz val="11"/>
        <color theme="1"/>
        <rFont val="Calibri"/>
        <family val="2"/>
        <scheme val="minor"/>
      </rPr>
      <t>ATCC 4797 in 0.1% NaCl to PEF treatment (25 kV/cm, 23C, 144 mus)</t>
    </r>
  </si>
  <si>
    <r>
      <t xml:space="preserve">Subjecting </t>
    </r>
    <r>
      <rPr>
        <i/>
        <sz val="11"/>
        <color theme="1"/>
        <rFont val="Calibri"/>
        <family val="2"/>
        <scheme val="minor"/>
      </rPr>
      <t xml:space="preserve">L. acidophilus </t>
    </r>
    <r>
      <rPr>
        <sz val="11"/>
        <color theme="1"/>
        <rFont val="Calibri"/>
        <family val="2"/>
        <scheme val="minor"/>
      </rPr>
      <t>ATCC19992 in 0.1% NaCl to PEF treatment (25 kV/cm, 23C, 144 mus)</t>
    </r>
  </si>
  <si>
    <r>
      <t xml:space="preserve">Subjecting </t>
    </r>
    <r>
      <rPr>
        <i/>
        <sz val="11"/>
        <color theme="1"/>
        <rFont val="Calibri"/>
        <family val="2"/>
        <scheme val="minor"/>
      </rPr>
      <t xml:space="preserve">L. bulgaricus </t>
    </r>
    <r>
      <rPr>
        <sz val="11"/>
        <color theme="1"/>
        <rFont val="Calibri"/>
        <family val="2"/>
        <scheme val="minor"/>
      </rPr>
      <t>OSY-135 in 0.1% NaCl to PEF treatment (25 kV/cm, 23C, 144 mus)</t>
    </r>
  </si>
  <si>
    <t>O157:H7</t>
  </si>
  <si>
    <t>Altuntas et al.</t>
  </si>
  <si>
    <t>10.1111/j.1745-4530.2009.00549.x</t>
  </si>
  <si>
    <t>Type I 04077</t>
  </si>
  <si>
    <t>peach nectar</t>
  </si>
  <si>
    <t>plate count agar</t>
  </si>
  <si>
    <t>10.1111/j.1365-2621.2010.02213.x</t>
  </si>
  <si>
    <r>
      <t xml:space="preserve">Subjecting </t>
    </r>
    <r>
      <rPr>
        <i/>
        <sz val="11"/>
        <color theme="1"/>
        <rFont val="Calibri"/>
        <family val="2"/>
        <scheme val="minor"/>
      </rPr>
      <t>L. monocytogenes</t>
    </r>
    <r>
      <rPr>
        <sz val="11"/>
        <color theme="1"/>
        <rFont val="Calibri"/>
        <family val="2"/>
        <scheme val="minor"/>
      </rPr>
      <t xml:space="preserve"> Type I 04077 in peach nectar to PEF treatment (17, 20, 23, 27, 30 kV/cm and 131 mus processing time)</t>
    </r>
  </si>
  <si>
    <r>
      <t xml:space="preserve">Subjecting </t>
    </r>
    <r>
      <rPr>
        <i/>
        <sz val="11"/>
        <color theme="1"/>
        <rFont val="Calibri"/>
        <family val="2"/>
        <scheme val="minor"/>
      </rPr>
      <t>L. monocytogenes</t>
    </r>
    <r>
      <rPr>
        <sz val="11"/>
        <color theme="1"/>
        <rFont val="Calibri"/>
        <family val="2"/>
        <scheme val="minor"/>
      </rPr>
      <t xml:space="preserve"> Type I 04077 in peach nectar to PEF treatment (17 kV/cm and 66, 105, 131, 157, 210 mus processing time)</t>
    </r>
  </si>
  <si>
    <r>
      <t xml:space="preserve">Subjecting </t>
    </r>
    <r>
      <rPr>
        <i/>
        <sz val="11"/>
        <color theme="1"/>
        <rFont val="Calibri"/>
        <family val="2"/>
        <scheme val="minor"/>
      </rPr>
      <t>L. monocytogenes</t>
    </r>
    <r>
      <rPr>
        <sz val="11"/>
        <color theme="1"/>
        <rFont val="Calibri"/>
        <family val="2"/>
        <scheme val="minor"/>
      </rPr>
      <t xml:space="preserve"> Type I 04077 in sour cherry juice concentrate to PEF treatment (17, 20, 23, 27, 30 kV/cm and 131 mus processing time)</t>
    </r>
  </si>
  <si>
    <r>
      <t xml:space="preserve">Subjecting </t>
    </r>
    <r>
      <rPr>
        <i/>
        <sz val="11"/>
        <color theme="1"/>
        <rFont val="Calibri"/>
        <family val="2"/>
        <scheme val="minor"/>
      </rPr>
      <t>L. monocytogenes</t>
    </r>
    <r>
      <rPr>
        <sz val="11"/>
        <color theme="1"/>
        <rFont val="Calibri"/>
        <family val="2"/>
        <scheme val="minor"/>
      </rPr>
      <t xml:space="preserve"> Type I 04077 in sour cherry juice concentrate to PEF treatment (17 kV/cm and 66, 105, 131, 157, 210 mus treatment time</t>
    </r>
  </si>
  <si>
    <t>sour cherry juice</t>
  </si>
  <si>
    <r>
      <t xml:space="preserve">Subjecting </t>
    </r>
    <r>
      <rPr>
        <i/>
        <sz val="11"/>
        <color theme="1"/>
        <rFont val="Calibri"/>
        <family val="2"/>
        <scheme val="minor"/>
      </rPr>
      <t>E. coli O157:H7</t>
    </r>
    <r>
      <rPr>
        <sz val="11"/>
        <color theme="1"/>
        <rFont val="Calibri"/>
        <family val="2"/>
        <scheme val="minor"/>
      </rPr>
      <t xml:space="preserve"> in sour cherry juice concentrate to PEF treatment (17, 20, 23, 27, 30 kV/cm and 131 mus processing time)</t>
    </r>
  </si>
  <si>
    <r>
      <t xml:space="preserve">Subjecting </t>
    </r>
    <r>
      <rPr>
        <i/>
        <sz val="11"/>
        <color theme="1"/>
        <rFont val="Calibri"/>
        <family val="2"/>
        <scheme val="minor"/>
      </rPr>
      <t>E. coli O157:H7</t>
    </r>
    <r>
      <rPr>
        <sz val="11"/>
        <color theme="1"/>
        <rFont val="Calibri"/>
        <family val="2"/>
        <scheme val="minor"/>
      </rPr>
      <t xml:space="preserve"> in sour cherry juice concentrate to PEF treatment (17 kV/cm and 66, 105, 131, 157, 210 mus treatment time</t>
    </r>
  </si>
  <si>
    <t>It seems implied that during the experiments with different treatment times the repetition rate was varied to achieve those treatment times rather than the flow rate</t>
  </si>
  <si>
    <t>apple juice</t>
  </si>
  <si>
    <t>Inlet temperature was assumed to be equal to that of the water cooling bath, whether this was the case can't be said for certain though</t>
  </si>
  <si>
    <r>
      <t xml:space="preserve">Subjecting </t>
    </r>
    <r>
      <rPr>
        <i/>
        <sz val="11"/>
        <color theme="1"/>
        <rFont val="Calibri"/>
        <family val="2"/>
        <scheme val="minor"/>
      </rPr>
      <t>E.coli</t>
    </r>
    <r>
      <rPr>
        <sz val="11"/>
        <color theme="1"/>
        <rFont val="Calibri"/>
        <family val="2"/>
        <scheme val="minor"/>
      </rPr>
      <t xml:space="preserve"> O157:H7 in peach nectar to PEF treatment (17, 20, 23, 27, 30 kV/cm and 131 mus processing time)</t>
    </r>
  </si>
  <si>
    <r>
      <t xml:space="preserve">Subjecting </t>
    </r>
    <r>
      <rPr>
        <i/>
        <sz val="11"/>
        <color theme="1"/>
        <rFont val="Calibri"/>
        <family val="2"/>
        <scheme val="minor"/>
      </rPr>
      <t>E.coli</t>
    </r>
    <r>
      <rPr>
        <sz val="11"/>
        <color theme="1"/>
        <rFont val="Calibri"/>
        <family val="2"/>
        <scheme val="minor"/>
      </rPr>
      <t xml:space="preserve"> O157:H7 in peach nectar to PEF treatment (17 kV/cm and 66, 105, 131, 157, 210 mus processing time)</t>
    </r>
  </si>
  <si>
    <r>
      <t xml:space="preserve">Subjecting </t>
    </r>
    <r>
      <rPr>
        <i/>
        <sz val="11"/>
        <color theme="1"/>
        <rFont val="Calibri"/>
        <family val="2"/>
        <scheme val="minor"/>
      </rPr>
      <t xml:space="preserve">E. coli </t>
    </r>
    <r>
      <rPr>
        <sz val="11"/>
        <color theme="1"/>
        <rFont val="Calibri"/>
        <family val="2"/>
        <scheme val="minor"/>
      </rPr>
      <t>O157:H7 in apple juice to PEF treatment (21, 25, 30, 34 kV/cm, 5C and 72, 108, 145, 181, 217 mus treatment time</t>
    </r>
  </si>
  <si>
    <r>
      <t xml:space="preserve">Subjecting </t>
    </r>
    <r>
      <rPr>
        <i/>
        <sz val="11"/>
        <color theme="1"/>
        <rFont val="Calibri"/>
        <family val="2"/>
        <scheme val="minor"/>
      </rPr>
      <t xml:space="preserve">E. coli </t>
    </r>
    <r>
      <rPr>
        <sz val="11"/>
        <color theme="1"/>
        <rFont val="Calibri"/>
        <family val="2"/>
        <scheme val="minor"/>
      </rPr>
      <t>O157:H7 in apple juice to PEF treatment (31 kV/cm, mono-and bipolar wave, and 202 mus treatment time)</t>
    </r>
  </si>
  <si>
    <r>
      <t xml:space="preserve">Subjecting </t>
    </r>
    <r>
      <rPr>
        <i/>
        <sz val="11"/>
        <color theme="1"/>
        <rFont val="Calibri"/>
        <family val="2"/>
        <scheme val="minor"/>
      </rPr>
      <t xml:space="preserve">E. coli </t>
    </r>
    <r>
      <rPr>
        <sz val="11"/>
        <color theme="1"/>
        <rFont val="Calibri"/>
        <family val="2"/>
        <scheme val="minor"/>
      </rPr>
      <t>O157:H7 in skim milk to PEF treatment (24 kV/cm, mono-and bipolar wave, and 141 mus treatment time)</t>
    </r>
  </si>
  <si>
    <t>skim milk</t>
  </si>
  <si>
    <t>animal milk</t>
  </si>
  <si>
    <t>tryptone glucose yeast</t>
  </si>
  <si>
    <t>exponential</t>
  </si>
  <si>
    <t>Evrendilek &amp; Zhang</t>
  </si>
  <si>
    <t>10.1016/j.jfoodeng.2004.06.001</t>
  </si>
  <si>
    <t>10.1002/jsfa.10178</t>
  </si>
  <si>
    <t>Evrendilek et al.</t>
  </si>
  <si>
    <r>
      <t xml:space="preserve">Subjecting </t>
    </r>
    <r>
      <rPr>
        <i/>
        <sz val="11"/>
        <color theme="1"/>
        <rFont val="Calibri"/>
        <family val="2"/>
        <scheme val="minor"/>
      </rPr>
      <t xml:space="preserve">E. coli </t>
    </r>
    <r>
      <rPr>
        <sz val="11"/>
        <color theme="1"/>
        <rFont val="Calibri"/>
        <family val="2"/>
        <scheme val="minor"/>
      </rPr>
      <t>O157:H7 in sour cherry juice to PEF treatment (24,7 kV/cm, 10C and 327, 655 mus treatment time)</t>
    </r>
  </si>
  <si>
    <t>10.1016/S0168-1605(99)00175-0</t>
  </si>
  <si>
    <t>Dutreux et al.</t>
  </si>
  <si>
    <r>
      <t xml:space="preserve">Subjecting </t>
    </r>
    <r>
      <rPr>
        <i/>
        <sz val="11"/>
        <color theme="1"/>
        <rFont val="Calibri"/>
        <family val="2"/>
        <scheme val="minor"/>
      </rPr>
      <t xml:space="preserve">E. coli </t>
    </r>
    <r>
      <rPr>
        <sz val="11"/>
        <color theme="1"/>
        <rFont val="Calibri"/>
        <family val="2"/>
        <scheme val="minor"/>
      </rPr>
      <t>ATCC11775 in Fat-free milk and phos buffer to PEF treatment (41 kV/cm, 17C and 10, 25, 35 and 60 pulses)</t>
    </r>
  </si>
  <si>
    <t>fat free milk</t>
  </si>
  <si>
    <t>phosphate buffer</t>
  </si>
  <si>
    <t>They refer to Zhang et al., 1994 and Qin et al., 1995 for their system design but these could not be retrieved which limits the available information. Also the provided conductivity was measured at 25C whilst input temp of medium was 17C</t>
  </si>
  <si>
    <r>
      <t xml:space="preserve">Subjecting </t>
    </r>
    <r>
      <rPr>
        <i/>
        <sz val="11"/>
        <color theme="1"/>
        <rFont val="Calibri"/>
        <family val="2"/>
        <scheme val="minor"/>
      </rPr>
      <t>L. innocua</t>
    </r>
    <r>
      <rPr>
        <sz val="11"/>
        <color theme="1"/>
        <rFont val="Calibri"/>
        <family val="2"/>
        <scheme val="minor"/>
      </rPr>
      <t xml:space="preserve"> ATCC51742 in Fat-free milk and phos buffer to PEF treatment (41 kV/cm, 17C and 10, 25, 35 and 60 pulses)</t>
    </r>
  </si>
  <si>
    <t>Saccharomyces</t>
  </si>
  <si>
    <t>cerevisiae</t>
  </si>
  <si>
    <t>est_pulse_frequency_pps_Hz</t>
  </si>
  <si>
    <t>They refer to Zhang et al., 1994 and Qin et al., 1995 for their system design but these could not be retrieved which disallows verifying large chamber volume. Also the provided conductivity was measured at 25C whilst input temp of medium was 17C</t>
  </si>
  <si>
    <r>
      <t xml:space="preserve">Subjecting </t>
    </r>
    <r>
      <rPr>
        <i/>
        <sz val="11"/>
        <color theme="1"/>
        <rFont val="Calibri"/>
        <family val="2"/>
        <scheme val="minor"/>
      </rPr>
      <t xml:space="preserve">E. coli O157:H7 </t>
    </r>
    <r>
      <rPr>
        <sz val="11"/>
        <color theme="1"/>
        <rFont val="Calibri"/>
        <family val="2"/>
        <scheme val="minor"/>
      </rPr>
      <t>in 0,1% NaCl solution to PEF treatment (10, 15, 20, 25, 30 kV/cm, 22C and 145,6 mus treatment time)</t>
    </r>
  </si>
  <si>
    <t>Unal et al.</t>
  </si>
  <si>
    <t>10.4315/0362-028X-64.6.777</t>
  </si>
  <si>
    <r>
      <t xml:space="preserve">Subjecting </t>
    </r>
    <r>
      <rPr>
        <i/>
        <sz val="11"/>
        <color theme="1"/>
        <rFont val="Calibri"/>
        <family val="2"/>
        <scheme val="minor"/>
      </rPr>
      <t xml:space="preserve">L. leichmannii </t>
    </r>
    <r>
      <rPr>
        <sz val="11"/>
        <color theme="1"/>
        <rFont val="Calibri"/>
        <family val="2"/>
        <scheme val="minor"/>
      </rPr>
      <t>ATCC4797</t>
    </r>
    <r>
      <rPr>
        <i/>
        <sz val="11"/>
        <color theme="1"/>
        <rFont val="Calibri"/>
        <family val="2"/>
        <scheme val="minor"/>
      </rPr>
      <t xml:space="preserve"> </t>
    </r>
    <r>
      <rPr>
        <sz val="11"/>
        <color theme="1"/>
        <rFont val="Calibri"/>
        <family val="2"/>
        <scheme val="minor"/>
      </rPr>
      <t>in 0,1% NaCl solution to PEF treatment (10, 15, 20, 25, 30 kV/cm, 22C and 145,6 mus treatment time)</t>
    </r>
  </si>
  <si>
    <t>leichmannii</t>
  </si>
  <si>
    <r>
      <t xml:space="preserve">Subjecting </t>
    </r>
    <r>
      <rPr>
        <i/>
        <sz val="11"/>
        <color theme="1"/>
        <rFont val="Calibri"/>
        <family val="2"/>
        <scheme val="minor"/>
      </rPr>
      <t>L. monocytogenes</t>
    </r>
    <r>
      <rPr>
        <sz val="11"/>
        <color theme="1"/>
        <rFont val="Calibri"/>
        <family val="2"/>
        <scheme val="minor"/>
      </rPr>
      <t xml:space="preserve"> Scott A</t>
    </r>
    <r>
      <rPr>
        <i/>
        <sz val="11"/>
        <color theme="1"/>
        <rFont val="Calibri"/>
        <family val="2"/>
        <scheme val="minor"/>
      </rPr>
      <t xml:space="preserve"> </t>
    </r>
    <r>
      <rPr>
        <sz val="11"/>
        <color theme="1"/>
        <rFont val="Calibri"/>
        <family val="2"/>
        <scheme val="minor"/>
      </rPr>
      <t>in 0,1% NaCl solution to PEF treatment (10, 15, 20, 25, 30 kV/cm, 22C and 145,6 mus treatment time)</t>
    </r>
  </si>
  <si>
    <t>HVP 5</t>
  </si>
  <si>
    <t>square wave</t>
  </si>
  <si>
    <t>10.1128/AEM.70.4.2289-2295.2004</t>
  </si>
  <si>
    <t>12,5 mM phos buffer</t>
  </si>
  <si>
    <t>low acidic food product</t>
  </si>
  <si>
    <t>Lado et al.</t>
  </si>
  <si>
    <r>
      <t xml:space="preserve">Subjecting </t>
    </r>
    <r>
      <rPr>
        <i/>
        <sz val="11"/>
        <color theme="1"/>
        <rFont val="Calibri"/>
        <family val="2"/>
        <scheme val="minor"/>
      </rPr>
      <t xml:space="preserve">L. monocytogenes </t>
    </r>
    <r>
      <rPr>
        <sz val="11"/>
        <color theme="1"/>
        <rFont val="Calibri"/>
        <family val="2"/>
        <scheme val="minor"/>
      </rPr>
      <t>Scott A in 12,5 mM phos buffer to PEF treatment (27,5 kV/cm, 22C, 144 mus treatment time)</t>
    </r>
  </si>
  <si>
    <r>
      <t xml:space="preserve">Subjecting </t>
    </r>
    <r>
      <rPr>
        <i/>
        <sz val="11"/>
        <color theme="1"/>
        <rFont val="Calibri"/>
        <family val="2"/>
        <scheme val="minor"/>
      </rPr>
      <t xml:space="preserve">L. monocytogenes </t>
    </r>
    <r>
      <rPr>
        <sz val="11"/>
        <color theme="1"/>
        <rFont val="Calibri"/>
        <family val="2"/>
        <scheme val="minor"/>
      </rPr>
      <t>OSY-8578 in 12,5 mM phos buffer to PEF treatment (27,5 kV/cm, 22C, 144 mus treatment time)</t>
    </r>
  </si>
  <si>
    <t>Mendes-Oliveira et al.</t>
  </si>
  <si>
    <t>10.1111/jfpp.16249</t>
  </si>
  <si>
    <t>10.1128/AEM.69.4.2223-2229.2003</t>
  </si>
  <si>
    <r>
      <t xml:space="preserve">Subjecting </t>
    </r>
    <r>
      <rPr>
        <i/>
        <sz val="11"/>
        <color theme="1"/>
        <rFont val="Calibri"/>
        <family val="2"/>
        <scheme val="minor"/>
      </rPr>
      <t xml:space="preserve">L. monocytogenes </t>
    </r>
    <r>
      <rPr>
        <sz val="11"/>
        <color theme="1"/>
        <rFont val="Calibri"/>
        <family val="2"/>
        <scheme val="minor"/>
      </rPr>
      <t>Scott A in 0,1% NaCl solution to PEF treatment (25 kV/cm, 23C and 37C, 72 and 144 mus treatment time)</t>
    </r>
  </si>
  <si>
    <r>
      <t xml:space="preserve">Subjecting </t>
    </r>
    <r>
      <rPr>
        <i/>
        <sz val="11"/>
        <color theme="1"/>
        <rFont val="Calibri"/>
        <family val="2"/>
        <scheme val="minor"/>
      </rPr>
      <t>L. monocytogenes California</t>
    </r>
    <r>
      <rPr>
        <sz val="11"/>
        <color theme="1"/>
        <rFont val="Calibri"/>
        <family val="2"/>
        <scheme val="minor"/>
      </rPr>
      <t xml:space="preserve"> in 0,1% NaCl solution to PEF treatment (25 kV/cm, 23C and 37C, 72 and 144 mus treatment time)</t>
    </r>
  </si>
  <si>
    <r>
      <t xml:space="preserve">Subjecting </t>
    </r>
    <r>
      <rPr>
        <i/>
        <sz val="11"/>
        <color theme="1"/>
        <rFont val="Calibri"/>
        <family val="2"/>
        <scheme val="minor"/>
      </rPr>
      <t xml:space="preserve">L. monocytogenes </t>
    </r>
    <r>
      <rPr>
        <sz val="11"/>
        <color theme="1"/>
        <rFont val="Calibri"/>
        <family val="2"/>
        <scheme val="minor"/>
      </rPr>
      <t>V7 in 0,1% NaCl solution to PEF treatment (25 kV/cm, 23C and 37C, 72 and 144 mus treatment time)</t>
    </r>
  </si>
  <si>
    <r>
      <t xml:space="preserve">Subjecting </t>
    </r>
    <r>
      <rPr>
        <i/>
        <sz val="11"/>
        <color theme="1"/>
        <rFont val="Calibri"/>
        <family val="2"/>
        <scheme val="minor"/>
      </rPr>
      <t>L. monocytogenes OSY-8517</t>
    </r>
    <r>
      <rPr>
        <sz val="11"/>
        <color theme="1"/>
        <rFont val="Calibri"/>
        <family val="2"/>
        <scheme val="minor"/>
      </rPr>
      <t xml:space="preserve"> in 0,1% NaCl solution to PEF treatment (25 kV/cm, 23C and 37C, 72 and 144 mus treatment time)</t>
    </r>
  </si>
  <si>
    <r>
      <t xml:space="preserve">Subjecting </t>
    </r>
    <r>
      <rPr>
        <i/>
        <sz val="11"/>
        <color theme="1"/>
        <rFont val="Calibri"/>
        <family val="2"/>
        <scheme val="minor"/>
      </rPr>
      <t>L. monocytogenes OSY-8576</t>
    </r>
    <r>
      <rPr>
        <sz val="11"/>
        <color theme="1"/>
        <rFont val="Calibri"/>
        <family val="2"/>
        <scheme val="minor"/>
      </rPr>
      <t xml:space="preserve"> in 0,1% NaCl solution to PEF treatment (25 kV/cm, 23C and 37C, 72 and 144 mus treatment time)</t>
    </r>
  </si>
  <si>
    <r>
      <t xml:space="preserve">Subjecting </t>
    </r>
    <r>
      <rPr>
        <i/>
        <sz val="11"/>
        <color theme="1"/>
        <rFont val="Calibri"/>
        <family val="2"/>
        <scheme val="minor"/>
      </rPr>
      <t>L. monocytogenes OSY-8579</t>
    </r>
    <r>
      <rPr>
        <sz val="11"/>
        <color theme="1"/>
        <rFont val="Calibri"/>
        <family val="2"/>
        <scheme val="minor"/>
      </rPr>
      <t xml:space="preserve"> in 0,1% NaCl solution to PEF treatment (25 kV/cm, 23C and 37C, 72 and 144 mus treatment time)</t>
    </r>
  </si>
  <si>
    <r>
      <t xml:space="preserve">Subjecting </t>
    </r>
    <r>
      <rPr>
        <i/>
        <sz val="11"/>
        <color theme="1"/>
        <rFont val="Calibri"/>
        <family val="2"/>
        <scheme val="minor"/>
      </rPr>
      <t>L. monocytogenes OSY-8580</t>
    </r>
    <r>
      <rPr>
        <sz val="11"/>
        <color theme="1"/>
        <rFont val="Calibri"/>
        <family val="2"/>
        <scheme val="minor"/>
      </rPr>
      <t xml:space="preserve"> in 0,1% NaCl solution to PEF treatment (25 kV/cm, 23C and 37C, 72 and 144 mus treatment time)</t>
    </r>
  </si>
  <si>
    <r>
      <t xml:space="preserve">Subjecting </t>
    </r>
    <r>
      <rPr>
        <i/>
        <sz val="11"/>
        <color theme="1"/>
        <rFont val="Calibri"/>
        <family val="2"/>
        <scheme val="minor"/>
      </rPr>
      <t>L. monocytogenes OSY-8732</t>
    </r>
    <r>
      <rPr>
        <sz val="11"/>
        <color theme="1"/>
        <rFont val="Calibri"/>
        <family val="2"/>
        <scheme val="minor"/>
      </rPr>
      <t xml:space="preserve"> in 0,1% NaCl solution to PEF treatment (25 kV/cm, 23C and 37C, 72 and 144 mus treatment time)</t>
    </r>
  </si>
  <si>
    <t>Subjecting L. monocytogenes Scott A in 50% acid whey to PEF treatment (25kV/cm, 23C and 48, 96 and 144 mus treatment time)</t>
  </si>
  <si>
    <r>
      <t xml:space="preserve">Subjecting </t>
    </r>
    <r>
      <rPr>
        <i/>
        <sz val="11"/>
        <color theme="1"/>
        <rFont val="Calibri"/>
        <family val="2"/>
        <scheme val="minor"/>
      </rPr>
      <t xml:space="preserve">L. monocytogenes </t>
    </r>
    <r>
      <rPr>
        <sz val="11"/>
        <color theme="1"/>
        <rFont val="Calibri"/>
        <family val="2"/>
        <scheme val="minor"/>
      </rPr>
      <t>OSY-8578 in 50% acid whey to PEF treatment (25kV/cm, 23C and 48, 96 and 144 mus treatment time)</t>
    </r>
  </si>
  <si>
    <t>50% acid whey</t>
  </si>
  <si>
    <t xml:space="preserve">50% acid whey </t>
  </si>
  <si>
    <t>high acidic food product</t>
  </si>
  <si>
    <r>
      <t xml:space="preserve">Subjecting </t>
    </r>
    <r>
      <rPr>
        <i/>
        <sz val="11"/>
        <color theme="1"/>
        <rFont val="Calibri"/>
        <family val="2"/>
        <scheme val="minor"/>
      </rPr>
      <t>L. monocytogenes OSY-8578</t>
    </r>
    <r>
      <rPr>
        <sz val="11"/>
        <color theme="1"/>
        <rFont val="Calibri"/>
        <family val="2"/>
        <scheme val="minor"/>
      </rPr>
      <t xml:space="preserve"> in 0,1% NaCl solution to PEF treatment (25 kV/cm, 23C, 144 mus treatment time)</t>
    </r>
  </si>
  <si>
    <t>Huang et al.</t>
  </si>
  <si>
    <t>10.1007/s11947-014-1272-3</t>
  </si>
  <si>
    <t>Pilot-plant, Zhejiang university</t>
  </si>
  <si>
    <r>
      <t xml:space="preserve">Subjecting </t>
    </r>
    <r>
      <rPr>
        <i/>
        <sz val="11"/>
        <color theme="1"/>
        <rFont val="Calibri"/>
        <family val="2"/>
        <scheme val="minor"/>
      </rPr>
      <t xml:space="preserve">E. coli </t>
    </r>
    <r>
      <rPr>
        <sz val="11"/>
        <color theme="1"/>
        <rFont val="Calibri  "/>
      </rPr>
      <t>DH5ɑ in grape juice to PEF treatment (24 kV/cm, 30C and 3, 4, 5 and 6 mus pulse width)</t>
    </r>
  </si>
  <si>
    <r>
      <t>DH5</t>
    </r>
    <r>
      <rPr>
        <sz val="11"/>
        <color theme="1"/>
        <rFont val="Calibri"/>
        <family val="2"/>
      </rPr>
      <t>ɑ</t>
    </r>
  </si>
  <si>
    <t>Product was treated at 50C for 10sec following PEF treatment</t>
  </si>
  <si>
    <t>BY4742</t>
  </si>
  <si>
    <r>
      <t xml:space="preserve">Subjecting </t>
    </r>
    <r>
      <rPr>
        <i/>
        <sz val="11"/>
        <color theme="1"/>
        <rFont val="Calibri"/>
        <family val="2"/>
        <scheme val="minor"/>
      </rPr>
      <t xml:space="preserve">E. coli </t>
    </r>
    <r>
      <rPr>
        <sz val="11"/>
        <color theme="1"/>
        <rFont val="Calibri"/>
        <family val="2"/>
        <scheme val="minor"/>
      </rPr>
      <t>ATCC 8739 in apple juice to PEF and mild heat treatment (25, 30, 35 kV/cm, 5C and 86, 172 and 258 mus treatment time)</t>
    </r>
  </si>
  <si>
    <t>Powermod</t>
  </si>
  <si>
    <t>ATCC 8739</t>
  </si>
  <si>
    <t>Li et al.</t>
  </si>
  <si>
    <t>10.1016/j.ijfoodmicro.2007.04.009</t>
  </si>
  <si>
    <t>Mosqueda-Melgar et al.</t>
  </si>
  <si>
    <r>
      <t xml:space="preserve">Subjecting </t>
    </r>
    <r>
      <rPr>
        <i/>
        <sz val="11"/>
        <color theme="1"/>
        <rFont val="Calibri"/>
        <family val="2"/>
        <scheme val="minor"/>
      </rPr>
      <t xml:space="preserve">E. coli 1.107 </t>
    </r>
    <r>
      <rPr>
        <sz val="11"/>
        <color theme="1"/>
        <rFont val="Calibri"/>
        <family val="2"/>
        <scheme val="minor"/>
      </rPr>
      <t>in Melon juice to PEF treatment (35 kV/cm, 5C,  500, 1250 and 2000 mus treatment time)</t>
    </r>
  </si>
  <si>
    <r>
      <t xml:space="preserve">Subjecting </t>
    </r>
    <r>
      <rPr>
        <i/>
        <sz val="11"/>
        <color theme="1"/>
        <rFont val="Calibri"/>
        <family val="2"/>
        <scheme val="minor"/>
      </rPr>
      <t xml:space="preserve">E. coli 1.107 </t>
    </r>
    <r>
      <rPr>
        <sz val="11"/>
        <color theme="1"/>
        <rFont val="Calibri"/>
        <family val="2"/>
        <scheme val="minor"/>
      </rPr>
      <t>in Water melon juice to PEF treatment (35 kV/cm, 5C,  500, 1250 and 2000 mus treatment time)</t>
    </r>
  </si>
  <si>
    <t>Membrane fecal coliform agar</t>
  </si>
  <si>
    <r>
      <t xml:space="preserve">Subjecting </t>
    </r>
    <r>
      <rPr>
        <i/>
        <sz val="11"/>
        <color theme="1"/>
        <rFont val="Calibri"/>
        <family val="2"/>
        <scheme val="minor"/>
      </rPr>
      <t xml:space="preserve">L. monocytogenes </t>
    </r>
    <r>
      <rPr>
        <sz val="11"/>
        <color theme="1"/>
        <rFont val="Calibri"/>
        <family val="2"/>
        <scheme val="minor"/>
      </rPr>
      <t>1.131</t>
    </r>
    <r>
      <rPr>
        <i/>
        <sz val="11"/>
        <color theme="1"/>
        <rFont val="Calibri"/>
        <family val="2"/>
        <scheme val="minor"/>
      </rPr>
      <t xml:space="preserve"> </t>
    </r>
    <r>
      <rPr>
        <sz val="11"/>
        <color theme="1"/>
        <rFont val="Calibri"/>
        <family val="2"/>
        <scheme val="minor"/>
      </rPr>
      <t>in Melon juice to PEF treatment (35 kV/cm, 5C,  500, 1250 and 2000 mus treatment time)</t>
    </r>
  </si>
  <si>
    <r>
      <t xml:space="preserve">Subjecting </t>
    </r>
    <r>
      <rPr>
        <i/>
        <sz val="11"/>
        <color theme="1"/>
        <rFont val="Calibri"/>
        <family val="2"/>
        <scheme val="minor"/>
      </rPr>
      <t xml:space="preserve">L. monocytogenes </t>
    </r>
    <r>
      <rPr>
        <sz val="11"/>
        <color theme="1"/>
        <rFont val="Calibri"/>
        <family val="2"/>
        <scheme val="minor"/>
      </rPr>
      <t>1.131</t>
    </r>
    <r>
      <rPr>
        <i/>
        <sz val="11"/>
        <color theme="1"/>
        <rFont val="Calibri"/>
        <family val="2"/>
        <scheme val="minor"/>
      </rPr>
      <t xml:space="preserve"> </t>
    </r>
    <r>
      <rPr>
        <sz val="11"/>
        <color theme="1"/>
        <rFont val="Calibri"/>
        <family val="2"/>
        <scheme val="minor"/>
      </rPr>
      <t>in Water melon juice to PEF treatment (35 kV/cm, 5C,  500, 1250 and 2000 mus treatment time)</t>
    </r>
  </si>
  <si>
    <r>
      <t xml:space="preserve">Subjecting </t>
    </r>
    <r>
      <rPr>
        <i/>
        <sz val="11"/>
        <color theme="1"/>
        <rFont val="Calibri"/>
        <family val="2"/>
        <scheme val="minor"/>
      </rPr>
      <t xml:space="preserve">E. coli </t>
    </r>
    <r>
      <rPr>
        <sz val="11"/>
        <color theme="1"/>
        <rFont val="Calibri"/>
        <family val="2"/>
        <scheme val="minor"/>
      </rPr>
      <t>ATCC 26 in Nutritive treatment medium to PEF treatment (25, 30, 35 kV/cm, 30C, 2 and 4 mus pulse width and 40, 80 and 160 mus treatment time)</t>
    </r>
  </si>
  <si>
    <t>ATCC 26</t>
  </si>
  <si>
    <t>Aronsson et al.</t>
  </si>
  <si>
    <t>10.1016/S1466-8564(01)00021-2</t>
  </si>
  <si>
    <r>
      <t xml:space="preserve">Subjecting </t>
    </r>
    <r>
      <rPr>
        <i/>
        <sz val="11"/>
        <color theme="1"/>
        <rFont val="Calibri"/>
        <family val="2"/>
        <scheme val="minor"/>
      </rPr>
      <t>L. innocua ATCC 33090</t>
    </r>
    <r>
      <rPr>
        <sz val="11"/>
        <color theme="1"/>
        <rFont val="Calibri"/>
        <family val="2"/>
        <scheme val="minor"/>
      </rPr>
      <t xml:space="preserve"> in Nutritive treatment medium to PEF treatment (25, 30, 35 kV/cm, 30C, 2 and 4 mus pulse width and 40, 80 and 160 mus treatment time)</t>
    </r>
  </si>
  <si>
    <t>ATCC 33093</t>
  </si>
  <si>
    <r>
      <t xml:space="preserve">Subjecting </t>
    </r>
    <r>
      <rPr>
        <i/>
        <sz val="11"/>
        <color theme="1"/>
        <rFont val="Calibri"/>
        <family val="2"/>
        <scheme val="minor"/>
      </rPr>
      <t xml:space="preserve">S. cerevisiae </t>
    </r>
    <r>
      <rPr>
        <sz val="11"/>
        <color theme="1"/>
        <rFont val="Calibri"/>
        <family val="2"/>
        <scheme val="minor"/>
      </rPr>
      <t>CBS 7764 in Nutritive treatment medium to PEF treatment (25, 30, 35 kV/cm, 30C, 2 and 4 mus pulse width and 40, 80 and 160 mus treatment time)</t>
    </r>
  </si>
  <si>
    <r>
      <t xml:space="preserve">Subjecting </t>
    </r>
    <r>
      <rPr>
        <i/>
        <sz val="11"/>
        <color theme="1"/>
        <rFont val="Calibri"/>
        <family val="2"/>
        <scheme val="minor"/>
      </rPr>
      <t xml:space="preserve">L. mesenteroides </t>
    </r>
    <r>
      <rPr>
        <sz val="11"/>
        <color theme="1"/>
        <rFont val="Calibri"/>
        <family val="2"/>
        <scheme val="minor"/>
      </rPr>
      <t>ATCC 8293-1 in Nutritive treatment medium to PEF treatment (25, 30, 35 kV/cm, 30C, 2 and 4 mus pulse width and 40, 80 and 160 mus treatment time)</t>
    </r>
  </si>
  <si>
    <t>Leuconostoc</t>
  </si>
  <si>
    <t>mesenteroides</t>
  </si>
  <si>
    <t>ATCC 8293-1</t>
  </si>
  <si>
    <t>CBS 7764</t>
  </si>
  <si>
    <r>
      <t xml:space="preserve">Subjecting </t>
    </r>
    <r>
      <rPr>
        <i/>
        <sz val="11"/>
        <color theme="1"/>
        <rFont val="Calibri"/>
        <family val="2"/>
        <scheme val="minor"/>
      </rPr>
      <t xml:space="preserve">S. cerevisiae </t>
    </r>
    <r>
      <rPr>
        <sz val="11"/>
        <color theme="1"/>
        <rFont val="Calibri"/>
        <family val="2"/>
        <scheme val="minor"/>
      </rPr>
      <t>CECT 1319 in orange juice to PEF treatment (15, 25, 30, 35 kV/cm, 1, 2, 4, 8 and 10 mus pulse width, and 50, 150, 300, 600 and 1000 mus treatment time)</t>
    </r>
  </si>
  <si>
    <t>orange juice</t>
  </si>
  <si>
    <t>CECT 1319</t>
  </si>
  <si>
    <t>Elez-Martinez et al.</t>
  </si>
  <si>
    <t>10.4315/0362-028X-67.11.2596</t>
  </si>
  <si>
    <t>10.1016/j.foodcont.2013.07.011</t>
  </si>
  <si>
    <t>Zhejiang university</t>
  </si>
  <si>
    <t>DH5ɑ</t>
  </si>
  <si>
    <t>Luria-Bertani agar</t>
  </si>
  <si>
    <t>CICC 1374</t>
  </si>
  <si>
    <t>Wang et al.</t>
  </si>
  <si>
    <t>10.1016/j.lwt.2014.09.028</t>
  </si>
  <si>
    <r>
      <t xml:space="preserve">Subjecting </t>
    </r>
    <r>
      <rPr>
        <i/>
        <sz val="11"/>
        <color theme="1"/>
        <rFont val="Calibri"/>
        <family val="2"/>
        <scheme val="minor"/>
      </rPr>
      <t xml:space="preserve">S. cerevisiae </t>
    </r>
    <r>
      <rPr>
        <sz val="11"/>
        <color theme="1"/>
        <rFont val="Calibri"/>
        <family val="2"/>
        <scheme val="minor"/>
      </rPr>
      <t>Maurivin R2 in 0,0048% NaCl solution to PEF treatment (25, 30, 35, 40 kV/cm, 1200, 3600 and 4800 mus treatment time)</t>
    </r>
  </si>
  <si>
    <t>0,0048% NaCl solution</t>
  </si>
  <si>
    <t>Maurivin R2</t>
  </si>
  <si>
    <t>lag</t>
  </si>
  <si>
    <t>Malt Agar Medium + 4,25% NaCl</t>
  </si>
  <si>
    <r>
      <t xml:space="preserve">Subjecting </t>
    </r>
    <r>
      <rPr>
        <i/>
        <sz val="11"/>
        <color theme="1"/>
        <rFont val="Calibri"/>
        <family val="2"/>
        <scheme val="minor"/>
      </rPr>
      <t xml:space="preserve">E. coli </t>
    </r>
    <r>
      <rPr>
        <sz val="11"/>
        <color theme="1"/>
        <rFont val="Calibri"/>
        <family val="2"/>
        <scheme val="minor"/>
      </rPr>
      <t>O157:H7 in apple juice to PEF treatment (20, 25, 30 kV/cm, 20, 30, 40C and between 6,5 and 124 mus treatment time)</t>
    </r>
  </si>
  <si>
    <t>Saldana et al.</t>
  </si>
  <si>
    <t>10.1016/j.ijfoodmicro.2011.07.033</t>
  </si>
  <si>
    <t>10.1016/j.ifset.2007.09.003</t>
  </si>
  <si>
    <r>
      <t xml:space="preserve">Subjecting </t>
    </r>
    <r>
      <rPr>
        <i/>
        <sz val="11"/>
        <color theme="1"/>
        <rFont val="Calibri"/>
        <family val="2"/>
        <scheme val="minor"/>
      </rPr>
      <t xml:space="preserve">E. coli </t>
    </r>
    <r>
      <rPr>
        <sz val="11"/>
        <color theme="1"/>
        <rFont val="Calibri"/>
        <family val="2"/>
        <scheme val="minor"/>
      </rPr>
      <t>O157:H7 in apple juice to PEF treatment (35 kV/cm, 100, 175 and 250 Hz, 500, 1250 and 2000 mus treatment time)</t>
    </r>
  </si>
  <si>
    <r>
      <t xml:space="preserve">Subjecting </t>
    </r>
    <r>
      <rPr>
        <i/>
        <sz val="11"/>
        <color theme="1"/>
        <rFont val="Calibri"/>
        <family val="2"/>
        <scheme val="minor"/>
      </rPr>
      <t xml:space="preserve">E. coli </t>
    </r>
    <r>
      <rPr>
        <sz val="11"/>
        <color theme="1"/>
        <rFont val="Calibri"/>
        <family val="2"/>
        <scheme val="minor"/>
      </rPr>
      <t>O157:H7 in pear juice to PEF treatment (35 kV/cm, 100, 175 and 250 Hz, 500, 1250 and 2000 mus treatment time)</t>
    </r>
  </si>
  <si>
    <r>
      <t xml:space="preserve">Subjecting </t>
    </r>
    <r>
      <rPr>
        <i/>
        <sz val="11"/>
        <color theme="1"/>
        <rFont val="Calibri"/>
        <family val="2"/>
        <scheme val="minor"/>
      </rPr>
      <t xml:space="preserve">E. coli </t>
    </r>
    <r>
      <rPr>
        <sz val="11"/>
        <color theme="1"/>
        <rFont val="Calibri"/>
        <family val="2"/>
        <scheme val="minor"/>
      </rPr>
      <t>O157:H7 in orange juice to PEF treatment (35 kV/cm, 100, 175 and 250 Hz, 500, 1250 and 2000 mus treatment time)</t>
    </r>
  </si>
  <si>
    <r>
      <t xml:space="preserve">Subjecting </t>
    </r>
    <r>
      <rPr>
        <i/>
        <sz val="11"/>
        <color theme="1"/>
        <rFont val="Calibri"/>
        <family val="2"/>
        <scheme val="minor"/>
      </rPr>
      <t xml:space="preserve">E. coli </t>
    </r>
    <r>
      <rPr>
        <sz val="11"/>
        <color theme="1"/>
        <rFont val="Calibri"/>
        <family val="2"/>
        <scheme val="minor"/>
      </rPr>
      <t>O157:H7 in strawberry juice to PEF treatment (35 kV/cm, 100, 175 and 250 Hz, 500, 1250 and 2000 mus treatment time)</t>
    </r>
  </si>
  <si>
    <t>MacConkey-Sorbitol</t>
  </si>
  <si>
    <t>Jin et al.</t>
  </si>
  <si>
    <t>10.1016/j.jfoodeng.2014.08.020</t>
  </si>
  <si>
    <t>pomegranate juice</t>
  </si>
  <si>
    <t>10.1177/1082013217715369</t>
  </si>
  <si>
    <t>Evrendilek</t>
  </si>
  <si>
    <r>
      <t xml:space="preserve">Subjecting </t>
    </r>
    <r>
      <rPr>
        <i/>
        <sz val="11"/>
        <color theme="1"/>
        <rFont val="Calibri"/>
        <family val="2"/>
        <scheme val="minor"/>
      </rPr>
      <t>E. coli</t>
    </r>
    <r>
      <rPr>
        <sz val="11"/>
        <color theme="1"/>
        <rFont val="Calibri"/>
        <family val="2"/>
        <scheme val="minor"/>
      </rPr>
      <t xml:space="preserve"> O157:H7 in pomegranate juice to PEF treatment (17, 23, 30 kV/cm, 18C, 108,4 mus treatment time)</t>
    </r>
  </si>
  <si>
    <r>
      <t>Article's chosen method for energy input is a large underestimation, the given nr is ~1/3rd of the expected result using their own equation (Einput=V*I*</t>
    </r>
    <r>
      <rPr>
        <sz val="11"/>
        <color theme="1"/>
        <rFont val="Calibri"/>
        <family val="2"/>
      </rPr>
      <t>τ</t>
    </r>
    <r>
      <rPr>
        <sz val="9.35"/>
        <color theme="1"/>
        <rFont val="Calibri"/>
        <family val="2"/>
      </rPr>
      <t>)</t>
    </r>
  </si>
  <si>
    <t>ATCC 35218</t>
  </si>
  <si>
    <r>
      <t xml:space="preserve">Subjecting </t>
    </r>
    <r>
      <rPr>
        <i/>
        <sz val="11"/>
        <color theme="1"/>
        <rFont val="Calibri"/>
        <family val="2"/>
        <scheme val="minor"/>
      </rPr>
      <t xml:space="preserve">L. monocytogenes </t>
    </r>
    <r>
      <rPr>
        <sz val="11"/>
        <color theme="1"/>
        <rFont val="Calibri"/>
        <family val="2"/>
        <scheme val="minor"/>
      </rPr>
      <t>Scott A in phosphate buffer to PEF treatment (27,5 kV/cm, 22C, 144 mus treatment time)</t>
    </r>
  </si>
  <si>
    <r>
      <t xml:space="preserve">Subjecting </t>
    </r>
    <r>
      <rPr>
        <i/>
        <sz val="11"/>
        <color theme="1"/>
        <rFont val="Calibri"/>
        <family val="2"/>
        <scheme val="minor"/>
      </rPr>
      <t xml:space="preserve">L. monocytogenes </t>
    </r>
    <r>
      <rPr>
        <sz val="11"/>
        <color theme="1"/>
        <rFont val="Calibri"/>
        <family val="2"/>
        <scheme val="minor"/>
      </rPr>
      <t>OSY-8578 in phosphate burffer to PEF treatment (27,5 kV/cm, 22C, 144 mus treatment time)</t>
    </r>
  </si>
  <si>
    <r>
      <t xml:space="preserve">Subjecting </t>
    </r>
    <r>
      <rPr>
        <i/>
        <sz val="11"/>
        <color theme="1"/>
        <rFont val="Calibri"/>
        <family val="2"/>
        <scheme val="minor"/>
      </rPr>
      <t>E. coli</t>
    </r>
    <r>
      <rPr>
        <sz val="11"/>
        <color theme="1"/>
        <rFont val="Calibri"/>
        <family val="2"/>
        <scheme val="minor"/>
      </rPr>
      <t xml:space="preserve"> ATCC 8739 in orange juice-milk beverage to PEF treatment (15, 25, 35, 40 kV/cm, up to 700 mus treatment time)</t>
    </r>
  </si>
  <si>
    <t>Rivas et al.</t>
  </si>
  <si>
    <t>10.1007/s00217-005-0234-4</t>
  </si>
  <si>
    <t>Rodrigo et al.</t>
  </si>
  <si>
    <t>No frequency listed, used pps_est for res time and energy</t>
  </si>
  <si>
    <t>exponential decay</t>
  </si>
  <si>
    <t>SCUT PEF</t>
  </si>
  <si>
    <r>
      <t xml:space="preserve">Subjecting </t>
    </r>
    <r>
      <rPr>
        <i/>
        <sz val="11"/>
        <color theme="1"/>
        <rFont val="Calibri"/>
        <family val="2"/>
        <scheme val="minor"/>
      </rPr>
      <t>S. cerevisiae</t>
    </r>
    <r>
      <rPr>
        <sz val="11"/>
        <color theme="1"/>
        <rFont val="Calibri"/>
        <family val="2"/>
        <scheme val="minor"/>
      </rPr>
      <t xml:space="preserve"> GIM-2 in NaCl solution to PEF treatment (10, 20, 30, 40, 50 kV/cm, 10C, 1200 must treatment time and 10, 100, 200, 300, 400 and 500 muS/cm conductivity)</t>
    </r>
  </si>
  <si>
    <t>NaCl solution</t>
  </si>
  <si>
    <t>No value for pH reported, similar medium conditions to Wang 2015 so likely similar pH at around 6,5</t>
  </si>
  <si>
    <t>GIM-2</t>
  </si>
  <si>
    <t>10.1111/ijfs.13007</t>
  </si>
  <si>
    <t>No value for pH reported, similar medium conditions to Wang 2015 so likely similar pH at around 6,6</t>
  </si>
  <si>
    <t>No value for pH reported, similar medium conditions to Wang 2015 so likely similar pH at around 6,7</t>
  </si>
  <si>
    <t>No value for pH reported, similar medium conditions to Wang 2015 so likely similar pH at around 6,8</t>
  </si>
  <si>
    <t>No value for pH reported, similar medium conditions to Wang 2015 so likely similar pH at around 6,9</t>
  </si>
  <si>
    <t>No value for pH reported, similar medium conditions to Wang 2015 so likely similar pH at around 6,10</t>
  </si>
  <si>
    <t>No value for pH reported, similar medium conditions to Wang 2015 so likely similar pH at around 6,11</t>
  </si>
  <si>
    <t>No value for pH reported, similar medium conditions to Wang 2015 so likely similar pH at around 6,12</t>
  </si>
  <si>
    <t>No value for pH reported, similar medium conditions to Wang 2015 so likely similar pH at around 6,13</t>
  </si>
  <si>
    <t>No value for pH reported, similar medium conditions to Wang 2015 so likely similar pH at around 6,14</t>
  </si>
  <si>
    <t>No value for pH reported, similar medium conditions to Wang 2015 so likely similar pH at around 6,15</t>
  </si>
  <si>
    <t>No value for pH reported, similar medium conditions to Wang 2015 so likely similar pH at around 6,16</t>
  </si>
  <si>
    <t>No value for pH reported, similar medium conditions to Wang 2015 so likely similar pH at around 6,17</t>
  </si>
  <si>
    <t>No value for pH reported, similar medium conditions to Wang 2015 so likely similar pH at around 6,18</t>
  </si>
  <si>
    <t>No value for pH reported, similar medium conditions to Wang 2015 so likely similar pH at around 6,19</t>
  </si>
  <si>
    <t>No value for pH reported, similar medium conditions to Wang 2015 so likely similar pH at around 6,20</t>
  </si>
  <si>
    <t>No value for pH reported, similar medium conditions to Wang 2015 so likely similar pH at around 6,21</t>
  </si>
  <si>
    <t>No value for pH reported, similar medium conditions to Wang 2015 so likely similar pH at around 6,22</t>
  </si>
  <si>
    <t>No value for pH reported, similar medium conditions to Wang 2015 so likely similar pH at around 6,23</t>
  </si>
  <si>
    <r>
      <t xml:space="preserve">Subjecting </t>
    </r>
    <r>
      <rPr>
        <i/>
        <sz val="11"/>
        <color theme="1"/>
        <rFont val="Calibri"/>
        <family val="2"/>
        <scheme val="minor"/>
      </rPr>
      <t>S. cerevisiae</t>
    </r>
    <r>
      <rPr>
        <sz val="11"/>
        <color theme="1"/>
        <rFont val="Calibri"/>
        <family val="2"/>
        <scheme val="minor"/>
      </rPr>
      <t xml:space="preserve"> GIM-2 in NaCl solution to PEF treatment (20 kV/cm, 10C, 1200, 2400, 3600 and 4800 must treatment time, 10, 100, 200, 300, 400 and 500 muS/cm conductivity)</t>
    </r>
  </si>
  <si>
    <t>CPS-4</t>
  </si>
  <si>
    <t>high acidic liquid medium</t>
  </si>
  <si>
    <t>LA 10-11</t>
  </si>
  <si>
    <t>ATCC 23472</t>
  </si>
  <si>
    <t>E.coli 3M petrifilm plate</t>
  </si>
  <si>
    <t>Gachovska et al.</t>
  </si>
  <si>
    <t>Chamber architecture not clearly described, given volume and flow rates were used for V_est and Q_est. Einput(3) gives twice the result of Einput(2)</t>
  </si>
  <si>
    <r>
      <t xml:space="preserve">Subjecting </t>
    </r>
    <r>
      <rPr>
        <i/>
        <sz val="11"/>
        <color theme="1"/>
        <rFont val="Calibri"/>
        <family val="2"/>
        <scheme val="minor"/>
      </rPr>
      <t xml:space="preserve">E. coli </t>
    </r>
    <r>
      <rPr>
        <sz val="11"/>
        <color theme="1"/>
        <rFont val="Calibri"/>
        <family val="2"/>
        <scheme val="minor"/>
      </rPr>
      <t>ATCC 23472 in Apple juice to PEF treatment (40, 50 and 60 kV/cm, 5C, up to 39,6 mus treatment time)</t>
    </r>
  </si>
  <si>
    <t>10.1111/j.1750-3841.2008.00956.x</t>
  </si>
  <si>
    <t>6g/L peptone water</t>
  </si>
  <si>
    <t>STCC 220</t>
  </si>
  <si>
    <r>
      <t xml:space="preserve">Subjecting </t>
    </r>
    <r>
      <rPr>
        <i/>
        <sz val="11"/>
        <color theme="1"/>
        <rFont val="Calibri"/>
        <family val="2"/>
        <scheme val="minor"/>
      </rPr>
      <t xml:space="preserve">L. plantarum </t>
    </r>
    <r>
      <rPr>
        <sz val="11"/>
        <color theme="1"/>
        <rFont val="Calibri"/>
        <family val="2"/>
        <scheme val="minor"/>
      </rPr>
      <t xml:space="preserve">STCC 220 in peptone water to PEF treatment (20kV/cm, 10C, up to 160 mus treatment time) </t>
    </r>
  </si>
  <si>
    <t>10.1016/S0168-1605(02)00247-7</t>
  </si>
  <si>
    <t>Rodrigo et al. treat the 14h incubated set as 'exponential phase', provide no N0 count, only a reduction on the LN scale requiring conversion through e^(LN(N0/N)) and obtaining the 10Log transformed result of that number.</t>
  </si>
  <si>
    <t>Zhong et al.</t>
  </si>
  <si>
    <t>carrot juice</t>
  </si>
  <si>
    <t>CGMCC 1.90</t>
  </si>
  <si>
    <t>Tsinghua University</t>
  </si>
  <si>
    <t>10.1046/j.1365-2672.2003.01869.x</t>
  </si>
  <si>
    <t>Abram et al.</t>
  </si>
  <si>
    <r>
      <t xml:space="preserve">Subjecting </t>
    </r>
    <r>
      <rPr>
        <i/>
        <sz val="11"/>
        <color theme="1"/>
        <rFont val="Calibri"/>
        <family val="2"/>
        <scheme val="minor"/>
      </rPr>
      <t>L. plantarum</t>
    </r>
    <r>
      <rPr>
        <sz val="11"/>
        <color theme="1"/>
        <rFont val="Calibri"/>
        <family val="2"/>
        <scheme val="minor"/>
      </rPr>
      <t xml:space="preserve"> LA 10-11 in phosphate buffer to PEF treatment (25 kV/cm, 30C, 1, 2 and 5 mus pulse width and up to 48 mus treatment time)</t>
    </r>
  </si>
  <si>
    <r>
      <t xml:space="preserve">Subjecting </t>
    </r>
    <r>
      <rPr>
        <i/>
        <sz val="11"/>
        <color theme="1"/>
        <rFont val="Calibri"/>
        <family val="2"/>
        <scheme val="minor"/>
      </rPr>
      <t xml:space="preserve">L. plantarum </t>
    </r>
    <r>
      <rPr>
        <sz val="11"/>
        <color theme="1"/>
        <rFont val="Calibri"/>
        <family val="2"/>
        <scheme val="minor"/>
      </rPr>
      <t>LA 10-11 in phosphate buffer to PEF treatment (up to 39,5 kV/cm, 30C, 1, 2 and 5 mus pulse width and up to 59 mus treatment time)</t>
    </r>
  </si>
  <si>
    <r>
      <t xml:space="preserve">Subjecting </t>
    </r>
    <r>
      <rPr>
        <i/>
        <sz val="11"/>
        <color theme="1"/>
        <rFont val="Calibri"/>
        <family val="2"/>
        <scheme val="minor"/>
      </rPr>
      <t xml:space="preserve">L. plantarum </t>
    </r>
    <r>
      <rPr>
        <sz val="11"/>
        <color theme="1"/>
        <rFont val="Calibri"/>
        <family val="2"/>
        <scheme val="minor"/>
      </rPr>
      <t>C11</t>
    </r>
    <r>
      <rPr>
        <i/>
        <sz val="11"/>
        <color theme="1"/>
        <rFont val="Calibri"/>
        <family val="2"/>
        <scheme val="minor"/>
      </rPr>
      <t xml:space="preserve">  </t>
    </r>
    <r>
      <rPr>
        <sz val="11"/>
        <color theme="1"/>
        <rFont val="Calibri"/>
        <family val="2"/>
        <scheme val="minor"/>
      </rPr>
      <t xml:space="preserve">and </t>
    </r>
    <r>
      <rPr>
        <i/>
        <sz val="11"/>
        <color theme="1"/>
        <rFont val="Calibri"/>
        <family val="2"/>
        <scheme val="minor"/>
      </rPr>
      <t xml:space="preserve">L. hilgardii </t>
    </r>
    <r>
      <rPr>
        <sz val="11"/>
        <color theme="1"/>
        <rFont val="Calibri"/>
        <family val="2"/>
        <scheme val="minor"/>
      </rPr>
      <t>CECT 4786 to PEF treatment in grape juice (20, 27,5 and 35 kV/cm, 15C, 500 and 1000 mus treatment time)</t>
    </r>
  </si>
  <si>
    <t>plantarum &amp; hilgardii</t>
  </si>
  <si>
    <t>C11 &amp; CECT4786</t>
  </si>
  <si>
    <r>
      <t xml:space="preserve">70% </t>
    </r>
    <r>
      <rPr>
        <i/>
        <sz val="11"/>
        <color theme="1"/>
        <rFont val="Calibri"/>
        <family val="2"/>
        <scheme val="minor"/>
      </rPr>
      <t>O. oeni</t>
    </r>
    <r>
      <rPr>
        <sz val="11"/>
        <color theme="1"/>
        <rFont val="Calibri"/>
        <family val="2"/>
        <scheme val="minor"/>
      </rPr>
      <t xml:space="preserve"> agar 30% tomato juice (+nystatin &amp; chloramphenicol)</t>
    </r>
  </si>
  <si>
    <t>Marselles-Fontanet et al.</t>
  </si>
  <si>
    <t>10.1016/j.ijfoodmicro.2008.12.034</t>
  </si>
  <si>
    <r>
      <t xml:space="preserve">Subjecting </t>
    </r>
    <r>
      <rPr>
        <i/>
        <sz val="11"/>
        <color theme="1"/>
        <rFont val="Calibri"/>
        <family val="2"/>
        <scheme val="minor"/>
      </rPr>
      <t>S. cerevisiae</t>
    </r>
    <r>
      <rPr>
        <sz val="11"/>
        <color theme="1"/>
        <rFont val="Calibri"/>
        <family val="2"/>
        <scheme val="minor"/>
      </rPr>
      <t xml:space="preserve"> P29 to PEF treatment in grape juice (20, 27,5 and 35 kV/cm, 15C, 500 and 1000 mus treatment time)</t>
    </r>
  </si>
  <si>
    <t>P29</t>
  </si>
  <si>
    <t>Peptone-glucose-yeast extract agar (+chloramphenicol &amp; ethyl alcohol)</t>
  </si>
  <si>
    <r>
      <t xml:space="preserve">inocula consisted of two </t>
    </r>
    <r>
      <rPr>
        <i/>
        <sz val="11"/>
        <color theme="1"/>
        <rFont val="Calibri"/>
        <family val="2"/>
        <scheme val="minor"/>
      </rPr>
      <t xml:space="preserve">Lactobacillus </t>
    </r>
    <r>
      <rPr>
        <sz val="11"/>
        <color theme="1"/>
        <rFont val="Calibri"/>
        <family val="2"/>
        <scheme val="minor"/>
      </rPr>
      <t>species the proportions of inoculation and survival of which are unknown. Additionally, for some treatment criteria, despite receiving pulses at critical field strengths the reported inactivation remains 0. Intuitively this seems wrong as a comparable treatment (same E, 2x freq and half tot treatment time) did achieve some degree of inactivation (&lt;0,5log but the point stands)</t>
    </r>
  </si>
  <si>
    <t>TG-01</t>
  </si>
  <si>
    <t>Inadequate information was available regarding the chamber dimensions to given Volume could not be validated, Vest was set as equal to reported V</t>
  </si>
  <si>
    <t>Amiali et al.</t>
  </si>
  <si>
    <t>10.1111/j.1365-2621.2006.tb15637.x</t>
  </si>
  <si>
    <t>In order to achieve 15 pulses per chamber the flow rate was estimated to be lower than the reported constant value which would only yield 14,2 pulses per chamber.</t>
  </si>
  <si>
    <r>
      <t xml:space="preserve">Subjecting </t>
    </r>
    <r>
      <rPr>
        <i/>
        <sz val="11"/>
        <color theme="1"/>
        <rFont val="Calibri"/>
        <family val="2"/>
        <scheme val="minor"/>
      </rPr>
      <t>E. coli</t>
    </r>
    <r>
      <rPr>
        <sz val="11"/>
        <color theme="1"/>
        <rFont val="Calibri"/>
        <family val="2"/>
        <scheme val="minor"/>
      </rPr>
      <t xml:space="preserve"> O157:H7 in liquid egg white to PEF treatment (20 and 30 kV/cm, 10, 20 and 30C, 30, 60, 90 and 120 mus treatment time)</t>
    </r>
  </si>
  <si>
    <t>10.2202/1556-3758.1058</t>
  </si>
  <si>
    <r>
      <t xml:space="preserve">Subjecting </t>
    </r>
    <r>
      <rPr>
        <i/>
        <sz val="11"/>
        <color theme="1"/>
        <rFont val="Calibri"/>
        <family val="2"/>
        <scheme val="minor"/>
      </rPr>
      <t>E. coli</t>
    </r>
    <r>
      <rPr>
        <sz val="11"/>
        <color theme="1"/>
        <rFont val="Calibri"/>
        <family val="2"/>
        <scheme val="minor"/>
      </rPr>
      <t xml:space="preserve"> O157:H7 in liquid whole egg to PEF treatment (20 and 30 kV/cm, 10, 20 and 30C, 60, 120, 180 and 210 mus treatment time)</t>
    </r>
  </si>
  <si>
    <t>Zhao et al.</t>
  </si>
  <si>
    <t>10.2202/1556-3758.1256</t>
  </si>
  <si>
    <t>OSU-6</t>
  </si>
  <si>
    <t>ATCC 8014</t>
  </si>
  <si>
    <t>10.1016/j.ifset.2005.01.001</t>
  </si>
  <si>
    <t>In order to account for inactivation effect of mild heat the CFU count of the 0 kV/cm treatment was taken as N0 instead of the reported inoculation number.</t>
  </si>
  <si>
    <r>
      <t xml:space="preserve">Subjecting </t>
    </r>
    <r>
      <rPr>
        <i/>
        <sz val="11"/>
        <color theme="1"/>
        <rFont val="Calibri"/>
        <family val="2"/>
        <scheme val="minor"/>
      </rPr>
      <t xml:space="preserve">L. plantarum </t>
    </r>
    <r>
      <rPr>
        <sz val="11"/>
        <color theme="1"/>
        <rFont val="Calibri"/>
        <family val="2"/>
        <scheme val="minor"/>
      </rPr>
      <t>ATCC 8014 in Ranch Dressing to PEF treatment (25, 30, 33,5 and 34 kV/cm, 18C, 45,7 mus treatment time)</t>
    </r>
  </si>
  <si>
    <t>reconstituted apple juice</t>
  </si>
  <si>
    <t>Plate count agar (TGY)</t>
  </si>
  <si>
    <t>10.1016/S1466-8564(99)00004-1</t>
  </si>
  <si>
    <r>
      <t xml:space="preserve">Subjecting </t>
    </r>
    <r>
      <rPr>
        <i/>
        <sz val="11"/>
        <color theme="1"/>
        <rFont val="Calibri"/>
        <family val="2"/>
        <scheme val="minor"/>
      </rPr>
      <t xml:space="preserve">E. coli </t>
    </r>
    <r>
      <rPr>
        <sz val="11"/>
        <color theme="1"/>
        <rFont val="Calibri"/>
        <family val="2"/>
        <scheme val="minor"/>
      </rPr>
      <t>O157:H7 35150 in apple juice to PEF treatment (22, 25, 28, 31 and 34 kV/cm, 166 mus treatment time)</t>
    </r>
  </si>
  <si>
    <r>
      <t xml:space="preserve">Subjecting </t>
    </r>
    <r>
      <rPr>
        <i/>
        <sz val="11"/>
        <color theme="1"/>
        <rFont val="Calibri"/>
        <family val="2"/>
        <scheme val="minor"/>
      </rPr>
      <t>E. coli</t>
    </r>
    <r>
      <rPr>
        <sz val="11"/>
        <color theme="1"/>
        <rFont val="Calibri"/>
        <family val="2"/>
        <scheme val="minor"/>
      </rPr>
      <t xml:space="preserve"> 35218 in pomegranate juice to PEF treatment (35 kV/cm, 4C, 72 mus treatment time)</t>
    </r>
  </si>
  <si>
    <t>10.1016/j.ifset.2014.07.011</t>
  </si>
  <si>
    <t>They mention testing inactivation efficiencies with both a benchtop and pilot scale system but results for E.coli are only from the benchtop system.</t>
  </si>
  <si>
    <t>C-Tech</t>
  </si>
  <si>
    <t>Munoz et al.</t>
  </si>
  <si>
    <t>10.1016/j.foodres.2012.02.001</t>
  </si>
  <si>
    <t>K12</t>
  </si>
  <si>
    <r>
      <t xml:space="preserve">Subjecting </t>
    </r>
    <r>
      <rPr>
        <i/>
        <sz val="11"/>
        <color theme="1"/>
        <rFont val="Calibri"/>
        <family val="2"/>
        <scheme val="minor"/>
      </rPr>
      <t xml:space="preserve">E. coli </t>
    </r>
    <r>
      <rPr>
        <sz val="11"/>
        <color theme="1"/>
        <rFont val="Calibri"/>
        <family val="2"/>
        <scheme val="minor"/>
      </rPr>
      <t>K12 in McIlvaine buffer to PEF treatment (24 kV/cm, 92 mus treatment time)</t>
    </r>
  </si>
  <si>
    <t>S288</t>
  </si>
  <si>
    <t>Malt extract agar</t>
  </si>
  <si>
    <t>Cserhalmi et al.</t>
  </si>
  <si>
    <t>10.1016/S1466-8564(01)00052-2</t>
  </si>
  <si>
    <r>
      <t xml:space="preserve">Subjecting </t>
    </r>
    <r>
      <rPr>
        <i/>
        <sz val="11"/>
        <color theme="1"/>
        <rFont val="Calibri"/>
        <family val="2"/>
        <scheme val="minor"/>
      </rPr>
      <t>S. cerevisiae</t>
    </r>
    <r>
      <rPr>
        <sz val="11"/>
        <color theme="1"/>
        <rFont val="Calibri"/>
        <family val="2"/>
        <scheme val="minor"/>
      </rPr>
      <t xml:space="preserve"> S288 in apple juice to PEF treatment (15, 20, 25, 28 kV/cm, 20C, 8, 12, 16 and 21 mus treatment time)</t>
    </r>
  </si>
  <si>
    <t>University of Auckland</t>
  </si>
  <si>
    <t>University of Kumamoto</t>
  </si>
  <si>
    <t>The Pulse width was determined based on the 'full wave half maximum' (time at which voltage is half the peak voltage) which doesn't correspond to typical expontential pulse width determination which treats 37% of the original wave as the cut-off point. Difference is negligible though due to rapid pulse fall rate (Fig 3.)</t>
  </si>
  <si>
    <t>Choi et al.</t>
  </si>
  <si>
    <t>Bacillus</t>
  </si>
  <si>
    <t>subtilis</t>
  </si>
  <si>
    <t>spore</t>
  </si>
  <si>
    <t>The Pulse width was determined based on the 'full wave half maximum' (time at which voltage is half the peak voltage) which doesn't correspond to typical expontential pulse width determination which treats 37% of the original wave as the cut-off point. Difference is negligible though due to rapid pulse fall rate (Fig 3.) Additionally for this entry, due to the Toutlet of 115 the effect of heat inactivation was quite substantial and was taken into account, this led to a lower PEF reduction than the previous entry</t>
  </si>
  <si>
    <r>
      <t xml:space="preserve">Subjecting </t>
    </r>
    <r>
      <rPr>
        <i/>
        <sz val="11"/>
        <color theme="1"/>
        <rFont val="Calibri"/>
        <family val="2"/>
        <scheme val="minor"/>
      </rPr>
      <t xml:space="preserve">B. subtilis </t>
    </r>
    <r>
      <rPr>
        <sz val="11"/>
        <color theme="1"/>
        <rFont val="Calibri"/>
        <family val="2"/>
        <scheme val="minor"/>
      </rPr>
      <t>spores in undefined medium to PEF treatment (45 to 113 kV/cm, 8C, 250 mus treatment time)</t>
    </r>
  </si>
  <si>
    <r>
      <t xml:space="preserve">Subjecting </t>
    </r>
    <r>
      <rPr>
        <i/>
        <sz val="11"/>
        <color theme="1"/>
        <rFont val="Calibri"/>
        <family val="2"/>
        <scheme val="minor"/>
      </rPr>
      <t xml:space="preserve">L. innocua </t>
    </r>
    <r>
      <rPr>
        <sz val="11"/>
        <color theme="1"/>
        <rFont val="Calibri"/>
        <family val="2"/>
        <scheme val="minor"/>
      </rPr>
      <t>ATCC 33090 in phosphate buffer to PEF treatment (30 kV/cm, 30C, 85,2 mus treatment time)</t>
    </r>
  </si>
  <si>
    <t>Custom</t>
  </si>
  <si>
    <t>ATTC 33090</t>
  </si>
  <si>
    <t>10.1063/1.3006440</t>
  </si>
  <si>
    <t>10.1016/j.ijfoodmicro.2004.07.012</t>
  </si>
  <si>
    <t>10.1016/j.ijfoodmicro.2004.07.016</t>
  </si>
  <si>
    <r>
      <t xml:space="preserve">Subjecting </t>
    </r>
    <r>
      <rPr>
        <i/>
        <sz val="11"/>
        <color theme="1"/>
        <rFont val="Calibri"/>
        <family val="2"/>
        <scheme val="minor"/>
      </rPr>
      <t xml:space="preserve">E. coli </t>
    </r>
    <r>
      <rPr>
        <sz val="11"/>
        <color theme="1"/>
        <rFont val="Calibri"/>
        <family val="2"/>
        <scheme val="minor"/>
      </rPr>
      <t>ATCC 26 in phosphate buffer to PEF treatment (15, 20, 25, 30 kV/cm, 30C, 42,6 and 85,2 mus treatment time)</t>
    </r>
  </si>
  <si>
    <r>
      <t xml:space="preserve">Subjecting </t>
    </r>
    <r>
      <rPr>
        <i/>
        <sz val="11"/>
        <color theme="1"/>
        <rFont val="Calibri"/>
        <family val="2"/>
        <scheme val="minor"/>
      </rPr>
      <t xml:space="preserve">S. cerevisiae </t>
    </r>
    <r>
      <rPr>
        <sz val="11"/>
        <color theme="1"/>
        <rFont val="Calibri"/>
        <family val="2"/>
        <scheme val="minor"/>
      </rPr>
      <t>CBS 7764 in phosphate buffer to PEF treatment (15, 20, 25, 30 kV/cm, 30C, 42,6 and 85,2 mus treatment time)</t>
    </r>
  </si>
  <si>
    <t>For the yeast results an innoculation load of 10^6 CFU/ml is reported, however, inactivations above 6 logs are achieved which, though not impossible, seems unlikely to be accurate detectable. No detection limits are specified by the authors so the entries are incorporated for now</t>
  </si>
  <si>
    <r>
      <t xml:space="preserve">Subjecting </t>
    </r>
    <r>
      <rPr>
        <i/>
        <sz val="11"/>
        <color theme="1"/>
        <rFont val="Calibri"/>
        <family val="2"/>
        <scheme val="minor"/>
      </rPr>
      <t>E. coli</t>
    </r>
    <r>
      <rPr>
        <sz val="11"/>
        <color theme="1"/>
        <rFont val="Calibri"/>
        <family val="2"/>
        <scheme val="minor"/>
      </rPr>
      <t xml:space="preserve"> K12 in distilled water to PEF treatment (15 kV/cm, 25C, 800 and 2000 mus treatment time)</t>
    </r>
  </si>
  <si>
    <t>University of Ljubljana</t>
  </si>
  <si>
    <t>Kanduser et al.</t>
  </si>
  <si>
    <t>10.1038/s41598-017-08620-8</t>
  </si>
  <si>
    <t>Very low conductivity lead to low result from Einput equations 2 and 3, high treatment times make up for this somewhat but not necessarily representative of a 'typical PEF inactivation process'</t>
  </si>
  <si>
    <r>
      <t xml:space="preserve">Subjecting </t>
    </r>
    <r>
      <rPr>
        <i/>
        <sz val="11"/>
        <color theme="1"/>
        <rFont val="Calibri"/>
        <family val="2"/>
        <scheme val="minor"/>
      </rPr>
      <t xml:space="preserve">L. brevis </t>
    </r>
    <r>
      <rPr>
        <sz val="11"/>
        <color theme="1"/>
        <rFont val="Calibri"/>
        <family val="2"/>
        <scheme val="minor"/>
      </rPr>
      <t>CECT 216 in orange juice to PEF treatment (15, 25, 30, 35 kV/cm, 25C, 50, 150, 300,, 600 and 1000 mus treatment time, monopolar)</t>
    </r>
  </si>
  <si>
    <r>
      <t xml:space="preserve">Subjecting </t>
    </r>
    <r>
      <rPr>
        <i/>
        <sz val="11"/>
        <color theme="1"/>
        <rFont val="Calibri"/>
        <family val="2"/>
        <scheme val="minor"/>
      </rPr>
      <t xml:space="preserve">L. brevis </t>
    </r>
    <r>
      <rPr>
        <sz val="11"/>
        <color theme="1"/>
        <rFont val="Calibri"/>
        <family val="2"/>
        <scheme val="minor"/>
      </rPr>
      <t>CECT 216 in orange juice to PEF treatment (15, 25, 30, 35 kV/cm, 25C, 50, 150, 300,, 600 and 1000 mus treatment time, bipolar)</t>
    </r>
  </si>
  <si>
    <t>brevis</t>
  </si>
  <si>
    <t>CECT 216</t>
  </si>
  <si>
    <t>MRS agar</t>
  </si>
  <si>
    <t>10.1016/j.fm.2004.09.005</t>
  </si>
  <si>
    <r>
      <t xml:space="preserve">Subjecting </t>
    </r>
    <r>
      <rPr>
        <i/>
        <sz val="11"/>
        <color theme="1"/>
        <rFont val="Calibri"/>
        <family val="2"/>
        <scheme val="minor"/>
      </rPr>
      <t xml:space="preserve">L. brevis </t>
    </r>
    <r>
      <rPr>
        <sz val="11"/>
        <color theme="1"/>
        <rFont val="Calibri"/>
        <family val="2"/>
        <scheme val="minor"/>
      </rPr>
      <t>CECT 216 in orange juice to PEF treatment (30 kV/cm, 25C, 300 mus, 50, 150, 200, 250 and 350 Hz pulse frequency)</t>
    </r>
  </si>
  <si>
    <r>
      <t xml:space="preserve">Subjecting </t>
    </r>
    <r>
      <rPr>
        <i/>
        <sz val="11"/>
        <color theme="1"/>
        <rFont val="Calibri"/>
        <family val="2"/>
        <scheme val="minor"/>
      </rPr>
      <t xml:space="preserve">L. brevis </t>
    </r>
    <r>
      <rPr>
        <sz val="11"/>
        <color theme="1"/>
        <rFont val="Calibri"/>
        <family val="2"/>
        <scheme val="minor"/>
      </rPr>
      <t>CECT 216 in orange juice to PEF treatment (30 kV/cm, 25C, 300 mus, 1, 2, 4, 8 and 10 mus pulse width)</t>
    </r>
  </si>
  <si>
    <t>red wine</t>
  </si>
  <si>
    <t>delbrueckii</t>
  </si>
  <si>
    <t>Yeast Peptone Glucose agar</t>
  </si>
  <si>
    <t>Abca &amp; Evrendilek</t>
  </si>
  <si>
    <t>10.1016/S1466-8564(02)00033-4</t>
  </si>
  <si>
    <t>Only Tin=20C results were included due to singular conductivity provided measured at room temperature, additionally tot_treatment_time was not given but could be determined from reported parameters</t>
  </si>
  <si>
    <r>
      <t xml:space="preserve">Subjecting </t>
    </r>
    <r>
      <rPr>
        <i/>
        <sz val="11"/>
        <color theme="1"/>
        <rFont val="Calibri"/>
        <family val="2"/>
        <scheme val="minor"/>
      </rPr>
      <t xml:space="preserve">E. coli </t>
    </r>
    <r>
      <rPr>
        <sz val="11"/>
        <color theme="1"/>
        <rFont val="Calibri"/>
        <family val="2"/>
        <scheme val="minor"/>
      </rPr>
      <t>O157:H7 in red wine to PEF treatment (31 kV/cm, 20C, 205,1 mus treatment time)</t>
    </r>
  </si>
  <si>
    <r>
      <t xml:space="preserve">Subjecting </t>
    </r>
    <r>
      <rPr>
        <i/>
        <sz val="11"/>
        <color theme="1"/>
        <rFont val="Calibri"/>
        <family val="2"/>
        <scheme val="minor"/>
      </rPr>
      <t>L. delbrueckii</t>
    </r>
    <r>
      <rPr>
        <sz val="11"/>
        <color theme="1"/>
        <rFont val="Calibri"/>
        <family val="2"/>
        <scheme val="minor"/>
      </rPr>
      <t xml:space="preserve"> in red wine to PEF treatment (24, 31 kV/cm, 20C, 205,1 mus treatment time)</t>
    </r>
  </si>
  <si>
    <r>
      <t xml:space="preserve">Subjecting </t>
    </r>
    <r>
      <rPr>
        <i/>
        <sz val="11"/>
        <color theme="1"/>
        <rFont val="Calibri"/>
        <family val="2"/>
        <scheme val="minor"/>
      </rPr>
      <t xml:space="preserve">S. cerevisiae </t>
    </r>
    <r>
      <rPr>
        <sz val="11"/>
        <color theme="1"/>
        <rFont val="Calibri"/>
        <family val="2"/>
        <scheme val="minor"/>
      </rPr>
      <t>in red wine to PEF treatment (31 kV/cm, 20C, 205,1 mus treatment time)</t>
    </r>
  </si>
  <si>
    <r>
      <t xml:space="preserve">Subjecting </t>
    </r>
    <r>
      <rPr>
        <i/>
        <sz val="11"/>
        <color theme="1"/>
        <rFont val="Calibri"/>
        <family val="2"/>
        <scheme val="minor"/>
      </rPr>
      <t>L. monocytogenes</t>
    </r>
    <r>
      <rPr>
        <sz val="11"/>
        <color theme="1"/>
        <rFont val="Calibri"/>
        <family val="2"/>
        <scheme val="minor"/>
      </rPr>
      <t xml:space="preserve"> Scott A in 0,1% NaCl solution to PEF treatment (10, 20 kV/cm, 22C and 145,6 mus treatment time)</t>
    </r>
  </si>
  <si>
    <r>
      <t xml:space="preserve">Subjecting </t>
    </r>
    <r>
      <rPr>
        <i/>
        <sz val="11"/>
        <color theme="1"/>
        <rFont val="Calibri"/>
        <family val="2"/>
        <scheme val="minor"/>
      </rPr>
      <t>E. coli</t>
    </r>
    <r>
      <rPr>
        <sz val="11"/>
        <color theme="1"/>
        <rFont val="Calibri"/>
        <family val="2"/>
        <scheme val="minor"/>
      </rPr>
      <t xml:space="preserve"> O157:H7 ATCC 35150 in 0,1% NaCl solution to PEF treatment (10, 20 kV/cm, 22C and 145,6 mus treatment time)</t>
    </r>
  </si>
  <si>
    <t>Electrode gap and chamber diameter are the same dimensions for a typical OSU-4 setup but swapped (2,9 mm diameter rather than gap, 2,3 mm gap rather than diameter)</t>
  </si>
  <si>
    <t>ATCC 35150</t>
  </si>
  <si>
    <t>Unal, Yousef &amp; Dunne</t>
  </si>
  <si>
    <t>10.1111/jfpp.12285</t>
  </si>
  <si>
    <r>
      <t xml:space="preserve">Subjecting </t>
    </r>
    <r>
      <rPr>
        <i/>
        <sz val="11"/>
        <color theme="1"/>
        <rFont val="Calibri"/>
        <family val="2"/>
        <scheme val="minor"/>
      </rPr>
      <t>L. leichmannii</t>
    </r>
    <r>
      <rPr>
        <sz val="11"/>
        <color theme="1"/>
        <rFont val="Calibri"/>
        <family val="2"/>
        <scheme val="minor"/>
      </rPr>
      <t xml:space="preserve"> ATCC 4797 in 0,1% NaCl solution to PEF treatment (15, 20 kV/cm, 22C and 145,6 mus treatment time)</t>
    </r>
  </si>
  <si>
    <r>
      <t xml:space="preserve">Subjecting </t>
    </r>
    <r>
      <rPr>
        <i/>
        <sz val="11"/>
        <color theme="1"/>
        <rFont val="Calibri"/>
        <family val="2"/>
        <scheme val="minor"/>
      </rPr>
      <t>E. coli</t>
    </r>
    <r>
      <rPr>
        <sz val="11"/>
        <color theme="1"/>
        <rFont val="Calibri"/>
        <family val="2"/>
        <scheme val="minor"/>
      </rPr>
      <t xml:space="preserve"> ATCC 26 in supplemented NTM to PEF treatment (15, 22,5 and 30 kV/cm, 25C, 85,2 mus treatment time)</t>
    </r>
  </si>
  <si>
    <t>supplemented NTM</t>
  </si>
  <si>
    <t>10.1016/S0168-1605(03)00071-0</t>
  </si>
  <si>
    <r>
      <t xml:space="preserve">Subjecting </t>
    </r>
    <r>
      <rPr>
        <i/>
        <sz val="11"/>
        <color theme="1"/>
        <rFont val="Calibri"/>
        <family val="2"/>
        <scheme val="minor"/>
      </rPr>
      <t>S. cerevisiae</t>
    </r>
    <r>
      <rPr>
        <sz val="11"/>
        <color theme="1"/>
        <rFont val="Calibri"/>
        <family val="2"/>
        <scheme val="minor"/>
      </rPr>
      <t xml:space="preserve"> in dechlorinated tap water to PEF treatment (48 kV/cm, 22,5C, up to 72 mus treatment time)</t>
    </r>
  </si>
  <si>
    <t>dechlorinated tap water</t>
  </si>
  <si>
    <t>Total treatment time had to be estimated from reported applied pulse counts per unit volume</t>
  </si>
  <si>
    <t>Initial yeast growth was mentioned as being aereated to achieve cells in a 'endogenous metabolic phase', the number of cycles is not clearly defined as the number of pulses per cycle is states to be constant at 7 but the 'number of recirculates in the treatment head' was stated to be between 0,14 and 100, the constant pulse nr per pass was used</t>
  </si>
  <si>
    <t>10.1016/j.bej.2005.08.001</t>
  </si>
  <si>
    <t>Schrive et al.</t>
  </si>
  <si>
    <t>mango juice</t>
  </si>
  <si>
    <t>IPL 1.17</t>
  </si>
  <si>
    <t>Salinas-Roca et al.</t>
  </si>
  <si>
    <t>10.1007/s11947-017-1969-1</t>
  </si>
  <si>
    <t>Chamber dimensions not provided but seeing that it's an OSU-4 system standard dimensions were assumed (2,9mm electrode gap, 2,3mm diameter)</t>
  </si>
  <si>
    <r>
      <t xml:space="preserve">Subjecting </t>
    </r>
    <r>
      <rPr>
        <i/>
        <sz val="11"/>
        <color theme="1"/>
        <rFont val="Calibri"/>
        <family val="2"/>
        <scheme val="minor"/>
      </rPr>
      <t>L. innocua</t>
    </r>
    <r>
      <rPr>
        <sz val="11"/>
        <color theme="1"/>
        <rFont val="Calibri"/>
        <family val="2"/>
        <scheme val="minor"/>
      </rPr>
      <t xml:space="preserve"> IPL 1.17 in mango juice to PEF treatment (35 kV/cm, 20,5, 66, 88,7, 198,7, 420,9, 863,9, 1309,5, 1753,6, 1974,4, 1999,8 mus treatment time)</t>
    </r>
  </si>
  <si>
    <t>green tea extract</t>
  </si>
  <si>
    <r>
      <t xml:space="preserve">Subjecting </t>
    </r>
    <r>
      <rPr>
        <i/>
        <sz val="11"/>
        <color theme="1"/>
        <rFont val="Calibri"/>
        <family val="2"/>
        <scheme val="minor"/>
      </rPr>
      <t>E. coli</t>
    </r>
    <r>
      <rPr>
        <sz val="11"/>
        <color theme="1"/>
        <rFont val="Calibri"/>
        <family val="2"/>
        <scheme val="minor"/>
      </rPr>
      <t xml:space="preserve"> ATCC 8739 in green tea extract to PEF treatment (18,1, 27,4, 38,4 kV/cm, 20C, 40, 80, 120 and 160 mus treatment time)</t>
    </r>
  </si>
  <si>
    <t>10.1016/j.lwt.2007.03.020</t>
  </si>
  <si>
    <t>citrate-phoshpate buffer</t>
  </si>
  <si>
    <r>
      <t xml:space="preserve">Subjecting </t>
    </r>
    <r>
      <rPr>
        <i/>
        <sz val="11"/>
        <color theme="1"/>
        <rFont val="Calibri"/>
        <family val="2"/>
        <scheme val="minor"/>
      </rPr>
      <t xml:space="preserve">S. cerevisiae </t>
    </r>
    <r>
      <rPr>
        <sz val="11"/>
        <color theme="1"/>
        <rFont val="Calibri"/>
        <family val="2"/>
        <scheme val="minor"/>
      </rPr>
      <t>BY4742</t>
    </r>
    <r>
      <rPr>
        <i/>
        <sz val="11"/>
        <color theme="1"/>
        <rFont val="Calibri"/>
        <family val="2"/>
        <scheme val="minor"/>
      </rPr>
      <t xml:space="preserve"> </t>
    </r>
    <r>
      <rPr>
        <sz val="11"/>
        <color theme="1"/>
        <rFont val="Calibri"/>
        <family val="2"/>
        <scheme val="minor"/>
      </rPr>
      <t>in cantaloupe juice to PEF treatment (20 kV/cm, 200 mus treament time)</t>
    </r>
  </si>
  <si>
    <t>10.3390/foods10112606</t>
  </si>
  <si>
    <r>
      <t xml:space="preserve">Subjecting </t>
    </r>
    <r>
      <rPr>
        <i/>
        <sz val="11"/>
        <color theme="1"/>
        <rFont val="Calibri"/>
        <family val="2"/>
        <scheme val="minor"/>
      </rPr>
      <t xml:space="preserve">S. cerevisiae </t>
    </r>
    <r>
      <rPr>
        <sz val="11"/>
        <color theme="1"/>
        <rFont val="Calibri"/>
        <family val="2"/>
        <scheme val="minor"/>
      </rPr>
      <t>DSMZ 1848 ascospores in lager beer 4,0% abv to PEF treatment (45 kV/cm, 23C, 70 mus treatment time)</t>
    </r>
  </si>
  <si>
    <r>
      <t xml:space="preserve">Subjecting </t>
    </r>
    <r>
      <rPr>
        <i/>
        <sz val="11"/>
        <color theme="1"/>
        <rFont val="Calibri"/>
        <family val="2"/>
        <scheme val="minor"/>
      </rPr>
      <t xml:space="preserve">S. cerevisiae </t>
    </r>
    <r>
      <rPr>
        <sz val="11"/>
        <color theme="1"/>
        <rFont val="Calibri"/>
        <family val="2"/>
        <scheme val="minor"/>
      </rPr>
      <t>DSMZ 1848 ascospores in lager beer 2,5% abv to PEF treatment (45 kV/cm, 23C, 70 mus treatment time)</t>
    </r>
  </si>
  <si>
    <r>
      <t xml:space="preserve">Subjecting </t>
    </r>
    <r>
      <rPr>
        <i/>
        <sz val="11"/>
        <color theme="1"/>
        <rFont val="Calibri"/>
        <family val="2"/>
        <scheme val="minor"/>
      </rPr>
      <t xml:space="preserve">S. cerevisiae </t>
    </r>
    <r>
      <rPr>
        <sz val="11"/>
        <color theme="1"/>
        <rFont val="Calibri"/>
        <family val="2"/>
        <scheme val="minor"/>
      </rPr>
      <t>DSMZ 1848 ascospores in dark ale 4,5% abv to PEF treatment (45 kV/cm, 23C, 70 mus treatment time)</t>
    </r>
  </si>
  <si>
    <r>
      <t xml:space="preserve">Subjecting </t>
    </r>
    <r>
      <rPr>
        <i/>
        <sz val="11"/>
        <color theme="1"/>
        <rFont val="Calibri"/>
        <family val="2"/>
        <scheme val="minor"/>
      </rPr>
      <t xml:space="preserve">S. cerevisiae </t>
    </r>
    <r>
      <rPr>
        <sz val="11"/>
        <color theme="1"/>
        <rFont val="Calibri"/>
        <family val="2"/>
        <scheme val="minor"/>
      </rPr>
      <t>DSMZ 1848 ascospores in ale 5% abv to PEF treatment (45 kV/cm, 23C, 70 mus treatment time)</t>
    </r>
  </si>
  <si>
    <r>
      <t xml:space="preserve">Subjecting </t>
    </r>
    <r>
      <rPr>
        <i/>
        <sz val="11"/>
        <color theme="1"/>
        <rFont val="Calibri"/>
        <family val="2"/>
        <scheme val="minor"/>
      </rPr>
      <t xml:space="preserve">S. cerevisiae </t>
    </r>
    <r>
      <rPr>
        <sz val="11"/>
        <color theme="1"/>
        <rFont val="Calibri"/>
        <family val="2"/>
        <scheme val="minor"/>
      </rPr>
      <t>DSMZ 1848 ascospores in lager beer 5% abv to PEF treatment (45 kV/cm, 23C, 70 mus treatment time)</t>
    </r>
  </si>
  <si>
    <r>
      <t xml:space="preserve">Subjecting </t>
    </r>
    <r>
      <rPr>
        <i/>
        <sz val="11"/>
        <color theme="1"/>
        <rFont val="Calibri"/>
        <family val="2"/>
        <scheme val="minor"/>
      </rPr>
      <t xml:space="preserve">S. cerevisiae </t>
    </r>
    <r>
      <rPr>
        <sz val="11"/>
        <color theme="1"/>
        <rFont val="Calibri"/>
        <family val="2"/>
        <scheme val="minor"/>
      </rPr>
      <t>DSMZ 1848 ascospores in pilsner beer 5% abv to PEF treatment (45 kV/cm, 23C, 70 mus treatment time)</t>
    </r>
  </si>
  <si>
    <r>
      <t xml:space="preserve">Subjecting </t>
    </r>
    <r>
      <rPr>
        <i/>
        <sz val="11"/>
        <color theme="1"/>
        <rFont val="Calibri"/>
        <family val="2"/>
        <scheme val="minor"/>
      </rPr>
      <t xml:space="preserve">S. cerevisiae </t>
    </r>
    <r>
      <rPr>
        <sz val="11"/>
        <color theme="1"/>
        <rFont val="Calibri"/>
        <family val="2"/>
        <scheme val="minor"/>
      </rPr>
      <t>DSMZ 1848 ascospores in dark ale 5,2% abv to PEF treatment (45 kV/cm, 23C, 70 mus treatment time)</t>
    </r>
  </si>
  <si>
    <r>
      <t xml:space="preserve">Subjecting </t>
    </r>
    <r>
      <rPr>
        <i/>
        <sz val="11"/>
        <color theme="1"/>
        <rFont val="Calibri"/>
        <family val="2"/>
        <scheme val="minor"/>
      </rPr>
      <t xml:space="preserve">S. cerevisiae </t>
    </r>
    <r>
      <rPr>
        <sz val="11"/>
        <color theme="1"/>
        <rFont val="Calibri"/>
        <family val="2"/>
        <scheme val="minor"/>
      </rPr>
      <t>DSMZ 1848 ascospores in ale 7% abv to PEF treatment (45 kV/cm, 23C, 70 mus treatment time)</t>
    </r>
  </si>
  <si>
    <t>DSMZ 1848</t>
  </si>
  <si>
    <t>Alami-Milani, Alkhafaji &amp; Silva</t>
  </si>
  <si>
    <t>10.1016/j.foodcont.2014.08.033</t>
  </si>
  <si>
    <t>Significant deviation between reported and estimated pulse numbers (46,2 and 57,9 pulses respectively), treatment zone is described as cylindrical (8 x 5 mm; h and d) but when treated as rectangular (8*5*5 mm; h*l*w) the reported  pulse number closely matches the estimated number (46,3 and 46,1 pulses respectively)</t>
  </si>
  <si>
    <r>
      <t xml:space="preserve">Subjecting </t>
    </r>
    <r>
      <rPr>
        <i/>
        <sz val="11"/>
        <color theme="1"/>
        <rFont val="Calibri"/>
        <family val="2"/>
        <scheme val="minor"/>
      </rPr>
      <t xml:space="preserve">S. cerevisiae </t>
    </r>
    <r>
      <rPr>
        <sz val="11"/>
        <color theme="1"/>
        <rFont val="Calibri"/>
        <family val="2"/>
        <scheme val="minor"/>
      </rPr>
      <t>CIDA VRB 11042</t>
    </r>
    <r>
      <rPr>
        <i/>
        <sz val="11"/>
        <color theme="1"/>
        <rFont val="Calibri"/>
        <family val="2"/>
        <scheme val="minor"/>
      </rPr>
      <t xml:space="preserve"> </t>
    </r>
    <r>
      <rPr>
        <sz val="11"/>
        <color theme="1"/>
        <rFont val="Calibri"/>
        <family val="2"/>
        <scheme val="minor"/>
      </rPr>
      <t>in red wine to PEF treatment (27, 27, 22, 33 kV/cm, 18C, 10 and 8 mus pulse width, 119, 99, 103 and 158 mus treatment time)</t>
    </r>
  </si>
  <si>
    <r>
      <t xml:space="preserve">Subjecting </t>
    </r>
    <r>
      <rPr>
        <i/>
        <sz val="11"/>
        <color theme="1"/>
        <rFont val="Calibri"/>
        <family val="2"/>
        <scheme val="minor"/>
      </rPr>
      <t xml:space="preserve">L. brevis </t>
    </r>
    <r>
      <rPr>
        <sz val="11"/>
        <color theme="1"/>
        <rFont val="Calibri"/>
        <family val="2"/>
        <scheme val="minor"/>
      </rPr>
      <t>CECT 5354</t>
    </r>
    <r>
      <rPr>
        <i/>
        <sz val="11"/>
        <color theme="1"/>
        <rFont val="Calibri"/>
        <family val="2"/>
        <scheme val="minor"/>
      </rPr>
      <t xml:space="preserve"> </t>
    </r>
    <r>
      <rPr>
        <sz val="11"/>
        <color theme="1"/>
        <rFont val="Calibri"/>
        <family val="2"/>
        <scheme val="minor"/>
      </rPr>
      <t>in red wine to PEF treatment (27, 27, 22, 33 kV/cm, 18C, 10 and 8 mus pulse width, 119, 99, 103 and 158 mus treatment time)</t>
    </r>
  </si>
  <si>
    <r>
      <t xml:space="preserve">Subjecting </t>
    </r>
    <r>
      <rPr>
        <i/>
        <sz val="11"/>
        <color theme="1"/>
        <rFont val="Calibri"/>
        <family val="2"/>
        <scheme val="minor"/>
      </rPr>
      <t xml:space="preserve">L. casei </t>
    </r>
    <r>
      <rPr>
        <sz val="11"/>
        <color theme="1"/>
        <rFont val="Calibri"/>
        <family val="2"/>
        <scheme val="minor"/>
      </rPr>
      <t>CECT 475</t>
    </r>
    <r>
      <rPr>
        <i/>
        <sz val="11"/>
        <color theme="1"/>
        <rFont val="Calibri"/>
        <family val="2"/>
        <scheme val="minor"/>
      </rPr>
      <t xml:space="preserve"> </t>
    </r>
    <r>
      <rPr>
        <sz val="11"/>
        <color theme="1"/>
        <rFont val="Calibri"/>
        <family val="2"/>
        <scheme val="minor"/>
      </rPr>
      <t>in red wine to PEF treatment (27, 27, 22, 33 kV/cm, 18C, 10 and 8 mus pulse width, 119, 99, 103 and 158 mus treatment time)</t>
    </r>
  </si>
  <si>
    <r>
      <t xml:space="preserve">Subjecting </t>
    </r>
    <r>
      <rPr>
        <i/>
        <sz val="11"/>
        <color theme="1"/>
        <rFont val="Calibri"/>
        <family val="2"/>
        <scheme val="minor"/>
      </rPr>
      <t xml:space="preserve">L. hilgardii </t>
    </r>
    <r>
      <rPr>
        <sz val="11"/>
        <color theme="1"/>
        <rFont val="Calibri"/>
        <family val="2"/>
        <scheme val="minor"/>
      </rPr>
      <t>CECT 478</t>
    </r>
    <r>
      <rPr>
        <i/>
        <sz val="11"/>
        <color theme="1"/>
        <rFont val="Calibri"/>
        <family val="2"/>
        <scheme val="minor"/>
      </rPr>
      <t xml:space="preserve"> </t>
    </r>
    <r>
      <rPr>
        <sz val="11"/>
        <color theme="1"/>
        <rFont val="Calibri"/>
        <family val="2"/>
        <scheme val="minor"/>
      </rPr>
      <t>in red wine to PEF treatment (27, 27, 22, 33 kV/cm, 18C, 10 and 8 mus pulse width, 119, 99, 103 and 158 mus treatment time)</t>
    </r>
  </si>
  <si>
    <r>
      <t xml:space="preserve">Subjecting </t>
    </r>
    <r>
      <rPr>
        <i/>
        <sz val="11"/>
        <color theme="1"/>
        <rFont val="Calibri"/>
        <family val="2"/>
        <scheme val="minor"/>
      </rPr>
      <t xml:space="preserve">L. mali </t>
    </r>
    <r>
      <rPr>
        <sz val="11"/>
        <color theme="1"/>
        <rFont val="Calibri"/>
        <family val="2"/>
        <scheme val="minor"/>
      </rPr>
      <t>CIDA L1</t>
    </r>
    <r>
      <rPr>
        <i/>
        <sz val="11"/>
        <color theme="1"/>
        <rFont val="Calibri"/>
        <family val="2"/>
        <scheme val="minor"/>
      </rPr>
      <t xml:space="preserve"> </t>
    </r>
    <r>
      <rPr>
        <sz val="11"/>
        <color theme="1"/>
        <rFont val="Calibri"/>
        <family val="2"/>
        <scheme val="minor"/>
      </rPr>
      <t>in red wine to PEF treatment (27, 27, 22, 33 kV/cm, 18C, 10 and 8 mus pulse width, 119, 99, 103 and 158 mus treatment time)</t>
    </r>
  </si>
  <si>
    <r>
      <t xml:space="preserve">Subjecting </t>
    </r>
    <r>
      <rPr>
        <i/>
        <sz val="11"/>
        <color theme="1"/>
        <rFont val="Calibri"/>
        <family val="2"/>
        <scheme val="minor"/>
      </rPr>
      <t xml:space="preserve">L. plantarum </t>
    </r>
    <r>
      <rPr>
        <sz val="11"/>
        <color theme="1"/>
        <rFont val="Calibri"/>
        <family val="2"/>
        <scheme val="minor"/>
      </rPr>
      <t>CIDA L2</t>
    </r>
    <r>
      <rPr>
        <i/>
        <sz val="11"/>
        <color theme="1"/>
        <rFont val="Calibri"/>
        <family val="2"/>
        <scheme val="minor"/>
      </rPr>
      <t xml:space="preserve"> </t>
    </r>
    <r>
      <rPr>
        <sz val="11"/>
        <color theme="1"/>
        <rFont val="Calibri"/>
        <family val="2"/>
        <scheme val="minor"/>
      </rPr>
      <t>in red wine to PEF treatment (27, 27, 22, 33 kV/cm, 18C, 10 and 8 mus pulse width, 119, 99, 103 and 158 mus treatment time)</t>
    </r>
  </si>
  <si>
    <r>
      <t xml:space="preserve">Subjecting </t>
    </r>
    <r>
      <rPr>
        <i/>
        <sz val="11"/>
        <color theme="1"/>
        <rFont val="Calibri"/>
        <family val="2"/>
        <scheme val="minor"/>
      </rPr>
      <t xml:space="preserve">L. lactis </t>
    </r>
    <r>
      <rPr>
        <sz val="11"/>
        <color theme="1"/>
        <rFont val="Calibri"/>
        <family val="2"/>
        <scheme val="minor"/>
      </rPr>
      <t>CECT 653</t>
    </r>
    <r>
      <rPr>
        <i/>
        <sz val="11"/>
        <color theme="1"/>
        <rFont val="Calibri"/>
        <family val="2"/>
        <scheme val="minor"/>
      </rPr>
      <t xml:space="preserve"> </t>
    </r>
    <r>
      <rPr>
        <sz val="11"/>
        <color theme="1"/>
        <rFont val="Calibri"/>
        <family val="2"/>
        <scheme val="minor"/>
      </rPr>
      <t>in red wine to PEF treatment (27, 27, 22, 33 kV/cm, 18C, 10 and 8 mus pulse width, 119, 99, 103 and 158 mus treatment time)</t>
    </r>
  </si>
  <si>
    <r>
      <t xml:space="preserve">Subjecting </t>
    </r>
    <r>
      <rPr>
        <i/>
        <sz val="11"/>
        <color theme="1"/>
        <rFont val="Calibri"/>
        <family val="2"/>
        <scheme val="minor"/>
      </rPr>
      <t xml:space="preserve">L. mesenteroides </t>
    </r>
    <r>
      <rPr>
        <sz val="11"/>
        <color theme="1"/>
        <rFont val="Calibri"/>
        <family val="2"/>
        <scheme val="minor"/>
      </rPr>
      <t>CECT 219</t>
    </r>
    <r>
      <rPr>
        <i/>
        <sz val="11"/>
        <color theme="1"/>
        <rFont val="Calibri"/>
        <family val="2"/>
        <scheme val="minor"/>
      </rPr>
      <t xml:space="preserve"> </t>
    </r>
    <r>
      <rPr>
        <sz val="11"/>
        <color theme="1"/>
        <rFont val="Calibri"/>
        <family val="2"/>
        <scheme val="minor"/>
      </rPr>
      <t>in red wine to PEF treatment (27, 27, 22, 33 kV/cm, 18C, 10 and 8 mus pulse width, 119, 99, 103 and 158 mus treatment time)</t>
    </r>
  </si>
  <si>
    <r>
      <t xml:space="preserve">Subjecting </t>
    </r>
    <r>
      <rPr>
        <i/>
        <sz val="11"/>
        <color theme="1"/>
        <rFont val="Calibri"/>
        <family val="2"/>
        <scheme val="minor"/>
      </rPr>
      <t>O. oeni</t>
    </r>
    <r>
      <rPr>
        <sz val="11"/>
        <color theme="1"/>
        <rFont val="Calibri"/>
        <family val="2"/>
        <scheme val="minor"/>
      </rPr>
      <t xml:space="preserve"> CIDA O46</t>
    </r>
    <r>
      <rPr>
        <i/>
        <sz val="11"/>
        <color theme="1"/>
        <rFont val="Calibri"/>
        <family val="2"/>
        <scheme val="minor"/>
      </rPr>
      <t xml:space="preserve"> </t>
    </r>
    <r>
      <rPr>
        <sz val="11"/>
        <color theme="1"/>
        <rFont val="Calibri"/>
        <family val="2"/>
        <scheme val="minor"/>
      </rPr>
      <t>in red wine to PEF treatment (27, 27, 22, 33 kV/cm, 18C, 10 and 8 mus pulse width, 119, 99, 103 and 158 mus treatment time)</t>
    </r>
  </si>
  <si>
    <r>
      <t xml:space="preserve">Subjecting </t>
    </r>
    <r>
      <rPr>
        <i/>
        <sz val="11"/>
        <color theme="1"/>
        <rFont val="Calibri"/>
        <family val="2"/>
        <scheme val="minor"/>
      </rPr>
      <t>O. oeni</t>
    </r>
    <r>
      <rPr>
        <sz val="11"/>
        <color theme="1"/>
        <rFont val="Calibri"/>
        <family val="2"/>
        <scheme val="minor"/>
      </rPr>
      <t xml:space="preserve"> CIDA O41</t>
    </r>
    <r>
      <rPr>
        <i/>
        <sz val="11"/>
        <color theme="1"/>
        <rFont val="Calibri"/>
        <family val="2"/>
        <scheme val="minor"/>
      </rPr>
      <t xml:space="preserve"> </t>
    </r>
    <r>
      <rPr>
        <sz val="11"/>
        <color theme="1"/>
        <rFont val="Calibri"/>
        <family val="2"/>
        <scheme val="minor"/>
      </rPr>
      <t>in red wine to PEF treatment (27, 27, 22, 33 kV/cm, 18C, 10 and 8 mus pulse width, 119, 99, 103 and 158 mus treatment time)</t>
    </r>
  </si>
  <si>
    <r>
      <t xml:space="preserve">Subjecting </t>
    </r>
    <r>
      <rPr>
        <i/>
        <sz val="11"/>
        <color theme="1"/>
        <rFont val="Calibri"/>
        <family val="2"/>
        <scheme val="minor"/>
      </rPr>
      <t xml:space="preserve">P. acidilactici </t>
    </r>
    <r>
      <rPr>
        <sz val="11"/>
        <color theme="1"/>
        <rFont val="Calibri"/>
        <family val="2"/>
        <scheme val="minor"/>
      </rPr>
      <t>CECT 98</t>
    </r>
    <r>
      <rPr>
        <i/>
        <sz val="11"/>
        <color theme="1"/>
        <rFont val="Calibri"/>
        <family val="2"/>
        <scheme val="minor"/>
      </rPr>
      <t xml:space="preserve"> </t>
    </r>
    <r>
      <rPr>
        <sz val="11"/>
        <color theme="1"/>
        <rFont val="Calibri"/>
        <family val="2"/>
        <scheme val="minor"/>
      </rPr>
      <t>in red wine to PEF treatment (27, 27, 22, 33 kV/cm, 18C, 10 and 8 mus pulse width, 119, 99, 103 and 158 mus treatment time)</t>
    </r>
  </si>
  <si>
    <r>
      <t xml:space="preserve">Subjecting </t>
    </r>
    <r>
      <rPr>
        <i/>
        <sz val="11"/>
        <color theme="1"/>
        <rFont val="Calibri"/>
        <family val="2"/>
        <scheme val="minor"/>
      </rPr>
      <t xml:space="preserve">P. parvulus </t>
    </r>
    <r>
      <rPr>
        <sz val="11"/>
        <color theme="1"/>
        <rFont val="Calibri"/>
        <family val="2"/>
        <scheme val="minor"/>
      </rPr>
      <t>CECT 813</t>
    </r>
    <r>
      <rPr>
        <i/>
        <sz val="11"/>
        <color theme="1"/>
        <rFont val="Calibri"/>
        <family val="2"/>
        <scheme val="minor"/>
      </rPr>
      <t xml:space="preserve"> </t>
    </r>
    <r>
      <rPr>
        <sz val="11"/>
        <color theme="1"/>
        <rFont val="Calibri"/>
        <family val="2"/>
        <scheme val="minor"/>
      </rPr>
      <t>in red wine to PEF treatment (27, 27, 22, 33 kV/cm, 18C, 10 and 8 mus pulse width, 119, 99, 103 and 158 mus treatment time)</t>
    </r>
  </si>
  <si>
    <r>
      <t xml:space="preserve">Subjecting </t>
    </r>
    <r>
      <rPr>
        <i/>
        <sz val="11"/>
        <color theme="1"/>
        <rFont val="Calibri"/>
        <family val="2"/>
        <scheme val="minor"/>
      </rPr>
      <t>P. pentosaceus</t>
    </r>
    <r>
      <rPr>
        <sz val="11"/>
        <color theme="1"/>
        <rFont val="Calibri"/>
        <family val="2"/>
        <scheme val="minor"/>
      </rPr>
      <t xml:space="preserve"> CECT 923</t>
    </r>
    <r>
      <rPr>
        <i/>
        <sz val="11"/>
        <color theme="1"/>
        <rFont val="Calibri"/>
        <family val="2"/>
        <scheme val="minor"/>
      </rPr>
      <t xml:space="preserve"> </t>
    </r>
    <r>
      <rPr>
        <sz val="11"/>
        <color theme="1"/>
        <rFont val="Calibri"/>
        <family val="2"/>
        <scheme val="minor"/>
      </rPr>
      <t>in red wine to PEF treatment (27, 27, 22, 33 kV/cm, 18C, 10 and 8 mus pulse width, 119, 99, 103 and 158 mus treatment time)</t>
    </r>
  </si>
  <si>
    <t>casei</t>
  </si>
  <si>
    <t>hilgardii</t>
  </si>
  <si>
    <t>mali</t>
  </si>
  <si>
    <t>lactis</t>
  </si>
  <si>
    <t>CIDA VRB 11042</t>
  </si>
  <si>
    <t>CECT 475</t>
  </si>
  <si>
    <t>CIDA L1</t>
  </si>
  <si>
    <t>CIDA L2</t>
  </si>
  <si>
    <t>CECT 653</t>
  </si>
  <si>
    <t>Lactococcus</t>
  </si>
  <si>
    <t>oeni</t>
  </si>
  <si>
    <t>acidilactici</t>
  </si>
  <si>
    <t>CECT 219</t>
  </si>
  <si>
    <t>CIDA O46</t>
  </si>
  <si>
    <t>CIDA O41</t>
  </si>
  <si>
    <t>CECT 98</t>
  </si>
  <si>
    <t>Oenococcus</t>
  </si>
  <si>
    <t>parvulus</t>
  </si>
  <si>
    <t>pentosaceus</t>
  </si>
  <si>
    <t>Pediococcus</t>
  </si>
  <si>
    <t>CECT 813</t>
  </si>
  <si>
    <t>CECT 923</t>
  </si>
  <si>
    <t>modified MRS agar</t>
  </si>
  <si>
    <t>Gonzalez-Arenzana et al.</t>
  </si>
  <si>
    <t>10.1016/j.ifset.2015.03.009</t>
  </si>
  <si>
    <t>When using reported dimensions and flow rates the estimated residence time is half that of the reported value, this indicates that the chamber likely consists of 2 treatment zones of the reported dimensions in turn adding up to the reported residence time in the treatment zones. As such the reported residence time was divided by 2 and the treatment was assumed to occur in 2 distinct chambers.</t>
  </si>
  <si>
    <r>
      <t xml:space="preserve">Subjecting </t>
    </r>
    <r>
      <rPr>
        <i/>
        <sz val="11"/>
        <color theme="1"/>
        <rFont val="Calibri"/>
        <family val="2"/>
        <scheme val="minor"/>
      </rPr>
      <t>E. coli</t>
    </r>
    <r>
      <rPr>
        <sz val="11"/>
        <color theme="1"/>
        <rFont val="Calibri"/>
        <family val="2"/>
        <scheme val="minor"/>
      </rPr>
      <t xml:space="preserve"> in carrot juice to PEF treatment (10, 15 and 20 kV/cm, up to 2250 mus treatment time)</t>
    </r>
  </si>
  <si>
    <t>0,085% NaCl agar</t>
  </si>
  <si>
    <t>10.1111/j.1745-4530.2005.00041.x</t>
  </si>
  <si>
    <t>Only electrode gap provided for chamber dimensions, used reported volume for calculations</t>
  </si>
  <si>
    <t>Reported treatment time is 3200 mus, however, pulse nr. Per chamber is ~40 pulses at pulse width 40 mus, corresponding to ~1600 mus treatment time for one chamber</t>
  </si>
  <si>
    <t>deionised water</t>
  </si>
  <si>
    <t>10.1111/jfpp.13740</t>
  </si>
  <si>
    <r>
      <t xml:space="preserve">Subjecting </t>
    </r>
    <r>
      <rPr>
        <i/>
        <sz val="11"/>
        <color theme="1"/>
        <rFont val="Calibri"/>
        <family val="2"/>
        <scheme val="minor"/>
      </rPr>
      <t xml:space="preserve">E. coli </t>
    </r>
    <r>
      <rPr>
        <sz val="11"/>
        <color theme="1"/>
        <rFont val="Calibri"/>
        <family val="2"/>
        <scheme val="minor"/>
      </rPr>
      <t>ATCC 8739 in water to PEF treatment (25 kV/cm, 1600 mus treatment time)</t>
    </r>
  </si>
  <si>
    <r>
      <t xml:space="preserve">Subjecting stationary stage </t>
    </r>
    <r>
      <rPr>
        <i/>
        <sz val="11"/>
        <color theme="1"/>
        <rFont val="Calibri"/>
        <family val="2"/>
        <scheme val="minor"/>
      </rPr>
      <t>E. coli</t>
    </r>
    <r>
      <rPr>
        <sz val="11"/>
        <color theme="1"/>
        <rFont val="Calibri"/>
        <family val="2"/>
        <scheme val="minor"/>
      </rPr>
      <t xml:space="preserve"> in water to PEF treatment (25 kV/cm, 15C, 1200 mus treatment time)</t>
    </r>
  </si>
  <si>
    <r>
      <t xml:space="preserve">Subjecting exponential stage </t>
    </r>
    <r>
      <rPr>
        <i/>
        <sz val="11"/>
        <color theme="1"/>
        <rFont val="Calibri"/>
        <family val="2"/>
        <scheme val="minor"/>
      </rPr>
      <t xml:space="preserve">E. coli </t>
    </r>
    <r>
      <rPr>
        <sz val="11"/>
        <color theme="1"/>
        <rFont val="Calibri"/>
        <family val="2"/>
        <scheme val="minor"/>
      </rPr>
      <t>in water to PEF treatment (15, 20 and 25 kV/cm, 15C, 1200 mus treatment time)</t>
    </r>
  </si>
  <si>
    <t>Liu et al.</t>
  </si>
  <si>
    <t>10.1016/j.lwt.2016.10.019</t>
  </si>
  <si>
    <t>Reported treatment time is 1200 mus, however, pulse nr. Per chamber is ~40 pulses at pulse width 20 mus, corresponding to ~800 mus treatment time for one chamber</t>
  </si>
  <si>
    <t>The article contained inactivation results for E. coli grown at a variety of temperatures, the only result included here is the 37C incubation result as this was in-line with most of the other incubation temperatures contained in the database and the lack of a designated column for incubation temperature</t>
  </si>
  <si>
    <r>
      <t xml:space="preserve">Subjecting </t>
    </r>
    <r>
      <rPr>
        <i/>
        <sz val="11"/>
        <color theme="1"/>
        <rFont val="Calibri"/>
        <family val="2"/>
        <scheme val="minor"/>
      </rPr>
      <t>L. innocua</t>
    </r>
    <r>
      <rPr>
        <sz val="11"/>
        <color theme="1"/>
        <rFont val="Calibri"/>
        <family val="2"/>
        <scheme val="minor"/>
      </rPr>
      <t xml:space="preserve"> IPL 1.17 in a Fruit juice-Whole milk beverage to PEF treatment (35 kV/cm, up to 2000 mus treatment time)</t>
    </r>
  </si>
  <si>
    <r>
      <t xml:space="preserve">Subjecting </t>
    </r>
    <r>
      <rPr>
        <i/>
        <sz val="11"/>
        <color theme="1"/>
        <rFont val="Calibri"/>
        <family val="2"/>
        <scheme val="minor"/>
      </rPr>
      <t>L. innocua</t>
    </r>
    <r>
      <rPr>
        <sz val="11"/>
        <color theme="1"/>
        <rFont val="Calibri"/>
        <family val="2"/>
        <scheme val="minor"/>
      </rPr>
      <t xml:space="preserve"> IPL 1.17 in a Fruit juice-Skim milk beverage to PEF treatment (35 kV/cm, up to 2000 mus treatment time)</t>
    </r>
  </si>
  <si>
    <t>Salvia-Trujillo et al.</t>
  </si>
  <si>
    <t>10.1016/j.foodcont.2011.03.022</t>
  </si>
  <si>
    <r>
      <t xml:space="preserve">Subjecting </t>
    </r>
    <r>
      <rPr>
        <i/>
        <sz val="11"/>
        <color theme="1"/>
        <rFont val="Calibri"/>
        <family val="2"/>
        <scheme val="minor"/>
      </rPr>
      <t xml:space="preserve">S. cerevisiae </t>
    </r>
    <r>
      <rPr>
        <sz val="11"/>
        <color theme="1"/>
        <rFont val="Calibri"/>
        <family val="2"/>
        <scheme val="minor"/>
      </rPr>
      <t>BY4742 in phosphate buffered saline to PEF treatment (20 kV/cm, 100, 200, 300, 400 and 500 mus treatment time)</t>
    </r>
  </si>
  <si>
    <t>phosphate buffered saline</t>
  </si>
  <si>
    <t>10.1016/j.lwt.2014.03.009</t>
  </si>
  <si>
    <t>Chamber architecture not clearly described, volume of 0,5 ml is provided, however, with the provided d(iameter?) of 2mm and chamber length of 100mm a volume of 0,314 ml is achieved. For now the 0,5ml is maintained as the volume</t>
  </si>
  <si>
    <t>Lacticaseibacillus</t>
  </si>
  <si>
    <t>rhamnosus</t>
  </si>
  <si>
    <t>ATCC 7469</t>
  </si>
  <si>
    <t>Djukic-Vukovic et al.</t>
  </si>
  <si>
    <t>10.1016/j.lwt.2021.112304</t>
  </si>
  <si>
    <r>
      <t xml:space="preserve">Subjecting </t>
    </r>
    <r>
      <rPr>
        <i/>
        <sz val="11"/>
        <color theme="1"/>
        <rFont val="Calibri"/>
        <family val="2"/>
        <scheme val="minor"/>
      </rPr>
      <t xml:space="preserve">L. rhamnosus </t>
    </r>
    <r>
      <rPr>
        <sz val="11"/>
        <color theme="1"/>
        <rFont val="Calibri"/>
        <family val="2"/>
        <scheme val="minor"/>
      </rPr>
      <t>ATCC 7469 in water to PEF treatment 7,5 and 12,5 kV/cm, 22C, 800 mus treatment time)</t>
    </r>
  </si>
  <si>
    <t>alcoholic product</t>
  </si>
  <si>
    <r>
      <t xml:space="preserve">Subjecting </t>
    </r>
    <r>
      <rPr>
        <i/>
        <sz val="11"/>
        <color theme="1"/>
        <rFont val="Calibri"/>
        <family val="2"/>
        <scheme val="minor"/>
      </rPr>
      <t>E. coli</t>
    </r>
    <r>
      <rPr>
        <sz val="11"/>
        <color theme="1"/>
        <rFont val="Calibri"/>
        <family val="2"/>
        <scheme val="minor"/>
      </rPr>
      <t xml:space="preserve"> ATCC 8739 in liquid egg white to PEF treament (30 kV/cm, 20C, 200, 400, 600 and 800 mus treatment time)</t>
    </r>
  </si>
  <si>
    <t>ATCC 11775</t>
  </si>
  <si>
    <t>ATCC 49445</t>
  </si>
  <si>
    <t>ATCC 51742</t>
  </si>
  <si>
    <t>CECT 478</t>
  </si>
  <si>
    <t>CECT 5354</t>
  </si>
  <si>
    <t>Yeast peptone dextrose agar</t>
  </si>
  <si>
    <t>Rather than approximate the number of treatment cycles through the chamber the increase in treatment time is derived from an assumed reduced flow-rate to reach that same level of treatment, additionally the chamber volume was provided but could not be verified through estimation and as such the V_est is set to that given Volume</t>
  </si>
  <si>
    <t>log_transform_reduction</t>
  </si>
  <si>
    <t>est_tot_pulse_number</t>
  </si>
  <si>
    <t>dilute NaCl solution</t>
  </si>
  <si>
    <r>
      <t xml:space="preserve">Subjecting </t>
    </r>
    <r>
      <rPr>
        <i/>
        <sz val="11"/>
        <color theme="1"/>
        <rFont val="Calibri"/>
        <family val="2"/>
        <scheme val="minor"/>
      </rPr>
      <t xml:space="preserve">E. coli </t>
    </r>
    <r>
      <rPr>
        <sz val="11"/>
        <color theme="1"/>
        <rFont val="Calibri"/>
        <family val="2"/>
        <scheme val="minor"/>
      </rPr>
      <t>O157:H7 in model strawberry juice to PEF treatment (25, 30, 35 kV/cm, 23C and 5, 16 and 27 mus treatment time)</t>
    </r>
  </si>
  <si>
    <t>model strawberry juice</t>
  </si>
  <si>
    <t>Reported residence time seems incorrect at ~2x the estimated number, as extension estimated treatment times are deemed incorrect. Additionally, inlet temperature was assumed to be room temperature (20C) for the sake of missing value resolution</t>
  </si>
  <si>
    <t>plant-based beverage</t>
  </si>
  <si>
    <r>
      <t xml:space="preserve">Subjecting </t>
    </r>
    <r>
      <rPr>
        <i/>
        <sz val="11"/>
        <color theme="1"/>
        <rFont val="Calibri"/>
        <family val="2"/>
        <scheme val="minor"/>
      </rPr>
      <t xml:space="preserve">E. coli </t>
    </r>
    <r>
      <rPr>
        <sz val="11"/>
        <color theme="1"/>
        <rFont val="Calibri"/>
        <family val="2"/>
        <scheme val="minor"/>
      </rPr>
      <t>DH5ɑ in grape juice to PEF treatment (24 kV/cm, 30C and 3, 4, 5 and 6 mus pulse width)</t>
    </r>
  </si>
  <si>
    <r>
      <t xml:space="preserve">Subjecting </t>
    </r>
    <r>
      <rPr>
        <i/>
        <sz val="11"/>
        <color theme="1"/>
        <rFont val="Calibri"/>
        <family val="2"/>
        <scheme val="minor"/>
      </rPr>
      <t xml:space="preserve">S. cerevisiae </t>
    </r>
    <r>
      <rPr>
        <sz val="11"/>
        <color theme="1"/>
        <rFont val="Calibri"/>
        <family val="2"/>
        <scheme val="minor"/>
      </rPr>
      <t>CICC 1374 in grape juice to PEF treatment (12, 18, 24 kV/cm, 30C and 30,  60, 90, 120, 150 and 180 mus treatment time)</t>
    </r>
  </si>
  <si>
    <r>
      <t xml:space="preserve">Subjecting </t>
    </r>
    <r>
      <rPr>
        <i/>
        <sz val="11"/>
        <color theme="1"/>
        <rFont val="Calibri"/>
        <family val="2"/>
        <scheme val="minor"/>
      </rPr>
      <t xml:space="preserve">E. coli </t>
    </r>
    <r>
      <rPr>
        <sz val="11"/>
        <color theme="1"/>
        <rFont val="Calibri"/>
        <family val="2"/>
        <scheme val="minor"/>
      </rPr>
      <t>DH5ɑ in grape juice to PEF treatment (12, 18, 24 kV/cm, 30C and 30,  60, 90, 120, 150 and 180 mus treatment time)</t>
    </r>
  </si>
  <si>
    <r>
      <t xml:space="preserve">Subjecting </t>
    </r>
    <r>
      <rPr>
        <i/>
        <sz val="11"/>
        <color theme="1"/>
        <rFont val="Calibri"/>
        <family val="2"/>
        <scheme val="minor"/>
      </rPr>
      <t>E. coli</t>
    </r>
    <r>
      <rPr>
        <sz val="11"/>
        <color theme="1"/>
        <rFont val="Calibri"/>
        <family val="2"/>
        <scheme val="minor"/>
      </rPr>
      <t xml:space="preserve"> DH5ɑ</t>
    </r>
    <r>
      <rPr>
        <sz val="9.35"/>
        <color theme="1"/>
        <rFont val="Calibri"/>
        <family val="2"/>
        <scheme val="minor"/>
      </rPr>
      <t xml:space="preserve"> </t>
    </r>
    <r>
      <rPr>
        <sz val="11"/>
        <color theme="1"/>
        <rFont val="Calibri"/>
        <family val="2"/>
        <scheme val="minor"/>
      </rPr>
      <t>in grape juice to PEF treatment (9, 12, 15, 18, 21 and 24 kV/cm, 40C and 55, 69, 92, 138, 184 and 276 mus treatment time)</t>
    </r>
  </si>
  <si>
    <r>
      <t xml:space="preserve">Subjecting </t>
    </r>
    <r>
      <rPr>
        <i/>
        <sz val="11"/>
        <color theme="1"/>
        <rFont val="Calibri"/>
        <family val="2"/>
        <scheme val="minor"/>
      </rPr>
      <t xml:space="preserve">S. cerevisiae </t>
    </r>
    <r>
      <rPr>
        <sz val="11"/>
        <color theme="1"/>
        <rFont val="Calibri"/>
        <family val="2"/>
        <scheme val="minor"/>
      </rPr>
      <t>CICC 1374</t>
    </r>
    <r>
      <rPr>
        <sz val="9.35"/>
        <color theme="1"/>
        <rFont val="Calibri"/>
        <family val="2"/>
        <scheme val="minor"/>
      </rPr>
      <t xml:space="preserve"> </t>
    </r>
    <r>
      <rPr>
        <sz val="11"/>
        <color theme="1"/>
        <rFont val="Calibri"/>
        <family val="2"/>
        <scheme val="minor"/>
      </rPr>
      <t>in grape juice to PEF treatment (9, 12, 15, 18, 21 and 24 kV/cm, 40C and 55, 69, 92, 138, 184 and 276 mus treatment time)</t>
    </r>
  </si>
  <si>
    <r>
      <t xml:space="preserve">Subjecting </t>
    </r>
    <r>
      <rPr>
        <i/>
        <sz val="11"/>
        <color theme="1"/>
        <rFont val="Calibri"/>
        <family val="2"/>
        <scheme val="minor"/>
      </rPr>
      <t xml:space="preserve">E. coli </t>
    </r>
    <r>
      <rPr>
        <sz val="11"/>
        <color theme="1"/>
        <rFont val="Calibri"/>
        <family val="2"/>
        <scheme val="minor"/>
      </rPr>
      <t>35218 in pomegranate juice to PEF treatment (22 and 30 kV/cm, 2800 and 4500 muS/cm conductivity)</t>
    </r>
  </si>
  <si>
    <r>
      <t xml:space="preserve">Subjecting </t>
    </r>
    <r>
      <rPr>
        <i/>
        <sz val="11"/>
        <color theme="1"/>
        <rFont val="Calibri"/>
        <family val="2"/>
        <scheme val="minor"/>
      </rPr>
      <t xml:space="preserve">E. coli </t>
    </r>
    <r>
      <rPr>
        <sz val="11"/>
        <color theme="1"/>
        <rFont val="Calibri"/>
        <family val="2"/>
        <scheme val="minor"/>
      </rPr>
      <t>O157:H7 in apple juice to PEF treatment (21, 25, 30, 34 kV/cm, 5C and 72, 108, 145, 181, 217 mus treatment time</t>
    </r>
  </si>
  <si>
    <r>
      <t xml:space="preserve">Subjecting </t>
    </r>
    <r>
      <rPr>
        <i/>
        <sz val="11"/>
        <color theme="1"/>
        <rFont val="Calibri"/>
        <family val="2"/>
        <scheme val="minor"/>
      </rPr>
      <t>E. coli</t>
    </r>
    <r>
      <rPr>
        <sz val="11"/>
        <color theme="1"/>
        <rFont val="Calibri"/>
        <family val="2"/>
        <scheme val="minor"/>
      </rPr>
      <t xml:space="preserve"> ATCC 8739 in orange juice-milk beverage to PEF treatment (15, 25, 35, 40 kV/cm, up to 700 mus treatment time)</t>
    </r>
  </si>
  <si>
    <r>
      <t xml:space="preserve">Subjecting </t>
    </r>
    <r>
      <rPr>
        <i/>
        <sz val="11"/>
        <color theme="1"/>
        <rFont val="Calibri"/>
        <family val="2"/>
        <scheme val="minor"/>
      </rPr>
      <t xml:space="preserve">E. coli </t>
    </r>
    <r>
      <rPr>
        <sz val="11"/>
        <color theme="1"/>
        <rFont val="Calibri"/>
        <family val="2"/>
        <scheme val="minor"/>
      </rPr>
      <t>O157:H7 in apple juice to PEF treatment (20, 25, 30 kV/cm, 20, 30, 40C and between 6,5 and 124 mus treatment time)</t>
    </r>
  </si>
  <si>
    <t>raw goat milk</t>
  </si>
  <si>
    <t>watermelon juice</t>
  </si>
  <si>
    <t>melon juice</t>
  </si>
  <si>
    <t>orange juice-milk</t>
  </si>
  <si>
    <t>pear juice</t>
  </si>
  <si>
    <t>phosphate buffer 0,01 M</t>
  </si>
  <si>
    <t>nutritive treatment medium</t>
  </si>
  <si>
    <t>strawberry juice</t>
  </si>
  <si>
    <t>undefined medium</t>
  </si>
  <si>
    <t>pilsner 5% abv</t>
  </si>
  <si>
    <t>model ranch dressing</t>
  </si>
  <si>
    <t>grape juice</t>
  </si>
  <si>
    <t>fruit juice-skim milk beverage</t>
  </si>
  <si>
    <t>fruit juice-whole milk beverage</t>
  </si>
  <si>
    <t>lager 4.0 abv</t>
  </si>
  <si>
    <t>lager 2.5 abv</t>
  </si>
  <si>
    <t>lager 5 abv</t>
  </si>
  <si>
    <t>ale 5 abv</t>
  </si>
  <si>
    <t>dark ale 5.2 abv</t>
  </si>
  <si>
    <t>dark ale 4.5 abv</t>
  </si>
  <si>
    <t>ale 7 abv</t>
  </si>
  <si>
    <t>liquid egg white</t>
  </si>
  <si>
    <t>liquid whole egg</t>
  </si>
  <si>
    <t>lab-scale</t>
  </si>
  <si>
    <t>pilot-scale</t>
  </si>
  <si>
    <t>co-field</t>
  </si>
  <si>
    <t>parallel</t>
  </si>
  <si>
    <t>co-axial</t>
  </si>
  <si>
    <t>tryptic soy agar</t>
  </si>
  <si>
    <t>tryptic soy agar yeast extract</t>
  </si>
  <si>
    <t>ampicilin agar</t>
  </si>
  <si>
    <t>chloramphenicol glucose agar</t>
  </si>
  <si>
    <t>nutrient broth agar</t>
  </si>
  <si>
    <t>palcam agar</t>
  </si>
  <si>
    <t>potato dextrose agar</t>
  </si>
  <si>
    <t>LAB_true_false</t>
  </si>
  <si>
    <t>circulation_yes_no</t>
  </si>
  <si>
    <t>organism_grouped</t>
  </si>
  <si>
    <t>study_below_equal_300</t>
  </si>
  <si>
    <t>LAB</t>
  </si>
  <si>
    <r>
      <t xml:space="preserve">Influence of PEF in </t>
    </r>
    <r>
      <rPr>
        <i/>
        <sz val="11"/>
        <color theme="1"/>
        <rFont val="Calibri"/>
        <family val="2"/>
        <scheme val="minor"/>
      </rPr>
      <t>Salmonella Enteritidis</t>
    </r>
    <r>
      <rPr>
        <sz val="11"/>
        <color theme="1"/>
        <rFont val="Calibri"/>
        <family val="2"/>
        <scheme val="minor"/>
      </rPr>
      <t xml:space="preserve"> present in Apple, Pear, Orange and Strawberry Juices to PEF treatment  (35 kV/cm electric field strength with 500, 1250, 1575, 1600, 1700 2000 μs treatment time, bipolar)</t>
    </r>
  </si>
  <si>
    <r>
      <t xml:space="preserve">Subjecting </t>
    </r>
    <r>
      <rPr>
        <i/>
        <sz val="11"/>
        <color theme="1"/>
        <rFont val="Calibri"/>
        <family val="2"/>
        <scheme val="minor"/>
      </rPr>
      <t>Salmonella enterica Enteritidis</t>
    </r>
    <r>
      <rPr>
        <sz val="11"/>
        <color theme="1"/>
        <rFont val="Calibri"/>
        <family val="2"/>
        <scheme val="minor"/>
      </rPr>
      <t xml:space="preserve"> inoculated in melon and watermelon juices to PEF (35 kV/cm electric field strength with 500, 1250, 1571, 1601, 1682, 1709, 2000 μs treatment time, bipolar)</t>
    </r>
  </si>
  <si>
    <r>
      <t xml:space="preserve">Exposing </t>
    </r>
    <r>
      <rPr>
        <i/>
        <sz val="11"/>
        <color theme="1"/>
        <rFont val="Calibri"/>
        <family val="2"/>
        <scheme val="minor"/>
      </rPr>
      <t>Salmonella Typhimurium ATCC 14028</t>
    </r>
    <r>
      <rPr>
        <sz val="11"/>
        <color theme="1"/>
        <rFont val="Calibri"/>
        <family val="2"/>
        <scheme val="minor"/>
      </rPr>
      <t xml:space="preserve"> present in Tryptic Soy Broth medium to PEF (25 kV/cm electric field strength and 1200 μs processing time, bipolar)</t>
    </r>
  </si>
  <si>
    <r>
      <t xml:space="preserve">Subjecting </t>
    </r>
    <r>
      <rPr>
        <i/>
        <sz val="11"/>
        <color theme="1"/>
        <rFont val="Calibri"/>
        <family val="2"/>
        <scheme val="minor"/>
      </rPr>
      <t>Salmonella Enteritidis ATCC 13076</t>
    </r>
    <r>
      <rPr>
        <sz val="11"/>
        <color theme="1"/>
        <rFont val="Calibri"/>
        <family val="2"/>
        <scheme val="minor"/>
      </rPr>
      <t xml:space="preserve"> present in Liquid Whole egg to PEF (20, 30 kV/cm electric field strength and 60, 120, 180, 210  μs processing time, bipolar)</t>
    </r>
  </si>
  <si>
    <r>
      <t xml:space="preserve">Subjecting </t>
    </r>
    <r>
      <rPr>
        <i/>
        <sz val="11"/>
        <color theme="1"/>
        <rFont val="Calibri"/>
        <family val="2"/>
        <scheme val="minor"/>
      </rPr>
      <t>Salmonella Typhimurium STCC 878</t>
    </r>
    <r>
      <rPr>
        <sz val="11"/>
        <color theme="1"/>
        <rFont val="Calibri"/>
        <family val="2"/>
        <scheme val="minor"/>
      </rPr>
      <t xml:space="preserve"> present in Tryptic Soy Broth with Yeast Extract to PEF (15, 20, 25, 30, 35 kV/cm electric field strength, 27, 75, 150, 300, 500 μs treatment time)</t>
    </r>
  </si>
  <si>
    <r>
      <t xml:space="preserve">Subjecting </t>
    </r>
    <r>
      <rPr>
        <i/>
        <sz val="11"/>
        <color theme="1"/>
        <rFont val="Calibri"/>
        <family val="2"/>
        <scheme val="minor"/>
      </rPr>
      <t>Salmonella Enteritidis ATCC 13076</t>
    </r>
    <r>
      <rPr>
        <sz val="11"/>
        <color theme="1"/>
        <rFont val="Calibri"/>
        <family val="2"/>
        <scheme val="minor"/>
      </rPr>
      <t xml:space="preserve"> present in Liquid Whole Egg to PEF (15, 25, 22.5 kV/cm electric field strength, 250 μs treatment time, bipolar)</t>
    </r>
  </si>
  <si>
    <r>
      <t xml:space="preserve">Subjecting </t>
    </r>
    <r>
      <rPr>
        <i/>
        <sz val="11"/>
        <color theme="1"/>
        <rFont val="Calibri"/>
        <family val="2"/>
        <scheme val="minor"/>
      </rPr>
      <t xml:space="preserve">Salmonella enteritidis ATCC6538 </t>
    </r>
    <r>
      <rPr>
        <sz val="11"/>
        <color theme="1"/>
        <rFont val="Calibri"/>
        <family val="2"/>
        <scheme val="minor"/>
      </rPr>
      <t>and</t>
    </r>
    <r>
      <rPr>
        <i/>
        <sz val="11"/>
        <color theme="1"/>
        <rFont val="Calibri"/>
        <family val="2"/>
        <scheme val="minor"/>
      </rPr>
      <t xml:space="preserve"> Staphylococcus aureus ATCC13076</t>
    </r>
    <r>
      <rPr>
        <sz val="11"/>
        <color theme="1"/>
        <rFont val="Calibri"/>
        <family val="2"/>
        <scheme val="minor"/>
      </rPr>
      <t xml:space="preserve"> present in Liquid Egg White to PEF ( 30 kV/cm electric field strength; 200, 400, 600, 800 μs treatment time, bipolar)</t>
    </r>
  </si>
  <si>
    <r>
      <t xml:space="preserve">Subjecting </t>
    </r>
    <r>
      <rPr>
        <i/>
        <sz val="11"/>
        <color theme="1"/>
        <rFont val="Calibri"/>
        <family val="2"/>
        <scheme val="minor"/>
      </rPr>
      <t xml:space="preserve">Salmonella enteritidis ATCC6538 </t>
    </r>
    <r>
      <rPr>
        <sz val="11"/>
        <color theme="1"/>
        <rFont val="Calibri"/>
        <family val="2"/>
        <scheme val="minor"/>
      </rPr>
      <t>and</t>
    </r>
    <r>
      <rPr>
        <i/>
        <sz val="11"/>
        <color theme="1"/>
        <rFont val="Calibri"/>
        <family val="2"/>
        <scheme val="minor"/>
      </rPr>
      <t xml:space="preserve"> Staphylococcus aureus ATCC13076</t>
    </r>
    <r>
      <rPr>
        <sz val="11"/>
        <color theme="1"/>
        <rFont val="Calibri"/>
        <family val="2"/>
        <scheme val="minor"/>
      </rPr>
      <t xml:space="preserve"> present in Liquid Egg White to PEF (30 kV/cm electric field strength; 200, 400, 600, 800 μs treatment time, bipolar)</t>
    </r>
  </si>
  <si>
    <r>
      <t xml:space="preserve">Subjecting </t>
    </r>
    <r>
      <rPr>
        <i/>
        <sz val="11"/>
        <color theme="1"/>
        <rFont val="Calibri"/>
        <family val="2"/>
        <scheme val="minor"/>
      </rPr>
      <t xml:space="preserve">Staphylococcus aureus ATCC 6538 </t>
    </r>
    <r>
      <rPr>
        <sz val="11"/>
        <color theme="1"/>
        <rFont val="Calibri"/>
        <family val="2"/>
        <scheme val="minor"/>
      </rPr>
      <t>present in skim milk to PEF (35 kV/cm electric field strength; 90, 180, 270, 360, 450 μs treatment time, bipolar)</t>
    </r>
  </si>
  <si>
    <r>
      <t xml:space="preserve">Subjecting </t>
    </r>
    <r>
      <rPr>
        <i/>
        <sz val="11"/>
        <color theme="1"/>
        <rFont val="Calibri"/>
        <family val="2"/>
        <scheme val="minor"/>
      </rPr>
      <t>Salmonella Enteritidis ATCC 13076</t>
    </r>
    <r>
      <rPr>
        <sz val="11"/>
        <color theme="1"/>
        <rFont val="Calibri"/>
        <family val="2"/>
        <scheme val="minor"/>
      </rPr>
      <t xml:space="preserve"> and </t>
    </r>
    <r>
      <rPr>
        <i/>
        <sz val="11"/>
        <color theme="1"/>
        <rFont val="Calibri"/>
        <family val="2"/>
        <scheme val="minor"/>
      </rPr>
      <t>Salmonella Typhimurium ATCC 13311</t>
    </r>
    <r>
      <rPr>
        <sz val="11"/>
        <color theme="1"/>
        <rFont val="Calibri"/>
        <family val="2"/>
        <scheme val="minor"/>
      </rPr>
      <t xml:space="preserve"> present in Nutrient Broth to PEF (9, 12, 15, 19, 22, 25, 28 kV/cm electric field strength with varying treatment times, bipolar)</t>
    </r>
  </si>
  <si>
    <r>
      <t xml:space="preserve">Subjecting </t>
    </r>
    <r>
      <rPr>
        <i/>
        <sz val="11"/>
        <color theme="1"/>
        <rFont val="Calibri"/>
        <family val="2"/>
        <scheme val="minor"/>
      </rPr>
      <t>Staphylococcus aureus CICC 21648</t>
    </r>
    <r>
      <rPr>
        <sz val="11"/>
        <color theme="1"/>
        <rFont val="Calibri"/>
        <family val="2"/>
        <scheme val="minor"/>
      </rPr>
      <t xml:space="preserve"> present in grape juice to PEF (9, 12, 15, 18, 21, 24, 27 kV/cm electric field strength with varying treatment times, monopolar)</t>
    </r>
  </si>
  <si>
    <r>
      <t xml:space="preserve">Subjecting </t>
    </r>
    <r>
      <rPr>
        <i/>
        <sz val="11"/>
        <color theme="1"/>
        <rFont val="Calibri"/>
        <family val="2"/>
        <scheme val="minor"/>
      </rPr>
      <t>Pseudomonas</t>
    </r>
    <r>
      <rPr>
        <sz val="11"/>
        <color theme="1"/>
        <rFont val="Calibri"/>
        <family val="2"/>
        <scheme val="minor"/>
      </rPr>
      <t xml:space="preserve"> present in cold skimmed milk to PEF (25, 29, 31, 34, 37 kV/cm electric field strength; 19.6 μs treatment time, monopolar)</t>
    </r>
  </si>
  <si>
    <r>
      <t>Subjecting</t>
    </r>
    <r>
      <rPr>
        <i/>
        <sz val="11"/>
        <color theme="1"/>
        <rFont val="Calibri"/>
        <family val="2"/>
        <scheme val="minor"/>
      </rPr>
      <t xml:space="preserve"> Staphylococcus aureus STCC 4459</t>
    </r>
    <r>
      <rPr>
        <sz val="11"/>
        <color theme="1"/>
        <rFont val="Calibri"/>
        <family val="2"/>
        <scheme val="minor"/>
      </rPr>
      <t xml:space="preserve"> present in Tryptic Soy Broth with Yeast Extract to PEF (15, 25, 35 kV/cm electric field strength; with varying treatment times)</t>
    </r>
  </si>
  <si>
    <r>
      <t>Subjecting</t>
    </r>
    <r>
      <rPr>
        <i/>
        <sz val="11"/>
        <color theme="1"/>
        <rFont val="Calibri"/>
        <family val="2"/>
        <scheme val="minor"/>
      </rPr>
      <t xml:space="preserve"> Staphylococcus aureus (ATCC 6538)</t>
    </r>
    <r>
      <rPr>
        <sz val="11"/>
        <color theme="1"/>
        <rFont val="Calibri"/>
        <family val="2"/>
        <scheme val="minor"/>
      </rPr>
      <t xml:space="preserve"> present in Soymilk to PEF (20, 30, 35, 40 kV/cm electric field strength; with 72, 144, 288, 432, 547 μs treatment time )</t>
    </r>
  </si>
  <si>
    <r>
      <t xml:space="preserve">Subjecting </t>
    </r>
    <r>
      <rPr>
        <i/>
        <sz val="11"/>
        <color theme="1"/>
        <rFont val="Calibri"/>
        <family val="2"/>
        <scheme val="minor"/>
      </rPr>
      <t>Salmonella Enteritidis ATCC 13076</t>
    </r>
    <r>
      <rPr>
        <sz val="11"/>
        <color theme="1"/>
        <rFont val="Calibri"/>
        <family val="2"/>
        <scheme val="minor"/>
      </rPr>
      <t xml:space="preserve"> present in Liquid egg white to PEF (20, 30 kV/cm electric field strength with varying pulse numbers, bipolar)</t>
    </r>
  </si>
  <si>
    <r>
      <t xml:space="preserve">Subjecting </t>
    </r>
    <r>
      <rPr>
        <i/>
        <sz val="11"/>
        <color theme="1"/>
        <rFont val="Calibri"/>
        <family val="2"/>
        <scheme val="minor"/>
      </rPr>
      <t>Staphylococccus aureus (CICC 21648)</t>
    </r>
    <r>
      <rPr>
        <sz val="11"/>
        <color theme="1"/>
        <rFont val="Calibri"/>
        <family val="2"/>
        <scheme val="minor"/>
      </rPr>
      <t xml:space="preserve"> present in Grape Juice to PEF (12, 18, 24 kV/cm electric field strength and 30, 60, 90, 120, 150 180 μs processing time and  varying pulse widths of 3, 4, 5, 6; monopolar)</t>
    </r>
  </si>
  <si>
    <r>
      <t xml:space="preserve">Subjecting </t>
    </r>
    <r>
      <rPr>
        <i/>
        <sz val="11"/>
        <color theme="1"/>
        <rFont val="Calibri"/>
        <family val="2"/>
        <scheme val="minor"/>
      </rPr>
      <t>Staphylococcus aureus</t>
    </r>
    <r>
      <rPr>
        <sz val="11"/>
        <color theme="1"/>
        <rFont val="Calibri"/>
        <family val="2"/>
        <scheme val="minor"/>
      </rPr>
      <t xml:space="preserve"> present in Apple juice to PEF (25, 30, 35 kV/cm electric field strength and 36, 46, 56, 65, 75 μs processing time, bipolar)</t>
    </r>
  </si>
  <si>
    <r>
      <t xml:space="preserve">Subjecting </t>
    </r>
    <r>
      <rPr>
        <i/>
        <sz val="11"/>
        <color theme="1"/>
        <rFont val="Calibri"/>
        <family val="2"/>
        <scheme val="minor"/>
      </rPr>
      <t xml:space="preserve">Salmonella senftenberg 775W (ATCC 43845) </t>
    </r>
    <r>
      <rPr>
        <sz val="11"/>
        <color theme="1"/>
        <rFont val="Calibri"/>
        <family val="2"/>
        <scheme val="minor"/>
      </rPr>
      <t>present in Mcllvaine buffer to PEF (12, 15, 19, 22, 28 kV/cm electric field strength and with varying μs of processing time)</t>
    </r>
  </si>
  <si>
    <r>
      <t xml:space="preserve">Subjecting  </t>
    </r>
    <r>
      <rPr>
        <i/>
        <sz val="11"/>
        <color theme="1"/>
        <rFont val="Calibri"/>
        <family val="2"/>
        <scheme val="minor"/>
      </rPr>
      <t>Salmonella Typhimurium</t>
    </r>
    <r>
      <rPr>
        <sz val="11"/>
        <color theme="1"/>
        <rFont val="Calibri"/>
        <family val="2"/>
        <scheme val="minor"/>
      </rPr>
      <t xml:space="preserve"> present in orange juice (pasteurized) to pulse electric field (18, 22, 26, 30, 34 kV/cm and 50 μs processing time, monopolar)</t>
    </r>
  </si>
  <si>
    <r>
      <t xml:space="preserve">Subjecting  </t>
    </r>
    <r>
      <rPr>
        <i/>
        <sz val="11"/>
        <color theme="1"/>
        <rFont val="Calibri"/>
        <family val="2"/>
        <scheme val="minor"/>
      </rPr>
      <t>Staphylococcus aureus</t>
    </r>
    <r>
      <rPr>
        <sz val="11"/>
        <color theme="1"/>
        <rFont val="Calibri"/>
        <family val="2"/>
        <scheme val="minor"/>
      </rPr>
      <t xml:space="preserve"> and </t>
    </r>
    <r>
      <rPr>
        <i/>
        <sz val="11"/>
        <color theme="1"/>
        <rFont val="Calibri"/>
        <family val="2"/>
        <scheme val="minor"/>
      </rPr>
      <t>Pseudomonas syringae</t>
    </r>
    <r>
      <rPr>
        <sz val="11"/>
        <color theme="1"/>
        <rFont val="Calibri"/>
        <family val="2"/>
        <scheme val="minor"/>
      </rPr>
      <t xml:space="preserve"> present in sour cherry juice to pulsed electric field with the following conditions (17, 20, 23, 27, 30 kV/cm electric fields strengths with 131 μs treatment time and 66, 105, 131, 157, 210 μs treatment times with 17 kV/cm electric field strength, bipolar)</t>
    </r>
  </si>
  <si>
    <r>
      <t xml:space="preserve">Subjecting </t>
    </r>
    <r>
      <rPr>
        <i/>
        <sz val="11"/>
        <color theme="1"/>
        <rFont val="Calibri"/>
        <family val="2"/>
        <scheme val="minor"/>
      </rPr>
      <t>Staphylococcus aureus (SA41)</t>
    </r>
    <r>
      <rPr>
        <sz val="11"/>
        <color theme="1"/>
        <rFont val="Calibri"/>
        <family val="2"/>
        <scheme val="minor"/>
      </rPr>
      <t xml:space="preserve"> present in Mcllvaine buffer to pulsed electric field with the following conditions (19, 22, 25, 28 kV/cm electric fields strengths with varying μs of effective treatment times.)</t>
    </r>
  </si>
  <si>
    <r>
      <t xml:space="preserve">Subjecting </t>
    </r>
    <r>
      <rPr>
        <i/>
        <sz val="11"/>
        <color theme="1"/>
        <rFont val="Calibri"/>
        <family val="2"/>
        <scheme val="minor"/>
      </rPr>
      <t xml:space="preserve">Staphylococcus aureus (SST 2.4) </t>
    </r>
    <r>
      <rPr>
        <sz val="11"/>
        <color theme="1"/>
        <rFont val="Calibri"/>
        <family val="2"/>
        <scheme val="minor"/>
      </rPr>
      <t>present in Orange Juice to pulsed electric field with the following conditions (20, 30, 40 kV/cm electric fields strengths with 25, 50, 100, 150 μs treatment time.)</t>
    </r>
  </si>
  <si>
    <r>
      <t xml:space="preserve">Subjecting </t>
    </r>
    <r>
      <rPr>
        <i/>
        <sz val="11"/>
        <color theme="1"/>
        <rFont val="Calibri"/>
        <family val="2"/>
        <scheme val="minor"/>
      </rPr>
      <t xml:space="preserve">Staphylococcus aureus 95047 </t>
    </r>
    <r>
      <rPr>
        <sz val="11"/>
        <color theme="1"/>
        <rFont val="Calibri"/>
        <family val="2"/>
        <scheme val="minor"/>
      </rPr>
      <t>present in Pomegranete Juice to pulsed electric field with the following conditions (17, 23, 30 kV/cm electric fields strengths with 108 μs effective treatment time )</t>
    </r>
  </si>
  <si>
    <r>
      <t xml:space="preserve">Subjecting </t>
    </r>
    <r>
      <rPr>
        <i/>
        <sz val="11"/>
        <color theme="1"/>
        <rFont val="Calibri"/>
        <family val="2"/>
        <scheme val="minor"/>
      </rPr>
      <t xml:space="preserve">Staphylococcus aureus ATCC 6538 </t>
    </r>
    <r>
      <rPr>
        <sz val="11"/>
        <color theme="1"/>
        <rFont val="Calibri"/>
        <family val="2"/>
        <scheme val="minor"/>
      </rPr>
      <t>present in Pomegranete Juice to pulsed electric field with the following conditions (18.1, 27.4, 38.4 kV/cm electric fields strengths with 40, 80, 120, 160, 200 μs effective treatment time)</t>
    </r>
  </si>
  <si>
    <r>
      <t xml:space="preserve">Subjecting </t>
    </r>
    <r>
      <rPr>
        <i/>
        <sz val="11"/>
        <color theme="1"/>
        <rFont val="Calibri"/>
        <family val="2"/>
        <scheme val="minor"/>
      </rPr>
      <t xml:space="preserve">Staphylococcus aureus ATCC 6538 </t>
    </r>
    <r>
      <rPr>
        <sz val="11"/>
        <color theme="1"/>
        <rFont val="Calibri"/>
        <family val="2"/>
        <scheme val="minor"/>
      </rPr>
      <t>present in Pomegranete Juice to pulsed electric field with the following conditions (18.1, 27.4, 38.4 kV/cm electric fields strengths with 40, 80, 120, 160, 200 μs effective treatment time )</t>
    </r>
  </si>
  <si>
    <r>
      <t xml:space="preserve">Exposure of </t>
    </r>
    <r>
      <rPr>
        <i/>
        <sz val="11"/>
        <color theme="1"/>
        <rFont val="Calibri"/>
        <family val="2"/>
        <scheme val="minor"/>
      </rPr>
      <t>Staphylococcus aureus</t>
    </r>
    <r>
      <rPr>
        <sz val="11"/>
        <color theme="1"/>
        <rFont val="Calibri"/>
        <family val="2"/>
        <scheme val="minor"/>
      </rPr>
      <t xml:space="preserve"> and </t>
    </r>
    <r>
      <rPr>
        <i/>
        <sz val="11"/>
        <color theme="1"/>
        <rFont val="Calibri"/>
        <family val="2"/>
        <scheme val="minor"/>
      </rPr>
      <t>Pseudomonas syringae subs.syringae</t>
    </r>
    <r>
      <rPr>
        <sz val="11"/>
        <color theme="1"/>
        <rFont val="Calibri"/>
        <family val="2"/>
        <scheme val="minor"/>
      </rPr>
      <t xml:space="preserve"> present in peach nectar juice to pulsed electric field subject to the following conditions  (17, 20, 23, 27, 30 kV/cm electric fields strengths with 131 mus treatment time and 66, 105, 131, 157, 210 mus treatment times with 17 kV/cm electric field strength)</t>
    </r>
  </si>
  <si>
    <t>South China University of Technology</t>
  </si>
  <si>
    <t>ScandiNova</t>
  </si>
  <si>
    <t>OSU-3</t>
  </si>
  <si>
    <t>Zhejiang University</t>
  </si>
  <si>
    <t>PEF-3</t>
  </si>
  <si>
    <t>C-Tech Innovation Ltd</t>
  </si>
  <si>
    <t>monopolar</t>
  </si>
  <si>
    <t>bipolar</t>
  </si>
  <si>
    <t>Tryptic Soy broth with Yeast Extract (TSBYE)</t>
  </si>
  <si>
    <t>Liquid Whole Egg</t>
  </si>
  <si>
    <t>Nutrient Broth</t>
  </si>
  <si>
    <t>Salmonella</t>
  </si>
  <si>
    <t>enterica</t>
  </si>
  <si>
    <t>Enteritidis</t>
  </si>
  <si>
    <t>ATCC 14028</t>
  </si>
  <si>
    <t>Typhimurium</t>
  </si>
  <si>
    <t>ATCC 13076</t>
  </si>
  <si>
    <t>STCC 878</t>
  </si>
  <si>
    <t>enteritidis</t>
  </si>
  <si>
    <t>ATCC 6538</t>
  </si>
  <si>
    <t>Staphylococcus</t>
  </si>
  <si>
    <t>aureus</t>
  </si>
  <si>
    <t xml:space="preserve"> ATCC 13076</t>
  </si>
  <si>
    <t>ATCC 13311</t>
  </si>
  <si>
    <t xml:space="preserve">Typhimurium </t>
  </si>
  <si>
    <t>CICC 21648</t>
  </si>
  <si>
    <t xml:space="preserve">Pseudomonas </t>
  </si>
  <si>
    <t>STCC 4459</t>
  </si>
  <si>
    <t>CGMCC1. 1861</t>
  </si>
  <si>
    <t xml:space="preserve">senftenberg 775W </t>
  </si>
  <si>
    <t>ATCC 43845</t>
  </si>
  <si>
    <t>cocktail</t>
  </si>
  <si>
    <t>Typhimurium UK-1/ χ3986</t>
  </si>
  <si>
    <t>syringae subs.syringae</t>
  </si>
  <si>
    <t>SA41</t>
  </si>
  <si>
    <t>SST 2.4</t>
  </si>
  <si>
    <t>TSAYE + NaCl</t>
  </si>
  <si>
    <t>BP Agar</t>
  </si>
  <si>
    <t>Nutrient Agar</t>
  </si>
  <si>
    <t>CFC</t>
  </si>
  <si>
    <t>TSAP</t>
  </si>
  <si>
    <t>PCA</t>
  </si>
  <si>
    <t>http://dx.doi.org/10.1016/j.ijfoodmicro.2007.04.009</t>
  </si>
  <si>
    <t>Yun et al.</t>
  </si>
  <si>
    <t>10.1016/j.ifset.2016.06.013</t>
  </si>
  <si>
    <t>http://dx.doi.org/10.1016/j.ifset.2010.01.003</t>
  </si>
  <si>
    <t>Hermawan et al.</t>
  </si>
  <si>
    <t>https://dx.doi.org/10.1111/j.1745-4565.2004.tb00376.x</t>
  </si>
  <si>
    <t>http://dx.doi.org/10.1016/j.biosystemseng.2003.11.005</t>
  </si>
  <si>
    <t>Alvarez et al.</t>
  </si>
  <si>
    <t>http://dx.doi.org/10.1111/j.1365-2621.2003.tb05765.x</t>
  </si>
  <si>
    <t>Shamsi et al.</t>
  </si>
  <si>
    <t>10.1016/j.ifset.2007.06.012</t>
  </si>
  <si>
    <t>http://dx.doi.org/10.1016/j.fm.2010.01.002</t>
  </si>
  <si>
    <t>10.1007/s11947-012-0868-8</t>
  </si>
  <si>
    <t>Zhang et al.</t>
  </si>
  <si>
    <t>10.1088/1742-6596/418/1/012114</t>
  </si>
  <si>
    <t>conference</t>
  </si>
  <si>
    <t>Raso et al.</t>
  </si>
  <si>
    <t>10.1016/S1466-8564(99)00005-3</t>
  </si>
  <si>
    <t>Rodríguez-Calleja et al.</t>
  </si>
  <si>
    <t>10.1111/j.1365-2672.2006.02868.x</t>
  </si>
  <si>
    <t>Ribeiro et al.</t>
  </si>
  <si>
    <t>10.1007/s11947-007-0045-7</t>
  </si>
  <si>
    <t>The important parameters needed for the calculation of energy input (equation 2) is noted down from section 2.4 HIPEF equipment and fruit juice processing</t>
  </si>
  <si>
    <t>The important parameters needed for the calculation of energy input (equation 2) is noted down from section 2.5 PEF Equipment</t>
  </si>
  <si>
    <t>The important parameters needed for the calculation of energy input (equation 2) is noted down from section 2.3. PEF treatment</t>
  </si>
  <si>
    <t xml:space="preserve">The important parameters needed for the calculation of energy input (equation 2) is noted down from 2. Materials and Methods under section 2.4 Pulse treatment apparatus </t>
  </si>
  <si>
    <t>The important parameters needed for the calculation of energy input (equation 2) is noted down from section 2.2 PEF Equipment</t>
  </si>
  <si>
    <t>The important parameters needed for the calculation of energy input (equation 2) is noted down from Materials and Methods section under the title Pulsed Electric Field Treatment</t>
  </si>
  <si>
    <t>The important parameters needed for the calculation of energy input (equation 2) is noted down from 2. Materials and Methods section under the title 2.2 Heat treatment and bench scale PEF processing system</t>
  </si>
  <si>
    <t>The important parameters needed for the calculation of energy input (equation 2) is noted down from 2. Materials and Methods section under the title 2.2 Pulsed electric field treatment system</t>
  </si>
  <si>
    <t>The important parameters needed for the calculation of energy input (equation 2) is noted down from 2. Materials and Methods section under the title 2.4. PEF system and 2.5. PEF treatment conditions</t>
  </si>
  <si>
    <t>The important parameters needed for the calculation of energy input (equation 2) is noted down from 2. Materials and Methods section under the title 2.4. PEF treatments</t>
  </si>
  <si>
    <t>The important parameters needed for the calculation of energy input (equation 2) is noted down from 2. Materials and Methods section under the title 2.2. PEF equipment and 2.3. Microbial inactivation experiments</t>
  </si>
  <si>
    <t>The important parameters needed for the calculation of energy input (equation 2) is noted down from under the titles PEF Treatment System and Microbial Inactivation Study from Materials and Methods</t>
  </si>
  <si>
    <t>The important parameters needed for the calculation of energy input (equation 3) is noted down from under the Pulsed electric field equipment and treatment conditions from Materials and Methods</t>
  </si>
  <si>
    <t>The important parameters neede for the calculation of energy input (equation 2) is written in section PEF System and Experimental Procedure under Materials and Methods section</t>
  </si>
  <si>
    <t>The important parameters needed for the calculation of energy input (equation 2) is written in section 2.1 Experimental equipment; 2.2 Material and method</t>
  </si>
  <si>
    <t>The important parameters needed for the calculation of energy input (equation 2) is written in section 2.2 HELP equipment and 2.3 Microbial inactivation experiments</t>
  </si>
  <si>
    <t>The important parameters needed for the calculation of energy input (equation 2 and 3) is noted down from 2.4. Pulsed electric field treatment - Table 1. PEF operating conditions for the lab-scale unit. The estimated pulse frequency and estimated flow rate values are nearly similar to the reported pulse frquency and flow rate values. Both the values of estimated energy input 2 and 3 were obtained as the appropriate dataset values were available.</t>
  </si>
  <si>
    <t xml:space="preserve">The important parameters needed for the calculation of energy input (equation 2) is noted down from Pulsed electric field processing from Materials and Methods. The estimated pulse frequency and estimated flow rate values vary with the reported pulse frquency and flow rate values according to the varying effective treatment times. </t>
  </si>
  <si>
    <t>The important parameters needed for the calculation of energy input (equation 2) is noted down from Heat, PEF and MS resistance determinations under Materials and methods. There is no reported flow rate value.</t>
  </si>
  <si>
    <t>The important parameters needed for the calculation of energy input (equation 2) is noted down from Pulsed Electric Fields under Materials and methods.</t>
  </si>
  <si>
    <t>The important parameters needed for the calculation of energy input (equation 2) is noted down from PEF processing unit under Materials and methods.</t>
  </si>
  <si>
    <t xml:space="preserve">The important parameters needed for the calculation of energy input (equation 2) is noted down from 2.3. PEF treatments under 2. Materials and methods. </t>
  </si>
  <si>
    <t>The important parameters needed for the calculation of energy input (equation 2) is noted down from PEF Processing Unit under Materials and Methods. The estimated pulse frequency and estimated flow rate values vary according to the varying treatment times, while the estimated pulse frequency and estimated flow rate remains similar to the concerned reported values when the treatment time remains a constant value. The estimated enery input 2 value is calculated using the available parameters.</t>
  </si>
  <si>
    <t>soymilk</t>
  </si>
  <si>
    <t>violet red bile agar</t>
  </si>
  <si>
    <t>MSA 7.5% NaCl</t>
  </si>
  <si>
    <t>SS Agar 0.85% bile salt</t>
  </si>
  <si>
    <t>HEA 0.9% bile salts 0.5% NaCl</t>
  </si>
  <si>
    <r>
      <t xml:space="preserve">Subjecting </t>
    </r>
    <r>
      <rPr>
        <i/>
        <sz val="11"/>
        <color theme="1"/>
        <rFont val="Calibri"/>
        <family val="2"/>
        <scheme val="minor"/>
      </rPr>
      <t>E. coli</t>
    </r>
    <r>
      <rPr>
        <sz val="11"/>
        <color theme="1"/>
        <rFont val="Calibri"/>
        <family val="2"/>
        <scheme val="minor"/>
      </rPr>
      <t xml:space="preserve"> in McIlvaine buffer to PEF treatment (20 kV/cm, 54.5, 101 and 137.5 mus treatment time)</t>
    </r>
  </si>
  <si>
    <t>EPULSUS-PM-10</t>
  </si>
  <si>
    <t>O157 VT</t>
  </si>
  <si>
    <t>ATCC35218</t>
  </si>
  <si>
    <t>NCTC10538</t>
  </si>
  <si>
    <t>FAM21845</t>
  </si>
  <si>
    <t>NCTC12900</t>
  </si>
  <si>
    <t>FAM22082</t>
  </si>
  <si>
    <t>FAM21843</t>
  </si>
  <si>
    <t>FAM21805</t>
  </si>
  <si>
    <t>BL21 (DE3)</t>
  </si>
  <si>
    <t>Lytras et al.</t>
  </si>
  <si>
    <t>10.1016/j.ifset.2024.103731</t>
  </si>
  <si>
    <t>Frequency modulation employed to vary the treatment time within the same chamber</t>
  </si>
  <si>
    <r>
      <t xml:space="preserve">Subjecting </t>
    </r>
    <r>
      <rPr>
        <i/>
        <sz val="11"/>
        <color theme="1"/>
        <rFont val="Calibri"/>
        <family val="2"/>
        <scheme val="minor"/>
      </rPr>
      <t>L. monocytogenes</t>
    </r>
    <r>
      <rPr>
        <sz val="11"/>
        <color theme="1"/>
        <rFont val="Calibri"/>
        <family val="2"/>
        <scheme val="minor"/>
      </rPr>
      <t xml:space="preserve"> in McIlvaine buffer to PEF treatment (20 kV/cm, 54.5, 101 and 137.5 mus treatment time)</t>
    </r>
  </si>
  <si>
    <t>NCTC10357</t>
  </si>
  <si>
    <t>FBR13</t>
  </si>
  <si>
    <t>104030S</t>
  </si>
  <si>
    <t>NV8</t>
  </si>
  <si>
    <t>FBR16</t>
  </si>
  <si>
    <t>L028</t>
  </si>
  <si>
    <t>F2365</t>
  </si>
  <si>
    <t>EGDe</t>
  </si>
  <si>
    <t>L6</t>
  </si>
  <si>
    <r>
      <t xml:space="preserve">Subjecting </t>
    </r>
    <r>
      <rPr>
        <i/>
        <sz val="11"/>
        <color theme="1"/>
        <rFont val="Calibri"/>
        <family val="2"/>
        <scheme val="minor"/>
      </rPr>
      <t>L. plantarum</t>
    </r>
    <r>
      <rPr>
        <sz val="11"/>
        <color theme="1"/>
        <rFont val="Calibri"/>
        <family val="2"/>
        <scheme val="minor"/>
      </rPr>
      <t xml:space="preserve"> in McIlvaine buffer to PEF treatment (20 kV/cm, 54.5, 101 and 137.5 mus treatment time)</t>
    </r>
  </si>
  <si>
    <t>FBR06</t>
  </si>
  <si>
    <t>5F2A35B</t>
  </si>
  <si>
    <t>ATCC14917</t>
  </si>
  <si>
    <t>WCFS1</t>
  </si>
  <si>
    <t>FBR03</t>
  </si>
  <si>
    <t>FBR27</t>
  </si>
  <si>
    <t>LMG18035</t>
  </si>
  <si>
    <t>FBR22</t>
  </si>
  <si>
    <t>FBR23</t>
  </si>
  <si>
    <t>FBR04</t>
  </si>
  <si>
    <r>
      <t xml:space="preserve">Subjecting </t>
    </r>
    <r>
      <rPr>
        <i/>
        <sz val="11"/>
        <color theme="1"/>
        <rFont val="Calibri"/>
        <family val="2"/>
        <scheme val="minor"/>
      </rPr>
      <t>S. cerevisiae</t>
    </r>
    <r>
      <rPr>
        <sz val="11"/>
        <color theme="1"/>
        <rFont val="Calibri"/>
        <family val="2"/>
        <scheme val="minor"/>
      </rPr>
      <t xml:space="preserve"> in McIlvaine buffer to PEF treatment (20 kV/cm, 54.5, 101 and 137.5 mus treatment time)</t>
    </r>
  </si>
  <si>
    <t>malt extract agar</t>
  </si>
  <si>
    <t>AD2913</t>
  </si>
  <si>
    <t>AD998</t>
  </si>
  <si>
    <t>AD999</t>
  </si>
  <si>
    <t>CBS1544</t>
  </si>
  <si>
    <t>AD1890</t>
  </si>
  <si>
    <t>Vitave</t>
  </si>
  <si>
    <t>CHP</t>
  </si>
  <si>
    <t>Delso et al.</t>
  </si>
  <si>
    <t>10.1016/j.foodres.2023.112525</t>
  </si>
  <si>
    <r>
      <t xml:space="preserve">Subjecting </t>
    </r>
    <r>
      <rPr>
        <i/>
        <sz val="11"/>
        <color theme="1"/>
        <rFont val="Calibri"/>
        <family val="2"/>
        <scheme val="minor"/>
      </rPr>
      <t>S. cerevisiae</t>
    </r>
    <r>
      <rPr>
        <sz val="11"/>
        <color theme="1"/>
        <rFont val="Calibri"/>
        <family val="2"/>
        <scheme val="minor"/>
      </rPr>
      <t xml:space="preserve"> in Chardonnay to PEF treatment (15, 20, 25 kV/cm, up to 190 mus treatment time)</t>
    </r>
  </si>
  <si>
    <r>
      <t xml:space="preserve">Subjecting </t>
    </r>
    <r>
      <rPr>
        <i/>
        <sz val="11"/>
        <color theme="1"/>
        <rFont val="Calibri"/>
        <family val="2"/>
        <scheme val="minor"/>
      </rPr>
      <t>S. cerevisiae</t>
    </r>
    <r>
      <rPr>
        <sz val="11"/>
        <color theme="1"/>
        <rFont val="Calibri"/>
        <family val="2"/>
        <scheme val="minor"/>
      </rPr>
      <t xml:space="preserve"> in Grenache to PEF treatment (15, 20 and 25 kV/cm, up to 175 mus treatment time)</t>
    </r>
  </si>
  <si>
    <t>chardonnay wine</t>
  </si>
  <si>
    <t>grenache wine</t>
  </si>
  <si>
    <t>10.3390/foods12020278</t>
  </si>
  <si>
    <r>
      <t xml:space="preserve">Subjecting </t>
    </r>
    <r>
      <rPr>
        <i/>
        <sz val="11"/>
        <color theme="1"/>
        <rFont val="Calibri"/>
        <family val="2"/>
        <scheme val="minor"/>
      </rPr>
      <t>O. oeni</t>
    </r>
    <r>
      <rPr>
        <sz val="11"/>
        <color theme="1"/>
        <rFont val="Calibri"/>
        <family val="2"/>
        <scheme val="minor"/>
      </rPr>
      <t xml:space="preserve"> in Grenache to PEF treatment (15, 20 and 25 kV/cm, up to 175 mus treatment time)</t>
    </r>
  </si>
  <si>
    <t>AG-20</t>
  </si>
  <si>
    <r>
      <t xml:space="preserve">Subjecting </t>
    </r>
    <r>
      <rPr>
        <i/>
        <sz val="11"/>
        <color theme="1"/>
        <rFont val="Calibri"/>
        <family val="2"/>
        <scheme val="minor"/>
      </rPr>
      <t>L. plantarum</t>
    </r>
    <r>
      <rPr>
        <sz val="11"/>
        <color theme="1"/>
        <rFont val="Calibri"/>
        <family val="2"/>
        <scheme val="minor"/>
      </rPr>
      <t xml:space="preserve"> in beer to PEF treatment (41 kV/cm, 175 mus treatment time)</t>
    </r>
  </si>
  <si>
    <r>
      <t xml:space="preserve">Subjecting </t>
    </r>
    <r>
      <rPr>
        <i/>
        <sz val="11"/>
        <color theme="1"/>
        <rFont val="Calibri"/>
        <family val="2"/>
        <scheme val="minor"/>
      </rPr>
      <t>P. damnosus</t>
    </r>
    <r>
      <rPr>
        <sz val="11"/>
        <color theme="1"/>
        <rFont val="Calibri"/>
        <family val="2"/>
        <scheme val="minor"/>
      </rPr>
      <t xml:space="preserve"> in beer to PEF treatment (41 kV/cm, 175 mus treatment time)</t>
    </r>
  </si>
  <si>
    <t>beer</t>
  </si>
  <si>
    <t>damnosus</t>
  </si>
  <si>
    <t>universal beer agar</t>
  </si>
  <si>
    <t>10.1111/j.1365-2621.2004.tb09892.x</t>
  </si>
  <si>
    <t>Beer type not specified, can not impute pH as a result</t>
  </si>
  <si>
    <r>
      <t xml:space="preserve">Subjecting </t>
    </r>
    <r>
      <rPr>
        <i/>
        <sz val="11"/>
        <color theme="1"/>
        <rFont val="Calibri"/>
        <family val="2"/>
        <scheme val="minor"/>
      </rPr>
      <t xml:space="preserve">L. lactis </t>
    </r>
    <r>
      <rPr>
        <sz val="11"/>
        <color theme="1"/>
        <rFont val="Calibri"/>
        <family val="2"/>
        <scheme val="minor"/>
      </rPr>
      <t>in Chlorella vulgaris suspension to PEF treatment (15 to 27.5 kV/cm, 100, 120 and 140 Hz,)</t>
    </r>
  </si>
  <si>
    <t>HVP-5</t>
  </si>
  <si>
    <t>chlorella vulgaris suspension</t>
  </si>
  <si>
    <t>De Gol et al.</t>
  </si>
  <si>
    <t>10.1016/j.foodres.2024.114154</t>
  </si>
  <si>
    <t>Conductivity was determined using the calibration curve provided in the paper using an inlet temperature of 30C (303K)</t>
  </si>
  <si>
    <r>
      <t xml:space="preserve">Subjecting </t>
    </r>
    <r>
      <rPr>
        <i/>
        <sz val="11"/>
        <color theme="1"/>
        <rFont val="Calibri"/>
        <family val="2"/>
        <scheme val="minor"/>
      </rPr>
      <t>E. coli</t>
    </r>
    <r>
      <rPr>
        <sz val="11"/>
        <color theme="1"/>
        <rFont val="Calibri"/>
        <family val="2"/>
        <scheme val="minor"/>
      </rPr>
      <t xml:space="preserve"> in phosphate buffer to PEF treatment (8, 16 and 20 kV/cm at varied frequency and conductivity)</t>
    </r>
  </si>
  <si>
    <t>AIT</t>
  </si>
  <si>
    <t>ATCC 9637</t>
  </si>
  <si>
    <t>Zand et al.</t>
  </si>
  <si>
    <t>10.1016/j.bioelechem.2021.107841</t>
  </si>
  <si>
    <t>Frequency modulation employed, consult Appendix 3 for treatment times</t>
  </si>
  <si>
    <r>
      <t xml:space="preserve">Subjecting </t>
    </r>
    <r>
      <rPr>
        <i/>
        <sz val="11"/>
        <color theme="1"/>
        <rFont val="Calibri"/>
        <family val="2"/>
        <scheme val="minor"/>
      </rPr>
      <t>E. coli</t>
    </r>
    <r>
      <rPr>
        <sz val="11"/>
        <color theme="1"/>
        <rFont val="Calibri"/>
        <family val="2"/>
        <scheme val="minor"/>
      </rPr>
      <t xml:space="preserve"> in apple juice to PEF treatment (30 kV/cm at 101, 202, 302, 403, 504 and 604 mus treatment time)</t>
    </r>
  </si>
  <si>
    <r>
      <t xml:space="preserve">Subjecting </t>
    </r>
    <r>
      <rPr>
        <i/>
        <sz val="11"/>
        <color theme="1"/>
        <rFont val="Calibri"/>
        <family val="2"/>
        <scheme val="minor"/>
      </rPr>
      <t>L. monocytogenes</t>
    </r>
    <r>
      <rPr>
        <sz val="11"/>
        <color theme="1"/>
        <rFont val="Calibri"/>
        <family val="2"/>
        <scheme val="minor"/>
      </rPr>
      <t xml:space="preserve"> in apple juice to PEF treatment (30 kV/cm at 101, 202, 302, 403, 504 and 604 mus treatment time)</t>
    </r>
  </si>
  <si>
    <t>Conductivity reported as 2.75 mus/cm however this is deemed an error and was most likely intended as 2.75 mS/cm (2750muS/cm) which corresponds to conductivities reported for other apple juice media</t>
  </si>
  <si>
    <t>EDL 93104054</t>
  </si>
  <si>
    <t>macconkey sorbitol agar</t>
  </si>
  <si>
    <t>oxford agar</t>
  </si>
  <si>
    <t>10.1111/jfs.13083</t>
  </si>
  <si>
    <r>
      <t xml:space="preserve">Subjecting </t>
    </r>
    <r>
      <rPr>
        <i/>
        <sz val="11"/>
        <color theme="1"/>
        <rFont val="Calibri"/>
        <family val="2"/>
        <scheme val="minor"/>
      </rPr>
      <t>L. monocytogenes</t>
    </r>
    <r>
      <rPr>
        <sz val="11"/>
        <color theme="1"/>
        <rFont val="Calibri"/>
        <family val="2"/>
        <scheme val="minor"/>
      </rPr>
      <t xml:space="preserve"> in 0.1% NaCl solution to PEF treatment (30 kV/cm at 72, 144, 216, 288 and 360 mus treatment time)</t>
    </r>
  </si>
  <si>
    <t>10.1111/j.1745-4565.2011.00345.x</t>
  </si>
  <si>
    <t>It's assumed that the flow rate is used to control the treatment time. Assumed to use 6 treatment chambers as in other Evrendilek et al. setups using the OSU-4 system.</t>
  </si>
  <si>
    <t>Additionally, the increasing energy input did not result in a linear increase with the reduction (decrease first, increase only after further Ein increases), the authors relate this to the effect on the medium temperature through the outlet temp.</t>
  </si>
  <si>
    <t>Legend of Staphylococcus graph switches up the symbols for the lowest and highest field strength</t>
  </si>
  <si>
    <t>monopolar_bipolar</t>
  </si>
  <si>
    <t>other</t>
  </si>
  <si>
    <t>mcllvaine buffer</t>
  </si>
  <si>
    <t>whey</t>
  </si>
  <si>
    <t>egg product</t>
  </si>
  <si>
    <t>matrix_category_0</t>
  </si>
  <si>
    <t>high-acid alcoholic product</t>
  </si>
  <si>
    <t>high-acid fruit juice</t>
  </si>
  <si>
    <t>high-acid liquid medium</t>
  </si>
  <si>
    <t>high-acid whey</t>
  </si>
  <si>
    <t>low-acid animal milk</t>
  </si>
  <si>
    <t>low-acid egg product</t>
  </si>
  <si>
    <t>low-acid fruit juice</t>
  </si>
  <si>
    <t>low-acid liquid medium</t>
  </si>
  <si>
    <t>low-acid plant-based beverage</t>
  </si>
  <si>
    <t>Bacillus subtilis</t>
  </si>
  <si>
    <t>E. coli</t>
  </si>
  <si>
    <t>S. cerevisiae</t>
  </si>
  <si>
    <t>S. aureus</t>
  </si>
  <si>
    <t>Listeria spp.</t>
  </si>
  <si>
    <t>Salmonella spp.</t>
  </si>
  <si>
    <t>Pseudomonas spp.</t>
  </si>
  <si>
    <t>acidity</t>
  </si>
  <si>
    <t>tempranillo wine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</si>
</sst>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00"/>
    <numFmt numFmtId="167" formatCode="0.0000"/>
    <numFmt numFmtId="168" formatCode="0.000000"/>
  </numFmts>
  <fonts count="11">
    <font>
      <sz val="11"/>
      <color theme="1"/>
      <name val="Calibri"/>
      <family val="2"/>
      <scheme val="minor"/>
    </font>
    <font>
      <sz val="11"/>
      <color theme="1"/>
      <name val="Calibri"/>
      <family val="2"/>
    </font>
    <font>
      <sz val="8"/>
      <name val="Calibri"/>
      <family val="2"/>
      <scheme val="minor"/>
    </font>
    <font>
      <sz val="11"/>
      <name val="Calibri"/>
      <family val="2"/>
      <scheme val="minor"/>
    </font>
    <font>
      <i/>
      <sz val="11"/>
      <color theme="1"/>
      <name val="Calibri"/>
      <family val="2"/>
      <scheme val="minor"/>
    </font>
    <font>
      <u/>
      <sz val="11"/>
      <color theme="10"/>
      <name val="Calibri"/>
      <family val="2"/>
      <scheme val="minor"/>
    </font>
    <font>
      <sz val="10"/>
      <color rgb="FF44546A"/>
      <name val="Verdana"/>
      <family val="2"/>
    </font>
    <font>
      <u/>
      <sz val="11"/>
      <name val="Calibri"/>
      <family val="2"/>
      <scheme val="minor"/>
    </font>
    <font>
      <sz val="11"/>
      <color theme="1"/>
      <name val="Calibri  "/>
    </font>
    <font>
      <sz val="9.35"/>
      <color theme="1"/>
      <name val="Calibri"/>
      <family val="2"/>
    </font>
    <font>
      <sz val="9.35"/>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9">
    <xf numFmtId="0" fontId="0" fillId="0" borderId="0" xfId="0"/>
    <xf numFmtId="0" fontId="3" fillId="0" borderId="0" xfId="0" applyFont="1"/>
    <xf numFmtId="0" fontId="5" fillId="0" borderId="0" xfId="1"/>
    <xf numFmtId="2" fontId="0" fillId="0" borderId="0" xfId="0" applyNumberFormat="1"/>
    <xf numFmtId="164" fontId="0" fillId="0" borderId="0" xfId="0" applyNumberFormat="1"/>
    <xf numFmtId="0" fontId="6" fillId="0" borderId="0" xfId="0" applyFont="1"/>
    <xf numFmtId="165" fontId="0" fillId="0" borderId="0" xfId="0" applyNumberFormat="1"/>
    <xf numFmtId="0" fontId="7" fillId="0" borderId="0" xfId="1" applyFont="1"/>
    <xf numFmtId="166" fontId="0" fillId="0" borderId="0" xfId="0" applyNumberFormat="1"/>
    <xf numFmtId="167" fontId="0" fillId="0" borderId="0" xfId="0" applyNumberFormat="1"/>
    <xf numFmtId="3" fontId="0" fillId="0" borderId="0" xfId="0" applyNumberFormat="1"/>
    <xf numFmtId="1" fontId="0" fillId="0" borderId="0" xfId="0" applyNumberFormat="1"/>
    <xf numFmtId="2" fontId="5" fillId="0" borderId="0" xfId="1" applyNumberFormat="1"/>
    <xf numFmtId="0" fontId="1" fillId="0" borderId="0" xfId="0" applyFont="1"/>
    <xf numFmtId="0" fontId="1" fillId="0" borderId="0" xfId="0" applyFont="1" applyAlignment="1">
      <alignment horizontal="right"/>
    </xf>
    <xf numFmtId="0" fontId="0" fillId="0" borderId="0" xfId="0" applyAlignment="1">
      <alignment wrapText="1"/>
    </xf>
    <xf numFmtId="168" fontId="0" fillId="0" borderId="0" xfId="0" applyNumberFormat="1"/>
    <xf numFmtId="2" fontId="0" fillId="0" borderId="0" xfId="0" applyNumberFormat="1" applyFont="1"/>
    <xf numFmtId="0" fontId="0"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PEFInactivationData!$AE$809:$AE$1678</c:f>
              <c:numCache>
                <c:formatCode>0.00</c:formatCode>
                <c:ptCount val="870"/>
                <c:pt idx="0">
                  <c:v>171.43280000000001</c:v>
                </c:pt>
                <c:pt idx="1">
                  <c:v>267.49414000000002</c:v>
                </c:pt>
                <c:pt idx="2">
                  <c:v>133.596</c:v>
                </c:pt>
                <c:pt idx="3">
                  <c:v>67.5</c:v>
                </c:pt>
                <c:pt idx="4">
                  <c:v>576</c:v>
                </c:pt>
                <c:pt idx="5">
                  <c:v>133.81200000000001</c:v>
                </c:pt>
                <c:pt idx="6">
                  <c:v>216.11999999999998</c:v>
                </c:pt>
                <c:pt idx="7">
                  <c:v>491.39999999999992</c:v>
                </c:pt>
                <c:pt idx="8">
                  <c:v>529.19999999999993</c:v>
                </c:pt>
                <c:pt idx="9">
                  <c:v>35.396999999999998</c:v>
                </c:pt>
                <c:pt idx="10">
                  <c:v>1012.4999999999998</c:v>
                </c:pt>
                <c:pt idx="11">
                  <c:v>27.538244999999996</c:v>
                </c:pt>
                <c:pt idx="12">
                  <c:v>93.750000000000014</c:v>
                </c:pt>
                <c:pt idx="13">
                  <c:v>12</c:v>
                </c:pt>
                <c:pt idx="14">
                  <c:v>9.375</c:v>
                </c:pt>
                <c:pt idx="15">
                  <c:v>190.73600000000002</c:v>
                </c:pt>
                <c:pt idx="16">
                  <c:v>48.752639999999992</c:v>
                </c:pt>
                <c:pt idx="17">
                  <c:v>262.99349999999998</c:v>
                </c:pt>
                <c:pt idx="18">
                  <c:v>65.52200000000002</c:v>
                </c:pt>
                <c:pt idx="19">
                  <c:v>51.840000000000011</c:v>
                </c:pt>
                <c:pt idx="20">
                  <c:v>1144.8</c:v>
                </c:pt>
                <c:pt idx="21">
                  <c:v>3142.1249999999995</c:v>
                </c:pt>
                <c:pt idx="22">
                  <c:v>16.875</c:v>
                </c:pt>
                <c:pt idx="23">
                  <c:v>189</c:v>
                </c:pt>
                <c:pt idx="24">
                  <c:v>3307.5</c:v>
                </c:pt>
                <c:pt idx="25">
                  <c:v>820.12499999999989</c:v>
                </c:pt>
                <c:pt idx="26">
                  <c:v>570.24</c:v>
                </c:pt>
                <c:pt idx="27">
                  <c:v>529.91999999999996</c:v>
                </c:pt>
                <c:pt idx="28">
                  <c:v>314.43750000000006</c:v>
                </c:pt>
                <c:pt idx="29" formatCode="General">
                  <c:v>138.00000000000003</c:v>
                </c:pt>
                <c:pt idx="30">
                  <c:v>81.216000000000022</c:v>
                </c:pt>
                <c:pt idx="31">
                  <c:v>10.434060000000001</c:v>
                </c:pt>
                <c:pt idx="32">
                  <c:v>172.70010000000002</c:v>
                </c:pt>
                <c:pt idx="33">
                  <c:v>262.99349999999998</c:v>
                </c:pt>
                <c:pt idx="34">
                  <c:v>34.435485</c:v>
                </c:pt>
                <c:pt idx="35">
                  <c:v>820.12499999999989</c:v>
                </c:pt>
                <c:pt idx="36">
                  <c:v>93.750000000000014</c:v>
                </c:pt>
                <c:pt idx="37">
                  <c:v>30.387599999999999</c:v>
                </c:pt>
                <c:pt idx="38">
                  <c:v>4.2335999999999991</c:v>
                </c:pt>
                <c:pt idx="39">
                  <c:v>33.981119999999997</c:v>
                </c:pt>
                <c:pt idx="40">
                  <c:v>76.680000000000007</c:v>
                </c:pt>
                <c:pt idx="41">
                  <c:v>144</c:v>
                </c:pt>
                <c:pt idx="42">
                  <c:v>12.188159999999998</c:v>
                </c:pt>
                <c:pt idx="43">
                  <c:v>110.59200000000003</c:v>
                </c:pt>
                <c:pt idx="44">
                  <c:v>118.46250000000002</c:v>
                </c:pt>
                <c:pt idx="45">
                  <c:v>202.26400000000001</c:v>
                </c:pt>
                <c:pt idx="46">
                  <c:v>1558.1999999999996</c:v>
                </c:pt>
                <c:pt idx="47">
                  <c:v>47.759999999999984</c:v>
                </c:pt>
                <c:pt idx="48">
                  <c:v>28.576799999999999</c:v>
                </c:pt>
                <c:pt idx="49">
                  <c:v>4464</c:v>
                </c:pt>
                <c:pt idx="50">
                  <c:v>53.086409999999987</c:v>
                </c:pt>
                <c:pt idx="51">
                  <c:v>1058.3999999999999</c:v>
                </c:pt>
                <c:pt idx="52">
                  <c:v>10683.224999999999</c:v>
                </c:pt>
                <c:pt idx="53">
                  <c:v>1831.375</c:v>
                </c:pt>
                <c:pt idx="54">
                  <c:v>81.216000000000022</c:v>
                </c:pt>
                <c:pt idx="55">
                  <c:v>3203.3749999999995</c:v>
                </c:pt>
                <c:pt idx="56">
                  <c:v>12.284000000000002</c:v>
                </c:pt>
                <c:pt idx="57">
                  <c:v>38.102399999999996</c:v>
                </c:pt>
                <c:pt idx="58">
                  <c:v>276.00000000000006</c:v>
                </c:pt>
                <c:pt idx="59">
                  <c:v>1335.25</c:v>
                </c:pt>
                <c:pt idx="60">
                  <c:v>209.84400000000002</c:v>
                </c:pt>
                <c:pt idx="61">
                  <c:v>93.750000000000014</c:v>
                </c:pt>
                <c:pt idx="62">
                  <c:v>190.875</c:v>
                </c:pt>
                <c:pt idx="63">
                  <c:v>769.73423999999989</c:v>
                </c:pt>
                <c:pt idx="64">
                  <c:v>113.34816000000001</c:v>
                </c:pt>
                <c:pt idx="65">
                  <c:v>171.43280000000001</c:v>
                </c:pt>
                <c:pt idx="66">
                  <c:v>156.80000000000001</c:v>
                </c:pt>
                <c:pt idx="67">
                  <c:v>3203.375</c:v>
                </c:pt>
                <c:pt idx="68">
                  <c:v>3203.375</c:v>
                </c:pt>
                <c:pt idx="69">
                  <c:v>1012.4999999999998</c:v>
                </c:pt>
                <c:pt idx="70">
                  <c:v>99.999999999999986</c:v>
                </c:pt>
                <c:pt idx="71">
                  <c:v>33.687499999999993</c:v>
                </c:pt>
                <c:pt idx="72">
                  <c:v>36.887399999999992</c:v>
                </c:pt>
                <c:pt idx="73">
                  <c:v>217.08362209052476</c:v>
                </c:pt>
                <c:pt idx="74">
                  <c:v>10.231679999999999</c:v>
                </c:pt>
                <c:pt idx="75">
                  <c:v>81.216000000000022</c:v>
                </c:pt>
                <c:pt idx="76">
                  <c:v>1012.4999999999998</c:v>
                </c:pt>
                <c:pt idx="77">
                  <c:v>2241.75</c:v>
                </c:pt>
                <c:pt idx="78">
                  <c:v>36.564479999999996</c:v>
                </c:pt>
                <c:pt idx="79">
                  <c:v>747.44999999999993</c:v>
                </c:pt>
                <c:pt idx="80">
                  <c:v>3203.375</c:v>
                </c:pt>
                <c:pt idx="81">
                  <c:v>253.43999999999997</c:v>
                </c:pt>
                <c:pt idx="82">
                  <c:v>171.43280000000001</c:v>
                </c:pt>
                <c:pt idx="83">
                  <c:v>1335.25</c:v>
                </c:pt>
                <c:pt idx="84">
                  <c:v>200.755584</c:v>
                </c:pt>
                <c:pt idx="85">
                  <c:v>250.00000000000003</c:v>
                </c:pt>
                <c:pt idx="86">
                  <c:v>2232</c:v>
                </c:pt>
                <c:pt idx="87">
                  <c:v>10.13472</c:v>
                </c:pt>
                <c:pt idx="88">
                  <c:v>37.326239999999999</c:v>
                </c:pt>
                <c:pt idx="89">
                  <c:v>171.43280000000001</c:v>
                </c:pt>
                <c:pt idx="90">
                  <c:v>119.12780628000003</c:v>
                </c:pt>
                <c:pt idx="91">
                  <c:v>20.232179999999996</c:v>
                </c:pt>
                <c:pt idx="92">
                  <c:v>60.060799999999993</c:v>
                </c:pt>
                <c:pt idx="93">
                  <c:v>25.29954</c:v>
                </c:pt>
                <c:pt idx="94">
                  <c:v>6.9097500000000025</c:v>
                </c:pt>
                <c:pt idx="95">
                  <c:v>59.472000000000001</c:v>
                </c:pt>
                <c:pt idx="96">
                  <c:v>38.246399999999994</c:v>
                </c:pt>
                <c:pt idx="97">
                  <c:v>172.70010000000002</c:v>
                </c:pt>
                <c:pt idx="98">
                  <c:v>25.401599999999998</c:v>
                </c:pt>
                <c:pt idx="99">
                  <c:v>16.875</c:v>
                </c:pt>
                <c:pt idx="100">
                  <c:v>9.3240000000000016</c:v>
                </c:pt>
                <c:pt idx="101">
                  <c:v>6.2160000000000011</c:v>
                </c:pt>
                <c:pt idx="102">
                  <c:v>44.295029999999997</c:v>
                </c:pt>
                <c:pt idx="103">
                  <c:v>271.83616000000006</c:v>
                </c:pt>
                <c:pt idx="104">
                  <c:v>26.208800000000007</c:v>
                </c:pt>
                <c:pt idx="105">
                  <c:v>795.00000000000011</c:v>
                </c:pt>
                <c:pt idx="106">
                  <c:v>23.597999999999995</c:v>
                </c:pt>
                <c:pt idx="107">
                  <c:v>190.73599999999999</c:v>
                </c:pt>
                <c:pt idx="108">
                  <c:v>153.36000000000001</c:v>
                </c:pt>
                <c:pt idx="109">
                  <c:v>81.216000000000022</c:v>
                </c:pt>
                <c:pt idx="110">
                  <c:v>405.21599999999995</c:v>
                </c:pt>
                <c:pt idx="111">
                  <c:v>1058.3999999999999</c:v>
                </c:pt>
                <c:pt idx="112">
                  <c:v>794.06250000000023</c:v>
                </c:pt>
                <c:pt idx="113">
                  <c:v>100.59294672000003</c:v>
                </c:pt>
                <c:pt idx="114">
                  <c:v>347.61635999999993</c:v>
                </c:pt>
                <c:pt idx="115">
                  <c:v>172.53000000000003</c:v>
                </c:pt>
                <c:pt idx="116">
                  <c:v>392</c:v>
                </c:pt>
                <c:pt idx="117">
                  <c:v>33.868799999999993</c:v>
                </c:pt>
                <c:pt idx="118">
                  <c:v>39.313200000000016</c:v>
                </c:pt>
                <c:pt idx="119">
                  <c:v>1144.8</c:v>
                </c:pt>
                <c:pt idx="120">
                  <c:v>26.707968000000005</c:v>
                </c:pt>
                <c:pt idx="121">
                  <c:v>54.846719999999991</c:v>
                </c:pt>
                <c:pt idx="122">
                  <c:v>48.625</c:v>
                </c:pt>
                <c:pt idx="123">
                  <c:v>831.59999999999991</c:v>
                </c:pt>
                <c:pt idx="124">
                  <c:v>81.216000000000022</c:v>
                </c:pt>
                <c:pt idx="125">
                  <c:v>22.65408</c:v>
                </c:pt>
                <c:pt idx="126">
                  <c:v>285.19</c:v>
                </c:pt>
                <c:pt idx="127">
                  <c:v>382.36</c:v>
                </c:pt>
                <c:pt idx="128">
                  <c:v>747.44999999999993</c:v>
                </c:pt>
                <c:pt idx="129">
                  <c:v>1335.25</c:v>
                </c:pt>
                <c:pt idx="130">
                  <c:v>21.167999999999996</c:v>
                </c:pt>
                <c:pt idx="131">
                  <c:v>120.744</c:v>
                </c:pt>
                <c:pt idx="132">
                  <c:v>405.72</c:v>
                </c:pt>
                <c:pt idx="133">
                  <c:v>81.216000000000022</c:v>
                </c:pt>
                <c:pt idx="134">
                  <c:v>3142.1249999999995</c:v>
                </c:pt>
                <c:pt idx="135">
                  <c:v>120.00000000000001</c:v>
                </c:pt>
                <c:pt idx="136">
                  <c:v>355.49999999999994</c:v>
                </c:pt>
                <c:pt idx="137">
                  <c:v>53.086409999999987</c:v>
                </c:pt>
                <c:pt idx="138">
                  <c:v>29.119999999999997</c:v>
                </c:pt>
                <c:pt idx="139">
                  <c:v>17.549999999999997</c:v>
                </c:pt>
                <c:pt idx="140">
                  <c:v>1335.25</c:v>
                </c:pt>
                <c:pt idx="141">
                  <c:v>1831.375</c:v>
                </c:pt>
                <c:pt idx="142">
                  <c:v>91.875000000000014</c:v>
                </c:pt>
                <c:pt idx="143">
                  <c:v>795.00000000000011</c:v>
                </c:pt>
                <c:pt idx="144">
                  <c:v>57.131999999999991</c:v>
                </c:pt>
                <c:pt idx="145">
                  <c:v>28.576799999999999</c:v>
                </c:pt>
                <c:pt idx="146">
                  <c:v>81.216000000000022</c:v>
                </c:pt>
                <c:pt idx="147">
                  <c:v>10.921749999999999</c:v>
                </c:pt>
                <c:pt idx="148">
                  <c:v>5</c:v>
                </c:pt>
                <c:pt idx="149">
                  <c:v>262.99349999999998</c:v>
                </c:pt>
                <c:pt idx="150">
                  <c:v>12.700799999999999</c:v>
                </c:pt>
                <c:pt idx="151">
                  <c:v>16.934399999999997</c:v>
                </c:pt>
                <c:pt idx="152">
                  <c:v>165.15771999999996</c:v>
                </c:pt>
                <c:pt idx="153">
                  <c:v>165.15771999999996</c:v>
                </c:pt>
                <c:pt idx="154">
                  <c:v>1144.8</c:v>
                </c:pt>
                <c:pt idx="155">
                  <c:v>17.569125</c:v>
                </c:pt>
                <c:pt idx="156">
                  <c:v>1144.7999999999997</c:v>
                </c:pt>
                <c:pt idx="157">
                  <c:v>9.5219999999999985</c:v>
                </c:pt>
                <c:pt idx="158">
                  <c:v>206.23409999999998</c:v>
                </c:pt>
                <c:pt idx="159">
                  <c:v>387.20000000000005</c:v>
                </c:pt>
                <c:pt idx="160">
                  <c:v>380.42399999999998</c:v>
                </c:pt>
                <c:pt idx="161">
                  <c:v>137.80676</c:v>
                </c:pt>
                <c:pt idx="162">
                  <c:v>81.216000000000022</c:v>
                </c:pt>
                <c:pt idx="163">
                  <c:v>345.75359999999995</c:v>
                </c:pt>
                <c:pt idx="164">
                  <c:v>864.0895999999999</c:v>
                </c:pt>
                <c:pt idx="165">
                  <c:v>8967</c:v>
                </c:pt>
                <c:pt idx="166">
                  <c:v>10.138589999999999</c:v>
                </c:pt>
                <c:pt idx="167">
                  <c:v>172.70010000000002</c:v>
                </c:pt>
                <c:pt idx="168">
                  <c:v>29.145599999999995</c:v>
                </c:pt>
                <c:pt idx="169">
                  <c:v>52.029999999999987</c:v>
                </c:pt>
                <c:pt idx="170">
                  <c:v>19.051199999999998</c:v>
                </c:pt>
                <c:pt idx="171">
                  <c:v>146.13574</c:v>
                </c:pt>
                <c:pt idx="172">
                  <c:v>504</c:v>
                </c:pt>
                <c:pt idx="173">
                  <c:v>953.99999999999989</c:v>
                </c:pt>
                <c:pt idx="174">
                  <c:v>52.417600000000014</c:v>
                </c:pt>
                <c:pt idx="175">
                  <c:v>27.994679999999999</c:v>
                </c:pt>
                <c:pt idx="176">
                  <c:v>352.99584000000004</c:v>
                </c:pt>
                <c:pt idx="177">
                  <c:v>15.102719999999998</c:v>
                </c:pt>
                <c:pt idx="178">
                  <c:v>499.51118749999989</c:v>
                </c:pt>
                <c:pt idx="179">
                  <c:v>81.216000000000022</c:v>
                </c:pt>
                <c:pt idx="180">
                  <c:v>11.24424</c:v>
                </c:pt>
                <c:pt idx="181">
                  <c:v>1144.8</c:v>
                </c:pt>
                <c:pt idx="182">
                  <c:v>41.135039999999996</c:v>
                </c:pt>
                <c:pt idx="183">
                  <c:v>2.1150000000000002</c:v>
                </c:pt>
                <c:pt idx="184">
                  <c:v>3348</c:v>
                </c:pt>
                <c:pt idx="185">
                  <c:v>110.45579999999998</c:v>
                </c:pt>
                <c:pt idx="186">
                  <c:v>199.99999999999997</c:v>
                </c:pt>
                <c:pt idx="187">
                  <c:v>171.43280000000001</c:v>
                </c:pt>
                <c:pt idx="188">
                  <c:v>83.624413320000016</c:v>
                </c:pt>
                <c:pt idx="189">
                  <c:v>44.295029999999997</c:v>
                </c:pt>
                <c:pt idx="190">
                  <c:v>392</c:v>
                </c:pt>
                <c:pt idx="191">
                  <c:v>106.5</c:v>
                </c:pt>
                <c:pt idx="192">
                  <c:v>95.050000000000011</c:v>
                </c:pt>
                <c:pt idx="193">
                  <c:v>501.5</c:v>
                </c:pt>
                <c:pt idx="194">
                  <c:v>1144.8</c:v>
                </c:pt>
                <c:pt idx="195">
                  <c:v>1144.8</c:v>
                </c:pt>
                <c:pt idx="196">
                  <c:v>14.050124999999998</c:v>
                </c:pt>
                <c:pt idx="197">
                  <c:v>238.38855999999998</c:v>
                </c:pt>
                <c:pt idx="198">
                  <c:v>51.840000000000011</c:v>
                </c:pt>
                <c:pt idx="199">
                  <c:v>79.2624</c:v>
                </c:pt>
                <c:pt idx="200">
                  <c:v>1008</c:v>
                </c:pt>
                <c:pt idx="201">
                  <c:v>1144.8</c:v>
                </c:pt>
                <c:pt idx="202">
                  <c:v>9.8963199999999993</c:v>
                </c:pt>
                <c:pt idx="203">
                  <c:v>787.24799999999993</c:v>
                </c:pt>
                <c:pt idx="204">
                  <c:v>229.24799999999999</c:v>
                </c:pt>
                <c:pt idx="205">
                  <c:v>194.81470846995578</c:v>
                </c:pt>
                <c:pt idx="206">
                  <c:v>172.70010000000002</c:v>
                </c:pt>
                <c:pt idx="207">
                  <c:v>46.875000000000007</c:v>
                </c:pt>
                <c:pt idx="208">
                  <c:v>5604.375</c:v>
                </c:pt>
                <c:pt idx="209">
                  <c:v>92.925000000000011</c:v>
                </c:pt>
                <c:pt idx="210">
                  <c:v>345.75359999999995</c:v>
                </c:pt>
                <c:pt idx="211">
                  <c:v>185.37199999999999</c:v>
                </c:pt>
                <c:pt idx="212">
                  <c:v>239.5</c:v>
                </c:pt>
                <c:pt idx="213">
                  <c:v>380.90800000000002</c:v>
                </c:pt>
                <c:pt idx="214">
                  <c:v>355.49999999999994</c:v>
                </c:pt>
                <c:pt idx="215" formatCode="General">
                  <c:v>138.00000000000003</c:v>
                </c:pt>
                <c:pt idx="216">
                  <c:v>116.47999999999999</c:v>
                </c:pt>
                <c:pt idx="217">
                  <c:v>2494.0912499999995</c:v>
                </c:pt>
                <c:pt idx="218">
                  <c:v>320</c:v>
                </c:pt>
                <c:pt idx="219">
                  <c:v>8.4671999999999983</c:v>
                </c:pt>
                <c:pt idx="220">
                  <c:v>9.525599999999999</c:v>
                </c:pt>
                <c:pt idx="221">
                  <c:v>16.934399999999997</c:v>
                </c:pt>
                <c:pt idx="222">
                  <c:v>60.000000000000007</c:v>
                </c:pt>
                <c:pt idx="223">
                  <c:v>189</c:v>
                </c:pt>
                <c:pt idx="224">
                  <c:v>218.08500000000004</c:v>
                </c:pt>
                <c:pt idx="225">
                  <c:v>208.89440000000005</c:v>
                </c:pt>
                <c:pt idx="226">
                  <c:v>35.50365</c:v>
                </c:pt>
                <c:pt idx="227">
                  <c:v>135</c:v>
                </c:pt>
                <c:pt idx="228">
                  <c:v>421.19999999999993</c:v>
                </c:pt>
                <c:pt idx="229">
                  <c:v>25.401599999999998</c:v>
                </c:pt>
                <c:pt idx="230">
                  <c:v>38.087999999999994</c:v>
                </c:pt>
                <c:pt idx="231">
                  <c:v>46.875000000000007</c:v>
                </c:pt>
                <c:pt idx="232" formatCode="General">
                  <c:v>138.00000000000003</c:v>
                </c:pt>
                <c:pt idx="233">
                  <c:v>249.37428749999992</c:v>
                </c:pt>
                <c:pt idx="234">
                  <c:v>499.95000000000005</c:v>
                </c:pt>
                <c:pt idx="235">
                  <c:v>393.62399999999997</c:v>
                </c:pt>
                <c:pt idx="236">
                  <c:v>794.06250000000023</c:v>
                </c:pt>
                <c:pt idx="237">
                  <c:v>408.23999999999995</c:v>
                </c:pt>
                <c:pt idx="238">
                  <c:v>953.99999999999989</c:v>
                </c:pt>
                <c:pt idx="239">
                  <c:v>34.83</c:v>
                </c:pt>
                <c:pt idx="240">
                  <c:v>1831.375</c:v>
                </c:pt>
                <c:pt idx="241">
                  <c:v>401.76</c:v>
                </c:pt>
                <c:pt idx="242">
                  <c:v>309.67999999999995</c:v>
                </c:pt>
                <c:pt idx="243">
                  <c:v>5604.375</c:v>
                </c:pt>
                <c:pt idx="244">
                  <c:v>22.314599999999999</c:v>
                </c:pt>
                <c:pt idx="245">
                  <c:v>2137.7924999999996</c:v>
                </c:pt>
                <c:pt idx="246">
                  <c:v>47.759999999999984</c:v>
                </c:pt>
                <c:pt idx="247">
                  <c:v>36.564479999999996</c:v>
                </c:pt>
                <c:pt idx="248">
                  <c:v>368.62613999999996</c:v>
                </c:pt>
                <c:pt idx="249">
                  <c:v>3203.3749999999995</c:v>
                </c:pt>
                <c:pt idx="250">
                  <c:v>27.423359999999995</c:v>
                </c:pt>
                <c:pt idx="251">
                  <c:v>21.167999999999996</c:v>
                </c:pt>
                <c:pt idx="252">
                  <c:v>16.875</c:v>
                </c:pt>
                <c:pt idx="253">
                  <c:v>19.051199999999998</c:v>
                </c:pt>
                <c:pt idx="254">
                  <c:v>35.50365</c:v>
                </c:pt>
                <c:pt idx="255">
                  <c:v>1144.7999999999997</c:v>
                </c:pt>
                <c:pt idx="256">
                  <c:v>10.040039999999999</c:v>
                </c:pt>
                <c:pt idx="257">
                  <c:v>9.141119999999999</c:v>
                </c:pt>
                <c:pt idx="258">
                  <c:v>171.43280000000001</c:v>
                </c:pt>
                <c:pt idx="259">
                  <c:v>93.508799999999994</c:v>
                </c:pt>
                <c:pt idx="260">
                  <c:v>89.064151729270648</c:v>
                </c:pt>
                <c:pt idx="261">
                  <c:v>81.216000000000022</c:v>
                </c:pt>
                <c:pt idx="262">
                  <c:v>794.99999999999989</c:v>
                </c:pt>
                <c:pt idx="263">
                  <c:v>64.349999999999994</c:v>
                </c:pt>
                <c:pt idx="264">
                  <c:v>95.050000000000011</c:v>
                </c:pt>
                <c:pt idx="265">
                  <c:v>36.505000000000003</c:v>
                </c:pt>
                <c:pt idx="266">
                  <c:v>6.8558399999999988</c:v>
                </c:pt>
                <c:pt idx="267">
                  <c:v>529.19999999999993</c:v>
                </c:pt>
                <c:pt idx="268">
                  <c:v>171.43280000000001</c:v>
                </c:pt>
                <c:pt idx="269">
                  <c:v>580.79999999999995</c:v>
                </c:pt>
                <c:pt idx="270">
                  <c:v>262.99349999999998</c:v>
                </c:pt>
                <c:pt idx="271">
                  <c:v>507.59999999999997</c:v>
                </c:pt>
                <c:pt idx="272">
                  <c:v>298.08</c:v>
                </c:pt>
                <c:pt idx="273">
                  <c:v>230.39999999999998</c:v>
                </c:pt>
                <c:pt idx="274">
                  <c:v>276.6336</c:v>
                </c:pt>
                <c:pt idx="275">
                  <c:v>81.216000000000022</c:v>
                </c:pt>
                <c:pt idx="276">
                  <c:v>1105.6499999999999</c:v>
                </c:pt>
                <c:pt idx="277">
                  <c:v>171.43280000000001</c:v>
                </c:pt>
                <c:pt idx="278">
                  <c:v>262.99349999999998</c:v>
                </c:pt>
                <c:pt idx="279">
                  <c:v>529.19999999999993</c:v>
                </c:pt>
                <c:pt idx="280">
                  <c:v>16.934399999999997</c:v>
                </c:pt>
                <c:pt idx="281">
                  <c:v>0.84599999999999997</c:v>
                </c:pt>
                <c:pt idx="282">
                  <c:v>394.79999999999995</c:v>
                </c:pt>
                <c:pt idx="283">
                  <c:v>724.88800000000003</c:v>
                </c:pt>
                <c:pt idx="284">
                  <c:v>10.253119999999999</c:v>
                </c:pt>
                <c:pt idx="285">
                  <c:v>171.43280000000001</c:v>
                </c:pt>
                <c:pt idx="286">
                  <c:v>8.0729999999999986</c:v>
                </c:pt>
                <c:pt idx="287">
                  <c:v>794.99999999999989</c:v>
                </c:pt>
                <c:pt idx="288">
                  <c:v>99.999999999999986</c:v>
                </c:pt>
                <c:pt idx="289">
                  <c:v>576</c:v>
                </c:pt>
                <c:pt idx="290">
                  <c:v>113.125</c:v>
                </c:pt>
                <c:pt idx="291">
                  <c:v>57.830399999999997</c:v>
                </c:pt>
                <c:pt idx="292">
                  <c:v>8.4671999999999983</c:v>
                </c:pt>
                <c:pt idx="293">
                  <c:v>48.625</c:v>
                </c:pt>
                <c:pt idx="294">
                  <c:v>113.58719999999998</c:v>
                </c:pt>
                <c:pt idx="295">
                  <c:v>78.408000000000001</c:v>
                </c:pt>
                <c:pt idx="296">
                  <c:v>10.143000000000001</c:v>
                </c:pt>
                <c:pt idx="297">
                  <c:v>19.820499999999996</c:v>
                </c:pt>
                <c:pt idx="298">
                  <c:v>580.79999999999995</c:v>
                </c:pt>
                <c:pt idx="299">
                  <c:v>68.75</c:v>
                </c:pt>
                <c:pt idx="300">
                  <c:v>172.70010000000002</c:v>
                </c:pt>
                <c:pt idx="301">
                  <c:v>246.875</c:v>
                </c:pt>
                <c:pt idx="302">
                  <c:v>206.23409999999998</c:v>
                </c:pt>
                <c:pt idx="303">
                  <c:v>338.4</c:v>
                </c:pt>
                <c:pt idx="304">
                  <c:v>654.3359999999999</c:v>
                </c:pt>
                <c:pt idx="305">
                  <c:v>283.02400000000006</c:v>
                </c:pt>
                <c:pt idx="306">
                  <c:v>65.52</c:v>
                </c:pt>
                <c:pt idx="307">
                  <c:v>1781.4937499999996</c:v>
                </c:pt>
                <c:pt idx="308">
                  <c:v>226.96200000000002</c:v>
                </c:pt>
                <c:pt idx="309">
                  <c:v>154.76159999999999</c:v>
                </c:pt>
                <c:pt idx="310" formatCode="General">
                  <c:v>34.83</c:v>
                </c:pt>
                <c:pt idx="311" formatCode="General">
                  <c:v>138.00000000000003</c:v>
                </c:pt>
                <c:pt idx="312">
                  <c:v>16.934399999999997</c:v>
                </c:pt>
                <c:pt idx="313">
                  <c:v>97.710899999999981</c:v>
                </c:pt>
                <c:pt idx="314">
                  <c:v>202.26400000000001</c:v>
                </c:pt>
                <c:pt idx="315">
                  <c:v>172.70010000000002</c:v>
                </c:pt>
                <c:pt idx="316">
                  <c:v>172.70010000000002</c:v>
                </c:pt>
                <c:pt idx="317">
                  <c:v>960.00000000000011</c:v>
                </c:pt>
                <c:pt idx="318">
                  <c:v>51.840000000000011</c:v>
                </c:pt>
                <c:pt idx="319">
                  <c:v>172.70010000000002</c:v>
                </c:pt>
                <c:pt idx="320">
                  <c:v>196.81199999999998</c:v>
                </c:pt>
                <c:pt idx="321">
                  <c:v>51.840000000000011</c:v>
                </c:pt>
                <c:pt idx="322">
                  <c:v>19.875</c:v>
                </c:pt>
                <c:pt idx="323">
                  <c:v>3307.5</c:v>
                </c:pt>
                <c:pt idx="324">
                  <c:v>12.700799999999999</c:v>
                </c:pt>
                <c:pt idx="325">
                  <c:v>125.00000000000001</c:v>
                </c:pt>
                <c:pt idx="326">
                  <c:v>137.80676</c:v>
                </c:pt>
                <c:pt idx="327">
                  <c:v>198.88128</c:v>
                </c:pt>
                <c:pt idx="328">
                  <c:v>171.43280000000001</c:v>
                </c:pt>
                <c:pt idx="329">
                  <c:v>112.49999999999999</c:v>
                </c:pt>
                <c:pt idx="330">
                  <c:v>132.47999999999999</c:v>
                </c:pt>
                <c:pt idx="331">
                  <c:v>49.499999999999993</c:v>
                </c:pt>
                <c:pt idx="332">
                  <c:v>36.75</c:v>
                </c:pt>
                <c:pt idx="333">
                  <c:v>2232</c:v>
                </c:pt>
                <c:pt idx="334">
                  <c:v>2232</c:v>
                </c:pt>
                <c:pt idx="335">
                  <c:v>105.11999999999998</c:v>
                </c:pt>
                <c:pt idx="336">
                  <c:v>137.80675999999997</c:v>
                </c:pt>
                <c:pt idx="337">
                  <c:v>46.875000000000007</c:v>
                </c:pt>
                <c:pt idx="338">
                  <c:v>177.74999999999997</c:v>
                </c:pt>
                <c:pt idx="339">
                  <c:v>142.595</c:v>
                </c:pt>
                <c:pt idx="340">
                  <c:v>191.18</c:v>
                </c:pt>
                <c:pt idx="341">
                  <c:v>172.70010000000002</c:v>
                </c:pt>
                <c:pt idx="342">
                  <c:v>81.216000000000022</c:v>
                </c:pt>
                <c:pt idx="343">
                  <c:v>189</c:v>
                </c:pt>
                <c:pt idx="344">
                  <c:v>206.23409999999998</c:v>
                </c:pt>
                <c:pt idx="345">
                  <c:v>30.000000000000004</c:v>
                </c:pt>
                <c:pt idx="346">
                  <c:v>375.00000000000006</c:v>
                </c:pt>
                <c:pt idx="347">
                  <c:v>888.3</c:v>
                </c:pt>
                <c:pt idx="348">
                  <c:v>13.353984000000002</c:v>
                </c:pt>
                <c:pt idx="349">
                  <c:v>1920</c:v>
                </c:pt>
                <c:pt idx="350">
                  <c:v>572.39999999999986</c:v>
                </c:pt>
                <c:pt idx="351">
                  <c:v>5604.3749999999991</c:v>
                </c:pt>
                <c:pt idx="352">
                  <c:v>176.39999999999998</c:v>
                </c:pt>
                <c:pt idx="353" formatCode="General">
                  <c:v>138.00000000000003</c:v>
                </c:pt>
                <c:pt idx="354">
                  <c:v>177.08749999999995</c:v>
                </c:pt>
                <c:pt idx="355">
                  <c:v>35.50365</c:v>
                </c:pt>
                <c:pt idx="356">
                  <c:v>76.680000000000007</c:v>
                </c:pt>
                <c:pt idx="357">
                  <c:v>100.68479999999998</c:v>
                </c:pt>
                <c:pt idx="358" formatCode="General">
                  <c:v>138.00000000000003</c:v>
                </c:pt>
                <c:pt idx="359">
                  <c:v>63.475000000000001</c:v>
                </c:pt>
                <c:pt idx="360">
                  <c:v>115.54559999999999</c:v>
                </c:pt>
                <c:pt idx="361">
                  <c:v>115.625</c:v>
                </c:pt>
                <c:pt idx="362">
                  <c:v>6</c:v>
                </c:pt>
                <c:pt idx="363">
                  <c:v>19.875</c:v>
                </c:pt>
                <c:pt idx="364">
                  <c:v>138.04639999999998</c:v>
                </c:pt>
                <c:pt idx="365">
                  <c:v>115.59999999999998</c:v>
                </c:pt>
                <c:pt idx="366">
                  <c:v>779.10000000000014</c:v>
                </c:pt>
                <c:pt idx="367">
                  <c:v>10</c:v>
                </c:pt>
                <c:pt idx="368">
                  <c:v>9.9201599999999974</c:v>
                </c:pt>
                <c:pt idx="369">
                  <c:v>262.99349999999998</c:v>
                </c:pt>
                <c:pt idx="370">
                  <c:v>42.143999999999991</c:v>
                </c:pt>
                <c:pt idx="371">
                  <c:v>51.840000000000011</c:v>
                </c:pt>
                <c:pt idx="372">
                  <c:v>633.41999999999996</c:v>
                </c:pt>
                <c:pt idx="373">
                  <c:v>44.6875</c:v>
                </c:pt>
                <c:pt idx="374">
                  <c:v>76.399999999999991</c:v>
                </c:pt>
                <c:pt idx="375">
                  <c:v>272.15999999999997</c:v>
                </c:pt>
                <c:pt idx="376">
                  <c:v>387.20000000000005</c:v>
                </c:pt>
                <c:pt idx="377">
                  <c:v>206.23409999999998</c:v>
                </c:pt>
                <c:pt idx="378">
                  <c:v>262.99349999999998</c:v>
                </c:pt>
                <c:pt idx="379">
                  <c:v>34.65</c:v>
                </c:pt>
                <c:pt idx="380">
                  <c:v>46.875000000000007</c:v>
                </c:pt>
                <c:pt idx="381">
                  <c:v>146.13574</c:v>
                </c:pt>
                <c:pt idx="382">
                  <c:v>7.0379999999999994</c:v>
                </c:pt>
                <c:pt idx="383">
                  <c:v>394.8</c:v>
                </c:pt>
                <c:pt idx="384">
                  <c:v>138.00000000000003</c:v>
                </c:pt>
                <c:pt idx="385">
                  <c:v>9.5062499999999996</c:v>
                </c:pt>
                <c:pt idx="386">
                  <c:v>34.374999999999993</c:v>
                </c:pt>
                <c:pt idx="387">
                  <c:v>4206.0375000000004</c:v>
                </c:pt>
                <c:pt idx="388">
                  <c:v>1335.25</c:v>
                </c:pt>
                <c:pt idx="389">
                  <c:v>48.607999999999997</c:v>
                </c:pt>
                <c:pt idx="390" formatCode="General">
                  <c:v>138.00000000000003</c:v>
                </c:pt>
                <c:pt idx="391">
                  <c:v>171.43280000000001</c:v>
                </c:pt>
                <c:pt idx="392">
                  <c:v>68.160000000000011</c:v>
                </c:pt>
                <c:pt idx="393">
                  <c:v>953.99999999999989</c:v>
                </c:pt>
                <c:pt idx="394">
                  <c:v>171.43280000000001</c:v>
                </c:pt>
                <c:pt idx="395">
                  <c:v>394.79999999999995</c:v>
                </c:pt>
                <c:pt idx="396">
                  <c:v>43.916440000000001</c:v>
                </c:pt>
                <c:pt idx="397">
                  <c:v>81.216000000000022</c:v>
                </c:pt>
                <c:pt idx="398">
                  <c:v>97.999999999999986</c:v>
                </c:pt>
                <c:pt idx="399">
                  <c:v>133.83705600000002</c:v>
                </c:pt>
                <c:pt idx="400">
                  <c:v>240</c:v>
                </c:pt>
                <c:pt idx="401">
                  <c:v>176.4</c:v>
                </c:pt>
                <c:pt idx="402">
                  <c:v>794.06250000000023</c:v>
                </c:pt>
                <c:pt idx="403">
                  <c:v>1425.1949999999999</c:v>
                </c:pt>
                <c:pt idx="404">
                  <c:v>6.5239999999999991</c:v>
                </c:pt>
                <c:pt idx="405">
                  <c:v>110.59200000000003</c:v>
                </c:pt>
                <c:pt idx="406">
                  <c:v>94.54079999999999</c:v>
                </c:pt>
                <c:pt idx="407">
                  <c:v>947.69999999999993</c:v>
                </c:pt>
                <c:pt idx="408">
                  <c:v>120.31999999999998</c:v>
                </c:pt>
                <c:pt idx="409">
                  <c:v>24.749999999999996</c:v>
                </c:pt>
                <c:pt idx="410">
                  <c:v>172.53000000000003</c:v>
                </c:pt>
                <c:pt idx="411">
                  <c:v>227.23199999999997</c:v>
                </c:pt>
                <c:pt idx="412">
                  <c:v>387.20000000000005</c:v>
                </c:pt>
                <c:pt idx="413">
                  <c:v>110.45579999999997</c:v>
                </c:pt>
                <c:pt idx="414">
                  <c:v>720.00000000000011</c:v>
                </c:pt>
                <c:pt idx="415">
                  <c:v>10.165759999999997</c:v>
                </c:pt>
                <c:pt idx="416">
                  <c:v>98.815999999999988</c:v>
                </c:pt>
                <c:pt idx="417">
                  <c:v>572.4</c:v>
                </c:pt>
                <c:pt idx="418">
                  <c:v>69.456400000000002</c:v>
                </c:pt>
                <c:pt idx="419">
                  <c:v>30.007999999999999</c:v>
                </c:pt>
                <c:pt idx="420">
                  <c:v>9.7044400000000035</c:v>
                </c:pt>
                <c:pt idx="421">
                  <c:v>172.70010000000002</c:v>
                </c:pt>
                <c:pt idx="422">
                  <c:v>16.875</c:v>
                </c:pt>
                <c:pt idx="423">
                  <c:v>1335.25</c:v>
                </c:pt>
                <c:pt idx="424">
                  <c:v>779.0999999999998</c:v>
                </c:pt>
                <c:pt idx="425">
                  <c:v>193.60000000000002</c:v>
                </c:pt>
                <c:pt idx="426">
                  <c:v>84.078000000000003</c:v>
                </c:pt>
                <c:pt idx="427">
                  <c:v>761.39999999999986</c:v>
                </c:pt>
                <c:pt idx="428">
                  <c:v>67.5</c:v>
                </c:pt>
                <c:pt idx="429">
                  <c:v>71.261399999999995</c:v>
                </c:pt>
                <c:pt idx="430">
                  <c:v>89.539999999999992</c:v>
                </c:pt>
                <c:pt idx="431">
                  <c:v>58.063039999999994</c:v>
                </c:pt>
                <c:pt idx="432">
                  <c:v>145.68</c:v>
                </c:pt>
                <c:pt idx="433" formatCode="General">
                  <c:v>28.599999999999998</c:v>
                </c:pt>
                <c:pt idx="434">
                  <c:v>18.75</c:v>
                </c:pt>
                <c:pt idx="435">
                  <c:v>116.47999999999999</c:v>
                </c:pt>
                <c:pt idx="436">
                  <c:v>779.10000000000014</c:v>
                </c:pt>
                <c:pt idx="437">
                  <c:v>24.0625</c:v>
                </c:pt>
                <c:pt idx="438">
                  <c:v>252.24835999999993</c:v>
                </c:pt>
                <c:pt idx="439">
                  <c:v>2232</c:v>
                </c:pt>
                <c:pt idx="440">
                  <c:v>5.1418799999999996</c:v>
                </c:pt>
                <c:pt idx="441">
                  <c:v>2232</c:v>
                </c:pt>
                <c:pt idx="442">
                  <c:v>180.78000000000003</c:v>
                </c:pt>
                <c:pt idx="443">
                  <c:v>88.56</c:v>
                </c:pt>
                <c:pt idx="444">
                  <c:v>4.875</c:v>
                </c:pt>
                <c:pt idx="445">
                  <c:v>30.030399999999997</c:v>
                </c:pt>
                <c:pt idx="446">
                  <c:v>55.0944</c:v>
                </c:pt>
                <c:pt idx="447">
                  <c:v>429.14236</c:v>
                </c:pt>
                <c:pt idx="448">
                  <c:v>490.75199999999995</c:v>
                </c:pt>
                <c:pt idx="449">
                  <c:v>521.42399999999998</c:v>
                </c:pt>
                <c:pt idx="450">
                  <c:v>35.200199999999995</c:v>
                </c:pt>
                <c:pt idx="451">
                  <c:v>186.60136</c:v>
                </c:pt>
                <c:pt idx="452">
                  <c:v>953.99999999999989</c:v>
                </c:pt>
                <c:pt idx="453">
                  <c:v>167.33255</c:v>
                </c:pt>
                <c:pt idx="454" formatCode="General">
                  <c:v>21.999999999999996</c:v>
                </c:pt>
                <c:pt idx="455">
                  <c:v>51.840000000000011</c:v>
                </c:pt>
                <c:pt idx="456">
                  <c:v>206.23409999999998</c:v>
                </c:pt>
                <c:pt idx="457">
                  <c:v>1144.8</c:v>
                </c:pt>
                <c:pt idx="458" formatCode="General">
                  <c:v>138.00000000000003</c:v>
                </c:pt>
                <c:pt idx="459">
                  <c:v>756</c:v>
                </c:pt>
                <c:pt idx="460">
                  <c:v>124.50899999999999</c:v>
                </c:pt>
                <c:pt idx="461">
                  <c:v>137.80675999999997</c:v>
                </c:pt>
                <c:pt idx="462">
                  <c:v>137.80675999999997</c:v>
                </c:pt>
                <c:pt idx="463">
                  <c:v>590.43599999999992</c:v>
                </c:pt>
                <c:pt idx="464">
                  <c:v>51.840000000000011</c:v>
                </c:pt>
                <c:pt idx="465">
                  <c:v>84.47999999999999</c:v>
                </c:pt>
                <c:pt idx="466">
                  <c:v>48.625</c:v>
                </c:pt>
                <c:pt idx="467">
                  <c:v>181.90500000000003</c:v>
                </c:pt>
                <c:pt idx="468">
                  <c:v>22.316580000000002</c:v>
                </c:pt>
                <c:pt idx="469">
                  <c:v>7.2863999999999987</c:v>
                </c:pt>
                <c:pt idx="470">
                  <c:v>691.19999999999993</c:v>
                </c:pt>
                <c:pt idx="471">
                  <c:v>10.214680000000001</c:v>
                </c:pt>
                <c:pt idx="472">
                  <c:v>85.499999999999986</c:v>
                </c:pt>
                <c:pt idx="473">
                  <c:v>338.4</c:v>
                </c:pt>
                <c:pt idx="474">
                  <c:v>225.6</c:v>
                </c:pt>
                <c:pt idx="475">
                  <c:v>1602.7999999999997</c:v>
                </c:pt>
                <c:pt idx="476">
                  <c:v>336</c:v>
                </c:pt>
                <c:pt idx="477" formatCode="General">
                  <c:v>15.4</c:v>
                </c:pt>
                <c:pt idx="478">
                  <c:v>33.75</c:v>
                </c:pt>
                <c:pt idx="479">
                  <c:v>113.625</c:v>
                </c:pt>
                <c:pt idx="480">
                  <c:v>48.96</c:v>
                </c:pt>
                <c:pt idx="481">
                  <c:v>75.839999999999989</c:v>
                </c:pt>
                <c:pt idx="482" formatCode="General">
                  <c:v>10.999999999999998</c:v>
                </c:pt>
                <c:pt idx="483">
                  <c:v>145.72499999999999</c:v>
                </c:pt>
                <c:pt idx="484">
                  <c:v>623.69999999999993</c:v>
                </c:pt>
                <c:pt idx="485">
                  <c:v>888.3</c:v>
                </c:pt>
                <c:pt idx="486">
                  <c:v>17.187499999999996</c:v>
                </c:pt>
                <c:pt idx="487">
                  <c:v>93.183999999999983</c:v>
                </c:pt>
                <c:pt idx="488">
                  <c:v>1.8502399999999997</c:v>
                </c:pt>
                <c:pt idx="489" formatCode="General">
                  <c:v>138.00000000000003</c:v>
                </c:pt>
                <c:pt idx="490">
                  <c:v>65.52</c:v>
                </c:pt>
                <c:pt idx="491">
                  <c:v>26.713999999999999</c:v>
                </c:pt>
                <c:pt idx="492">
                  <c:v>6.0940799999999991</c:v>
                </c:pt>
                <c:pt idx="493">
                  <c:v>172.70010000000002</c:v>
                </c:pt>
                <c:pt idx="494">
                  <c:v>22.316580000000002</c:v>
                </c:pt>
                <c:pt idx="495">
                  <c:v>9.375</c:v>
                </c:pt>
                <c:pt idx="496">
                  <c:v>81.216000000000022</c:v>
                </c:pt>
                <c:pt idx="497">
                  <c:v>110.59200000000003</c:v>
                </c:pt>
                <c:pt idx="498">
                  <c:v>21.935099999999998</c:v>
                </c:pt>
                <c:pt idx="499">
                  <c:v>19.820499999999996</c:v>
                </c:pt>
                <c:pt idx="500">
                  <c:v>35.845039999999997</c:v>
                </c:pt>
                <c:pt idx="501">
                  <c:v>38.673249999999996</c:v>
                </c:pt>
                <c:pt idx="502">
                  <c:v>51.840000000000011</c:v>
                </c:pt>
                <c:pt idx="503">
                  <c:v>206.23409999999998</c:v>
                </c:pt>
                <c:pt idx="504">
                  <c:v>22.316580000000002</c:v>
                </c:pt>
                <c:pt idx="505">
                  <c:v>206.23409999999998</c:v>
                </c:pt>
                <c:pt idx="506">
                  <c:v>327.16799999999995</c:v>
                </c:pt>
                <c:pt idx="507">
                  <c:v>96.800000000000011</c:v>
                </c:pt>
                <c:pt idx="508">
                  <c:v>156.29759999999999</c:v>
                </c:pt>
                <c:pt idx="509">
                  <c:v>267.49414000000002</c:v>
                </c:pt>
                <c:pt idx="510">
                  <c:v>10.191999999999998</c:v>
                </c:pt>
                <c:pt idx="511">
                  <c:v>8.5624999999999982</c:v>
                </c:pt>
                <c:pt idx="512">
                  <c:v>397.50000000000006</c:v>
                </c:pt>
                <c:pt idx="513">
                  <c:v>779.0999999999998</c:v>
                </c:pt>
                <c:pt idx="514">
                  <c:v>9.6745599999999996</c:v>
                </c:pt>
                <c:pt idx="515">
                  <c:v>29.119999999999997</c:v>
                </c:pt>
                <c:pt idx="516">
                  <c:v>172.70010000000002</c:v>
                </c:pt>
                <c:pt idx="517">
                  <c:v>93.295839999999998</c:v>
                </c:pt>
                <c:pt idx="518">
                  <c:v>349.88799999999998</c:v>
                </c:pt>
                <c:pt idx="519">
                  <c:v>16.875</c:v>
                </c:pt>
                <c:pt idx="520">
                  <c:v>16.875</c:v>
                </c:pt>
                <c:pt idx="521">
                  <c:v>51.840000000000011</c:v>
                </c:pt>
                <c:pt idx="522">
                  <c:v>1116</c:v>
                </c:pt>
                <c:pt idx="523">
                  <c:v>190.73599999999999</c:v>
                </c:pt>
                <c:pt idx="524">
                  <c:v>78.72</c:v>
                </c:pt>
                <c:pt idx="525">
                  <c:v>41.624999999999993</c:v>
                </c:pt>
                <c:pt idx="526">
                  <c:v>193.60000000000002</c:v>
                </c:pt>
                <c:pt idx="527">
                  <c:v>104.19840000000002</c:v>
                </c:pt>
                <c:pt idx="528">
                  <c:v>189</c:v>
                </c:pt>
                <c:pt idx="529">
                  <c:v>4.0985999999999994</c:v>
                </c:pt>
                <c:pt idx="530">
                  <c:v>572.39999999999986</c:v>
                </c:pt>
                <c:pt idx="531">
                  <c:v>81.216000000000022</c:v>
                </c:pt>
                <c:pt idx="532">
                  <c:v>65.52</c:v>
                </c:pt>
                <c:pt idx="533">
                  <c:v>206.23409999999998</c:v>
                </c:pt>
                <c:pt idx="534">
                  <c:v>654.3359999999999</c:v>
                </c:pt>
                <c:pt idx="535">
                  <c:v>26.999999999999996</c:v>
                </c:pt>
                <c:pt idx="536">
                  <c:v>397.50000000000006</c:v>
                </c:pt>
                <c:pt idx="537">
                  <c:v>46.287500000000001</c:v>
                </c:pt>
                <c:pt idx="538">
                  <c:v>671.99999999999989</c:v>
                </c:pt>
                <c:pt idx="539">
                  <c:v>572.39999999999986</c:v>
                </c:pt>
                <c:pt idx="540">
                  <c:v>1144.8</c:v>
                </c:pt>
                <c:pt idx="541">
                  <c:v>51.840000000000011</c:v>
                </c:pt>
                <c:pt idx="542">
                  <c:v>81.216000000000022</c:v>
                </c:pt>
                <c:pt idx="543">
                  <c:v>507.59999999999997</c:v>
                </c:pt>
                <c:pt idx="544">
                  <c:v>40.454999999999998</c:v>
                </c:pt>
                <c:pt idx="545">
                  <c:v>22.0932</c:v>
                </c:pt>
                <c:pt idx="546">
                  <c:v>135</c:v>
                </c:pt>
                <c:pt idx="547">
                  <c:v>81.216000000000022</c:v>
                </c:pt>
                <c:pt idx="548">
                  <c:v>338.4</c:v>
                </c:pt>
                <c:pt idx="549">
                  <c:v>16.875</c:v>
                </c:pt>
                <c:pt idx="550">
                  <c:v>1068.8962499999998</c:v>
                </c:pt>
                <c:pt idx="551">
                  <c:v>286.19999999999993</c:v>
                </c:pt>
                <c:pt idx="552">
                  <c:v>550.79999999999995</c:v>
                </c:pt>
                <c:pt idx="553">
                  <c:v>1116</c:v>
                </c:pt>
                <c:pt idx="554">
                  <c:v>146.13574</c:v>
                </c:pt>
                <c:pt idx="555">
                  <c:v>46.875000000000007</c:v>
                </c:pt>
                <c:pt idx="556">
                  <c:v>80.325000000000003</c:v>
                </c:pt>
                <c:pt idx="557">
                  <c:v>572.4</c:v>
                </c:pt>
                <c:pt idx="558">
                  <c:v>572.4</c:v>
                </c:pt>
                <c:pt idx="559">
                  <c:v>888.3</c:v>
                </c:pt>
                <c:pt idx="560">
                  <c:v>108.53999999999999</c:v>
                </c:pt>
                <c:pt idx="561">
                  <c:v>1144.8</c:v>
                </c:pt>
                <c:pt idx="562">
                  <c:v>2152.806</c:v>
                </c:pt>
                <c:pt idx="563">
                  <c:v>27.757439999999995</c:v>
                </c:pt>
                <c:pt idx="564">
                  <c:v>193.60000000000002</c:v>
                </c:pt>
                <c:pt idx="565">
                  <c:v>16.875</c:v>
                </c:pt>
                <c:pt idx="566">
                  <c:v>12</c:v>
                </c:pt>
                <c:pt idx="567">
                  <c:v>397.49999999999994</c:v>
                </c:pt>
                <c:pt idx="568">
                  <c:v>1116</c:v>
                </c:pt>
                <c:pt idx="569">
                  <c:v>128.952</c:v>
                </c:pt>
                <c:pt idx="570">
                  <c:v>761.4</c:v>
                </c:pt>
                <c:pt idx="571">
                  <c:v>572.39999999999986</c:v>
                </c:pt>
                <c:pt idx="572">
                  <c:v>57.001057106733214</c:v>
                </c:pt>
                <c:pt idx="573">
                  <c:v>391.06799999999998</c:v>
                </c:pt>
                <c:pt idx="574">
                  <c:v>288</c:v>
                </c:pt>
                <c:pt idx="575">
                  <c:v>286.2</c:v>
                </c:pt>
                <c:pt idx="576">
                  <c:v>112.49999999999999</c:v>
                </c:pt>
                <c:pt idx="577">
                  <c:v>900</c:v>
                </c:pt>
                <c:pt idx="578">
                  <c:v>761.39999999999986</c:v>
                </c:pt>
                <c:pt idx="579">
                  <c:v>253.79999999999998</c:v>
                </c:pt>
                <c:pt idx="580">
                  <c:v>82.188000000000002</c:v>
                </c:pt>
                <c:pt idx="581">
                  <c:v>72.36</c:v>
                </c:pt>
                <c:pt idx="582">
                  <c:v>712.59749999999997</c:v>
                </c:pt>
                <c:pt idx="583">
                  <c:v>572.4</c:v>
                </c:pt>
                <c:pt idx="584">
                  <c:v>225.6</c:v>
                </c:pt>
                <c:pt idx="585">
                  <c:v>110.59200000000003</c:v>
                </c:pt>
                <c:pt idx="586">
                  <c:v>2241.75</c:v>
                </c:pt>
                <c:pt idx="587">
                  <c:v>2241.75</c:v>
                </c:pt>
                <c:pt idx="588">
                  <c:v>29.119999999999997</c:v>
                </c:pt>
                <c:pt idx="589">
                  <c:v>51.840000000000011</c:v>
                </c:pt>
                <c:pt idx="590">
                  <c:v>490.75199999999995</c:v>
                </c:pt>
                <c:pt idx="591">
                  <c:v>113.66999999999997</c:v>
                </c:pt>
                <c:pt idx="592">
                  <c:v>160</c:v>
                </c:pt>
                <c:pt idx="593">
                  <c:v>112.8</c:v>
                </c:pt>
                <c:pt idx="594">
                  <c:v>51.840000000000011</c:v>
                </c:pt>
                <c:pt idx="595">
                  <c:v>6.7499999999999991</c:v>
                </c:pt>
                <c:pt idx="596">
                  <c:v>24.75</c:v>
                </c:pt>
                <c:pt idx="597">
                  <c:v>28.425599999999999</c:v>
                </c:pt>
                <c:pt idx="598">
                  <c:v>9.9963499999999996</c:v>
                </c:pt>
                <c:pt idx="599">
                  <c:v>30.356479999999998</c:v>
                </c:pt>
                <c:pt idx="600">
                  <c:v>69.429359999999988</c:v>
                </c:pt>
                <c:pt idx="601">
                  <c:v>397.49999999999994</c:v>
                </c:pt>
                <c:pt idx="602">
                  <c:v>67.961250000000007</c:v>
                </c:pt>
                <c:pt idx="603">
                  <c:v>284.15754000000004</c:v>
                </c:pt>
                <c:pt idx="604">
                  <c:v>81.216000000000022</c:v>
                </c:pt>
                <c:pt idx="605">
                  <c:v>110.59200000000003</c:v>
                </c:pt>
                <c:pt idx="606">
                  <c:v>290.81599999999997</c:v>
                </c:pt>
                <c:pt idx="607">
                  <c:v>49.464799999999997</c:v>
                </c:pt>
                <c:pt idx="608">
                  <c:v>1116</c:v>
                </c:pt>
                <c:pt idx="609">
                  <c:v>81.216000000000022</c:v>
                </c:pt>
                <c:pt idx="610">
                  <c:v>280.79999999999995</c:v>
                </c:pt>
                <c:pt idx="611">
                  <c:v>206.23409999999998</c:v>
                </c:pt>
                <c:pt idx="612">
                  <c:v>202.26400000000001</c:v>
                </c:pt>
                <c:pt idx="613">
                  <c:v>259.7</c:v>
                </c:pt>
                <c:pt idx="614">
                  <c:v>10.142999999999999</c:v>
                </c:pt>
                <c:pt idx="615">
                  <c:v>110.59200000000003</c:v>
                </c:pt>
                <c:pt idx="616">
                  <c:v>369.6</c:v>
                </c:pt>
                <c:pt idx="617">
                  <c:v>521.42399999999998</c:v>
                </c:pt>
                <c:pt idx="618">
                  <c:v>518.4</c:v>
                </c:pt>
                <c:pt idx="619">
                  <c:v>51.840000000000011</c:v>
                </c:pt>
                <c:pt idx="620">
                  <c:v>132.50649999999999</c:v>
                </c:pt>
                <c:pt idx="621">
                  <c:v>76.680000000000007</c:v>
                </c:pt>
                <c:pt idx="622">
                  <c:v>67.95</c:v>
                </c:pt>
                <c:pt idx="623">
                  <c:v>51.840000000000011</c:v>
                </c:pt>
                <c:pt idx="624">
                  <c:v>206.23409999999998</c:v>
                </c:pt>
                <c:pt idx="625">
                  <c:v>206.23409999999998</c:v>
                </c:pt>
                <c:pt idx="626">
                  <c:v>631.79999999999995</c:v>
                </c:pt>
                <c:pt idx="627">
                  <c:v>253.79999999999998</c:v>
                </c:pt>
                <c:pt idx="628">
                  <c:v>5</c:v>
                </c:pt>
                <c:pt idx="629">
                  <c:v>393.62399999999997</c:v>
                </c:pt>
                <c:pt idx="630">
                  <c:v>98.960168588078503</c:v>
                </c:pt>
                <c:pt idx="631">
                  <c:v>231.744</c:v>
                </c:pt>
                <c:pt idx="632">
                  <c:v>654.3359999999999</c:v>
                </c:pt>
                <c:pt idx="633">
                  <c:v>96.800000000000011</c:v>
                </c:pt>
                <c:pt idx="634">
                  <c:v>153.88077600000003</c:v>
                </c:pt>
                <c:pt idx="635">
                  <c:v>2241.75</c:v>
                </c:pt>
                <c:pt idx="636">
                  <c:v>2.7764999999999995</c:v>
                </c:pt>
                <c:pt idx="637">
                  <c:v>206.23409999999998</c:v>
                </c:pt>
                <c:pt idx="638">
                  <c:v>136.07999999999998</c:v>
                </c:pt>
                <c:pt idx="639">
                  <c:v>206.23409999999998</c:v>
                </c:pt>
                <c:pt idx="640">
                  <c:v>288</c:v>
                </c:pt>
                <c:pt idx="641">
                  <c:v>112.896</c:v>
                </c:pt>
                <c:pt idx="642">
                  <c:v>135</c:v>
                </c:pt>
                <c:pt idx="643">
                  <c:v>675.9</c:v>
                </c:pt>
                <c:pt idx="644">
                  <c:v>51.840000000000011</c:v>
                </c:pt>
                <c:pt idx="645">
                  <c:v>1116</c:v>
                </c:pt>
                <c:pt idx="646">
                  <c:v>286.19999999999993</c:v>
                </c:pt>
                <c:pt idx="647">
                  <c:v>413.09999999999997</c:v>
                </c:pt>
                <c:pt idx="648">
                  <c:v>19.875</c:v>
                </c:pt>
                <c:pt idx="649">
                  <c:v>51.840000000000011</c:v>
                </c:pt>
                <c:pt idx="650">
                  <c:v>507.59999999999997</c:v>
                </c:pt>
                <c:pt idx="651">
                  <c:v>96.800000000000011</c:v>
                </c:pt>
                <c:pt idx="652">
                  <c:v>143.09999999999997</c:v>
                </c:pt>
                <c:pt idx="653">
                  <c:v>262.416</c:v>
                </c:pt>
                <c:pt idx="654">
                  <c:v>288.8</c:v>
                </c:pt>
                <c:pt idx="655">
                  <c:v>97.351759999999985</c:v>
                </c:pt>
                <c:pt idx="656">
                  <c:v>110.59200000000003</c:v>
                </c:pt>
                <c:pt idx="657">
                  <c:v>190.8</c:v>
                </c:pt>
                <c:pt idx="658">
                  <c:v>34.222499999999997</c:v>
                </c:pt>
                <c:pt idx="659">
                  <c:v>1108.4849999999997</c:v>
                </c:pt>
                <c:pt idx="660">
                  <c:v>33.75</c:v>
                </c:pt>
                <c:pt idx="661">
                  <c:v>101.70775999999998</c:v>
                </c:pt>
                <c:pt idx="662">
                  <c:v>110.59200000000003</c:v>
                </c:pt>
                <c:pt idx="663">
                  <c:v>38.340000000000003</c:v>
                </c:pt>
                <c:pt idx="664">
                  <c:v>225.6</c:v>
                </c:pt>
                <c:pt idx="665">
                  <c:v>67.5</c:v>
                </c:pt>
                <c:pt idx="666">
                  <c:v>81.216000000000022</c:v>
                </c:pt>
                <c:pt idx="667">
                  <c:v>3.3749999999999996</c:v>
                </c:pt>
                <c:pt idx="668">
                  <c:v>286.2</c:v>
                </c:pt>
                <c:pt idx="669">
                  <c:v>259.7</c:v>
                </c:pt>
                <c:pt idx="670">
                  <c:v>290.81599999999997</c:v>
                </c:pt>
                <c:pt idx="671">
                  <c:v>19.820499999999996</c:v>
                </c:pt>
                <c:pt idx="672">
                  <c:v>135</c:v>
                </c:pt>
                <c:pt idx="673">
                  <c:v>42.039000000000001</c:v>
                </c:pt>
                <c:pt idx="674">
                  <c:v>96.896799999999985</c:v>
                </c:pt>
                <c:pt idx="675">
                  <c:v>97.283999999999992</c:v>
                </c:pt>
                <c:pt idx="676">
                  <c:v>97.283999999999992</c:v>
                </c:pt>
                <c:pt idx="677">
                  <c:v>307.2</c:v>
                </c:pt>
                <c:pt idx="678">
                  <c:v>26.837499999999999</c:v>
                </c:pt>
                <c:pt idx="679">
                  <c:v>391.06799999999998</c:v>
                </c:pt>
                <c:pt idx="680">
                  <c:v>17.347499999999997</c:v>
                </c:pt>
                <c:pt idx="681">
                  <c:v>128.35216800000001</c:v>
                </c:pt>
                <c:pt idx="682">
                  <c:v>218.11199999999997</c:v>
                </c:pt>
                <c:pt idx="683">
                  <c:v>113.625</c:v>
                </c:pt>
                <c:pt idx="684">
                  <c:v>101.72712</c:v>
                </c:pt>
                <c:pt idx="685">
                  <c:v>16.875</c:v>
                </c:pt>
                <c:pt idx="686">
                  <c:v>277.20000000000005</c:v>
                </c:pt>
                <c:pt idx="687">
                  <c:v>80</c:v>
                </c:pt>
                <c:pt idx="688">
                  <c:v>116.47999999999999</c:v>
                </c:pt>
                <c:pt idx="689">
                  <c:v>51.840000000000011</c:v>
                </c:pt>
                <c:pt idx="690">
                  <c:v>143.1</c:v>
                </c:pt>
                <c:pt idx="691">
                  <c:v>415.79999999999995</c:v>
                </c:pt>
                <c:pt idx="692">
                  <c:v>231.744</c:v>
                </c:pt>
                <c:pt idx="693">
                  <c:v>137.80675999999997</c:v>
                </c:pt>
                <c:pt idx="694">
                  <c:v>950.12999999999988</c:v>
                </c:pt>
                <c:pt idx="695">
                  <c:v>260.71199999999999</c:v>
                </c:pt>
                <c:pt idx="696">
                  <c:v>139.17994000000002</c:v>
                </c:pt>
                <c:pt idx="697">
                  <c:v>23.319119999999998</c:v>
                </c:pt>
                <c:pt idx="698">
                  <c:v>110.59200000000003</c:v>
                </c:pt>
                <c:pt idx="699">
                  <c:v>490.75199999999995</c:v>
                </c:pt>
                <c:pt idx="700">
                  <c:v>394.79999999999995</c:v>
                </c:pt>
                <c:pt idx="701">
                  <c:v>13.499999999999998</c:v>
                </c:pt>
                <c:pt idx="702">
                  <c:v>34.222499999999997</c:v>
                </c:pt>
                <c:pt idx="703">
                  <c:v>1144.8000000000002</c:v>
                </c:pt>
                <c:pt idx="704">
                  <c:v>174.94399999999999</c:v>
                </c:pt>
                <c:pt idx="705">
                  <c:v>135</c:v>
                </c:pt>
                <c:pt idx="706">
                  <c:v>259.7</c:v>
                </c:pt>
                <c:pt idx="707">
                  <c:v>144.4</c:v>
                </c:pt>
                <c:pt idx="708">
                  <c:v>6.7499999999999991</c:v>
                </c:pt>
                <c:pt idx="709">
                  <c:v>189</c:v>
                </c:pt>
                <c:pt idx="710">
                  <c:v>327.16799999999995</c:v>
                </c:pt>
                <c:pt idx="711">
                  <c:v>18.204479999999997</c:v>
                </c:pt>
                <c:pt idx="712">
                  <c:v>507.59999999999997</c:v>
                </c:pt>
                <c:pt idx="713">
                  <c:v>345.59999999999997</c:v>
                </c:pt>
                <c:pt idx="714">
                  <c:v>40.162500000000001</c:v>
                </c:pt>
                <c:pt idx="715">
                  <c:v>72.2</c:v>
                </c:pt>
                <c:pt idx="716">
                  <c:v>230.39999999999998</c:v>
                </c:pt>
                <c:pt idx="717">
                  <c:v>196.81199999999998</c:v>
                </c:pt>
                <c:pt idx="718">
                  <c:v>102.82355999999999</c:v>
                </c:pt>
                <c:pt idx="719">
                  <c:v>143.09999999999997</c:v>
                </c:pt>
                <c:pt idx="720">
                  <c:v>173.80799999999999</c:v>
                </c:pt>
                <c:pt idx="721">
                  <c:v>163.58399999999997</c:v>
                </c:pt>
                <c:pt idx="722" formatCode="General">
                  <c:v>138.00000000000003</c:v>
                </c:pt>
                <c:pt idx="723">
                  <c:v>378</c:v>
                </c:pt>
                <c:pt idx="724">
                  <c:v>338.4</c:v>
                </c:pt>
                <c:pt idx="725">
                  <c:v>112.8</c:v>
                </c:pt>
                <c:pt idx="726">
                  <c:v>218.11199999999997</c:v>
                </c:pt>
                <c:pt idx="727">
                  <c:v>19.875</c:v>
                </c:pt>
                <c:pt idx="728">
                  <c:v>42.443999999999996</c:v>
                </c:pt>
                <c:pt idx="729">
                  <c:v>184.8</c:v>
                </c:pt>
                <c:pt idx="730">
                  <c:v>130.35599999999999</c:v>
                </c:pt>
                <c:pt idx="731">
                  <c:v>306.72000000000003</c:v>
                </c:pt>
                <c:pt idx="732">
                  <c:v>168</c:v>
                </c:pt>
                <c:pt idx="733">
                  <c:v>275.39999999999998</c:v>
                </c:pt>
                <c:pt idx="734">
                  <c:v>145.40799999999999</c:v>
                </c:pt>
                <c:pt idx="735">
                  <c:v>67.99499999999999</c:v>
                </c:pt>
                <c:pt idx="736">
                  <c:v>392</c:v>
                </c:pt>
                <c:pt idx="737">
                  <c:v>54.719999999999985</c:v>
                </c:pt>
                <c:pt idx="738">
                  <c:v>18.711000000000002</c:v>
                </c:pt>
                <c:pt idx="739">
                  <c:v>3.3749999999999996</c:v>
                </c:pt>
                <c:pt idx="740">
                  <c:v>16.829999999999995</c:v>
                </c:pt>
                <c:pt idx="741">
                  <c:v>260.71199999999999</c:v>
                </c:pt>
                <c:pt idx="742">
                  <c:v>113.71499999999999</c:v>
                </c:pt>
                <c:pt idx="743">
                  <c:v>20.081250000000001</c:v>
                </c:pt>
                <c:pt idx="744">
                  <c:v>190.79999999999998</c:v>
                </c:pt>
                <c:pt idx="745">
                  <c:v>217.80000000000004</c:v>
                </c:pt>
                <c:pt idx="746">
                  <c:v>7.02</c:v>
                </c:pt>
                <c:pt idx="747">
                  <c:v>253.79999999999998</c:v>
                </c:pt>
                <c:pt idx="748">
                  <c:v>173.80799999999999</c:v>
                </c:pt>
                <c:pt idx="749">
                  <c:v>10.66464</c:v>
                </c:pt>
                <c:pt idx="750">
                  <c:v>153.6</c:v>
                </c:pt>
                <c:pt idx="751">
                  <c:v>11.5</c:v>
                </c:pt>
                <c:pt idx="752">
                  <c:v>140.39999999999998</c:v>
                </c:pt>
                <c:pt idx="753">
                  <c:v>51.840000000000011</c:v>
                </c:pt>
                <c:pt idx="754">
                  <c:v>12.112499999999999</c:v>
                </c:pt>
                <c:pt idx="755">
                  <c:v>259.7</c:v>
                </c:pt>
                <c:pt idx="756">
                  <c:v>51.840000000000011</c:v>
                </c:pt>
                <c:pt idx="757">
                  <c:v>143.1</c:v>
                </c:pt>
                <c:pt idx="758">
                  <c:v>33.704999999999998</c:v>
                </c:pt>
                <c:pt idx="759">
                  <c:v>76.680000000000007</c:v>
                </c:pt>
                <c:pt idx="760">
                  <c:v>199.99999999999997</c:v>
                </c:pt>
                <c:pt idx="761">
                  <c:v>65.52</c:v>
                </c:pt>
                <c:pt idx="762">
                  <c:v>81.216000000000022</c:v>
                </c:pt>
                <c:pt idx="763">
                  <c:v>110.59200000000003</c:v>
                </c:pt>
                <c:pt idx="764">
                  <c:v>36.871120000000005</c:v>
                </c:pt>
                <c:pt idx="765">
                  <c:v>217.8</c:v>
                </c:pt>
                <c:pt idx="766">
                  <c:v>226.63800000000001</c:v>
                </c:pt>
                <c:pt idx="767">
                  <c:v>39.426639999999999</c:v>
                </c:pt>
                <c:pt idx="768">
                  <c:v>42.669439999999994</c:v>
                </c:pt>
                <c:pt idx="769">
                  <c:v>399.99999999999994</c:v>
                </c:pt>
                <c:pt idx="770">
                  <c:v>29.119999999999997</c:v>
                </c:pt>
                <c:pt idx="771">
                  <c:v>89.064151729270648</c:v>
                </c:pt>
                <c:pt idx="772">
                  <c:v>36.871120000000005</c:v>
                </c:pt>
                <c:pt idx="773">
                  <c:v>43.114719999999998</c:v>
                </c:pt>
                <c:pt idx="774">
                  <c:v>42.679120000000005</c:v>
                </c:pt>
                <c:pt idx="775">
                  <c:v>69.586359999999999</c:v>
                </c:pt>
                <c:pt idx="776">
                  <c:v>448.19100000000003</c:v>
                </c:pt>
                <c:pt idx="777">
                  <c:v>81.216000000000022</c:v>
                </c:pt>
                <c:pt idx="778">
                  <c:v>39.029759999999996</c:v>
                </c:pt>
                <c:pt idx="779">
                  <c:v>3014.0099999999993</c:v>
                </c:pt>
                <c:pt idx="780">
                  <c:v>217.8</c:v>
                </c:pt>
                <c:pt idx="781">
                  <c:v>217.80000000000004</c:v>
                </c:pt>
                <c:pt idx="782">
                  <c:v>399.99999999999994</c:v>
                </c:pt>
                <c:pt idx="783">
                  <c:v>392</c:v>
                </c:pt>
                <c:pt idx="784">
                  <c:v>29.119999999999997</c:v>
                </c:pt>
                <c:pt idx="785">
                  <c:v>51.057215999999997</c:v>
                </c:pt>
                <c:pt idx="786">
                  <c:v>43.134080000000004</c:v>
                </c:pt>
                <c:pt idx="787">
                  <c:v>81.216000000000022</c:v>
                </c:pt>
                <c:pt idx="788">
                  <c:v>27.331199999999999</c:v>
                </c:pt>
                <c:pt idx="789">
                  <c:v>51.840000000000011</c:v>
                </c:pt>
                <c:pt idx="790">
                  <c:v>19.447119999999998</c:v>
                </c:pt>
                <c:pt idx="791">
                  <c:v>44.334399999999988</c:v>
                </c:pt>
                <c:pt idx="792">
                  <c:v>64.962000000000003</c:v>
                </c:pt>
                <c:pt idx="793">
                  <c:v>76.585824000000002</c:v>
                </c:pt>
                <c:pt idx="794">
                  <c:v>81.216000000000022</c:v>
                </c:pt>
                <c:pt idx="795">
                  <c:v>81.216000000000022</c:v>
                </c:pt>
                <c:pt idx="796">
                  <c:v>31.995000000000001</c:v>
                </c:pt>
                <c:pt idx="797">
                  <c:v>23.309439999999999</c:v>
                </c:pt>
                <c:pt idx="798">
                  <c:v>81.216000000000022</c:v>
                </c:pt>
                <c:pt idx="799">
                  <c:v>51.840000000000011</c:v>
                </c:pt>
                <c:pt idx="800">
                  <c:v>29.620799999999999</c:v>
                </c:pt>
                <c:pt idx="801">
                  <c:v>267.47099999999995</c:v>
                </c:pt>
                <c:pt idx="802">
                  <c:v>567</c:v>
                </c:pt>
                <c:pt idx="803">
                  <c:v>81.216000000000022</c:v>
                </c:pt>
                <c:pt idx="804">
                  <c:v>2071.683</c:v>
                </c:pt>
                <c:pt idx="805">
                  <c:v>23.309439999999999</c:v>
                </c:pt>
                <c:pt idx="806">
                  <c:v>81.216000000000022</c:v>
                </c:pt>
                <c:pt idx="807">
                  <c:v>51.840000000000011</c:v>
                </c:pt>
                <c:pt idx="808">
                  <c:v>81.216000000000022</c:v>
                </c:pt>
                <c:pt idx="809">
                  <c:v>81.216000000000022</c:v>
                </c:pt>
                <c:pt idx="810">
                  <c:v>127.65600000000001</c:v>
                </c:pt>
                <c:pt idx="811">
                  <c:v>23.754719999999999</c:v>
                </c:pt>
                <c:pt idx="812">
                  <c:v>81.216000000000022</c:v>
                </c:pt>
                <c:pt idx="813">
                  <c:v>32.063094622537434</c:v>
                </c:pt>
                <c:pt idx="814">
                  <c:v>573.69599999999991</c:v>
                </c:pt>
                <c:pt idx="815">
                  <c:v>51.840000000000011</c:v>
                </c:pt>
                <c:pt idx="816">
                  <c:v>19.47616</c:v>
                </c:pt>
                <c:pt idx="817">
                  <c:v>3.5539199999999997</c:v>
                </c:pt>
                <c:pt idx="818">
                  <c:v>133.73549999999997</c:v>
                </c:pt>
                <c:pt idx="819">
                  <c:v>51.840000000000011</c:v>
                </c:pt>
                <c:pt idx="820">
                  <c:v>51.840000000000011</c:v>
                </c:pt>
                <c:pt idx="821">
                  <c:v>51.840000000000011</c:v>
                </c:pt>
                <c:pt idx="822">
                  <c:v>19.844000000000001</c:v>
                </c:pt>
                <c:pt idx="823">
                  <c:v>34.79318</c:v>
                </c:pt>
                <c:pt idx="824">
                  <c:v>51.840000000000011</c:v>
                </c:pt>
                <c:pt idx="825">
                  <c:v>8.4671999999999983</c:v>
                </c:pt>
                <c:pt idx="826">
                  <c:v>15.003999999999998</c:v>
                </c:pt>
                <c:pt idx="827">
                  <c:v>430.27199999999999</c:v>
                </c:pt>
                <c:pt idx="828">
                  <c:v>10.115599999999999</c:v>
                </c:pt>
                <c:pt idx="829">
                  <c:v>13.00024</c:v>
                </c:pt>
                <c:pt idx="830">
                  <c:v>16.9938</c:v>
                </c:pt>
                <c:pt idx="831">
                  <c:v>4.9896000000000003</c:v>
                </c:pt>
                <c:pt idx="832">
                  <c:v>63.18</c:v>
                </c:pt>
                <c:pt idx="833">
                  <c:v>17.115840000000002</c:v>
                </c:pt>
                <c:pt idx="834">
                  <c:v>286.84224</c:v>
                </c:pt>
                <c:pt idx="835">
                  <c:v>2206.9757500000001</c:v>
                </c:pt>
                <c:pt idx="836">
                  <c:v>1848.15</c:v>
                </c:pt>
                <c:pt idx="837">
                  <c:v>252</c:v>
                </c:pt>
                <c:pt idx="838">
                  <c:v>335.99999999999994</c:v>
                </c:pt>
                <c:pt idx="839">
                  <c:v>377.99999999999994</c:v>
                </c:pt>
                <c:pt idx="840">
                  <c:v>167.99999999999997</c:v>
                </c:pt>
                <c:pt idx="841">
                  <c:v>188.99999999999997</c:v>
                </c:pt>
                <c:pt idx="842">
                  <c:v>1785.1749999999997</c:v>
                </c:pt>
                <c:pt idx="843">
                  <c:v>1494.1079999999999</c:v>
                </c:pt>
                <c:pt idx="844">
                  <c:v>16.564499999999999</c:v>
                </c:pt>
                <c:pt idx="845">
                  <c:v>19.156499999999998</c:v>
                </c:pt>
                <c:pt idx="846">
                  <c:v>24.340499999999995</c:v>
                </c:pt>
                <c:pt idx="847">
                  <c:v>27.904500000000006</c:v>
                </c:pt>
                <c:pt idx="848">
                  <c:v>46.8</c:v>
                </c:pt>
                <c:pt idx="849">
                  <c:v>52.848000000000006</c:v>
                </c:pt>
                <c:pt idx="850">
                  <c:v>66.744</c:v>
                </c:pt>
                <c:pt idx="851">
                  <c:v>77.399999999999991</c:v>
                </c:pt>
                <c:pt idx="852">
                  <c:v>123.8625</c:v>
                </c:pt>
                <c:pt idx="853">
                  <c:v>143.21250000000001</c:v>
                </c:pt>
                <c:pt idx="854">
                  <c:v>182.36250000000001</c:v>
                </c:pt>
                <c:pt idx="855">
                  <c:v>218.58750000000003</c:v>
                </c:pt>
                <c:pt idx="856">
                  <c:v>27.274499999999993</c:v>
                </c:pt>
                <c:pt idx="857">
                  <c:v>36.038249999999991</c:v>
                </c:pt>
                <c:pt idx="858">
                  <c:v>50.872500000000002</c:v>
                </c:pt>
                <c:pt idx="859">
                  <c:v>60.063749999999992</c:v>
                </c:pt>
                <c:pt idx="860">
                  <c:v>71.948250000000002</c:v>
                </c:pt>
                <c:pt idx="861">
                  <c:v>26.523999999999994</c:v>
                </c:pt>
                <c:pt idx="862">
                  <c:v>36.252000000000002</c:v>
                </c:pt>
                <c:pt idx="863">
                  <c:v>52.667999999999992</c:v>
                </c:pt>
                <c:pt idx="864">
                  <c:v>60.723999999999997</c:v>
                </c:pt>
                <c:pt idx="865">
                  <c:v>72.275999999999982</c:v>
                </c:pt>
                <c:pt idx="866">
                  <c:v>38.83124999999999</c:v>
                </c:pt>
                <c:pt idx="867">
                  <c:v>49.162499999999987</c:v>
                </c:pt>
                <c:pt idx="868">
                  <c:v>61.75</c:v>
                </c:pt>
                <c:pt idx="869">
                  <c:v>71.724999999999994</c:v>
                </c:pt>
              </c:numCache>
            </c:numRef>
          </c:xVal>
          <c:yVal>
            <c:numRef>
              <c:f>PEFInactivationData!$BJ$809:$BJ$1678</c:f>
              <c:numCache>
                <c:formatCode>0.00</c:formatCode>
                <c:ptCount val="870"/>
                <c:pt idx="0">
                  <c:v>2.1</c:v>
                </c:pt>
                <c:pt idx="1">
                  <c:v>2.88</c:v>
                </c:pt>
                <c:pt idx="2">
                  <c:v>3.1</c:v>
                </c:pt>
                <c:pt idx="3" formatCode="General">
                  <c:v>3.1</c:v>
                </c:pt>
                <c:pt idx="4">
                  <c:v>3.4</c:v>
                </c:pt>
                <c:pt idx="5">
                  <c:v>1.0960000000000001</c:v>
                </c:pt>
                <c:pt idx="6">
                  <c:v>2.0880000000000001</c:v>
                </c:pt>
                <c:pt idx="7">
                  <c:v>3.0859999999999999</c:v>
                </c:pt>
                <c:pt idx="8" formatCode="General">
                  <c:v>1.58</c:v>
                </c:pt>
                <c:pt idx="9" formatCode="General">
                  <c:v>1.08</c:v>
                </c:pt>
                <c:pt idx="10" formatCode="General">
                  <c:v>0.8100000000000005</c:v>
                </c:pt>
                <c:pt idx="11" formatCode="General">
                  <c:v>1.07</c:v>
                </c:pt>
                <c:pt idx="12" formatCode="General">
                  <c:v>3.07</c:v>
                </c:pt>
                <c:pt idx="13" formatCode="General">
                  <c:v>3.07</c:v>
                </c:pt>
                <c:pt idx="14" formatCode="General">
                  <c:v>3.07</c:v>
                </c:pt>
                <c:pt idx="15" formatCode="General">
                  <c:v>1.66</c:v>
                </c:pt>
                <c:pt idx="16">
                  <c:v>1.2090000000000001</c:v>
                </c:pt>
                <c:pt idx="17">
                  <c:v>2.06</c:v>
                </c:pt>
                <c:pt idx="18" formatCode="General">
                  <c:v>1.56</c:v>
                </c:pt>
                <c:pt idx="19">
                  <c:v>3.7850000000000001</c:v>
                </c:pt>
                <c:pt idx="20">
                  <c:v>3.0430000000000001</c:v>
                </c:pt>
                <c:pt idx="21">
                  <c:v>2.782</c:v>
                </c:pt>
                <c:pt idx="22" formatCode="General">
                  <c:v>3.04</c:v>
                </c:pt>
                <c:pt idx="23">
                  <c:v>3.0369999999999999</c:v>
                </c:pt>
                <c:pt idx="24">
                  <c:v>2.7749999999999999</c:v>
                </c:pt>
                <c:pt idx="25" formatCode="General">
                  <c:v>0.53000000000000025</c:v>
                </c:pt>
                <c:pt idx="26" formatCode="General">
                  <c:v>1.53</c:v>
                </c:pt>
                <c:pt idx="27" formatCode="General">
                  <c:v>1.53</c:v>
                </c:pt>
                <c:pt idx="28" formatCode="General">
                  <c:v>3.03</c:v>
                </c:pt>
                <c:pt idx="29" formatCode="General">
                  <c:v>3.53</c:v>
                </c:pt>
                <c:pt idx="30">
                  <c:v>3.7679999999999998</c:v>
                </c:pt>
                <c:pt idx="31">
                  <c:v>2.5</c:v>
                </c:pt>
                <c:pt idx="32">
                  <c:v>2.02</c:v>
                </c:pt>
                <c:pt idx="33">
                  <c:v>3.02</c:v>
                </c:pt>
                <c:pt idx="34" formatCode="General">
                  <c:v>1.02</c:v>
                </c:pt>
                <c:pt idx="35" formatCode="General">
                  <c:v>0.51999999999999957</c:v>
                </c:pt>
                <c:pt idx="36" formatCode="General">
                  <c:v>3.02</c:v>
                </c:pt>
                <c:pt idx="37" formatCode="General">
                  <c:v>1.01</c:v>
                </c:pt>
                <c:pt idx="38">
                  <c:v>1.403</c:v>
                </c:pt>
                <c:pt idx="39" formatCode="General">
                  <c:v>1</c:v>
                </c:pt>
                <c:pt idx="40">
                  <c:v>3</c:v>
                </c:pt>
                <c:pt idx="41">
                  <c:v>3.1</c:v>
                </c:pt>
                <c:pt idx="42">
                  <c:v>2.036</c:v>
                </c:pt>
                <c:pt idx="43">
                  <c:v>3.7330000000000001</c:v>
                </c:pt>
                <c:pt idx="44">
                  <c:v>2.99</c:v>
                </c:pt>
                <c:pt idx="45" formatCode="General">
                  <c:v>2.2400000000000002</c:v>
                </c:pt>
                <c:pt idx="46">
                  <c:v>2.988</c:v>
                </c:pt>
                <c:pt idx="47">
                  <c:v>1.9830000000000001</c:v>
                </c:pt>
                <c:pt idx="48" formatCode="General">
                  <c:v>0.98</c:v>
                </c:pt>
                <c:pt idx="49" formatCode="General">
                  <c:v>2.98</c:v>
                </c:pt>
                <c:pt idx="50">
                  <c:v>2.4899999999999993</c:v>
                </c:pt>
                <c:pt idx="51" formatCode="General">
                  <c:v>1.4500000000000002</c:v>
                </c:pt>
                <c:pt idx="52" formatCode="General">
                  <c:v>2.4500000000000002</c:v>
                </c:pt>
                <c:pt idx="53" formatCode="General">
                  <c:v>2.4500000000000002</c:v>
                </c:pt>
                <c:pt idx="54">
                  <c:v>3.6869999999999998</c:v>
                </c:pt>
                <c:pt idx="55">
                  <c:v>2.681</c:v>
                </c:pt>
                <c:pt idx="56">
                  <c:v>1.532</c:v>
                </c:pt>
                <c:pt idx="57">
                  <c:v>1.329</c:v>
                </c:pt>
                <c:pt idx="58">
                  <c:v>3.2509999999999999</c:v>
                </c:pt>
                <c:pt idx="59" formatCode="General">
                  <c:v>2.42</c:v>
                </c:pt>
                <c:pt idx="60">
                  <c:v>3.92</c:v>
                </c:pt>
                <c:pt idx="61" formatCode="General">
                  <c:v>2.92</c:v>
                </c:pt>
                <c:pt idx="62" formatCode="General">
                  <c:v>2.92</c:v>
                </c:pt>
                <c:pt idx="63" formatCode="General">
                  <c:v>3.92</c:v>
                </c:pt>
                <c:pt idx="64" formatCode="General">
                  <c:v>3.92</c:v>
                </c:pt>
                <c:pt idx="65">
                  <c:v>2.91</c:v>
                </c:pt>
                <c:pt idx="66">
                  <c:v>2.91</c:v>
                </c:pt>
                <c:pt idx="67">
                  <c:v>2.6429999999999998</c:v>
                </c:pt>
                <c:pt idx="68">
                  <c:v>2.6429999999999998</c:v>
                </c:pt>
                <c:pt idx="69" formatCode="General">
                  <c:v>0.63000000000000078</c:v>
                </c:pt>
                <c:pt idx="70">
                  <c:v>1.5</c:v>
                </c:pt>
                <c:pt idx="71">
                  <c:v>2.89</c:v>
                </c:pt>
                <c:pt idx="72">
                  <c:v>1.032</c:v>
                </c:pt>
                <c:pt idx="73">
                  <c:v>0.88300000000000001</c:v>
                </c:pt>
                <c:pt idx="74">
                  <c:v>2.36</c:v>
                </c:pt>
                <c:pt idx="75">
                  <c:v>3.6230000000000002</c:v>
                </c:pt>
                <c:pt idx="76" formatCode="General">
                  <c:v>0.60000000000000053</c:v>
                </c:pt>
                <c:pt idx="77">
                  <c:v>2.61</c:v>
                </c:pt>
                <c:pt idx="78">
                  <c:v>1.0129999999999999</c:v>
                </c:pt>
                <c:pt idx="79">
                  <c:v>0.7629999999999999</c:v>
                </c:pt>
                <c:pt idx="80">
                  <c:v>2.605</c:v>
                </c:pt>
                <c:pt idx="81" formatCode="General">
                  <c:v>1.36</c:v>
                </c:pt>
                <c:pt idx="82">
                  <c:v>2.86</c:v>
                </c:pt>
                <c:pt idx="83" formatCode="General">
                  <c:v>2.36</c:v>
                </c:pt>
                <c:pt idx="84">
                  <c:v>3.86</c:v>
                </c:pt>
                <c:pt idx="85">
                  <c:v>2.86</c:v>
                </c:pt>
                <c:pt idx="86" formatCode="General">
                  <c:v>2.86</c:v>
                </c:pt>
                <c:pt idx="87">
                  <c:v>1.8979999999999999</c:v>
                </c:pt>
                <c:pt idx="88">
                  <c:v>0.999</c:v>
                </c:pt>
                <c:pt idx="89">
                  <c:v>2.85</c:v>
                </c:pt>
                <c:pt idx="90" formatCode="General">
                  <c:v>0.84999999999999964</c:v>
                </c:pt>
                <c:pt idx="91" formatCode="General">
                  <c:v>0.85</c:v>
                </c:pt>
                <c:pt idx="92" formatCode="General">
                  <c:v>1.35</c:v>
                </c:pt>
                <c:pt idx="93" formatCode="General">
                  <c:v>0.84</c:v>
                </c:pt>
                <c:pt idx="94">
                  <c:v>1.4370000000000001</c:v>
                </c:pt>
                <c:pt idx="95">
                  <c:v>0.83199999999999996</c:v>
                </c:pt>
                <c:pt idx="96">
                  <c:v>1.831</c:v>
                </c:pt>
                <c:pt idx="97">
                  <c:v>2.83</c:v>
                </c:pt>
                <c:pt idx="98" formatCode="General">
                  <c:v>0.83</c:v>
                </c:pt>
                <c:pt idx="99" formatCode="General">
                  <c:v>2.83</c:v>
                </c:pt>
                <c:pt idx="100">
                  <c:v>1.4319999999999999</c:v>
                </c:pt>
                <c:pt idx="101">
                  <c:v>1.4319999999999999</c:v>
                </c:pt>
                <c:pt idx="102" formatCode="General">
                  <c:v>2.21</c:v>
                </c:pt>
                <c:pt idx="103">
                  <c:v>1.829</c:v>
                </c:pt>
                <c:pt idx="104">
                  <c:v>1.5660000000000001</c:v>
                </c:pt>
                <c:pt idx="105">
                  <c:v>2.8250000000000002</c:v>
                </c:pt>
                <c:pt idx="106" formatCode="General">
                  <c:v>0.82</c:v>
                </c:pt>
                <c:pt idx="107">
                  <c:v>1.9500000000000002</c:v>
                </c:pt>
                <c:pt idx="108">
                  <c:v>2.819</c:v>
                </c:pt>
                <c:pt idx="109">
                  <c:v>3.5550000000000002</c:v>
                </c:pt>
                <c:pt idx="110" formatCode="General">
                  <c:v>3.81</c:v>
                </c:pt>
                <c:pt idx="111" formatCode="General">
                  <c:v>1.3099999999999996</c:v>
                </c:pt>
                <c:pt idx="112">
                  <c:v>1.55</c:v>
                </c:pt>
                <c:pt idx="113" formatCode="General">
                  <c:v>0.79999999999999982</c:v>
                </c:pt>
                <c:pt idx="114">
                  <c:v>2.74</c:v>
                </c:pt>
                <c:pt idx="115">
                  <c:v>2.8</c:v>
                </c:pt>
                <c:pt idx="116">
                  <c:v>3.2</c:v>
                </c:pt>
                <c:pt idx="117">
                  <c:v>1.296</c:v>
                </c:pt>
                <c:pt idx="118">
                  <c:v>1.53</c:v>
                </c:pt>
                <c:pt idx="119">
                  <c:v>2.7869999999999999</c:v>
                </c:pt>
                <c:pt idx="120">
                  <c:v>1.782</c:v>
                </c:pt>
                <c:pt idx="121">
                  <c:v>0.92800000000000005</c:v>
                </c:pt>
                <c:pt idx="122" formatCode="General">
                  <c:v>2.78</c:v>
                </c:pt>
                <c:pt idx="123">
                  <c:v>2.7770000000000001</c:v>
                </c:pt>
                <c:pt idx="124">
                  <c:v>3.5139999999999998</c:v>
                </c:pt>
                <c:pt idx="125" formatCode="General">
                  <c:v>0.77</c:v>
                </c:pt>
                <c:pt idx="126" formatCode="General">
                  <c:v>3.77</c:v>
                </c:pt>
                <c:pt idx="127" formatCode="General">
                  <c:v>3.77</c:v>
                </c:pt>
                <c:pt idx="128">
                  <c:v>1.5149999999999997</c:v>
                </c:pt>
                <c:pt idx="129">
                  <c:v>2.5019999999999998</c:v>
                </c:pt>
                <c:pt idx="130" formatCode="General">
                  <c:v>0.76</c:v>
                </c:pt>
                <c:pt idx="131">
                  <c:v>2.76</c:v>
                </c:pt>
                <c:pt idx="132" formatCode="General">
                  <c:v>1.26</c:v>
                </c:pt>
                <c:pt idx="133">
                  <c:v>3.4929999999999999</c:v>
                </c:pt>
                <c:pt idx="134" formatCode="General">
                  <c:v>2.25</c:v>
                </c:pt>
                <c:pt idx="135" formatCode="General">
                  <c:v>2.75</c:v>
                </c:pt>
                <c:pt idx="136" formatCode="General">
                  <c:v>3.75</c:v>
                </c:pt>
                <c:pt idx="137">
                  <c:v>2.52</c:v>
                </c:pt>
                <c:pt idx="138">
                  <c:v>1.7450000000000001</c:v>
                </c:pt>
                <c:pt idx="139">
                  <c:v>0.74</c:v>
                </c:pt>
                <c:pt idx="140">
                  <c:v>2.4740000000000002</c:v>
                </c:pt>
                <c:pt idx="141">
                  <c:v>2.4740000000000002</c:v>
                </c:pt>
                <c:pt idx="142" formatCode="General">
                  <c:v>2.73</c:v>
                </c:pt>
                <c:pt idx="143">
                  <c:v>2.7290000000000001</c:v>
                </c:pt>
                <c:pt idx="144">
                  <c:v>0.873</c:v>
                </c:pt>
                <c:pt idx="145">
                  <c:v>1.1259999999999999</c:v>
                </c:pt>
                <c:pt idx="146">
                  <c:v>3.4660000000000002</c:v>
                </c:pt>
                <c:pt idx="147">
                  <c:v>2.2000000000000002</c:v>
                </c:pt>
                <c:pt idx="148">
                  <c:v>2.2000000000000002</c:v>
                </c:pt>
                <c:pt idx="149">
                  <c:v>2.72</c:v>
                </c:pt>
                <c:pt idx="150" formatCode="General">
                  <c:v>0.72</c:v>
                </c:pt>
                <c:pt idx="151" formatCode="General">
                  <c:v>0.72</c:v>
                </c:pt>
                <c:pt idx="152">
                  <c:v>1.87</c:v>
                </c:pt>
                <c:pt idx="153">
                  <c:v>2.08</c:v>
                </c:pt>
                <c:pt idx="154">
                  <c:v>2.7170000000000001</c:v>
                </c:pt>
                <c:pt idx="155" formatCode="General">
                  <c:v>0.71</c:v>
                </c:pt>
                <c:pt idx="156">
                  <c:v>2.7090000000000001</c:v>
                </c:pt>
                <c:pt idx="157">
                  <c:v>1.744</c:v>
                </c:pt>
                <c:pt idx="158">
                  <c:v>1.7</c:v>
                </c:pt>
                <c:pt idx="159">
                  <c:v>2.7</c:v>
                </c:pt>
                <c:pt idx="160" formatCode="General">
                  <c:v>3.7</c:v>
                </c:pt>
                <c:pt idx="161" formatCode="General">
                  <c:v>0.76</c:v>
                </c:pt>
                <c:pt idx="162">
                  <c:v>3.4350000000000001</c:v>
                </c:pt>
                <c:pt idx="163">
                  <c:v>1.6919999999999999</c:v>
                </c:pt>
                <c:pt idx="164" formatCode="General">
                  <c:v>3.69</c:v>
                </c:pt>
                <c:pt idx="165">
                  <c:v>2.4300000000000002</c:v>
                </c:pt>
                <c:pt idx="166">
                  <c:v>2.16</c:v>
                </c:pt>
                <c:pt idx="167">
                  <c:v>2.68</c:v>
                </c:pt>
                <c:pt idx="168">
                  <c:v>0.82</c:v>
                </c:pt>
                <c:pt idx="169" formatCode="General">
                  <c:v>1.18</c:v>
                </c:pt>
                <c:pt idx="170" formatCode="General">
                  <c:v>0.67</c:v>
                </c:pt>
                <c:pt idx="171">
                  <c:v>1.8720000000000001</c:v>
                </c:pt>
                <c:pt idx="172">
                  <c:v>2.6619999999999999</c:v>
                </c:pt>
                <c:pt idx="173">
                  <c:v>2.6539999999999999</c:v>
                </c:pt>
                <c:pt idx="174" formatCode="General">
                  <c:v>1.1499999999999999</c:v>
                </c:pt>
                <c:pt idx="175">
                  <c:v>0.79600000000000004</c:v>
                </c:pt>
                <c:pt idx="176">
                  <c:v>1.645</c:v>
                </c:pt>
                <c:pt idx="177" formatCode="General">
                  <c:v>0.64</c:v>
                </c:pt>
                <c:pt idx="178">
                  <c:v>1.36</c:v>
                </c:pt>
                <c:pt idx="179">
                  <c:v>3.3610000000000002</c:v>
                </c:pt>
                <c:pt idx="180" formatCode="General">
                  <c:v>0.62</c:v>
                </c:pt>
                <c:pt idx="181">
                  <c:v>2.6139999999999999</c:v>
                </c:pt>
                <c:pt idx="182">
                  <c:v>0.75700000000000001</c:v>
                </c:pt>
                <c:pt idx="183">
                  <c:v>1.61</c:v>
                </c:pt>
                <c:pt idx="184" formatCode="General">
                  <c:v>2.61</c:v>
                </c:pt>
                <c:pt idx="185" formatCode="General">
                  <c:v>0.67</c:v>
                </c:pt>
                <c:pt idx="186">
                  <c:v>2.7</c:v>
                </c:pt>
                <c:pt idx="187">
                  <c:v>2.6</c:v>
                </c:pt>
                <c:pt idx="188" formatCode="General">
                  <c:v>0.59999999999999964</c:v>
                </c:pt>
                <c:pt idx="189">
                  <c:v>2.1199999999999992</c:v>
                </c:pt>
                <c:pt idx="190">
                  <c:v>2.9</c:v>
                </c:pt>
                <c:pt idx="191">
                  <c:v>2.593</c:v>
                </c:pt>
                <c:pt idx="192" formatCode="General">
                  <c:v>2.59</c:v>
                </c:pt>
                <c:pt idx="193" formatCode="General">
                  <c:v>3.59</c:v>
                </c:pt>
                <c:pt idx="194">
                  <c:v>2.589</c:v>
                </c:pt>
                <c:pt idx="195">
                  <c:v>2.5819999999999999</c:v>
                </c:pt>
                <c:pt idx="196" formatCode="General">
                  <c:v>0.57999999999999996</c:v>
                </c:pt>
                <c:pt idx="197">
                  <c:v>2.2200000000000002</c:v>
                </c:pt>
                <c:pt idx="198">
                  <c:v>3.3039999999999998</c:v>
                </c:pt>
                <c:pt idx="199">
                  <c:v>2.56</c:v>
                </c:pt>
                <c:pt idx="200">
                  <c:v>5.56</c:v>
                </c:pt>
                <c:pt idx="201">
                  <c:v>2.5539999999999998</c:v>
                </c:pt>
                <c:pt idx="202">
                  <c:v>2.0299999999999998</c:v>
                </c:pt>
                <c:pt idx="203" formatCode="General">
                  <c:v>2.5499999999999998</c:v>
                </c:pt>
                <c:pt idx="204" formatCode="General">
                  <c:v>3.55</c:v>
                </c:pt>
                <c:pt idx="205">
                  <c:v>0.54300000000000004</c:v>
                </c:pt>
                <c:pt idx="206">
                  <c:v>2.54</c:v>
                </c:pt>
                <c:pt idx="207" formatCode="General">
                  <c:v>2.54</c:v>
                </c:pt>
                <c:pt idx="208">
                  <c:v>2.2730000000000001</c:v>
                </c:pt>
                <c:pt idx="209">
                  <c:v>0.52800000000000002</c:v>
                </c:pt>
                <c:pt idx="210">
                  <c:v>1.5209999999999999</c:v>
                </c:pt>
                <c:pt idx="211" formatCode="General">
                  <c:v>3.52</c:v>
                </c:pt>
                <c:pt idx="212" formatCode="General">
                  <c:v>3.52</c:v>
                </c:pt>
                <c:pt idx="213" formatCode="General">
                  <c:v>3.52</c:v>
                </c:pt>
                <c:pt idx="214" formatCode="General">
                  <c:v>3.51</c:v>
                </c:pt>
                <c:pt idx="215" formatCode="General">
                  <c:v>3.38</c:v>
                </c:pt>
                <c:pt idx="216">
                  <c:v>1.506</c:v>
                </c:pt>
                <c:pt idx="217">
                  <c:v>2.2429999999999999</c:v>
                </c:pt>
                <c:pt idx="218">
                  <c:v>2.5019999999999998</c:v>
                </c:pt>
                <c:pt idx="219" formatCode="General">
                  <c:v>0.5</c:v>
                </c:pt>
                <c:pt idx="220" formatCode="General">
                  <c:v>0.5</c:v>
                </c:pt>
                <c:pt idx="221" formatCode="General">
                  <c:v>0.5</c:v>
                </c:pt>
                <c:pt idx="222" formatCode="General">
                  <c:v>2.5</c:v>
                </c:pt>
                <c:pt idx="223">
                  <c:v>2.4990000000000001</c:v>
                </c:pt>
                <c:pt idx="224">
                  <c:v>3.49</c:v>
                </c:pt>
                <c:pt idx="225">
                  <c:v>0.98499999999999999</c:v>
                </c:pt>
                <c:pt idx="226">
                  <c:v>2.2600000000000007</c:v>
                </c:pt>
                <c:pt idx="227" formatCode="General">
                  <c:v>3.48</c:v>
                </c:pt>
                <c:pt idx="228">
                  <c:v>2.4790000000000001</c:v>
                </c:pt>
                <c:pt idx="229">
                  <c:v>0.97599999999999998</c:v>
                </c:pt>
                <c:pt idx="230">
                  <c:v>0.622</c:v>
                </c:pt>
                <c:pt idx="231" formatCode="General">
                  <c:v>2.4700000000000002</c:v>
                </c:pt>
                <c:pt idx="232" formatCode="General">
                  <c:v>3.03</c:v>
                </c:pt>
                <c:pt idx="233">
                  <c:v>1.2</c:v>
                </c:pt>
                <c:pt idx="234">
                  <c:v>1.21</c:v>
                </c:pt>
                <c:pt idx="235" formatCode="General">
                  <c:v>2.46</c:v>
                </c:pt>
                <c:pt idx="236">
                  <c:v>1.2</c:v>
                </c:pt>
                <c:pt idx="237">
                  <c:v>3.3220000000000001</c:v>
                </c:pt>
                <c:pt idx="238">
                  <c:v>2.4540000000000002</c:v>
                </c:pt>
                <c:pt idx="239" formatCode="General">
                  <c:v>0.96</c:v>
                </c:pt>
                <c:pt idx="240">
                  <c:v>2.1890000000000001</c:v>
                </c:pt>
                <c:pt idx="241" formatCode="General">
                  <c:v>3.44</c:v>
                </c:pt>
                <c:pt idx="242" formatCode="General">
                  <c:v>3.44</c:v>
                </c:pt>
                <c:pt idx="243">
                  <c:v>2.1789999999999998</c:v>
                </c:pt>
                <c:pt idx="244">
                  <c:v>0.58399999999999996</c:v>
                </c:pt>
                <c:pt idx="245">
                  <c:v>2.1779999999999999</c:v>
                </c:pt>
                <c:pt idx="246">
                  <c:v>1.4319999999999999</c:v>
                </c:pt>
                <c:pt idx="247">
                  <c:v>0.56699999999999995</c:v>
                </c:pt>
                <c:pt idx="248">
                  <c:v>1.9399999999999995</c:v>
                </c:pt>
                <c:pt idx="249">
                  <c:v>2.1589999999999998</c:v>
                </c:pt>
                <c:pt idx="250">
                  <c:v>0.55600000000000005</c:v>
                </c:pt>
                <c:pt idx="251">
                  <c:v>0.90700000000000003</c:v>
                </c:pt>
                <c:pt idx="252" formatCode="General">
                  <c:v>2.4</c:v>
                </c:pt>
                <c:pt idx="253">
                  <c:v>0.79900000000000004</c:v>
                </c:pt>
                <c:pt idx="254" formatCode="General">
                  <c:v>1.78</c:v>
                </c:pt>
                <c:pt idx="255">
                  <c:v>2.3969999999999998</c:v>
                </c:pt>
                <c:pt idx="256">
                  <c:v>1.86</c:v>
                </c:pt>
                <c:pt idx="257">
                  <c:v>1.4219999999999999</c:v>
                </c:pt>
                <c:pt idx="258">
                  <c:v>2.38</c:v>
                </c:pt>
                <c:pt idx="259" formatCode="General">
                  <c:v>3.38</c:v>
                </c:pt>
                <c:pt idx="260">
                  <c:v>3.38</c:v>
                </c:pt>
                <c:pt idx="261">
                  <c:v>3.1160000000000001</c:v>
                </c:pt>
                <c:pt idx="262">
                  <c:v>2.3730000000000002</c:v>
                </c:pt>
                <c:pt idx="263">
                  <c:v>2.37</c:v>
                </c:pt>
                <c:pt idx="264" formatCode="General">
                  <c:v>2.37</c:v>
                </c:pt>
                <c:pt idx="265" formatCode="General">
                  <c:v>2.37</c:v>
                </c:pt>
                <c:pt idx="266">
                  <c:v>1.4059999999999999</c:v>
                </c:pt>
                <c:pt idx="267" formatCode="General">
                  <c:v>0.86000000000000032</c:v>
                </c:pt>
                <c:pt idx="268">
                  <c:v>2.36</c:v>
                </c:pt>
                <c:pt idx="269" formatCode="General">
                  <c:v>3.36</c:v>
                </c:pt>
                <c:pt idx="270">
                  <c:v>2.35</c:v>
                </c:pt>
                <c:pt idx="271" formatCode="General">
                  <c:v>2.35</c:v>
                </c:pt>
                <c:pt idx="272" formatCode="General">
                  <c:v>0.85</c:v>
                </c:pt>
                <c:pt idx="273" formatCode="General">
                  <c:v>0.85</c:v>
                </c:pt>
                <c:pt idx="274">
                  <c:v>1.349</c:v>
                </c:pt>
                <c:pt idx="275">
                  <c:v>3.085</c:v>
                </c:pt>
                <c:pt idx="276">
                  <c:v>2.3380000000000001</c:v>
                </c:pt>
                <c:pt idx="277">
                  <c:v>2.33</c:v>
                </c:pt>
                <c:pt idx="278">
                  <c:v>2.33</c:v>
                </c:pt>
                <c:pt idx="279" formatCode="General">
                  <c:v>0.83000000000000007</c:v>
                </c:pt>
                <c:pt idx="280">
                  <c:v>0.83</c:v>
                </c:pt>
                <c:pt idx="281">
                  <c:v>1.32</c:v>
                </c:pt>
                <c:pt idx="282" formatCode="General">
                  <c:v>2.3199999999999998</c:v>
                </c:pt>
                <c:pt idx="283" formatCode="General">
                  <c:v>3.32</c:v>
                </c:pt>
                <c:pt idx="284">
                  <c:v>1.79</c:v>
                </c:pt>
                <c:pt idx="285">
                  <c:v>2.31</c:v>
                </c:pt>
                <c:pt idx="286">
                  <c:v>1.345</c:v>
                </c:pt>
                <c:pt idx="287">
                  <c:v>2.3010000000000002</c:v>
                </c:pt>
                <c:pt idx="288">
                  <c:v>2.4</c:v>
                </c:pt>
                <c:pt idx="289">
                  <c:v>2.7</c:v>
                </c:pt>
                <c:pt idx="290" formatCode="General">
                  <c:v>3.3</c:v>
                </c:pt>
                <c:pt idx="291" formatCode="General">
                  <c:v>3.3</c:v>
                </c:pt>
                <c:pt idx="292">
                  <c:v>0.79200000000000004</c:v>
                </c:pt>
                <c:pt idx="293" formatCode="General">
                  <c:v>2.29</c:v>
                </c:pt>
                <c:pt idx="294">
                  <c:v>1.2889999999999999</c:v>
                </c:pt>
                <c:pt idx="295">
                  <c:v>1.284</c:v>
                </c:pt>
                <c:pt idx="296">
                  <c:v>1.76</c:v>
                </c:pt>
                <c:pt idx="297" formatCode="General">
                  <c:v>2.2799999999999998</c:v>
                </c:pt>
                <c:pt idx="298" formatCode="General">
                  <c:v>3.28</c:v>
                </c:pt>
                <c:pt idx="299">
                  <c:v>1.978</c:v>
                </c:pt>
                <c:pt idx="300">
                  <c:v>2.2599999999999998</c:v>
                </c:pt>
                <c:pt idx="301" formatCode="General">
                  <c:v>3.25</c:v>
                </c:pt>
                <c:pt idx="302">
                  <c:v>2.2400000000000002</c:v>
                </c:pt>
                <c:pt idx="303" formatCode="General">
                  <c:v>2.2400000000000002</c:v>
                </c:pt>
                <c:pt idx="304" formatCode="General">
                  <c:v>2.2400000000000002</c:v>
                </c:pt>
                <c:pt idx="305" formatCode="General">
                  <c:v>3.24</c:v>
                </c:pt>
                <c:pt idx="306">
                  <c:v>1.2330000000000001</c:v>
                </c:pt>
                <c:pt idx="307">
                  <c:v>1.972</c:v>
                </c:pt>
                <c:pt idx="308" formatCode="General">
                  <c:v>3.22</c:v>
                </c:pt>
                <c:pt idx="309" formatCode="General">
                  <c:v>3.22</c:v>
                </c:pt>
                <c:pt idx="310" formatCode="General">
                  <c:v>0.79</c:v>
                </c:pt>
                <c:pt idx="311" formatCode="General">
                  <c:v>2.5099999999999998</c:v>
                </c:pt>
                <c:pt idx="312">
                  <c:v>0.69799999999999995</c:v>
                </c:pt>
                <c:pt idx="313">
                  <c:v>1.34</c:v>
                </c:pt>
                <c:pt idx="314">
                  <c:v>1.9700000000000006</c:v>
                </c:pt>
                <c:pt idx="315">
                  <c:v>2.19</c:v>
                </c:pt>
                <c:pt idx="316">
                  <c:v>2.1800000000000002</c:v>
                </c:pt>
                <c:pt idx="317">
                  <c:v>0.91900000000000004</c:v>
                </c:pt>
                <c:pt idx="318">
                  <c:v>2.915</c:v>
                </c:pt>
                <c:pt idx="319">
                  <c:v>2.17</c:v>
                </c:pt>
                <c:pt idx="320" formatCode="General">
                  <c:v>2.17</c:v>
                </c:pt>
                <c:pt idx="321">
                  <c:v>2.9039999999999999</c:v>
                </c:pt>
                <c:pt idx="322" formatCode="General">
                  <c:v>2.16</c:v>
                </c:pt>
                <c:pt idx="323">
                  <c:v>1.895</c:v>
                </c:pt>
                <c:pt idx="324">
                  <c:v>0.65300000000000002</c:v>
                </c:pt>
                <c:pt idx="325">
                  <c:v>2.15</c:v>
                </c:pt>
                <c:pt idx="326" formatCode="General">
                  <c:v>0.74</c:v>
                </c:pt>
                <c:pt idx="327">
                  <c:v>1.1439999999999999</c:v>
                </c:pt>
                <c:pt idx="328">
                  <c:v>2.14</c:v>
                </c:pt>
                <c:pt idx="329" formatCode="General">
                  <c:v>2.14</c:v>
                </c:pt>
                <c:pt idx="330" formatCode="General">
                  <c:v>0.64</c:v>
                </c:pt>
                <c:pt idx="331">
                  <c:v>2.13</c:v>
                </c:pt>
                <c:pt idx="332" formatCode="General">
                  <c:v>2.13</c:v>
                </c:pt>
                <c:pt idx="333" formatCode="General">
                  <c:v>2.13</c:v>
                </c:pt>
                <c:pt idx="334" formatCode="General">
                  <c:v>2.13</c:v>
                </c:pt>
                <c:pt idx="335">
                  <c:v>1.127</c:v>
                </c:pt>
                <c:pt idx="336">
                  <c:v>1.4800000000000004</c:v>
                </c:pt>
                <c:pt idx="337" formatCode="General">
                  <c:v>2.11</c:v>
                </c:pt>
                <c:pt idx="338" formatCode="General">
                  <c:v>3.11</c:v>
                </c:pt>
                <c:pt idx="339" formatCode="General">
                  <c:v>3.11</c:v>
                </c:pt>
                <c:pt idx="340" formatCode="General">
                  <c:v>3.11</c:v>
                </c:pt>
                <c:pt idx="341">
                  <c:v>2.1</c:v>
                </c:pt>
                <c:pt idx="342">
                  <c:v>2.839</c:v>
                </c:pt>
                <c:pt idx="343">
                  <c:v>2.0960000000000001</c:v>
                </c:pt>
                <c:pt idx="344">
                  <c:v>2.09</c:v>
                </c:pt>
                <c:pt idx="345" formatCode="General">
                  <c:v>2.09</c:v>
                </c:pt>
                <c:pt idx="346">
                  <c:v>0.82799999999999996</c:v>
                </c:pt>
                <c:pt idx="347" formatCode="General">
                  <c:v>2.08</c:v>
                </c:pt>
                <c:pt idx="348">
                  <c:v>1.0760000000000001</c:v>
                </c:pt>
                <c:pt idx="349">
                  <c:v>5.0579999999999998</c:v>
                </c:pt>
                <c:pt idx="350">
                  <c:v>2.0649999999999999</c:v>
                </c:pt>
                <c:pt idx="351">
                  <c:v>1.8029999999999999</c:v>
                </c:pt>
                <c:pt idx="352" formatCode="General">
                  <c:v>0.56000000000000005</c:v>
                </c:pt>
                <c:pt idx="353" formatCode="General">
                  <c:v>2.4700000000000002</c:v>
                </c:pt>
                <c:pt idx="354">
                  <c:v>2.9740000000000002</c:v>
                </c:pt>
                <c:pt idx="355">
                  <c:v>1.5699999999999994</c:v>
                </c:pt>
                <c:pt idx="356">
                  <c:v>2.0489999999999999</c:v>
                </c:pt>
                <c:pt idx="357">
                  <c:v>1.04</c:v>
                </c:pt>
                <c:pt idx="358" formatCode="General">
                  <c:v>2.2000000000000002</c:v>
                </c:pt>
                <c:pt idx="359">
                  <c:v>2.0299999999999998</c:v>
                </c:pt>
                <c:pt idx="360" formatCode="General">
                  <c:v>3.03</c:v>
                </c:pt>
                <c:pt idx="361" formatCode="General">
                  <c:v>3.03</c:v>
                </c:pt>
                <c:pt idx="362" formatCode="General">
                  <c:v>2.02</c:v>
                </c:pt>
                <c:pt idx="363" formatCode="General">
                  <c:v>2.02</c:v>
                </c:pt>
                <c:pt idx="364" formatCode="General">
                  <c:v>3.02</c:v>
                </c:pt>
                <c:pt idx="365">
                  <c:v>1.0109999999999999</c:v>
                </c:pt>
                <c:pt idx="366">
                  <c:v>2.0030000000000001</c:v>
                </c:pt>
                <c:pt idx="367">
                  <c:v>1.48</c:v>
                </c:pt>
                <c:pt idx="368">
                  <c:v>1.48</c:v>
                </c:pt>
                <c:pt idx="369">
                  <c:v>2</c:v>
                </c:pt>
                <c:pt idx="370">
                  <c:v>1</c:v>
                </c:pt>
                <c:pt idx="371">
                  <c:v>2.738</c:v>
                </c:pt>
                <c:pt idx="372">
                  <c:v>1.732</c:v>
                </c:pt>
                <c:pt idx="373">
                  <c:v>1.99</c:v>
                </c:pt>
                <c:pt idx="374">
                  <c:v>0.98699999999999999</c:v>
                </c:pt>
                <c:pt idx="375">
                  <c:v>2.8389999999999995</c:v>
                </c:pt>
                <c:pt idx="376" formatCode="General">
                  <c:v>2.97</c:v>
                </c:pt>
                <c:pt idx="377">
                  <c:v>1.97</c:v>
                </c:pt>
                <c:pt idx="378">
                  <c:v>1.96</c:v>
                </c:pt>
                <c:pt idx="379">
                  <c:v>1.96</c:v>
                </c:pt>
                <c:pt idx="380" formatCode="General">
                  <c:v>1.96</c:v>
                </c:pt>
                <c:pt idx="381" formatCode="General">
                  <c:v>1.21</c:v>
                </c:pt>
                <c:pt idx="382">
                  <c:v>0.999</c:v>
                </c:pt>
                <c:pt idx="383">
                  <c:v>1.9550000000000001</c:v>
                </c:pt>
                <c:pt idx="384">
                  <c:v>2.2789999999999999</c:v>
                </c:pt>
                <c:pt idx="385">
                  <c:v>1.43</c:v>
                </c:pt>
                <c:pt idx="386">
                  <c:v>1.95</c:v>
                </c:pt>
                <c:pt idx="387" formatCode="General">
                  <c:v>1.45</c:v>
                </c:pt>
                <c:pt idx="388" formatCode="General">
                  <c:v>1.45</c:v>
                </c:pt>
                <c:pt idx="389" formatCode="General">
                  <c:v>2.95</c:v>
                </c:pt>
                <c:pt idx="390" formatCode="General">
                  <c:v>2.06</c:v>
                </c:pt>
                <c:pt idx="391">
                  <c:v>1.94</c:v>
                </c:pt>
                <c:pt idx="392">
                  <c:v>1.9339999999999999</c:v>
                </c:pt>
                <c:pt idx="393">
                  <c:v>1.9330000000000001</c:v>
                </c:pt>
                <c:pt idx="394">
                  <c:v>1.93</c:v>
                </c:pt>
                <c:pt idx="395" formatCode="General">
                  <c:v>1.93</c:v>
                </c:pt>
                <c:pt idx="396">
                  <c:v>1.7</c:v>
                </c:pt>
                <c:pt idx="397">
                  <c:v>2.6659999999999999</c:v>
                </c:pt>
                <c:pt idx="398">
                  <c:v>0.92200000000000004</c:v>
                </c:pt>
                <c:pt idx="399">
                  <c:v>2.92</c:v>
                </c:pt>
                <c:pt idx="400">
                  <c:v>1.92</c:v>
                </c:pt>
                <c:pt idx="401" formatCode="General">
                  <c:v>2.92</c:v>
                </c:pt>
                <c:pt idx="402">
                  <c:v>0.66</c:v>
                </c:pt>
                <c:pt idx="403">
                  <c:v>1.66</c:v>
                </c:pt>
                <c:pt idx="404">
                  <c:v>0.91900000000000004</c:v>
                </c:pt>
                <c:pt idx="405">
                  <c:v>2.6539999999999999</c:v>
                </c:pt>
                <c:pt idx="406">
                  <c:v>0.90800000000000003</c:v>
                </c:pt>
                <c:pt idx="407">
                  <c:v>1.9079999999999999</c:v>
                </c:pt>
                <c:pt idx="408">
                  <c:v>0.90600000000000003</c:v>
                </c:pt>
                <c:pt idx="409">
                  <c:v>1.9</c:v>
                </c:pt>
                <c:pt idx="410">
                  <c:v>1.9</c:v>
                </c:pt>
                <c:pt idx="411" formatCode="General">
                  <c:v>2.89</c:v>
                </c:pt>
                <c:pt idx="412" formatCode="General">
                  <c:v>2.89</c:v>
                </c:pt>
                <c:pt idx="413">
                  <c:v>1.25</c:v>
                </c:pt>
                <c:pt idx="414">
                  <c:v>0.629</c:v>
                </c:pt>
                <c:pt idx="415">
                  <c:v>1.36</c:v>
                </c:pt>
                <c:pt idx="416">
                  <c:v>0.88200000000000001</c:v>
                </c:pt>
                <c:pt idx="417">
                  <c:v>1.88</c:v>
                </c:pt>
                <c:pt idx="418" formatCode="General">
                  <c:v>2.88</c:v>
                </c:pt>
                <c:pt idx="419" formatCode="General">
                  <c:v>2.88</c:v>
                </c:pt>
                <c:pt idx="420">
                  <c:v>1.35</c:v>
                </c:pt>
                <c:pt idx="421">
                  <c:v>1.87</c:v>
                </c:pt>
                <c:pt idx="422" formatCode="General">
                  <c:v>1.87</c:v>
                </c:pt>
                <c:pt idx="423">
                  <c:v>1.6080000000000001</c:v>
                </c:pt>
                <c:pt idx="424">
                  <c:v>1.861</c:v>
                </c:pt>
                <c:pt idx="425">
                  <c:v>1.86</c:v>
                </c:pt>
                <c:pt idx="426">
                  <c:v>1.85</c:v>
                </c:pt>
                <c:pt idx="427" formatCode="General">
                  <c:v>1.85</c:v>
                </c:pt>
                <c:pt idx="428" formatCode="General">
                  <c:v>1.85</c:v>
                </c:pt>
                <c:pt idx="429" formatCode="General">
                  <c:v>2.85</c:v>
                </c:pt>
                <c:pt idx="430" formatCode="General">
                  <c:v>2.85</c:v>
                </c:pt>
                <c:pt idx="431" formatCode="General">
                  <c:v>2.85</c:v>
                </c:pt>
                <c:pt idx="432">
                  <c:v>0.83799999999999997</c:v>
                </c:pt>
                <c:pt idx="433">
                  <c:v>1.83</c:v>
                </c:pt>
                <c:pt idx="434" formatCode="General">
                  <c:v>1.83</c:v>
                </c:pt>
                <c:pt idx="435">
                  <c:v>1.3</c:v>
                </c:pt>
                <c:pt idx="436">
                  <c:v>1.821</c:v>
                </c:pt>
                <c:pt idx="437">
                  <c:v>1.82</c:v>
                </c:pt>
                <c:pt idx="438">
                  <c:v>1.7600000000000007</c:v>
                </c:pt>
                <c:pt idx="439" formatCode="General">
                  <c:v>1.82</c:v>
                </c:pt>
                <c:pt idx="440">
                  <c:v>0.86099999999999999</c:v>
                </c:pt>
                <c:pt idx="441">
                  <c:v>1.8180000000000001</c:v>
                </c:pt>
                <c:pt idx="442">
                  <c:v>1.47</c:v>
                </c:pt>
                <c:pt idx="443">
                  <c:v>0.81399999999999995</c:v>
                </c:pt>
                <c:pt idx="444">
                  <c:v>1.29</c:v>
                </c:pt>
                <c:pt idx="445">
                  <c:v>0.55100000000000005</c:v>
                </c:pt>
                <c:pt idx="446" formatCode="General">
                  <c:v>2.81</c:v>
                </c:pt>
                <c:pt idx="447" formatCode="General">
                  <c:v>2.81</c:v>
                </c:pt>
                <c:pt idx="448" formatCode="General">
                  <c:v>1.8</c:v>
                </c:pt>
                <c:pt idx="449" formatCode="General">
                  <c:v>1.79</c:v>
                </c:pt>
                <c:pt idx="450">
                  <c:v>1.56</c:v>
                </c:pt>
                <c:pt idx="451" formatCode="General">
                  <c:v>2.78</c:v>
                </c:pt>
                <c:pt idx="452">
                  <c:v>1.776</c:v>
                </c:pt>
                <c:pt idx="453">
                  <c:v>1.3109999999999999</c:v>
                </c:pt>
                <c:pt idx="454">
                  <c:v>1.77</c:v>
                </c:pt>
                <c:pt idx="455">
                  <c:v>2.5070000000000001</c:v>
                </c:pt>
                <c:pt idx="456">
                  <c:v>1.76</c:v>
                </c:pt>
                <c:pt idx="457">
                  <c:v>1.75</c:v>
                </c:pt>
                <c:pt idx="458" formatCode="General">
                  <c:v>2.04</c:v>
                </c:pt>
                <c:pt idx="459">
                  <c:v>1.7490000000000001</c:v>
                </c:pt>
                <c:pt idx="460">
                  <c:v>1.2849999999999999</c:v>
                </c:pt>
                <c:pt idx="461">
                  <c:v>0.87000000000000011</c:v>
                </c:pt>
                <c:pt idx="462">
                  <c:v>0.89000000000000057</c:v>
                </c:pt>
                <c:pt idx="463" formatCode="General">
                  <c:v>1.74</c:v>
                </c:pt>
                <c:pt idx="464">
                  <c:v>2.476</c:v>
                </c:pt>
                <c:pt idx="465">
                  <c:v>0.72799999999999998</c:v>
                </c:pt>
                <c:pt idx="466" formatCode="General">
                  <c:v>1.72</c:v>
                </c:pt>
                <c:pt idx="467">
                  <c:v>2.71</c:v>
                </c:pt>
                <c:pt idx="468" formatCode="General">
                  <c:v>1.0900000000000001</c:v>
                </c:pt>
                <c:pt idx="469">
                  <c:v>0.745</c:v>
                </c:pt>
                <c:pt idx="470">
                  <c:v>1.7030000000000001</c:v>
                </c:pt>
                <c:pt idx="471">
                  <c:v>1.18</c:v>
                </c:pt>
                <c:pt idx="472" formatCode="General">
                  <c:v>2.7</c:v>
                </c:pt>
                <c:pt idx="473" formatCode="General">
                  <c:v>1.69</c:v>
                </c:pt>
                <c:pt idx="474" formatCode="General">
                  <c:v>1.69</c:v>
                </c:pt>
                <c:pt idx="475">
                  <c:v>0.68</c:v>
                </c:pt>
                <c:pt idx="476">
                  <c:v>1.6779999999999999</c:v>
                </c:pt>
                <c:pt idx="477">
                  <c:v>1.67</c:v>
                </c:pt>
                <c:pt idx="478" formatCode="General">
                  <c:v>1.67</c:v>
                </c:pt>
                <c:pt idx="479" formatCode="General">
                  <c:v>1.67</c:v>
                </c:pt>
                <c:pt idx="480">
                  <c:v>0.66300000000000003</c:v>
                </c:pt>
                <c:pt idx="481">
                  <c:v>0.66100000000000003</c:v>
                </c:pt>
                <c:pt idx="482">
                  <c:v>1.66</c:v>
                </c:pt>
                <c:pt idx="483">
                  <c:v>2.65</c:v>
                </c:pt>
                <c:pt idx="484">
                  <c:v>1.649</c:v>
                </c:pt>
                <c:pt idx="485">
                  <c:v>1.649</c:v>
                </c:pt>
                <c:pt idx="486">
                  <c:v>1.64</c:v>
                </c:pt>
                <c:pt idx="487">
                  <c:v>0.63100000000000001</c:v>
                </c:pt>
                <c:pt idx="488" formatCode="General">
                  <c:v>2.63</c:v>
                </c:pt>
                <c:pt idx="489" formatCode="General">
                  <c:v>1.75</c:v>
                </c:pt>
                <c:pt idx="490">
                  <c:v>1.1000000000000001</c:v>
                </c:pt>
                <c:pt idx="491" formatCode="General">
                  <c:v>2.62</c:v>
                </c:pt>
                <c:pt idx="492">
                  <c:v>0.65300000000000002</c:v>
                </c:pt>
                <c:pt idx="493">
                  <c:v>1.61</c:v>
                </c:pt>
                <c:pt idx="494">
                  <c:v>1.1299999999999999</c:v>
                </c:pt>
                <c:pt idx="495" formatCode="General">
                  <c:v>1.61</c:v>
                </c:pt>
                <c:pt idx="496">
                  <c:v>2.339</c:v>
                </c:pt>
                <c:pt idx="497">
                  <c:v>2.339</c:v>
                </c:pt>
                <c:pt idx="498">
                  <c:v>1.37</c:v>
                </c:pt>
                <c:pt idx="499" formatCode="General">
                  <c:v>1.59</c:v>
                </c:pt>
                <c:pt idx="500" formatCode="General">
                  <c:v>2.59</c:v>
                </c:pt>
                <c:pt idx="501">
                  <c:v>1.127</c:v>
                </c:pt>
                <c:pt idx="502">
                  <c:v>2.3220000000000001</c:v>
                </c:pt>
                <c:pt idx="503">
                  <c:v>1.58</c:v>
                </c:pt>
                <c:pt idx="504">
                  <c:v>1.3600000000000003</c:v>
                </c:pt>
                <c:pt idx="505">
                  <c:v>1.57</c:v>
                </c:pt>
                <c:pt idx="506" formatCode="General">
                  <c:v>1.56</c:v>
                </c:pt>
                <c:pt idx="507">
                  <c:v>1.56</c:v>
                </c:pt>
                <c:pt idx="508">
                  <c:v>2.56</c:v>
                </c:pt>
                <c:pt idx="509">
                  <c:v>1.0799999999999992</c:v>
                </c:pt>
                <c:pt idx="510">
                  <c:v>1.03</c:v>
                </c:pt>
                <c:pt idx="511">
                  <c:v>1.03</c:v>
                </c:pt>
                <c:pt idx="512">
                  <c:v>1.552</c:v>
                </c:pt>
                <c:pt idx="513">
                  <c:v>1.55</c:v>
                </c:pt>
                <c:pt idx="514" formatCode="General">
                  <c:v>2.5499999999999998</c:v>
                </c:pt>
                <c:pt idx="515">
                  <c:v>0.54200000000000004</c:v>
                </c:pt>
                <c:pt idx="516">
                  <c:v>1.54</c:v>
                </c:pt>
                <c:pt idx="517" formatCode="General">
                  <c:v>2.54</c:v>
                </c:pt>
                <c:pt idx="518" formatCode="General">
                  <c:v>1.53</c:v>
                </c:pt>
                <c:pt idx="519" formatCode="General">
                  <c:v>1.53</c:v>
                </c:pt>
                <c:pt idx="520" formatCode="General">
                  <c:v>1.53</c:v>
                </c:pt>
                <c:pt idx="521">
                  <c:v>2.266</c:v>
                </c:pt>
                <c:pt idx="522" formatCode="General">
                  <c:v>1.52</c:v>
                </c:pt>
                <c:pt idx="523">
                  <c:v>1.46</c:v>
                </c:pt>
                <c:pt idx="524">
                  <c:v>0.51900000000000002</c:v>
                </c:pt>
                <c:pt idx="525" formatCode="General">
                  <c:v>2.5099999999999998</c:v>
                </c:pt>
                <c:pt idx="526" formatCode="General">
                  <c:v>2.5099999999999998</c:v>
                </c:pt>
                <c:pt idx="527">
                  <c:v>2.5099999999999998</c:v>
                </c:pt>
                <c:pt idx="528">
                  <c:v>1.508</c:v>
                </c:pt>
                <c:pt idx="529">
                  <c:v>0.54600000000000004</c:v>
                </c:pt>
                <c:pt idx="530">
                  <c:v>1.502</c:v>
                </c:pt>
                <c:pt idx="531">
                  <c:v>2.2410000000000001</c:v>
                </c:pt>
                <c:pt idx="532">
                  <c:v>1.8</c:v>
                </c:pt>
                <c:pt idx="533">
                  <c:v>1.49</c:v>
                </c:pt>
                <c:pt idx="534" formatCode="General">
                  <c:v>1.49</c:v>
                </c:pt>
                <c:pt idx="535" formatCode="General">
                  <c:v>1.49</c:v>
                </c:pt>
                <c:pt idx="536">
                  <c:v>1.4830000000000001</c:v>
                </c:pt>
                <c:pt idx="537" formatCode="General">
                  <c:v>2.48</c:v>
                </c:pt>
                <c:pt idx="538">
                  <c:v>4.4800000000000004</c:v>
                </c:pt>
                <c:pt idx="539">
                  <c:v>1.4690000000000001</c:v>
                </c:pt>
                <c:pt idx="540">
                  <c:v>1.456</c:v>
                </c:pt>
                <c:pt idx="541">
                  <c:v>2.1920000000000002</c:v>
                </c:pt>
                <c:pt idx="542">
                  <c:v>2.1920000000000002</c:v>
                </c:pt>
                <c:pt idx="543" formatCode="General">
                  <c:v>1.45</c:v>
                </c:pt>
                <c:pt idx="544" formatCode="General">
                  <c:v>2.4500000000000002</c:v>
                </c:pt>
                <c:pt idx="545" formatCode="General">
                  <c:v>2.4500000000000002</c:v>
                </c:pt>
                <c:pt idx="546" formatCode="General">
                  <c:v>2.4500000000000002</c:v>
                </c:pt>
                <c:pt idx="547">
                  <c:v>2.1869999999999998</c:v>
                </c:pt>
                <c:pt idx="548">
                  <c:v>1.431</c:v>
                </c:pt>
                <c:pt idx="549" formatCode="General">
                  <c:v>1.42</c:v>
                </c:pt>
                <c:pt idx="550">
                  <c:v>1.159</c:v>
                </c:pt>
                <c:pt idx="551">
                  <c:v>1.4139999999999999</c:v>
                </c:pt>
                <c:pt idx="552">
                  <c:v>1.4019999999999999</c:v>
                </c:pt>
                <c:pt idx="553" formatCode="General">
                  <c:v>1.4</c:v>
                </c:pt>
                <c:pt idx="554">
                  <c:v>1.1800000000000006</c:v>
                </c:pt>
                <c:pt idx="555" formatCode="General">
                  <c:v>1.39</c:v>
                </c:pt>
                <c:pt idx="556">
                  <c:v>1.39</c:v>
                </c:pt>
                <c:pt idx="557">
                  <c:v>1.381</c:v>
                </c:pt>
                <c:pt idx="558">
                  <c:v>1.3759999999999999</c:v>
                </c:pt>
                <c:pt idx="559" formatCode="General">
                  <c:v>1.37</c:v>
                </c:pt>
                <c:pt idx="560">
                  <c:v>2.37</c:v>
                </c:pt>
                <c:pt idx="561">
                  <c:v>1.369</c:v>
                </c:pt>
                <c:pt idx="562">
                  <c:v>4.3520000000000003</c:v>
                </c:pt>
                <c:pt idx="563" formatCode="General">
                  <c:v>2.36</c:v>
                </c:pt>
                <c:pt idx="564" formatCode="General">
                  <c:v>2.35</c:v>
                </c:pt>
                <c:pt idx="565" formatCode="General">
                  <c:v>1.34</c:v>
                </c:pt>
                <c:pt idx="566" formatCode="General">
                  <c:v>1.34</c:v>
                </c:pt>
                <c:pt idx="567">
                  <c:v>1.3340000000000001</c:v>
                </c:pt>
                <c:pt idx="568" formatCode="General">
                  <c:v>1.33</c:v>
                </c:pt>
                <c:pt idx="569" formatCode="General">
                  <c:v>2.33</c:v>
                </c:pt>
                <c:pt idx="570">
                  <c:v>1.325</c:v>
                </c:pt>
                <c:pt idx="571">
                  <c:v>1.3180000000000001</c:v>
                </c:pt>
                <c:pt idx="572">
                  <c:v>2.306</c:v>
                </c:pt>
                <c:pt idx="573" formatCode="General">
                  <c:v>1.3</c:v>
                </c:pt>
                <c:pt idx="574">
                  <c:v>1.6</c:v>
                </c:pt>
                <c:pt idx="575">
                  <c:v>1.2989999999999999</c:v>
                </c:pt>
                <c:pt idx="576" formatCode="General">
                  <c:v>1.28</c:v>
                </c:pt>
                <c:pt idx="577" formatCode="General">
                  <c:v>2.27</c:v>
                </c:pt>
                <c:pt idx="578" formatCode="General">
                  <c:v>1.26</c:v>
                </c:pt>
                <c:pt idx="579" formatCode="General">
                  <c:v>1.26</c:v>
                </c:pt>
                <c:pt idx="580">
                  <c:v>1.26</c:v>
                </c:pt>
                <c:pt idx="581">
                  <c:v>2.2599999999999998</c:v>
                </c:pt>
                <c:pt idx="582">
                  <c:v>0.99399999999999999</c:v>
                </c:pt>
                <c:pt idx="583">
                  <c:v>1.2470000000000001</c:v>
                </c:pt>
                <c:pt idx="584" formatCode="General">
                  <c:v>1.24</c:v>
                </c:pt>
                <c:pt idx="585">
                  <c:v>1.9790000000000001</c:v>
                </c:pt>
                <c:pt idx="586">
                  <c:v>0.97699999999999998</c:v>
                </c:pt>
                <c:pt idx="587">
                  <c:v>0.97699999999999998</c:v>
                </c:pt>
                <c:pt idx="588">
                  <c:v>0.7</c:v>
                </c:pt>
                <c:pt idx="589">
                  <c:v>1.9610000000000001</c:v>
                </c:pt>
                <c:pt idx="590" formatCode="General">
                  <c:v>1.22</c:v>
                </c:pt>
                <c:pt idx="591" formatCode="General">
                  <c:v>1.22</c:v>
                </c:pt>
                <c:pt idx="592">
                  <c:v>1.218</c:v>
                </c:pt>
                <c:pt idx="593" formatCode="General">
                  <c:v>1.21</c:v>
                </c:pt>
                <c:pt idx="594">
                  <c:v>1.9339999999999999</c:v>
                </c:pt>
                <c:pt idx="595" formatCode="General">
                  <c:v>1.19</c:v>
                </c:pt>
                <c:pt idx="596">
                  <c:v>0.879</c:v>
                </c:pt>
                <c:pt idx="597" formatCode="General">
                  <c:v>2.1800000000000002</c:v>
                </c:pt>
                <c:pt idx="598">
                  <c:v>0.65</c:v>
                </c:pt>
                <c:pt idx="599">
                  <c:v>1.17</c:v>
                </c:pt>
                <c:pt idx="600">
                  <c:v>0.53000000000000025</c:v>
                </c:pt>
                <c:pt idx="601">
                  <c:v>1.17</c:v>
                </c:pt>
                <c:pt idx="602" formatCode="General">
                  <c:v>1.1599999999999999</c:v>
                </c:pt>
                <c:pt idx="603" formatCode="General">
                  <c:v>2.16</c:v>
                </c:pt>
                <c:pt idx="604">
                  <c:v>1.899</c:v>
                </c:pt>
                <c:pt idx="605">
                  <c:v>1.8979999999999999</c:v>
                </c:pt>
                <c:pt idx="606" formatCode="General">
                  <c:v>1.1499999999999999</c:v>
                </c:pt>
                <c:pt idx="607">
                  <c:v>1.1499999999999999</c:v>
                </c:pt>
                <c:pt idx="608" formatCode="General">
                  <c:v>1.1499999999999999</c:v>
                </c:pt>
                <c:pt idx="609">
                  <c:v>1.889</c:v>
                </c:pt>
                <c:pt idx="610">
                  <c:v>1.1479999999999999</c:v>
                </c:pt>
                <c:pt idx="611">
                  <c:v>1.1399999999999999</c:v>
                </c:pt>
                <c:pt idx="612">
                  <c:v>0.65999999999999925</c:v>
                </c:pt>
                <c:pt idx="613">
                  <c:v>1.139</c:v>
                </c:pt>
                <c:pt idx="614">
                  <c:v>0.61</c:v>
                </c:pt>
                <c:pt idx="615">
                  <c:v>1.871</c:v>
                </c:pt>
                <c:pt idx="616">
                  <c:v>1.1279999999999999</c:v>
                </c:pt>
                <c:pt idx="617" formatCode="General">
                  <c:v>1.1200000000000001</c:v>
                </c:pt>
                <c:pt idx="618">
                  <c:v>1.119</c:v>
                </c:pt>
                <c:pt idx="619">
                  <c:v>1.853</c:v>
                </c:pt>
                <c:pt idx="620">
                  <c:v>0.76</c:v>
                </c:pt>
                <c:pt idx="621">
                  <c:v>1.1000000000000001</c:v>
                </c:pt>
                <c:pt idx="622" formatCode="General">
                  <c:v>1.1000000000000001</c:v>
                </c:pt>
                <c:pt idx="623">
                  <c:v>1.831</c:v>
                </c:pt>
                <c:pt idx="624">
                  <c:v>1.0900000000000001</c:v>
                </c:pt>
                <c:pt idx="625">
                  <c:v>1.0900000000000001</c:v>
                </c:pt>
                <c:pt idx="626">
                  <c:v>1.0840000000000001</c:v>
                </c:pt>
                <c:pt idx="627" formatCode="General">
                  <c:v>1.08</c:v>
                </c:pt>
                <c:pt idx="628">
                  <c:v>0.55000000000000004</c:v>
                </c:pt>
                <c:pt idx="629" formatCode="General">
                  <c:v>1.07</c:v>
                </c:pt>
                <c:pt idx="630">
                  <c:v>1.0680000000000001</c:v>
                </c:pt>
                <c:pt idx="631" formatCode="General">
                  <c:v>1.04</c:v>
                </c:pt>
                <c:pt idx="632" formatCode="General">
                  <c:v>1.04</c:v>
                </c:pt>
                <c:pt idx="633" formatCode="General">
                  <c:v>2.04</c:v>
                </c:pt>
                <c:pt idx="634">
                  <c:v>2.04</c:v>
                </c:pt>
                <c:pt idx="635">
                  <c:v>0.77800000000000002</c:v>
                </c:pt>
                <c:pt idx="636" formatCode="General">
                  <c:v>2.0299999999999998</c:v>
                </c:pt>
                <c:pt idx="637">
                  <c:v>1.02</c:v>
                </c:pt>
                <c:pt idx="638">
                  <c:v>1.88</c:v>
                </c:pt>
                <c:pt idx="639">
                  <c:v>1.01</c:v>
                </c:pt>
                <c:pt idx="640">
                  <c:v>1.4</c:v>
                </c:pt>
                <c:pt idx="641" formatCode="General">
                  <c:v>2</c:v>
                </c:pt>
                <c:pt idx="642" formatCode="General">
                  <c:v>2</c:v>
                </c:pt>
                <c:pt idx="643" formatCode="General">
                  <c:v>1.99</c:v>
                </c:pt>
                <c:pt idx="644">
                  <c:v>1.728</c:v>
                </c:pt>
                <c:pt idx="645">
                  <c:v>0.98399999999999999</c:v>
                </c:pt>
                <c:pt idx="646">
                  <c:v>0.98299999999999998</c:v>
                </c:pt>
                <c:pt idx="647">
                  <c:v>0.98</c:v>
                </c:pt>
                <c:pt idx="648" formatCode="General">
                  <c:v>0.98</c:v>
                </c:pt>
                <c:pt idx="649">
                  <c:v>1.7170000000000001</c:v>
                </c:pt>
                <c:pt idx="650" formatCode="General">
                  <c:v>0.97</c:v>
                </c:pt>
                <c:pt idx="651" formatCode="General">
                  <c:v>1.97</c:v>
                </c:pt>
                <c:pt idx="652">
                  <c:v>0.96599999999999997</c:v>
                </c:pt>
                <c:pt idx="653" formatCode="General">
                  <c:v>0.96</c:v>
                </c:pt>
                <c:pt idx="654">
                  <c:v>0.96</c:v>
                </c:pt>
                <c:pt idx="655" formatCode="General">
                  <c:v>1.96</c:v>
                </c:pt>
                <c:pt idx="656">
                  <c:v>1.6819999999999999</c:v>
                </c:pt>
                <c:pt idx="657">
                  <c:v>0.93500000000000005</c:v>
                </c:pt>
                <c:pt idx="658" formatCode="General">
                  <c:v>0.93</c:v>
                </c:pt>
                <c:pt idx="659">
                  <c:v>0.66300000000000003</c:v>
                </c:pt>
                <c:pt idx="660" formatCode="General">
                  <c:v>0.92</c:v>
                </c:pt>
                <c:pt idx="661" formatCode="General">
                  <c:v>1.92</c:v>
                </c:pt>
                <c:pt idx="662">
                  <c:v>1.655</c:v>
                </c:pt>
                <c:pt idx="663">
                  <c:v>0.91400000000000003</c:v>
                </c:pt>
                <c:pt idx="664">
                  <c:v>0.91300000000000003</c:v>
                </c:pt>
                <c:pt idx="665" formatCode="General">
                  <c:v>0.91</c:v>
                </c:pt>
                <c:pt idx="666">
                  <c:v>1.6479999999999999</c:v>
                </c:pt>
                <c:pt idx="667" formatCode="General">
                  <c:v>0.89</c:v>
                </c:pt>
                <c:pt idx="668">
                  <c:v>0.88800000000000001</c:v>
                </c:pt>
                <c:pt idx="669">
                  <c:v>0.88700000000000001</c:v>
                </c:pt>
                <c:pt idx="670" formatCode="General">
                  <c:v>0.88</c:v>
                </c:pt>
                <c:pt idx="671" formatCode="General">
                  <c:v>0.88</c:v>
                </c:pt>
                <c:pt idx="672" formatCode="General">
                  <c:v>1.88</c:v>
                </c:pt>
                <c:pt idx="673">
                  <c:v>0.88</c:v>
                </c:pt>
                <c:pt idx="674" formatCode="General">
                  <c:v>1.87</c:v>
                </c:pt>
                <c:pt idx="675" formatCode="General">
                  <c:v>1.86</c:v>
                </c:pt>
                <c:pt idx="676" formatCode="General">
                  <c:v>1.86</c:v>
                </c:pt>
                <c:pt idx="677">
                  <c:v>0.85399999999999998</c:v>
                </c:pt>
                <c:pt idx="678">
                  <c:v>0.85</c:v>
                </c:pt>
                <c:pt idx="679" formatCode="General">
                  <c:v>0.84</c:v>
                </c:pt>
                <c:pt idx="680" formatCode="General">
                  <c:v>0.84</c:v>
                </c:pt>
                <c:pt idx="681">
                  <c:v>1.84</c:v>
                </c:pt>
                <c:pt idx="682" formatCode="General">
                  <c:v>0.83</c:v>
                </c:pt>
                <c:pt idx="683" formatCode="General">
                  <c:v>0.83</c:v>
                </c:pt>
                <c:pt idx="684" formatCode="General">
                  <c:v>1.83</c:v>
                </c:pt>
                <c:pt idx="685" formatCode="General">
                  <c:v>0.82</c:v>
                </c:pt>
                <c:pt idx="686">
                  <c:v>0.81899999999999995</c:v>
                </c:pt>
                <c:pt idx="687">
                  <c:v>0.80300000000000005</c:v>
                </c:pt>
                <c:pt idx="688">
                  <c:v>1.1000000000000001</c:v>
                </c:pt>
                <c:pt idx="689">
                  <c:v>1.536</c:v>
                </c:pt>
                <c:pt idx="690">
                  <c:v>0.79500000000000004</c:v>
                </c:pt>
                <c:pt idx="691">
                  <c:v>0.78700000000000003</c:v>
                </c:pt>
                <c:pt idx="692" formatCode="General">
                  <c:v>0.78</c:v>
                </c:pt>
                <c:pt idx="693">
                  <c:v>0.72000000000000064</c:v>
                </c:pt>
                <c:pt idx="694">
                  <c:v>0.504</c:v>
                </c:pt>
                <c:pt idx="695" formatCode="General">
                  <c:v>0.76</c:v>
                </c:pt>
                <c:pt idx="696" formatCode="General">
                  <c:v>1.76</c:v>
                </c:pt>
                <c:pt idx="697" formatCode="General">
                  <c:v>1.76</c:v>
                </c:pt>
                <c:pt idx="698">
                  <c:v>1.4930000000000001</c:v>
                </c:pt>
                <c:pt idx="699" formatCode="General">
                  <c:v>0.75</c:v>
                </c:pt>
                <c:pt idx="700" formatCode="General">
                  <c:v>0.74</c:v>
                </c:pt>
                <c:pt idx="701" formatCode="General">
                  <c:v>1.74</c:v>
                </c:pt>
                <c:pt idx="702" formatCode="General">
                  <c:v>0.73</c:v>
                </c:pt>
                <c:pt idx="703">
                  <c:v>0.72699999999999998</c:v>
                </c:pt>
                <c:pt idx="704" formatCode="General">
                  <c:v>0.72</c:v>
                </c:pt>
                <c:pt idx="705" formatCode="General">
                  <c:v>1.72</c:v>
                </c:pt>
                <c:pt idx="706">
                  <c:v>0.71699999999999997</c:v>
                </c:pt>
                <c:pt idx="707">
                  <c:v>0.71</c:v>
                </c:pt>
                <c:pt idx="708" formatCode="General">
                  <c:v>0.71</c:v>
                </c:pt>
                <c:pt idx="709">
                  <c:v>0.70799999999999996</c:v>
                </c:pt>
                <c:pt idx="710" formatCode="General">
                  <c:v>0.7</c:v>
                </c:pt>
                <c:pt idx="711">
                  <c:v>0.7</c:v>
                </c:pt>
                <c:pt idx="712">
                  <c:v>0.69499999999999995</c:v>
                </c:pt>
                <c:pt idx="713">
                  <c:v>0.69199999999999995</c:v>
                </c:pt>
                <c:pt idx="714">
                  <c:v>0.69</c:v>
                </c:pt>
                <c:pt idx="715">
                  <c:v>0.68</c:v>
                </c:pt>
                <c:pt idx="716">
                  <c:v>0.67600000000000005</c:v>
                </c:pt>
                <c:pt idx="717" formatCode="General">
                  <c:v>0.67</c:v>
                </c:pt>
                <c:pt idx="718">
                  <c:v>1.67</c:v>
                </c:pt>
                <c:pt idx="719">
                  <c:v>0.66300000000000003</c:v>
                </c:pt>
                <c:pt idx="720" formatCode="General">
                  <c:v>0.65</c:v>
                </c:pt>
                <c:pt idx="721" formatCode="General">
                  <c:v>0.65</c:v>
                </c:pt>
                <c:pt idx="722" formatCode="General">
                  <c:v>1.6279999999999999</c:v>
                </c:pt>
                <c:pt idx="723">
                  <c:v>0.63600000000000001</c:v>
                </c:pt>
                <c:pt idx="724" formatCode="General">
                  <c:v>0.63</c:v>
                </c:pt>
                <c:pt idx="725" formatCode="General">
                  <c:v>0.63</c:v>
                </c:pt>
                <c:pt idx="726" formatCode="General">
                  <c:v>0.62</c:v>
                </c:pt>
                <c:pt idx="727" formatCode="General">
                  <c:v>0.62</c:v>
                </c:pt>
                <c:pt idx="728">
                  <c:v>0.62</c:v>
                </c:pt>
                <c:pt idx="729">
                  <c:v>0.61199999999999999</c:v>
                </c:pt>
                <c:pt idx="730" formatCode="General">
                  <c:v>0.61</c:v>
                </c:pt>
                <c:pt idx="731">
                  <c:v>0.60899999999999999</c:v>
                </c:pt>
                <c:pt idx="732">
                  <c:v>0.60699999999999998</c:v>
                </c:pt>
                <c:pt idx="733">
                  <c:v>0.60299999999999998</c:v>
                </c:pt>
                <c:pt idx="734" formatCode="General">
                  <c:v>0.6</c:v>
                </c:pt>
                <c:pt idx="735" formatCode="General">
                  <c:v>0.6</c:v>
                </c:pt>
                <c:pt idx="736">
                  <c:v>1</c:v>
                </c:pt>
                <c:pt idx="737" formatCode="General">
                  <c:v>1.6</c:v>
                </c:pt>
                <c:pt idx="738">
                  <c:v>0.6</c:v>
                </c:pt>
                <c:pt idx="739" formatCode="General">
                  <c:v>0.59</c:v>
                </c:pt>
                <c:pt idx="740" formatCode="General">
                  <c:v>0.59</c:v>
                </c:pt>
                <c:pt idx="741" formatCode="General">
                  <c:v>0.57999999999999996</c:v>
                </c:pt>
                <c:pt idx="742" formatCode="General">
                  <c:v>0.57999999999999996</c:v>
                </c:pt>
                <c:pt idx="743">
                  <c:v>0.56999999999999995</c:v>
                </c:pt>
                <c:pt idx="744">
                  <c:v>0.56699999999999995</c:v>
                </c:pt>
                <c:pt idx="745">
                  <c:v>0.77100000000000002</c:v>
                </c:pt>
                <c:pt idx="746" formatCode="General">
                  <c:v>0.56000000000000005</c:v>
                </c:pt>
                <c:pt idx="747" formatCode="General">
                  <c:v>0.55000000000000004</c:v>
                </c:pt>
                <c:pt idx="748" formatCode="General">
                  <c:v>0.55000000000000004</c:v>
                </c:pt>
                <c:pt idx="749" formatCode="General">
                  <c:v>1.55</c:v>
                </c:pt>
                <c:pt idx="750">
                  <c:v>0.54600000000000004</c:v>
                </c:pt>
                <c:pt idx="751" formatCode="General">
                  <c:v>0.54</c:v>
                </c:pt>
                <c:pt idx="752">
                  <c:v>0.53</c:v>
                </c:pt>
                <c:pt idx="753">
                  <c:v>1.2629999999999999</c:v>
                </c:pt>
                <c:pt idx="754">
                  <c:v>0.52</c:v>
                </c:pt>
                <c:pt idx="755">
                  <c:v>0.51900000000000002</c:v>
                </c:pt>
                <c:pt idx="756">
                  <c:v>1.254</c:v>
                </c:pt>
                <c:pt idx="757">
                  <c:v>0.51100000000000001</c:v>
                </c:pt>
                <c:pt idx="758" formatCode="General">
                  <c:v>0.51</c:v>
                </c:pt>
                <c:pt idx="759">
                  <c:v>0.5</c:v>
                </c:pt>
                <c:pt idx="760">
                  <c:v>0.8</c:v>
                </c:pt>
                <c:pt idx="761">
                  <c:v>0.8</c:v>
                </c:pt>
                <c:pt idx="762">
                  <c:v>1.236</c:v>
                </c:pt>
                <c:pt idx="763">
                  <c:v>1.232</c:v>
                </c:pt>
                <c:pt idx="764" formatCode="General">
                  <c:v>1.48</c:v>
                </c:pt>
                <c:pt idx="765">
                  <c:v>0.64500000000000002</c:v>
                </c:pt>
                <c:pt idx="766" formatCode="General">
                  <c:v>1.42</c:v>
                </c:pt>
                <c:pt idx="767" formatCode="General">
                  <c:v>1.41</c:v>
                </c:pt>
                <c:pt idx="768" formatCode="General">
                  <c:v>1.41</c:v>
                </c:pt>
                <c:pt idx="769">
                  <c:v>0.8</c:v>
                </c:pt>
                <c:pt idx="770">
                  <c:v>0.7</c:v>
                </c:pt>
                <c:pt idx="771">
                  <c:v>1.357</c:v>
                </c:pt>
                <c:pt idx="772" formatCode="General">
                  <c:v>1.35</c:v>
                </c:pt>
                <c:pt idx="773" formatCode="General">
                  <c:v>1.34</c:v>
                </c:pt>
                <c:pt idx="774" formatCode="General">
                  <c:v>1.34</c:v>
                </c:pt>
                <c:pt idx="775" formatCode="General">
                  <c:v>1.33</c:v>
                </c:pt>
                <c:pt idx="776" formatCode="General">
                  <c:v>1.3</c:v>
                </c:pt>
                <c:pt idx="777">
                  <c:v>1.034</c:v>
                </c:pt>
                <c:pt idx="778" formatCode="General">
                  <c:v>1.26</c:v>
                </c:pt>
                <c:pt idx="779">
                  <c:v>3.234</c:v>
                </c:pt>
                <c:pt idx="780">
                  <c:v>0.54100000000000004</c:v>
                </c:pt>
                <c:pt idx="781">
                  <c:v>0.52400000000000002</c:v>
                </c:pt>
                <c:pt idx="782">
                  <c:v>0.5</c:v>
                </c:pt>
                <c:pt idx="783">
                  <c:v>0.5</c:v>
                </c:pt>
                <c:pt idx="784">
                  <c:v>0.5</c:v>
                </c:pt>
                <c:pt idx="785">
                  <c:v>1.19</c:v>
                </c:pt>
                <c:pt idx="786" formatCode="General">
                  <c:v>1.18</c:v>
                </c:pt>
                <c:pt idx="787">
                  <c:v>0.91800000000000004</c:v>
                </c:pt>
                <c:pt idx="788" formatCode="General">
                  <c:v>1.17</c:v>
                </c:pt>
                <c:pt idx="789">
                  <c:v>0.90400000000000003</c:v>
                </c:pt>
                <c:pt idx="790" formatCode="General">
                  <c:v>1.1599999999999999</c:v>
                </c:pt>
                <c:pt idx="791" formatCode="General">
                  <c:v>1.1499999999999999</c:v>
                </c:pt>
                <c:pt idx="792" formatCode="General">
                  <c:v>1.1399999999999999</c:v>
                </c:pt>
                <c:pt idx="793">
                  <c:v>1.1299999999999999</c:v>
                </c:pt>
                <c:pt idx="794">
                  <c:v>0.86399999999999999</c:v>
                </c:pt>
                <c:pt idx="795">
                  <c:v>0.81899999999999995</c:v>
                </c:pt>
                <c:pt idx="796" formatCode="General">
                  <c:v>1.07</c:v>
                </c:pt>
                <c:pt idx="797" formatCode="General">
                  <c:v>1.07</c:v>
                </c:pt>
                <c:pt idx="798">
                  <c:v>0.80100000000000005</c:v>
                </c:pt>
                <c:pt idx="799">
                  <c:v>0.79500000000000004</c:v>
                </c:pt>
                <c:pt idx="800" formatCode="General">
                  <c:v>1.05</c:v>
                </c:pt>
                <c:pt idx="801" formatCode="General">
                  <c:v>1.05</c:v>
                </c:pt>
                <c:pt idx="802">
                  <c:v>3.05</c:v>
                </c:pt>
                <c:pt idx="803">
                  <c:v>0.78300000000000003</c:v>
                </c:pt>
                <c:pt idx="804">
                  <c:v>3.0279999999999996</c:v>
                </c:pt>
                <c:pt idx="805" formatCode="General">
                  <c:v>1.03</c:v>
                </c:pt>
                <c:pt idx="806">
                  <c:v>0.747</c:v>
                </c:pt>
                <c:pt idx="807">
                  <c:v>0.74099999999999999</c:v>
                </c:pt>
                <c:pt idx="808">
                  <c:v>0.73799999999999999</c:v>
                </c:pt>
                <c:pt idx="809">
                  <c:v>0.71099999999999997</c:v>
                </c:pt>
                <c:pt idx="810" formatCode="General">
                  <c:v>0.97</c:v>
                </c:pt>
                <c:pt idx="811" formatCode="General">
                  <c:v>0.94</c:v>
                </c:pt>
                <c:pt idx="812">
                  <c:v>0.67500000000000004</c:v>
                </c:pt>
                <c:pt idx="813">
                  <c:v>0.92500000000000004</c:v>
                </c:pt>
                <c:pt idx="814" formatCode="General">
                  <c:v>0.91</c:v>
                </c:pt>
                <c:pt idx="815">
                  <c:v>0.63900000000000001</c:v>
                </c:pt>
                <c:pt idx="816" formatCode="General">
                  <c:v>0.89</c:v>
                </c:pt>
                <c:pt idx="817" formatCode="General">
                  <c:v>0.88</c:v>
                </c:pt>
                <c:pt idx="818" formatCode="General">
                  <c:v>0.88</c:v>
                </c:pt>
                <c:pt idx="819">
                  <c:v>0.6</c:v>
                </c:pt>
                <c:pt idx="820">
                  <c:v>0.59399999999999997</c:v>
                </c:pt>
                <c:pt idx="821">
                  <c:v>0.58499999999999996</c:v>
                </c:pt>
                <c:pt idx="822" formatCode="General">
                  <c:v>0.84</c:v>
                </c:pt>
                <c:pt idx="823" formatCode="General">
                  <c:v>0.82</c:v>
                </c:pt>
                <c:pt idx="824">
                  <c:v>0.54900000000000004</c:v>
                </c:pt>
                <c:pt idx="825" formatCode="General">
                  <c:v>0.78</c:v>
                </c:pt>
                <c:pt idx="826" formatCode="General">
                  <c:v>0.78</c:v>
                </c:pt>
                <c:pt idx="827" formatCode="General">
                  <c:v>0.76</c:v>
                </c:pt>
                <c:pt idx="828" formatCode="General">
                  <c:v>0.74</c:v>
                </c:pt>
                <c:pt idx="829" formatCode="General">
                  <c:v>0.7</c:v>
                </c:pt>
                <c:pt idx="830" formatCode="General">
                  <c:v>0.66</c:v>
                </c:pt>
                <c:pt idx="831" formatCode="General">
                  <c:v>0.62</c:v>
                </c:pt>
                <c:pt idx="832" formatCode="General">
                  <c:v>0.54</c:v>
                </c:pt>
                <c:pt idx="833" formatCode="General">
                  <c:v>0.54</c:v>
                </c:pt>
                <c:pt idx="834" formatCode="General">
                  <c:v>0.54</c:v>
                </c:pt>
                <c:pt idx="835">
                  <c:v>2.387</c:v>
                </c:pt>
                <c:pt idx="836">
                  <c:v>2.165</c:v>
                </c:pt>
                <c:pt idx="837">
                  <c:v>2.1</c:v>
                </c:pt>
                <c:pt idx="838">
                  <c:v>1.97</c:v>
                </c:pt>
                <c:pt idx="839">
                  <c:v>1.7</c:v>
                </c:pt>
                <c:pt idx="840">
                  <c:v>1.43</c:v>
                </c:pt>
                <c:pt idx="841">
                  <c:v>0.94</c:v>
                </c:pt>
                <c:pt idx="842">
                  <c:v>0.875</c:v>
                </c:pt>
                <c:pt idx="843">
                  <c:v>0.85899999999999999</c:v>
                </c:pt>
                <c:pt idx="844">
                  <c:v>2.2629999999999999</c:v>
                </c:pt>
                <c:pt idx="845">
                  <c:v>3.2090000000000001</c:v>
                </c:pt>
                <c:pt idx="846">
                  <c:v>4.1559999999999997</c:v>
                </c:pt>
                <c:pt idx="847">
                  <c:v>4.76</c:v>
                </c:pt>
                <c:pt idx="848">
                  <c:v>1.901</c:v>
                </c:pt>
                <c:pt idx="849">
                  <c:v>2.669</c:v>
                </c:pt>
                <c:pt idx="850">
                  <c:v>4.1070000000000002</c:v>
                </c:pt>
                <c:pt idx="851">
                  <c:v>4.9960000000000004</c:v>
                </c:pt>
                <c:pt idx="852">
                  <c:v>1.853</c:v>
                </c:pt>
                <c:pt idx="853">
                  <c:v>2.835</c:v>
                </c:pt>
                <c:pt idx="854">
                  <c:v>3.9449999999999998</c:v>
                </c:pt>
                <c:pt idx="855">
                  <c:v>4.9560000000000004</c:v>
                </c:pt>
                <c:pt idx="856">
                  <c:v>0.57499999999999996</c:v>
                </c:pt>
                <c:pt idx="857">
                  <c:v>0.78900000000000003</c:v>
                </c:pt>
                <c:pt idx="858">
                  <c:v>1.3859999999999999</c:v>
                </c:pt>
                <c:pt idx="859">
                  <c:v>2.0739999999999998</c:v>
                </c:pt>
                <c:pt idx="860">
                  <c:v>4.2569999999999997</c:v>
                </c:pt>
                <c:pt idx="861">
                  <c:v>0.52500000000000002</c:v>
                </c:pt>
                <c:pt idx="862">
                  <c:v>0.878</c:v>
                </c:pt>
                <c:pt idx="863">
                  <c:v>1.323</c:v>
                </c:pt>
                <c:pt idx="864">
                  <c:v>2.1070000000000002</c:v>
                </c:pt>
                <c:pt idx="865">
                  <c:v>3.9550000000000001</c:v>
                </c:pt>
                <c:pt idx="866">
                  <c:v>1.0529999999999999</c:v>
                </c:pt>
                <c:pt idx="867">
                  <c:v>1.552</c:v>
                </c:pt>
                <c:pt idx="868">
                  <c:v>1.978</c:v>
                </c:pt>
                <c:pt idx="869">
                  <c:v>3.7639999999999998</c:v>
                </c:pt>
              </c:numCache>
            </c:numRef>
          </c:yVal>
          <c:smooth val="0"/>
          <c:extLst>
            <c:ext xmlns:c16="http://schemas.microsoft.com/office/drawing/2014/chart" uri="{C3380CC4-5D6E-409C-BE32-E72D297353CC}">
              <c16:uniqueId val="{00000000-9057-4DEC-97C4-E929B137C38E}"/>
            </c:ext>
          </c:extLst>
        </c:ser>
        <c:dLbls>
          <c:showLegendKey val="0"/>
          <c:showVal val="0"/>
          <c:showCatName val="0"/>
          <c:showSerName val="0"/>
          <c:showPercent val="0"/>
          <c:showBubbleSize val="0"/>
        </c:dLbls>
        <c:axId val="670151520"/>
        <c:axId val="670151880"/>
      </c:scatterChart>
      <c:valAx>
        <c:axId val="67015152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670151880"/>
        <c:crosses val="autoZero"/>
        <c:crossBetween val="midCat"/>
      </c:valAx>
      <c:valAx>
        <c:axId val="6701518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6701515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62</xdr:col>
      <xdr:colOff>919842</xdr:colOff>
      <xdr:row>1659</xdr:row>
      <xdr:rowOff>54428</xdr:rowOff>
    </xdr:from>
    <xdr:to>
      <xdr:col>66</xdr:col>
      <xdr:colOff>408214</xdr:colOff>
      <xdr:row>1674</xdr:row>
      <xdr:rowOff>21771</xdr:rowOff>
    </xdr:to>
    <xdr:graphicFrame macro="">
      <xdr:nvGraphicFramePr>
        <xdr:cNvPr id="3" name="Chart 2">
          <a:extLst>
            <a:ext uri="{FF2B5EF4-FFF2-40B4-BE49-F238E27FC236}">
              <a16:creationId xmlns:a16="http://schemas.microsoft.com/office/drawing/2014/main" id="{BCBA689B-3ED7-A3DF-3C1F-8AD9DAFD34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xdr:colOff>
      <xdr:row>0</xdr:row>
      <xdr:rowOff>38100</xdr:rowOff>
    </xdr:from>
    <xdr:to>
      <xdr:col>16</xdr:col>
      <xdr:colOff>464820</xdr:colOff>
      <xdr:row>75</xdr:row>
      <xdr:rowOff>91440</xdr:rowOff>
    </xdr:to>
    <xdr:sp macro="" textlink="">
      <xdr:nvSpPr>
        <xdr:cNvPr id="2" name="TextBox 1">
          <a:extLst>
            <a:ext uri="{FF2B5EF4-FFF2-40B4-BE49-F238E27FC236}">
              <a16:creationId xmlns:a16="http://schemas.microsoft.com/office/drawing/2014/main" id="{D80E1E51-66BB-0133-3B98-EBEB6DB6ED35}"/>
            </a:ext>
          </a:extLst>
        </xdr:cNvPr>
        <xdr:cNvSpPr txBox="1"/>
      </xdr:nvSpPr>
      <xdr:spPr>
        <a:xfrm>
          <a:off x="15240" y="38100"/>
          <a:ext cx="10203180" cy="13769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Changes + motivation 20/02:</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-Aronsson et al. removed 8.3 Log reduction entries which led to ND result.</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-Previously corrected the selective_yes_no column to represent selectivity for uninjured cells following PEF rather than to indicate specificity of the medium/agar for specific microbial species.</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-Flisar et al. 2014: Excluded because of unclearly defined treatment chamber </a:t>
          </a:r>
          <a:endParaRPr lang="en-US" sz="1100"/>
        </a:p>
        <a:p>
          <a:r>
            <a:rPr lang="en-US" sz="1100"/>
            <a:t>-It was decided to exclude exponential decay pulse entries as our Ein equation assumes</a:t>
          </a:r>
          <a:r>
            <a:rPr lang="en-US" sz="1100" baseline="0"/>
            <a:t> square wave behavior leading to an overestimation of exp decay Ein. Pulse width -determination also varies for these entries and is not always substantiated in literature.</a:t>
          </a:r>
        </a:p>
        <a:p>
          <a:r>
            <a:rPr lang="en-US" sz="1100" i="1" baseline="0"/>
            <a:t>*Resolving of "NA" Tin_C entries, if not otherwise reported: assuming that if Tout&lt;30 that Tin was room temperature, if Tout ~23 or less Tin is assumed to be at refrigerated conditions:</a:t>
          </a:r>
          <a:endParaRPr lang="en-US" sz="1100" i="1"/>
        </a:p>
        <a:p>
          <a:r>
            <a:rPr lang="en-US" sz="1100"/>
            <a:t>-Evrendile</a:t>
          </a:r>
          <a:r>
            <a:rPr lang="en-US" sz="1100" baseline="0"/>
            <a:t>k et al. 2000: assumed Tin was room temperature (20C) for "NA" entries</a:t>
          </a:r>
        </a:p>
        <a:p>
          <a:r>
            <a:rPr lang="en-US" sz="1100" baseline="0"/>
            <a:t>-Li et al. 2021: Assumed Tin was 5C in accordance with water bath temperature used.</a:t>
          </a:r>
        </a:p>
        <a:p>
          <a:r>
            <a:rPr lang="en-US" sz="1100" baseline="0"/>
            <a:t>-Altuntas et al. 2011: No Tin mentioned, mention incubating cells at 22C, assumed room temp.</a:t>
          </a:r>
        </a:p>
        <a:p>
          <a:r>
            <a:rPr lang="en-US" sz="1100" baseline="0"/>
            <a:t>-Altuntas et al. 2010: Sample cooled in 10C waterbath between chambers, assumed as inlet temp.</a:t>
          </a:r>
        </a:p>
        <a:p>
          <a:r>
            <a:rPr lang="en-US" sz="1100" baseline="0"/>
            <a:t>-Elez-Martinez et al. 2004: Entries final temp is 32.5C (35kV, 1000 mus) but they mention experiments with final T of 14.0 C meaning that Tin is likely at refrigerated conditions (FDA recommend 4C or lower for refrigeration).</a:t>
          </a:r>
        </a:p>
        <a:p>
          <a:r>
            <a:rPr lang="en-US" sz="1100" baseline="0"/>
            <a:t>Jin et al. 2015: Water bath temperature was adjusted within the range 4-30C to maintain an outlet temperature at 53-55C, they discuss longer and more intenstive treatments than the ones we included from the paper so the inlet temperatures are likely in the intermediate range which we can approximate to room temperature 20C.</a:t>
          </a:r>
        </a:p>
        <a:p>
          <a:r>
            <a:rPr lang="en-US" sz="1100" baseline="0"/>
            <a:t>Mosqueda Melgar et al. 2008: listed doi was correct but hyperlink led to Abram et al. paper, fixed that. Product chilled in ice bath (5C) between chambers, assumed as inlet temp.</a:t>
          </a:r>
        </a:p>
        <a:p>
          <a:r>
            <a:rPr lang="en-US" sz="1100" baseline="0"/>
            <a:t>Munoz et al. 2012: They don't mention a single temperature in relation to their PEF treatments, for the HILP treatment they mention keeping temperatures at 35C at the outlet. Perhaps we should assume the same outlet T for PEF, meaning that inlet T was likely room temp.</a:t>
          </a:r>
        </a:p>
        <a:p>
          <a:r>
            <a:rPr lang="en-US" sz="1100" baseline="0"/>
            <a:t>-Rivas et al. 2006: Only mention a 'outlet temperature lower than 55C' temperature, cooling performed between pairs of chambers, cooling cools placed in 'refrigerated bath'. Could assume that 'refrigerated bath' was similar to the conditions at the inlet but outlet temperatures + Ein in the range of hundreds of J/ml (with two cooling coils to dissipate part of that energy) makes me believe the inlet was closer to room temperature conditions.</a:t>
          </a:r>
        </a:p>
        <a:p>
          <a:r>
            <a:rPr lang="en-US" sz="1100" baseline="0"/>
            <a:t>-Salinas-Roca et al. 2017: Outlet temperature kept below 40C (w/ cooling coil between chambers) with 50 through 2000 mus treatment time range, thousands of J/ml for some entries, makes it plausible to assume refrigerated condition at inlet (maintained by cooling coil) so Tin was entered as 4C</a:t>
          </a:r>
        </a:p>
        <a:p>
          <a:r>
            <a:rPr lang="en-US" sz="1100" baseline="0"/>
            <a:t>-Salvia-Trujillo et al. 2011: Product refrigerated after preparation at 4C, 'between each chamber the product was refrigerated in an ice water bath' kept temperature below 40C that way. Hence, refrigerated conditions at the inlet seem the most plausible. Ein in the thousands of J/ml with outlet temp below 40C</a:t>
          </a:r>
        </a:p>
        <a:p>
          <a:r>
            <a:rPr lang="en-US" sz="1100" baseline="0"/>
            <a:t>-Wang et al. 2015: Original Tout of 30C was </a:t>
          </a:r>
          <a:r>
            <a:rPr lang="en-US" sz="1100" i="1" baseline="0"/>
            <a:t>after</a:t>
          </a:r>
          <a:r>
            <a:rPr lang="en-US" sz="1100" i="0" baseline="0"/>
            <a:t> cooling at the outlet so actual Tout is higher, though with only one treatment chamber and hundreds of J/ml Ein Tout&lt;30C are achievable at both refrigerated and room temperature inlet temperatures. They mention transferring dilutions of their cells into beakers just prior to PEF treatment which is also when they measure the conductivity, operating under the assumption that the beakers weren't cooled the conductivity was likely measured at room temperatures. So, for lack of a better indication Tin was assumed to be room temperature</a:t>
          </a:r>
        </a:p>
        <a:p>
          <a:r>
            <a:rPr lang="en-US" sz="1100" i="0" baseline="0"/>
            <a:t>-Wang et al. 2018: Reported Tout was erroneous, instead no value is provided. They do mention adjusting conductivity prior to PEF treatment with a benchtop device which leads me to believe that was done under room temperature conditions, hence as above we'll assume that to be the Tin condition. Only ~100 J/ml as well.</a:t>
          </a:r>
        </a:p>
        <a:p>
          <a:r>
            <a:rPr lang="en-US" sz="1100" baseline="0"/>
            <a:t>-Zhong et al. 2005: One treatment chamber but many cycles, 'samples under 40C by submerging into an ice-water bath' so actual Tout is higher than 40C, estimated energy trends into thousands of J/ml with ~50-200 J/ml per cycle. Provided schematic shows cooling coil prior to PEF chamber so by assuming refrigerated conditions the 50-200 J/ml per cycle. But combination coil before PEF and statement of T&lt;40C due to the coil contradicts that, but simultaneously a Tin of 40C seems nonsensical. </a:t>
          </a:r>
          <a:r>
            <a:rPr lang="en-US" sz="1100" b="0" baseline="0"/>
            <a:t>For now we'll mark Tin as 4C but let's have a look at this article.</a:t>
          </a:r>
        </a:p>
        <a:p>
          <a:endParaRPr lang="en-US" sz="1100" b="1" baseline="0"/>
        </a:p>
        <a:p>
          <a:r>
            <a:rPr lang="en-US" sz="1100" b="0" i="0" baseline="0"/>
            <a:t>*</a:t>
          </a:r>
          <a:r>
            <a:rPr lang="en-US" sz="1100" b="0" i="1" baseline="0"/>
            <a:t>Checked "NA" pulse polarity entries to validate whether there truly was no indication of the pulse polarity:</a:t>
          </a:r>
        </a:p>
        <a:p>
          <a:r>
            <a:rPr lang="en-US" sz="1100" b="0" baseline="0"/>
            <a:t>-Abram et al. 2002: They do contain a pulse wave graph which only shows a monopolar character, if the pulses they had used actually were bipolar they would've indicated that so perhaps we should assume monopolar pulses.</a:t>
          </a:r>
        </a:p>
        <a:p>
          <a:r>
            <a:rPr lang="en-US" sz="1100" b="0" baseline="0"/>
            <a:t>-Aronson et al. 2004: No information regarding pulse waveforms, reference to Aronsson &amp; Ronner 2001 paper for PEF setup which does contain a pulse wave graph which only shows monopolar (square) character, the same reasoning applies as it does above that if they had used bipolar pulses that they would've showed that there.</a:t>
          </a:r>
        </a:p>
        <a:p>
          <a:r>
            <a:rPr lang="en-US" sz="1100" b="0" baseline="0"/>
            <a:t>-Choi et al. 2008: in the introduction they make mention of bipolar square waves being best for commercial pasteurization which they subsequently 'balance' by mentioning risk of dielectric breakdown of food. They then proceed not to mention pulse polarity again, however, in the section discussing their treatment chamber design they mention accounting for easy ventilation of gas bubbles, which they state as the cause of the dielectric breakdown which they tied into bipolar pulse characters, as such it might be assumed that bipolar pulses are used. However, same as for the previous articles there also is a pulse waveform graph that only shows one pulse which is seemingly monopolar. yet no mention of monopolar pulses is made anywhere in the paper so the assumption is that bipolar pulses were used.</a:t>
          </a:r>
        </a:p>
        <a:p>
          <a:r>
            <a:rPr lang="en-US" sz="1100" b="0" baseline="0"/>
            <a:t>-Djukic-Vukovic et al. 2021: make no mention of pulse polarity but mention using a pulse generator described in Flisar (2014), who make no mention of pulse polarity either but do show a pulse waveform graph with only one positive pulse. We again assume that if the generator were capable of bipolar pulses that that would've been featured in the graph and as such we assume monopolar pulses.</a:t>
          </a:r>
        </a:p>
        <a:p>
          <a:r>
            <a:rPr lang="en-US" sz="1100" b="0" baseline="0"/>
            <a:t>-Dutreux et al. 2000: They mention Qin et al. 1995 when describing their PEF device, this article is unavailable online (There is a physical copy in the Forum library though?) though and they don't elaborate further about their pulses. Also some entries are marked as square wave but others as "NA" for waveform, this was likely due to the other paper, Zhang et al. 1994, that they mention at the treatment chamber description which describes a pulse generator which emits monopolar pulses but that is prior to the description of the Qin et al. 1995 'new' generator and as such can't be used to conclude the waveform. As such the square wave entries will be replaced with "NA" </a:t>
          </a:r>
        </a:p>
        <a:p>
          <a:r>
            <a:rPr lang="en-US" sz="1100" b="0" baseline="0"/>
            <a:t>Kanduser et al. 2017: They mention the Flisar et al. 2014 pulse generator (refer to Djukic-Vukovic et al. 2021 notes for conclusion from there) as well as a HPV-VG device, for this latter device they refer to an article which operates it where it runs in a monopolar (unipolar) mode. As such we will assume that both candidate devices used in this article operated in monopolar mode.</a:t>
          </a:r>
        </a:p>
        <a:p>
          <a:r>
            <a:rPr lang="en-US" sz="1100" b="0" baseline="0"/>
            <a:t>-Saldana et al. 2011:  Pulse device described in other Saldana papers, which mention a ScandiNova device. No mention is made of the polarity on their website, left as "NA" for now. </a:t>
          </a:r>
          <a:r>
            <a:rPr lang="en-US" sz="1100" b="0" i="1" baseline="0"/>
            <a:t>-&gt; check a few more papers but otherwise monopolar can be assumed.</a:t>
          </a:r>
          <a:endParaRPr lang="en-US" sz="1100" b="0" baseline="0"/>
        </a:p>
        <a:p>
          <a:r>
            <a:rPr lang="en-US" sz="1100" b="0" baseline="0"/>
            <a:t>-Zhao et al. 2014: Make no explicit mention of pulse polarity, OSU-4L device, Mention further device description in Yang et al. 2004 which shows the pulse waveform graph with a bipolar character, assumed that that was maintained.</a:t>
          </a:r>
        </a:p>
        <a:p>
          <a:r>
            <a:rPr lang="en-US" sz="1100" b="0" baseline="0"/>
            <a:t>-Zhong et al. 2005: No explicit mention of pulse polarity, Tsinghua/China agricultural university pulse generator, Tsinghua PPG-1 is capable of generating bipolar pulses (10.1017/S0263034608000025 looks more pilot-scale though). Couldn't readily find another device, not for the China agricultural university either. Can't conclusively state that the PPG-1 was indeed used in the article but it seems the option I can find</a:t>
          </a:r>
          <a:r>
            <a:rPr lang="en-US" sz="1100" b="0" i="1" baseline="0"/>
            <a:t>, For now we'll conclude bipolar pulses but that still isn't conclusive</a:t>
          </a:r>
        </a:p>
        <a:p>
          <a:endParaRPr lang="en-US" sz="1100" b="0" i="0" baseline="0"/>
        </a:p>
        <a:p>
          <a:r>
            <a:rPr lang="en-US" sz="1100" b="0" i="0" baseline="0"/>
            <a:t>*"NA" entries for Pulse shape were checked again to validate whether there was indeed no indication:</a:t>
          </a:r>
        </a:p>
        <a:p>
          <a:r>
            <a:rPr lang="en-US" sz="1100" b="0" i="0" baseline="0"/>
            <a:t>-Dutreux et al. 2000: Left as "NA" as reasoned in the section above.</a:t>
          </a:r>
        </a:p>
        <a:p>
          <a:r>
            <a:rPr lang="en-US" sz="1100" b="0" i="0" baseline="0"/>
            <a:t>-Evrendilek et al. 2000: OSU-4 pulse device, contains a graph of the bipolar square waveform, entered as such.</a:t>
          </a:r>
        </a:p>
        <a:p>
          <a:r>
            <a:rPr lang="en-US" sz="1100" b="0" i="0" baseline="0"/>
            <a:t>-Marselles-Fontanet et al. 2009: They make no mention of pulse waveform but after mentioning their PEF device (OSU-4) they cite an article by the same author using said device where they do mention using square-wave pulses, hence square waveform pulses were assumed for this article as well.</a:t>
          </a:r>
        </a:p>
        <a:p>
          <a:r>
            <a:rPr lang="en-US" sz="1100" b="0" i="0" baseline="0"/>
            <a:t>-Timmermans et al. 2013: Only mention of pulse waveform is when discussing other articles and it is seemingly used to distinguish their data from the experimental data, during the PEF device description other articles are referenced, however, these are either unavailable or discuss PEF device specifications in a more general sense. They do use the calorimetric method for determing Ein which, as opposed to the device wattage * treatment time and the equation we use which assumes constant field strength, can be used for exponential decay pulses this combined with the square waveform that they do mention makes me lean towards exponential decay pulses for this paper, which will be entered for now. </a:t>
          </a:r>
          <a:r>
            <a:rPr lang="en-US" sz="1100" b="1" i="0" baseline="0"/>
            <a:t>Let's discuss this conclusion</a:t>
          </a:r>
          <a:endParaRPr lang="en-US" sz="1100" b="0" i="0" baseline="0"/>
        </a:p>
        <a:p>
          <a:r>
            <a:rPr lang="en-US" sz="1100" b="0" i="0" baseline="0"/>
            <a:t>-Unal, Yousef &amp; Dunne. 2002: use a OSU-4 PEF device, no mention is made of the pulse shape besides the fact that it was monitored. For lack of a better indication I checked whether there were any entries for exponential decay pulses with OSU-4 devices which wasn't the case, hence it was assumed that the pulse waveform was square wave.</a:t>
          </a:r>
        </a:p>
        <a:p>
          <a:endParaRPr lang="en-US" sz="1100" b="0" i="0" baseline="0"/>
        </a:p>
        <a:p>
          <a:endParaRPr lang="en-US" sz="1100" b="0" baseline="0"/>
        </a:p>
      </xdr:txBody>
    </xdr:sp>
    <xdr:clientData/>
  </xdr:twoCellAnchor>
  <xdr:twoCellAnchor>
    <xdr:from>
      <xdr:col>17</xdr:col>
      <xdr:colOff>592455</xdr:colOff>
      <xdr:row>0</xdr:row>
      <xdr:rowOff>38098</xdr:rowOff>
    </xdr:from>
    <xdr:to>
      <xdr:col>27</xdr:col>
      <xdr:colOff>57150</xdr:colOff>
      <xdr:row>142</xdr:row>
      <xdr:rowOff>22860</xdr:rowOff>
    </xdr:to>
    <xdr:sp macro="" textlink="">
      <xdr:nvSpPr>
        <xdr:cNvPr id="3" name="TextBox 2">
          <a:extLst>
            <a:ext uri="{FF2B5EF4-FFF2-40B4-BE49-F238E27FC236}">
              <a16:creationId xmlns:a16="http://schemas.microsoft.com/office/drawing/2014/main" id="{CCE40280-0AC6-D68A-77C4-9A762822A4FB}"/>
            </a:ext>
          </a:extLst>
        </xdr:cNvPr>
        <xdr:cNvSpPr txBox="1"/>
      </xdr:nvSpPr>
      <xdr:spPr>
        <a:xfrm>
          <a:off x="10955655" y="38098"/>
          <a:ext cx="5560695" cy="259537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-Changes 22/02:</a:t>
          </a:r>
        </a:p>
        <a:p>
          <a:r>
            <a:rPr lang="en-US" sz="1100"/>
            <a:t>-Changed </a:t>
          </a:r>
          <a:r>
            <a:rPr lang="en-US" sz="1100" i="1"/>
            <a:t>Saccharomyces</a:t>
          </a:r>
          <a:r>
            <a:rPr lang="en-US" sz="1100" i="0" baseline="0"/>
            <a:t> ascospore entries their cell type classification to 'vegetative' </a:t>
          </a:r>
        </a:p>
        <a:p>
          <a:r>
            <a:rPr lang="en-US" sz="1100" i="0" baseline="0"/>
            <a:t>-Changed notation of % abv as that caused issues in the MLR code previously.</a:t>
          </a:r>
        </a:p>
        <a:p>
          <a:r>
            <a:rPr lang="en-US" sz="1100" i="0" baseline="0"/>
            <a:t>-Changed capitalization of food_product categories to lower case.</a:t>
          </a:r>
        </a:p>
        <a:p>
          <a:endParaRPr lang="en-US" sz="1100" i="0" baseline="0"/>
        </a:p>
        <a:p>
          <a:r>
            <a:rPr lang="en-US" sz="1100" i="0" baseline="0"/>
            <a:t>-Changes 23/02:</a:t>
          </a:r>
        </a:p>
        <a:p>
          <a:r>
            <a:rPr lang="en-US" sz="1100" i="0" baseline="0"/>
            <a:t>-Dutreux et al. 2000: Investigated articles they mention for describing the process/treatment, one mentions square wave pulses whilst no mention of pulse polarity is made, as such, in accordance with the novel assumption, we assume a monopolar pulse character. -&gt; with that we've resolved the last "NA" entries for pulse polarity and waveform.</a:t>
          </a:r>
        </a:p>
        <a:p>
          <a:endParaRPr lang="en-US" sz="1100" i="0" baseline="0"/>
        </a:p>
        <a:p>
          <a:r>
            <a:rPr lang="en-US" sz="1100" i="0" baseline="0"/>
            <a:t>*Checking recirculation papers:</a:t>
          </a:r>
        </a:p>
        <a:p>
          <a:r>
            <a:rPr lang="en-US" sz="1100" i="0" baseline="0"/>
            <a:t>-Zhong et al. 2005: They do explicitly mention multiple treatment cycles, will maintain the number of cycles. They mention that it's not a closed loop system but rather that the sample is placed in a sterile feed tank after each cycle to prevent recontamination.</a:t>
          </a:r>
        </a:p>
        <a:p>
          <a:r>
            <a:rPr lang="en-US" sz="1100" i="0" baseline="0"/>
            <a:t>-Schrive et al. 2014: refers to Schrive et al. 2006 for treatment setup, which does explicitly discuss a recirculation setup.</a:t>
          </a:r>
        </a:p>
        <a:p>
          <a:r>
            <a:rPr lang="en-US" sz="1100" i="0" baseline="0"/>
            <a:t>-Amiali et al. 2006: They mention 'typical run (...) four consecutive treatments' with a constant treatment time and flow rate per pass. The process diagram itself also shows how the product is cycled through the system.</a:t>
          </a:r>
        </a:p>
        <a:p>
          <a:r>
            <a:rPr lang="en-US" sz="1100" i="0" baseline="0"/>
            <a:t>-Amiali et al. 2005: Same setup as the 2006 paper but with up to 7 passes. </a:t>
          </a:r>
        </a:p>
        <a:p>
          <a:r>
            <a:rPr lang="en-US" sz="1100" i="0" baseline="0"/>
            <a:t>-Alkhafaji &amp; Farid, 2007: They describe it as a multi-pass chamber with the diagram showing a closed treatment circuit.</a:t>
          </a:r>
        </a:p>
        <a:p>
          <a:r>
            <a:rPr lang="en-US" sz="1100" i="0" baseline="0"/>
            <a:t>-For all articles that are marked as having more than one treatment cycle they explicitly discuss the recirculation setup.</a:t>
          </a:r>
        </a:p>
        <a:p>
          <a:endParaRPr lang="en-US" sz="1100" i="0" baseline="0"/>
        </a:p>
        <a:p>
          <a:r>
            <a:rPr lang="en-US" sz="1100" i="0" baseline="0"/>
            <a:t>-Changed Timmermans et al. 2013 back to Square wave pulses following clarification by author.</a:t>
          </a:r>
        </a:p>
        <a:p>
          <a:endParaRPr lang="en-US" sz="1100" i="0" baseline="0"/>
        </a:p>
        <a:p>
          <a:r>
            <a:rPr lang="en-US" sz="1100" i="0" baseline="0"/>
            <a:t>-Changes 28/02:</a:t>
          </a:r>
        </a:p>
        <a:p>
          <a:r>
            <a:rPr lang="en-US" sz="1100" i="0" baseline="0"/>
            <a:t>-Added LAB_true_false column where true indicates a lactobacilales member, in the past a copy of the database was made where all LAB genera had their 'genus' entry replaced with LAB but this way we can filter for LAB with ease whilst retaining the actual genus for each entry. I might still use the previous method at least once with the overall dataset to see whether the respective coefficient is affected. Upon examining EDA code LAB classification in the genus column is necessary to get the code to properly group them as such.</a:t>
          </a:r>
        </a:p>
        <a:p>
          <a:endParaRPr lang="en-US" sz="1100" i="0" baseline="0"/>
        </a:p>
        <a:p>
          <a:r>
            <a:rPr lang="en-US" sz="1100" i="0" baseline="0"/>
            <a:t>-Changes 29/02: </a:t>
          </a:r>
        </a:p>
        <a:p>
          <a:r>
            <a:rPr lang="en-US" sz="1100" i="0" baseline="0"/>
            <a:t>-Added organism_grouped column to represent groups of genera that can be categorised under a joint label, i.e. Lactic acid bacteria.</a:t>
          </a:r>
        </a:p>
        <a:p>
          <a:r>
            <a:rPr lang="en-US" sz="1100" i="0" baseline="0"/>
            <a:t>-Added study_below_equal_300 column to allow for filtering for studies whose experimental range falls within 300 J/ml and exclude papers where &lt;200 j/ml entries are on the lower end of their experimental design.</a:t>
          </a:r>
        </a:p>
        <a:p>
          <a:endParaRPr lang="en-US" sz="1100" i="0" baseline="0"/>
        </a:p>
        <a:p>
          <a:r>
            <a:rPr lang="en-US" sz="1100" i="0" baseline="0"/>
            <a:t>-29/11/24:</a:t>
          </a:r>
          <a:br>
            <a:rPr lang="en-US" sz="1100" i="0" baseline="0"/>
          </a:br>
          <a:r>
            <a:rPr lang="en-US" sz="1100" i="0" baseline="0"/>
            <a:t>-Decided to remove articles which use Reduction percentage due to inaccuracy beyond 2 log (Berzosa et al.)</a:t>
          </a:r>
        </a:p>
        <a:p>
          <a:r>
            <a:rPr lang="en-US" sz="1100" i="0" baseline="0"/>
            <a:t>-Gonzalez-Arenzana et al.: the increasing energy input did not result in a linear increase with the reduction (decrease first, increase only after further Ein increases), the authors relate this to the effect on the medium temperature through the outlet temp.</a:t>
          </a:r>
        </a:p>
        <a:p>
          <a:r>
            <a:rPr lang="en-US" sz="1100" i="0" baseline="0"/>
            <a:t>-Discuss effect of conductivity on microbial inactivation at same field strength based on 10.1016/j.jfoodeng.2014.08.020</a:t>
          </a:r>
        </a:p>
        <a:p>
          <a:r>
            <a:rPr lang="en-US" sz="1100" i="0" baseline="0"/>
            <a:t>-Staphylococcus data in Zhao et al. switched up the symbols for the lowest and highest field strength in the legend. In text they make mention of a 38.4 kV/cm datapoint marked with the 18.1 kV/cm symbol. </a:t>
          </a:r>
        </a:p>
        <a:p>
          <a:r>
            <a:rPr lang="en-US" sz="1100" i="0" baseline="0"/>
            <a:t>-Timmermans et al. (10.1016/j.ijfoodmicro.2013.12.022) sudden jump in Salmonella reduction results from the low Ein result with formula 2 despite the Calorimetric Ein determination of the paper where the datapoints were determined to be at 57 and 98 J/ml as opposed to the 18 and 20 J/ml determined with Formula 2. Formula 2 is incorrect in this case as the calorimetric result indicates a minimum Ein (assumes Adiabatic conditions) so the result should be excluded, entries have been deleted</a:t>
          </a:r>
        </a:p>
        <a:p>
          <a:endParaRPr lang="en-US" sz="1100" i="0" baseline="0"/>
        </a:p>
        <a:p>
          <a:r>
            <a:rPr lang="en-US" sz="1100" i="0" baseline="0"/>
            <a:t>-17/12/24:</a:t>
          </a:r>
        </a:p>
        <a:p>
          <a:pPr marL="0" marR="0" lvl="0" indent="0" defTabSz="914400" eaLnBrk="1" fontAlgn="auto" latinLnBrk="0" hangingPunct="1">
            <a:lnSpc>
              <a:spcPct val="100000"/>
            </a:lnSpc>
            <a:spcBef>
              <a:spcPts val="0"/>
            </a:spcBef>
            <a:spcAft>
              <a:spcPts val="0"/>
            </a:spcAft>
            <a:buClrTx/>
            <a:buSzTx/>
            <a:buFontTx/>
            <a:buNone/>
            <a:tabLst/>
            <a:defRPr/>
          </a:pPr>
          <a:r>
            <a:rPr lang="en-US" sz="1100" i="0" baseline="0">
              <a:solidFill>
                <a:schemeClr val="dk1"/>
              </a:solidFill>
              <a:effectLst/>
              <a:latin typeface="+mn-lt"/>
              <a:ea typeface="+mn-ea"/>
              <a:cs typeface="+mn-cs"/>
            </a:rPr>
            <a:t>MO: as described my Marcel in mail and discussed in meeting, 1 ml inoc. results in lower limit of </a:t>
          </a:r>
          <a:r>
            <a:rPr lang="en-US" sz="1100" b="1" i="0" baseline="0">
              <a:solidFill>
                <a:schemeClr val="dk1"/>
              </a:solidFill>
              <a:effectLst/>
              <a:latin typeface="+mn-lt"/>
              <a:ea typeface="+mn-ea"/>
              <a:cs typeface="+mn-cs"/>
            </a:rPr>
            <a:t>0</a:t>
          </a:r>
          <a:r>
            <a:rPr lang="en-US" sz="1100" i="0" baseline="0">
              <a:solidFill>
                <a:schemeClr val="dk1"/>
              </a:solidFill>
              <a:effectLst/>
              <a:latin typeface="+mn-lt"/>
              <a:ea typeface="+mn-ea"/>
              <a:cs typeface="+mn-cs"/>
            </a:rPr>
            <a:t> log survivors. 0.1 ml inoc. results in lower limit of </a:t>
          </a:r>
          <a:r>
            <a:rPr lang="en-US" sz="1100" b="1" i="0" baseline="0">
              <a:solidFill>
                <a:schemeClr val="dk1"/>
              </a:solidFill>
              <a:effectLst/>
              <a:latin typeface="+mn-lt"/>
              <a:ea typeface="+mn-ea"/>
              <a:cs typeface="+mn-cs"/>
            </a:rPr>
            <a:t>1</a:t>
          </a:r>
          <a:r>
            <a:rPr lang="en-US" sz="1100" i="0" baseline="0">
              <a:solidFill>
                <a:schemeClr val="dk1"/>
              </a:solidFill>
              <a:effectLst/>
              <a:latin typeface="+mn-lt"/>
              <a:ea typeface="+mn-ea"/>
              <a:cs typeface="+mn-cs"/>
            </a:rPr>
            <a:t> log survivors. </a:t>
          </a:r>
          <a:r>
            <a:rPr lang="en-US" sz="1100" b="1" i="0" baseline="0">
              <a:solidFill>
                <a:schemeClr val="dk1"/>
              </a:solidFill>
              <a:effectLst/>
              <a:latin typeface="+mn-lt"/>
              <a:ea typeface="+mn-ea"/>
              <a:cs typeface="+mn-cs"/>
            </a:rPr>
            <a:t>Recheck</a:t>
          </a:r>
          <a:r>
            <a:rPr lang="en-US" sz="1100" i="0" baseline="0">
              <a:solidFill>
                <a:schemeClr val="dk1"/>
              </a:solidFill>
              <a:effectLst/>
              <a:latin typeface="+mn-lt"/>
              <a:ea typeface="+mn-ea"/>
              <a:cs typeface="+mn-cs"/>
            </a:rPr>
            <a:t> with this approach unless otherwise indicated by authors:</a:t>
          </a:r>
          <a:endParaRPr lang="en-US" sz="1100" i="0" baseline="0"/>
        </a:p>
        <a:p>
          <a:r>
            <a:rPr lang="en-US" sz="1100" i="0" baseline="0"/>
            <a:t>-Aronsson et al.: use 1 ml sample to inoculate, no enrichment procedure, according to formula 0 LOG detection limit.</a:t>
          </a:r>
        </a:p>
        <a:p>
          <a:pPr marL="0" marR="0" lvl="0" indent="0" defTabSz="914400" eaLnBrk="1" fontAlgn="auto" latinLnBrk="0" hangingPunct="1">
            <a:lnSpc>
              <a:spcPct val="100000"/>
            </a:lnSpc>
            <a:spcBef>
              <a:spcPts val="0"/>
            </a:spcBef>
            <a:spcAft>
              <a:spcPts val="0"/>
            </a:spcAft>
            <a:buClrTx/>
            <a:buSzTx/>
            <a:buFontTx/>
            <a:buNone/>
            <a:tabLst/>
            <a:defRPr/>
          </a:pPr>
          <a:r>
            <a:rPr lang="en-US" sz="1100" i="0" baseline="0"/>
            <a:t>-Alkhafaji &amp; Farid: </a:t>
          </a:r>
          <a:r>
            <a:rPr lang="en-US" sz="1100" i="0" baseline="0">
              <a:solidFill>
                <a:schemeClr val="dk1"/>
              </a:solidFill>
              <a:effectLst/>
              <a:latin typeface="+mn-lt"/>
              <a:ea typeface="+mn-ea"/>
              <a:cs typeface="+mn-cs"/>
            </a:rPr>
            <a:t>Use BacTrac for survivor enumeration, they mention using 30 E. coli calibration suspensions but make no mention of the range of that calibration or sensitivity of the device. Bac Trac 4300 brochure makes mention of "1 bacteria per 25g sample", however the indirect nature of the method (measuring EC changes resulting from metabolite release) is seen as unreliable when calibrated using viable unelectroporated populations to measure survival in part viable - part irreversibly electroporated populations as metabolite leakage from the latter might affect the measurement by inflating the resulting survivor count.</a:t>
          </a:r>
        </a:p>
        <a:p>
          <a:pPr marL="0" marR="0" lvl="0" indent="0" defTabSz="914400" eaLnBrk="1" fontAlgn="auto" latinLnBrk="0" hangingPunct="1">
            <a:lnSpc>
              <a:spcPct val="100000"/>
            </a:lnSpc>
            <a:spcBef>
              <a:spcPts val="0"/>
            </a:spcBef>
            <a:spcAft>
              <a:spcPts val="0"/>
            </a:spcAft>
            <a:buClrTx/>
            <a:buSzTx/>
            <a:buFontTx/>
            <a:buNone/>
            <a:tabLst/>
            <a:defRPr/>
          </a:pPr>
          <a:r>
            <a:rPr lang="en-US" sz="1100" i="0" baseline="0">
              <a:solidFill>
                <a:schemeClr val="dk1"/>
              </a:solidFill>
              <a:effectLst/>
              <a:latin typeface="+mn-lt"/>
              <a:ea typeface="+mn-ea"/>
              <a:cs typeface="+mn-cs"/>
            </a:rPr>
            <a:t>-Zhang et al.: mention 1ml sample for plate inoculation, no enrichment described. according to formula 0 LOG detection limit.</a:t>
          </a:r>
        </a:p>
        <a:p>
          <a:pPr marL="0" marR="0" lvl="0" indent="0" defTabSz="914400" eaLnBrk="1" fontAlgn="auto" latinLnBrk="0" hangingPunct="1">
            <a:lnSpc>
              <a:spcPct val="100000"/>
            </a:lnSpc>
            <a:spcBef>
              <a:spcPts val="0"/>
            </a:spcBef>
            <a:spcAft>
              <a:spcPts val="0"/>
            </a:spcAft>
            <a:buClrTx/>
            <a:buSzTx/>
            <a:buFontTx/>
            <a:buNone/>
            <a:tabLst/>
            <a:defRPr/>
          </a:pPr>
          <a:r>
            <a:rPr lang="en-US" sz="1100" i="0" baseline="0">
              <a:solidFill>
                <a:schemeClr val="dk1"/>
              </a:solidFill>
              <a:effectLst/>
              <a:latin typeface="+mn-lt"/>
              <a:ea typeface="+mn-ea"/>
              <a:cs typeface="+mn-cs"/>
            </a:rPr>
            <a:t>-Schrive et al.: Mention lower detection limit of 10 CFU/ml or 1 LOG(CFU/ml). deleted 1 data point below this limit.</a:t>
          </a:r>
          <a:endParaRPr lang="nl-N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i="0" baseline="0">
              <a:solidFill>
                <a:schemeClr val="dk1"/>
              </a:solidFill>
              <a:effectLst/>
              <a:latin typeface="+mn-lt"/>
              <a:ea typeface="+mn-ea"/>
              <a:cs typeface="+mn-cs"/>
            </a:rPr>
            <a:t>-Yildiz et al.: use 'appropriate dilutions'  no mention of enrichment method or inoculation volume -&gt;  Maintaining 1 log as the lower detection limit. </a:t>
          </a:r>
        </a:p>
        <a:p>
          <a:r>
            <a:rPr lang="en-US" sz="1100" i="0" baseline="0">
              <a:solidFill>
                <a:schemeClr val="dk1"/>
              </a:solidFill>
              <a:effectLst/>
              <a:latin typeface="+mn-lt"/>
              <a:ea typeface="+mn-ea"/>
              <a:cs typeface="+mn-cs"/>
            </a:rPr>
            <a:t>-Huang et al. (1272-3): serial dilutions, 50 microliter inoc. volume. </a:t>
          </a:r>
          <a:endParaRPr lang="nl-NL">
            <a:effectLst/>
          </a:endParaRPr>
        </a:p>
        <a:p>
          <a:r>
            <a:rPr lang="en-US" sz="1100" i="0" baseline="0">
              <a:solidFill>
                <a:schemeClr val="dk1"/>
              </a:solidFill>
              <a:effectLst/>
              <a:latin typeface="+mn-lt"/>
              <a:ea typeface="+mn-ea"/>
              <a:cs typeface="+mn-cs"/>
            </a:rPr>
            <a:t>No mention of detection limit. Spiral plating, previously concluded this combination at 2 LOG detection limit.</a:t>
          </a:r>
        </a:p>
        <a:p>
          <a:r>
            <a:rPr lang="en-US" sz="1100" i="0" baseline="0">
              <a:solidFill>
                <a:schemeClr val="dk1"/>
              </a:solidFill>
              <a:effectLst/>
              <a:latin typeface="+mn-lt"/>
              <a:ea typeface="+mn-ea"/>
              <a:cs typeface="+mn-cs"/>
            </a:rPr>
            <a:t>-Sampedro et al.: Serial dilutions, no inoc volume -&gt; maintaining 1 LOG as the lower detection limit, removed entries relating to selective plates of Salmonella as well.</a:t>
          </a:r>
        </a:p>
        <a:p>
          <a:r>
            <a:rPr lang="en-US" sz="1100" i="0" baseline="0">
              <a:solidFill>
                <a:schemeClr val="dk1"/>
              </a:solidFill>
              <a:effectLst/>
              <a:latin typeface="+mn-lt"/>
              <a:ea typeface="+mn-ea"/>
              <a:cs typeface="+mn-cs"/>
            </a:rPr>
            <a:t>-Evrendilek et al. (2020): 'appropriate dilutions' no mention of detection limit, no inoc. volume mentioned. Defaulting to 1 LOG detection limit.</a:t>
          </a:r>
          <a:endParaRPr lang="nl-NL">
            <a:effectLst/>
          </a:endParaRPr>
        </a:p>
        <a:p>
          <a:r>
            <a:rPr lang="en-US" sz="1100" i="0" baseline="0">
              <a:solidFill>
                <a:schemeClr val="dk1"/>
              </a:solidFill>
              <a:effectLst/>
              <a:latin typeface="+mn-lt"/>
              <a:ea typeface="+mn-ea"/>
              <a:cs typeface="+mn-cs"/>
            </a:rPr>
            <a:t>-Evrendilek et al. (2017): 'appropriate dilutions' no mention of detection limit, no inoc. volume mentioned. Defaulting to 1 LOG detection limit.</a:t>
          </a:r>
          <a:endParaRPr lang="nl-N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i="0" baseline="0">
              <a:solidFill>
                <a:schemeClr val="dk1"/>
              </a:solidFill>
              <a:effectLst/>
              <a:latin typeface="+mn-lt"/>
              <a:ea typeface="+mn-ea"/>
              <a:cs typeface="+mn-cs"/>
            </a:rPr>
            <a:t>-Huang et al. (07.011): serial dilutions, 50 microliter inoc. volume, no mention of detection limit, spiral plating -&gt; maintaining 2 LOG due to this combination. 22 entries removed between the two papers.</a:t>
          </a:r>
        </a:p>
        <a:p>
          <a:pPr marL="0" marR="0" lvl="0" indent="0" defTabSz="914400" eaLnBrk="1" fontAlgn="auto" latinLnBrk="0" hangingPunct="1">
            <a:lnSpc>
              <a:spcPct val="100000"/>
            </a:lnSpc>
            <a:spcBef>
              <a:spcPts val="0"/>
            </a:spcBef>
            <a:spcAft>
              <a:spcPts val="0"/>
            </a:spcAft>
            <a:buClrTx/>
            <a:buSzTx/>
            <a:buFontTx/>
            <a:buNone/>
            <a:tabLst/>
            <a:defRPr/>
          </a:pPr>
          <a:r>
            <a:rPr lang="en-US" sz="1100" i="0" baseline="0">
              <a:solidFill>
                <a:schemeClr val="dk1"/>
              </a:solidFill>
              <a:effectLst/>
              <a:latin typeface="+mn-lt"/>
              <a:ea typeface="+mn-ea"/>
              <a:cs typeface="+mn-cs"/>
            </a:rPr>
            <a:t>-Abca &amp; Evrendilek: serial dilutions, 100 microliter inoc volume. No mention of detection limit or enrichment. 1 LOG detection limit for this inoc volume. No deletions.</a:t>
          </a:r>
        </a:p>
        <a:p>
          <a:pPr marL="0" marR="0" lvl="0" indent="0" defTabSz="914400" eaLnBrk="1" fontAlgn="auto" latinLnBrk="0" hangingPunct="1">
            <a:lnSpc>
              <a:spcPct val="100000"/>
            </a:lnSpc>
            <a:spcBef>
              <a:spcPts val="0"/>
            </a:spcBef>
            <a:spcAft>
              <a:spcPts val="0"/>
            </a:spcAft>
            <a:buClrTx/>
            <a:buSzTx/>
            <a:buFontTx/>
            <a:buNone/>
            <a:tabLst/>
            <a:defRPr/>
          </a:pPr>
          <a:r>
            <a:rPr lang="en-US" sz="1100" i="0" baseline="0">
              <a:solidFill>
                <a:schemeClr val="dk1"/>
              </a:solidFill>
              <a:effectLst/>
              <a:latin typeface="+mn-lt"/>
              <a:ea typeface="+mn-ea"/>
              <a:cs typeface="+mn-cs"/>
            </a:rPr>
            <a:t>-Gachovska et al.: serial dilutions, 'plated according to manufacturer's instructions' -&gt; couldn't find manufacturer info, no mention of detection limit or inoc. volume. Default to 1 LOG survivors minimum</a:t>
          </a:r>
        </a:p>
        <a:p>
          <a:pPr marL="0" marR="0" lvl="0" indent="0" defTabSz="914400" eaLnBrk="1" fontAlgn="auto" latinLnBrk="0" hangingPunct="1">
            <a:lnSpc>
              <a:spcPct val="100000"/>
            </a:lnSpc>
            <a:spcBef>
              <a:spcPts val="0"/>
            </a:spcBef>
            <a:spcAft>
              <a:spcPts val="0"/>
            </a:spcAft>
            <a:buClrTx/>
            <a:buSzTx/>
            <a:buFontTx/>
            <a:buNone/>
            <a:tabLst/>
            <a:defRPr/>
          </a:pPr>
          <a:r>
            <a:rPr lang="en-US" sz="1100" i="0" baseline="0">
              <a:solidFill>
                <a:schemeClr val="dk1"/>
              </a:solidFill>
              <a:effectLst/>
              <a:latin typeface="+mn-lt"/>
              <a:ea typeface="+mn-ea"/>
              <a:cs typeface="+mn-cs"/>
            </a:rPr>
            <a:t>-Zhao et al. dilutions, no mention of inoc. volume or detection limit. Default to 1 LOG survivors minimum.</a:t>
          </a:r>
          <a:endParaRPr lang="nl-N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i="0" baseline="0">
              <a:solidFill>
                <a:schemeClr val="dk1"/>
              </a:solidFill>
              <a:effectLst/>
              <a:latin typeface="+mn-lt"/>
              <a:ea typeface="+mn-ea"/>
              <a:cs typeface="+mn-cs"/>
            </a:rPr>
            <a:t>-Li et al. dilutions, no mention of inoc. volume or detection limit. Default to 1 LOG survivors minimum.</a:t>
          </a:r>
          <a:endParaRPr lang="nl-N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i="0" baseline="0">
              <a:solidFill>
                <a:schemeClr val="dk1"/>
              </a:solidFill>
              <a:effectLst/>
              <a:latin typeface="+mn-lt"/>
              <a:ea typeface="+mn-ea"/>
              <a:cs typeface="+mn-cs"/>
            </a:rPr>
            <a:t>-Wang et al. no mention of detection limit or inoc. volume, Default to 1 LOG survivors</a:t>
          </a:r>
          <a:endParaRPr lang="nl-N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i="0" baseline="0">
              <a:solidFill>
                <a:schemeClr val="dk1"/>
              </a:solidFill>
              <a:effectLst/>
              <a:latin typeface="+mn-lt"/>
              <a:ea typeface="+mn-ea"/>
              <a:cs typeface="+mn-cs"/>
            </a:rPr>
            <a:t>-Salinas-Roca et al: no mention of detection limit or inoc. volume, default to 1 LOG survivors</a:t>
          </a:r>
          <a:endParaRPr lang="nl-NL">
            <a:effectLst/>
          </a:endParaRPr>
        </a:p>
        <a:p>
          <a:r>
            <a:rPr lang="en-US" sz="1100" i="0" baseline="0">
              <a:solidFill>
                <a:schemeClr val="dk1"/>
              </a:solidFill>
              <a:effectLst/>
              <a:latin typeface="+mn-lt"/>
              <a:ea typeface="+mn-ea"/>
              <a:cs typeface="+mn-cs"/>
            </a:rPr>
            <a:t>-Aronsson et al. (2004): No mention of detection limits or inoc. volumes, maintain 1 LOG lower limit.</a:t>
          </a:r>
          <a:endParaRPr lang="nl-NL">
            <a:effectLst/>
          </a:endParaRPr>
        </a:p>
        <a:p>
          <a:r>
            <a:rPr lang="en-US" sz="1100" i="0" baseline="0">
              <a:solidFill>
                <a:schemeClr val="dk1"/>
              </a:solidFill>
              <a:effectLst/>
              <a:latin typeface="+mn-lt"/>
              <a:ea typeface="+mn-ea"/>
              <a:cs typeface="+mn-cs"/>
            </a:rPr>
            <a:t>-Jin et al. mention no detection limit but inoc volume of 100 microliters leads us to maintain the 1 LOG detection limit, entries below 1 LOG removed.</a:t>
          </a:r>
        </a:p>
        <a:p>
          <a:pPr marL="0" marR="0" lvl="0" indent="0" defTabSz="914400" eaLnBrk="1" fontAlgn="auto" latinLnBrk="0" hangingPunct="1">
            <a:lnSpc>
              <a:spcPct val="100000"/>
            </a:lnSpc>
            <a:spcBef>
              <a:spcPts val="0"/>
            </a:spcBef>
            <a:spcAft>
              <a:spcPts val="0"/>
            </a:spcAft>
            <a:buClrTx/>
            <a:buSzTx/>
            <a:buFontTx/>
            <a:buNone/>
            <a:tabLst/>
            <a:defRPr/>
          </a:pPr>
          <a:r>
            <a:rPr lang="en-US" sz="1100" i="0" baseline="0">
              <a:solidFill>
                <a:schemeClr val="dk1"/>
              </a:solidFill>
              <a:effectLst/>
              <a:latin typeface="+mn-lt"/>
              <a:ea typeface="+mn-ea"/>
              <a:cs typeface="+mn-cs"/>
            </a:rPr>
            <a:t>-Saldana et al. mention 100 microliter inoc. volume, no detection limit mentioned. Maintain 1 LOG minimum count, entries below 1 LOG survival removed.</a:t>
          </a:r>
        </a:p>
        <a:p>
          <a:pPr marL="0" marR="0" lvl="0" indent="0" defTabSz="914400" eaLnBrk="1" fontAlgn="auto" latinLnBrk="0" hangingPunct="1">
            <a:lnSpc>
              <a:spcPct val="100000"/>
            </a:lnSpc>
            <a:spcBef>
              <a:spcPts val="0"/>
            </a:spcBef>
            <a:spcAft>
              <a:spcPts val="0"/>
            </a:spcAft>
            <a:buClrTx/>
            <a:buSzTx/>
            <a:buFontTx/>
            <a:buNone/>
            <a:tabLst/>
            <a:defRPr/>
          </a:pPr>
          <a:endParaRPr lang="en-US"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i="0" baseline="0">
              <a:solidFill>
                <a:schemeClr val="dk1"/>
              </a:solidFill>
              <a:effectLst/>
              <a:latin typeface="+mn-lt"/>
              <a:ea typeface="+mn-ea"/>
              <a:cs typeface="+mn-cs"/>
            </a:rPr>
            <a:t>-Foodeng.2014.08.020 (Jin et al.): We looked at this one before, it used 2 types of 'Grapefruit juice' of different conductivities and with each 22 and 30 kV/cm was used, we just didn't recognize it because I removed one point using the previous detection limit standards. Back up to their 4 entries though.</a:t>
          </a:r>
          <a:br>
            <a:rPr lang="en-US" sz="1100" i="0" baseline="0">
              <a:solidFill>
                <a:schemeClr val="dk1"/>
              </a:solidFill>
              <a:effectLst/>
              <a:latin typeface="+mn-lt"/>
              <a:ea typeface="+mn-ea"/>
              <a:cs typeface="+mn-cs"/>
            </a:rPr>
          </a:br>
          <a:r>
            <a:rPr lang="en-US" sz="1100" i="0" baseline="0">
              <a:solidFill>
                <a:schemeClr val="dk1"/>
              </a:solidFill>
              <a:effectLst/>
              <a:latin typeface="+mn-lt"/>
              <a:ea typeface="+mn-ea"/>
              <a:cs typeface="+mn-cs"/>
            </a:rPr>
            <a:t>-2024.103(?)731 (Lytras et al.) evaluate 10 strains per genus which could serve to explain the widening inactivation range as they intensify their treatment as the different strains will possess variable resistance to PEF.</a:t>
          </a:r>
          <a:r>
            <a:rPr lang="nl-NL" sz="1100" i="0" baseline="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nl-NL" sz="1100" i="0" baseline="0">
              <a:solidFill>
                <a:schemeClr val="dk1"/>
              </a:solidFill>
              <a:effectLst/>
              <a:latin typeface="+mn-lt"/>
              <a:ea typeface="+mn-ea"/>
              <a:cs typeface="+mn-cs"/>
            </a:rPr>
            <a:t>-j.ifset.2015.03.009 (Gonzalez-Arenzana et al.): is the E60, E62, E72, E95 paper which alter their treatment intensity by changing both the treatment time and field strength</a:t>
          </a:r>
        </a:p>
        <a:p>
          <a:pPr marL="0" marR="0" lvl="0" indent="0" defTabSz="914400" eaLnBrk="1" fontAlgn="auto" latinLnBrk="0" hangingPunct="1">
            <a:lnSpc>
              <a:spcPct val="100000"/>
            </a:lnSpc>
            <a:spcBef>
              <a:spcPts val="0"/>
            </a:spcBef>
            <a:spcAft>
              <a:spcPts val="0"/>
            </a:spcAft>
            <a:buClrTx/>
            <a:buSzTx/>
            <a:buFontTx/>
            <a:buNone/>
            <a:tabLst/>
            <a:defRPr/>
          </a:pPr>
          <a:r>
            <a:rPr lang="nl-NL" sz="1100" i="0" baseline="0">
              <a:solidFill>
                <a:schemeClr val="dk1"/>
              </a:solidFill>
              <a:effectLst/>
              <a:latin typeface="+mn-lt"/>
              <a:ea typeface="+mn-ea"/>
              <a:cs typeface="+mn-cs"/>
            </a:rPr>
            <a:t>-j.foodres.2023.112525 (Delso et al.): Use three different field strengths against a range of treatment times leading to the three separate lines we see.</a:t>
          </a:r>
        </a:p>
        <a:p>
          <a:pPr marL="0" marR="0" lvl="0" indent="0" defTabSz="914400" eaLnBrk="1" fontAlgn="auto" latinLnBrk="0" hangingPunct="1">
            <a:lnSpc>
              <a:spcPct val="100000"/>
            </a:lnSpc>
            <a:spcBef>
              <a:spcPts val="0"/>
            </a:spcBef>
            <a:spcAft>
              <a:spcPts val="0"/>
            </a:spcAft>
            <a:buClrTx/>
            <a:buSzTx/>
            <a:buFontTx/>
            <a:buNone/>
            <a:tabLst/>
            <a:defRPr/>
          </a:pPr>
          <a:r>
            <a:rPr lang="nl-NL" sz="1100" i="0" baseline="0">
              <a:solidFill>
                <a:schemeClr val="dk1"/>
              </a:solidFill>
              <a:effectLst/>
              <a:latin typeface="+mn-lt"/>
              <a:ea typeface="+mn-ea"/>
              <a:cs typeface="+mn-cs"/>
            </a:rPr>
            <a:t>-j.ifset.2007.06.012 (Shamsi et al.): Our one Pseudomonas paper, it seems Aruna also included entries of the combined PEF+Heat treatment (Tin=53C) which is in the lethal range so those entries have been removed. She did extrapolate the EC to the Tin of 10.5C experiments using the two provided values (@ 17.2 and 59.5C).</a:t>
          </a:r>
        </a:p>
        <a:p>
          <a:pPr marL="0" marR="0" lvl="0" indent="0" defTabSz="914400" eaLnBrk="1" fontAlgn="auto" latinLnBrk="0" hangingPunct="1">
            <a:lnSpc>
              <a:spcPct val="100000"/>
            </a:lnSpc>
            <a:spcBef>
              <a:spcPts val="0"/>
            </a:spcBef>
            <a:spcAft>
              <a:spcPts val="0"/>
            </a:spcAft>
            <a:buClrTx/>
            <a:buSzTx/>
            <a:buFontTx/>
            <a:buNone/>
            <a:tabLst/>
            <a:defRPr/>
          </a:pPr>
          <a:r>
            <a:rPr lang="nl-NL" sz="1100" i="0" baseline="0">
              <a:solidFill>
                <a:schemeClr val="dk1"/>
              </a:solidFill>
              <a:effectLst/>
              <a:latin typeface="+mn-lt"/>
              <a:ea typeface="+mn-ea"/>
              <a:cs typeface="+mn-cs"/>
            </a:rPr>
            <a:t>-JFP-11-099 (Waite-Cusic et al.): The high energy-low reduction point for </a:t>
          </a:r>
          <a:r>
            <a:rPr lang="nl-NL" sz="1100" i="1" baseline="0">
              <a:solidFill>
                <a:schemeClr val="dk1"/>
              </a:solidFill>
              <a:effectLst/>
              <a:latin typeface="+mn-lt"/>
              <a:ea typeface="+mn-ea"/>
              <a:cs typeface="+mn-cs"/>
            </a:rPr>
            <a:t>Listeria</a:t>
          </a:r>
          <a:r>
            <a:rPr lang="nl-NL" sz="1100" i="0" baseline="0">
              <a:solidFill>
                <a:schemeClr val="dk1"/>
              </a:solidFill>
              <a:effectLst/>
              <a:latin typeface="+mn-lt"/>
              <a:ea typeface="+mn-ea"/>
              <a:cs typeface="+mn-cs"/>
            </a:rPr>
            <a:t> was in a different medium (0.1% NaCl as opposed to 50% acid whey, pH 7 vs 4.2), This combined with strain variability explains this outlier.</a:t>
          </a:r>
          <a:endParaRPr lang="nl-N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nl-N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nl-NL">
              <a:effectLst/>
            </a:rPr>
            <a:t>17/01/2025 (George):</a:t>
          </a:r>
        </a:p>
        <a:p>
          <a:pPr marL="0" marR="0" lvl="0" indent="0" defTabSz="914400" eaLnBrk="1" fontAlgn="auto" latinLnBrk="0" hangingPunct="1">
            <a:lnSpc>
              <a:spcPct val="100000"/>
            </a:lnSpc>
            <a:spcBef>
              <a:spcPts val="0"/>
            </a:spcBef>
            <a:spcAft>
              <a:spcPts val="0"/>
            </a:spcAft>
            <a:buClrTx/>
            <a:buSzTx/>
            <a:buFontTx/>
            <a:buNone/>
            <a:tabLst/>
            <a:defRPr/>
          </a:pPr>
          <a:r>
            <a:rPr lang="nl-NL">
              <a:effectLst/>
            </a:rPr>
            <a:t>-Beer</a:t>
          </a:r>
          <a:r>
            <a:rPr lang="nl-NL" baseline="0">
              <a:effectLst/>
            </a:rPr>
            <a:t> was categorized as high acidic food product (all values were anyway above 300)</a:t>
          </a:r>
        </a:p>
        <a:p>
          <a:pPr marL="0" marR="0" lvl="0" indent="0" defTabSz="914400" eaLnBrk="1" fontAlgn="auto" latinLnBrk="0" hangingPunct="1">
            <a:lnSpc>
              <a:spcPct val="100000"/>
            </a:lnSpc>
            <a:spcBef>
              <a:spcPts val="0"/>
            </a:spcBef>
            <a:spcAft>
              <a:spcPts val="0"/>
            </a:spcAft>
            <a:buClrTx/>
            <a:buSzTx/>
            <a:buFontTx/>
            <a:buNone/>
            <a:tabLst/>
            <a:defRPr/>
          </a:pPr>
          <a:r>
            <a:rPr lang="nl-NL">
              <a:effectLst/>
            </a:rPr>
            <a:t>- peach nectar has a pH of 3.x</a:t>
          </a:r>
          <a:r>
            <a:rPr lang="nl-NL" baseline="0">
              <a:effectLst/>
            </a:rPr>
            <a:t> thus it should be high acidic (typo) (energy input 35.2)</a:t>
          </a:r>
        </a:p>
        <a:p>
          <a:pPr marL="0" marR="0" lvl="0" indent="0" defTabSz="914400" eaLnBrk="1" fontAlgn="auto" latinLnBrk="0" hangingPunct="1">
            <a:lnSpc>
              <a:spcPct val="100000"/>
            </a:lnSpc>
            <a:spcBef>
              <a:spcPts val="0"/>
            </a:spcBef>
            <a:spcAft>
              <a:spcPts val="0"/>
            </a:spcAft>
            <a:buClrTx/>
            <a:buSzTx/>
            <a:buFontTx/>
            <a:buNone/>
            <a:tabLst/>
            <a:defRPr/>
          </a:pPr>
          <a:r>
            <a:rPr lang="nl-NL" baseline="0">
              <a:effectLst/>
            </a:rPr>
            <a:t>-apple juice was also categorized as high acidic instead of low acidic (food product and fuit juice). same for dark ale beer and all beers</a:t>
          </a:r>
        </a:p>
        <a:p>
          <a:pPr marL="0" marR="0" lvl="0" indent="0" defTabSz="914400" eaLnBrk="1" fontAlgn="auto" latinLnBrk="0" hangingPunct="1">
            <a:lnSpc>
              <a:spcPct val="100000"/>
            </a:lnSpc>
            <a:spcBef>
              <a:spcPts val="0"/>
            </a:spcBef>
            <a:spcAft>
              <a:spcPts val="0"/>
            </a:spcAft>
            <a:buClrTx/>
            <a:buSzTx/>
            <a:buFontTx/>
            <a:buNone/>
            <a:tabLst/>
            <a:defRPr/>
          </a:pPr>
          <a:r>
            <a:rPr lang="nl-NL" baseline="0">
              <a:effectLst/>
            </a:rPr>
            <a:t>deionized water was mistakenly categorized as high acidic fruit juice. fixed.</a:t>
          </a:r>
        </a:p>
        <a:p>
          <a:pPr marL="0" marR="0" lvl="0" indent="0" defTabSz="914400" eaLnBrk="1" fontAlgn="auto" latinLnBrk="0" hangingPunct="1">
            <a:lnSpc>
              <a:spcPct val="100000"/>
            </a:lnSpc>
            <a:spcBef>
              <a:spcPts val="0"/>
            </a:spcBef>
            <a:spcAft>
              <a:spcPts val="0"/>
            </a:spcAft>
            <a:buClrTx/>
            <a:buSzTx/>
            <a:buFontTx/>
            <a:buNone/>
            <a:tabLst/>
            <a:defRPr/>
          </a:pPr>
          <a:r>
            <a:rPr lang="nl-NL" baseline="0">
              <a:effectLst/>
            </a:rPr>
            <a:t>-model ranch dressing and model strawberry juice were categorized as and high acidic fruit juice</a:t>
          </a:r>
        </a:p>
        <a:p>
          <a:pPr marL="0" marR="0" lvl="0" indent="0" defTabSz="914400" eaLnBrk="1" fontAlgn="auto" latinLnBrk="0" hangingPunct="1">
            <a:lnSpc>
              <a:spcPct val="100000"/>
            </a:lnSpc>
            <a:spcBef>
              <a:spcPts val="0"/>
            </a:spcBef>
            <a:spcAft>
              <a:spcPts val="0"/>
            </a:spcAft>
            <a:buClrTx/>
            <a:buSzTx/>
            <a:buFontTx/>
            <a:buNone/>
            <a:tabLst/>
            <a:defRPr/>
          </a:pPr>
          <a:r>
            <a:rPr lang="nl-NL" baseline="0">
              <a:effectLst/>
            </a:rPr>
            <a:t>-ranch dressing was categorized as matrix category "other"</a:t>
          </a:r>
        </a:p>
        <a:p>
          <a:pPr marL="0" marR="0" lvl="0" indent="0" defTabSz="914400" eaLnBrk="1" fontAlgn="auto" latinLnBrk="0" hangingPunct="1">
            <a:lnSpc>
              <a:spcPct val="100000"/>
            </a:lnSpc>
            <a:spcBef>
              <a:spcPts val="0"/>
            </a:spcBef>
            <a:spcAft>
              <a:spcPts val="0"/>
            </a:spcAft>
            <a:buClrTx/>
            <a:buSzTx/>
            <a:buFontTx/>
            <a:buNone/>
            <a:tabLst/>
            <a:defRPr/>
          </a:pPr>
          <a:r>
            <a:rPr lang="nl-NL" baseline="0">
              <a:effectLst/>
            </a:rPr>
            <a:t>-mcllvaine buffer was converted to lower case</a:t>
          </a:r>
        </a:p>
        <a:p>
          <a:pPr marL="0" marR="0" lvl="0" indent="0" defTabSz="914400" eaLnBrk="1" fontAlgn="auto" latinLnBrk="0" hangingPunct="1">
            <a:lnSpc>
              <a:spcPct val="100000"/>
            </a:lnSpc>
            <a:spcBef>
              <a:spcPts val="0"/>
            </a:spcBef>
            <a:spcAft>
              <a:spcPts val="0"/>
            </a:spcAft>
            <a:buClrTx/>
            <a:buSzTx/>
            <a:buFontTx/>
            <a:buNone/>
            <a:tabLst/>
            <a:defRPr/>
          </a:pPr>
          <a:r>
            <a:rPr lang="nl-NL" baseline="0">
              <a:effectLst/>
            </a:rPr>
            <a:t>-egg products were separated from liquid media and formed a new category "egg products"</a:t>
          </a:r>
        </a:p>
        <a:p>
          <a:pPr marL="0" marR="0" lvl="0" indent="0" defTabSz="914400" eaLnBrk="1" fontAlgn="auto" latinLnBrk="0" hangingPunct="1">
            <a:lnSpc>
              <a:spcPct val="100000"/>
            </a:lnSpc>
            <a:spcBef>
              <a:spcPts val="0"/>
            </a:spcBef>
            <a:spcAft>
              <a:spcPts val="0"/>
            </a:spcAft>
            <a:buClrTx/>
            <a:buSzTx/>
            <a:buFontTx/>
            <a:buNone/>
            <a:tabLst/>
            <a:defRPr/>
          </a:pPr>
          <a:endParaRPr lang="nl-NL" baseline="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nl-NL" baseline="0">
              <a:effectLst/>
            </a:rPr>
            <a:t>27/01/2025 (George):</a:t>
          </a:r>
        </a:p>
        <a:p>
          <a:pPr marL="0" marR="0" lvl="0" indent="0" defTabSz="914400" eaLnBrk="1" fontAlgn="auto" latinLnBrk="0" hangingPunct="1">
            <a:lnSpc>
              <a:spcPct val="100000"/>
            </a:lnSpc>
            <a:spcBef>
              <a:spcPts val="0"/>
            </a:spcBef>
            <a:spcAft>
              <a:spcPts val="0"/>
            </a:spcAft>
            <a:buClrTx/>
            <a:buSzTx/>
            <a:buFontTx/>
            <a:buNone/>
            <a:tabLst/>
            <a:defRPr/>
          </a:pPr>
          <a:r>
            <a:rPr lang="nl-NL" baseline="0">
              <a:effectLst/>
            </a:rPr>
            <a:t>- All 1 pulse shape were renamed to Monopolar, and all 2 were renamed bipolar </a:t>
          </a:r>
        </a:p>
        <a:p>
          <a:pPr marL="0" marR="0" lvl="0" indent="0" defTabSz="914400" eaLnBrk="1" fontAlgn="auto" latinLnBrk="0" hangingPunct="1">
            <a:lnSpc>
              <a:spcPct val="100000"/>
            </a:lnSpc>
            <a:spcBef>
              <a:spcPts val="0"/>
            </a:spcBef>
            <a:spcAft>
              <a:spcPts val="0"/>
            </a:spcAft>
            <a:buClrTx/>
            <a:buSzTx/>
            <a:buFontTx/>
            <a:buNone/>
            <a:tabLst/>
            <a:defRPr/>
          </a:pPr>
          <a:r>
            <a:rPr lang="nl-NL" baseline="0">
              <a:effectLst/>
            </a:rPr>
            <a:t>- </a:t>
          </a:r>
          <a:r>
            <a:rPr lang="nl-NL" sz="1100" baseline="0">
              <a:solidFill>
                <a:schemeClr val="dk1"/>
              </a:solidFill>
              <a:effectLst/>
              <a:latin typeface="+mn-lt"/>
              <a:ea typeface="+mn-ea"/>
              <a:cs typeface="+mn-cs"/>
            </a:rPr>
            <a:t>matrix_category was renamed to matrix_category_0 </a:t>
          </a:r>
          <a:endParaRPr lang="nl-NL" baseline="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nl-NL" baseline="0">
              <a:effectLst/>
            </a:rPr>
            <a:t>- fruit juice acidity was renamed to matrix_category and this is to be used to avoid confusion</a:t>
          </a:r>
        </a:p>
        <a:p>
          <a:pPr marL="0" marR="0" lvl="0" indent="0" defTabSz="914400" eaLnBrk="1" fontAlgn="auto" latinLnBrk="0" hangingPunct="1">
            <a:lnSpc>
              <a:spcPct val="100000"/>
            </a:lnSpc>
            <a:spcBef>
              <a:spcPts val="0"/>
            </a:spcBef>
            <a:spcAft>
              <a:spcPts val="0"/>
            </a:spcAft>
            <a:buClrTx/>
            <a:buSzTx/>
            <a:buFontTx/>
            <a:buNone/>
            <a:tabLst/>
            <a:defRPr/>
          </a:pPr>
          <a:r>
            <a:rPr lang="nl-NL" baseline="0">
              <a:effectLst/>
            </a:rPr>
            <a:t>29/01/2025 (George):</a:t>
          </a:r>
        </a:p>
        <a:p>
          <a:pPr marL="0" marR="0" lvl="0" indent="0" defTabSz="914400" eaLnBrk="1" fontAlgn="auto" latinLnBrk="0" hangingPunct="1">
            <a:lnSpc>
              <a:spcPct val="100000"/>
            </a:lnSpc>
            <a:spcBef>
              <a:spcPts val="0"/>
            </a:spcBef>
            <a:spcAft>
              <a:spcPts val="0"/>
            </a:spcAft>
            <a:buClrTx/>
            <a:buSzTx/>
            <a:buFontTx/>
            <a:buNone/>
            <a:tabLst/>
            <a:defRPr/>
          </a:pPr>
          <a:r>
            <a:rPr lang="nl-NL" baseline="0">
              <a:effectLst/>
            </a:rPr>
            <a:t>- From the new matrix_category, high-acidic was renamed to high-acid</a:t>
          </a:r>
        </a:p>
        <a:p>
          <a:pPr marL="0" marR="0" lvl="0" indent="0" defTabSz="914400" eaLnBrk="1" fontAlgn="auto" latinLnBrk="0" hangingPunct="1">
            <a:lnSpc>
              <a:spcPct val="100000"/>
            </a:lnSpc>
            <a:spcBef>
              <a:spcPts val="0"/>
            </a:spcBef>
            <a:spcAft>
              <a:spcPts val="0"/>
            </a:spcAft>
            <a:buClrTx/>
            <a:buSzTx/>
            <a:buFontTx/>
            <a:buNone/>
            <a:tabLst/>
            <a:defRPr/>
          </a:pPr>
          <a:endParaRPr lang="nl-NL" baseline="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nl-NL" baseline="0">
              <a:effectLst/>
            </a:rPr>
            <a:t>11/02/2025 (George):</a:t>
          </a:r>
          <a:br>
            <a:rPr lang="nl-NL" baseline="0">
              <a:effectLst/>
            </a:rPr>
          </a:br>
          <a:r>
            <a:rPr lang="nl-NL" baseline="0">
              <a:effectLst/>
            </a:rPr>
            <a:t>The cateogories of organism)grouped were changed from Escherichia to E. coli from Listeria to Listeria spp., from Pseudomonas to Pseudomonas spp., from Saccharomyces to S. cerevisiae, from Salmonella to Salmonella spp. from Staphylococcus to S. aureus. From Bacillus to Bacillus subtilis.</a:t>
          </a:r>
          <a:endParaRPr lang="nl-N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nl-NL">
            <a:effectLst/>
          </a:endParaRPr>
        </a:p>
        <a:p>
          <a:r>
            <a:rPr lang="en-US" sz="1100" i="0" baseline="0"/>
            <a:t> </a:t>
          </a:r>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doi.org/10.2202/1556-3758.1058" TargetMode="External"/><Relationship Id="rId117" Type="http://schemas.openxmlformats.org/officeDocument/2006/relationships/hyperlink" Target="https://doi.org/10.1016/j.foodcont.2013.07.011" TargetMode="External"/><Relationship Id="rId21" Type="http://schemas.openxmlformats.org/officeDocument/2006/relationships/hyperlink" Target="https://doi.org/10.2202/1556-3758.1058" TargetMode="External"/><Relationship Id="rId42" Type="http://schemas.openxmlformats.org/officeDocument/2006/relationships/hyperlink" Target="https://doi.org/10.4315/0362-028X-64.6.777" TargetMode="External"/><Relationship Id="rId47" Type="http://schemas.openxmlformats.org/officeDocument/2006/relationships/hyperlink" Target="https://doi.org/10.1111/j.1745-4530.2009.00549.x" TargetMode="External"/><Relationship Id="rId63" Type="http://schemas.openxmlformats.org/officeDocument/2006/relationships/hyperlink" Target="https://doi.org/10.1016/j.foodcont.2013.07.011" TargetMode="External"/><Relationship Id="rId68" Type="http://schemas.openxmlformats.org/officeDocument/2006/relationships/hyperlink" Target="https://doi.org/10.1016/j.foodcont.2013.07.011" TargetMode="External"/><Relationship Id="rId84" Type="http://schemas.openxmlformats.org/officeDocument/2006/relationships/hyperlink" Target="https://doi.org/10.1111/j.1750-3841.2008.00956.x" TargetMode="External"/><Relationship Id="rId89" Type="http://schemas.openxmlformats.org/officeDocument/2006/relationships/hyperlink" Target="https://doi.org/10.1016/j.ijfoodmicro.2011.07.033" TargetMode="External"/><Relationship Id="rId112" Type="http://schemas.openxmlformats.org/officeDocument/2006/relationships/hyperlink" Target="https://doi.org/10.1016/j.foodcont.2013.07.011" TargetMode="External"/><Relationship Id="rId133" Type="http://schemas.openxmlformats.org/officeDocument/2006/relationships/hyperlink" Target="https://doi.org/10.1111/j.1745-4530.2009.00549.x" TargetMode="External"/><Relationship Id="rId138" Type="http://schemas.openxmlformats.org/officeDocument/2006/relationships/hyperlink" Target="https://doi.org/10.1111/jfpe.13779" TargetMode="External"/><Relationship Id="rId154" Type="http://schemas.openxmlformats.org/officeDocument/2006/relationships/hyperlink" Target="https://doi.org/10.1111/j.1745-4530.2009.00549.x" TargetMode="External"/><Relationship Id="rId159" Type="http://schemas.openxmlformats.org/officeDocument/2006/relationships/hyperlink" Target="https://doi.org/10.2202/1556-3758.1058" TargetMode="External"/><Relationship Id="rId170" Type="http://schemas.openxmlformats.org/officeDocument/2006/relationships/hyperlink" Target="https://doi.org/10.4315/0362-028X-64.6.777" TargetMode="External"/><Relationship Id="rId16" Type="http://schemas.openxmlformats.org/officeDocument/2006/relationships/hyperlink" Target="https://doi.org/10.2202/1556-3758.1058" TargetMode="External"/><Relationship Id="rId107" Type="http://schemas.openxmlformats.org/officeDocument/2006/relationships/hyperlink" Target="https://doi.org/10.1016/j.foodcont.2013.07.011" TargetMode="External"/><Relationship Id="rId11" Type="http://schemas.openxmlformats.org/officeDocument/2006/relationships/hyperlink" Target="https://doi.org/10.2202/1556-3758.1058" TargetMode="External"/><Relationship Id="rId32" Type="http://schemas.openxmlformats.org/officeDocument/2006/relationships/hyperlink" Target="https://doi.org/10.1016/S0168-1605(02)00247-7" TargetMode="External"/><Relationship Id="rId37" Type="http://schemas.openxmlformats.org/officeDocument/2006/relationships/hyperlink" Target="https://doi.org/10.1016/S0168-1605(02)00247-7" TargetMode="External"/><Relationship Id="rId53" Type="http://schemas.openxmlformats.org/officeDocument/2006/relationships/hyperlink" Target="https://doi.org/10.1016/j.lwt.2014.09.028" TargetMode="External"/><Relationship Id="rId58" Type="http://schemas.openxmlformats.org/officeDocument/2006/relationships/hyperlink" Target="https://doi.org/10.1016/j.foodcont.2013.07.011" TargetMode="External"/><Relationship Id="rId74" Type="http://schemas.openxmlformats.org/officeDocument/2006/relationships/hyperlink" Target="https://doi.org/10.1016/j.foodcont.2013.07.011" TargetMode="External"/><Relationship Id="rId79" Type="http://schemas.openxmlformats.org/officeDocument/2006/relationships/hyperlink" Target="https://doi.org/10.1016/j.foodcont.2013.07.011" TargetMode="External"/><Relationship Id="rId102" Type="http://schemas.openxmlformats.org/officeDocument/2006/relationships/hyperlink" Target="https://doi.org/10.1016/j.ijfoodmicro.2011.07.033" TargetMode="External"/><Relationship Id="rId123" Type="http://schemas.openxmlformats.org/officeDocument/2006/relationships/hyperlink" Target="https://doi.org/10.1016/j.foodcont.2013.07.011" TargetMode="External"/><Relationship Id="rId128" Type="http://schemas.openxmlformats.org/officeDocument/2006/relationships/hyperlink" Target="https://doi.org/10.4315/0362-028X-64.6.777" TargetMode="External"/><Relationship Id="rId144" Type="http://schemas.openxmlformats.org/officeDocument/2006/relationships/hyperlink" Target="https://doi.org/10.1111/jfpe.13779" TargetMode="External"/><Relationship Id="rId149" Type="http://schemas.openxmlformats.org/officeDocument/2006/relationships/hyperlink" Target="https://doi.org/10.1111/jfpe.13779" TargetMode="External"/><Relationship Id="rId5" Type="http://schemas.openxmlformats.org/officeDocument/2006/relationships/hyperlink" Target="https://doi.org/10.1016/j.jfoodeng.2014.08.020" TargetMode="External"/><Relationship Id="rId90" Type="http://schemas.openxmlformats.org/officeDocument/2006/relationships/hyperlink" Target="https://doi.org/10.1016/j.ijfoodmicro.2011.07.033" TargetMode="External"/><Relationship Id="rId95" Type="http://schemas.openxmlformats.org/officeDocument/2006/relationships/hyperlink" Target="https://doi.org/10.1016/j.ijfoodmicro.2011.07.033" TargetMode="External"/><Relationship Id="rId160" Type="http://schemas.openxmlformats.org/officeDocument/2006/relationships/hyperlink" Target="https://doi.org/10.1111/j.1745-4530.2009.00549.x" TargetMode="External"/><Relationship Id="rId165" Type="http://schemas.openxmlformats.org/officeDocument/2006/relationships/hyperlink" Target="http://dx.doi.org/10.1016/j.ijfoodmicro.2007.04.009" TargetMode="External"/><Relationship Id="rId22" Type="http://schemas.openxmlformats.org/officeDocument/2006/relationships/hyperlink" Target="https://doi.org/10.2202/1556-3758.1058" TargetMode="External"/><Relationship Id="rId27" Type="http://schemas.openxmlformats.org/officeDocument/2006/relationships/hyperlink" Target="https://doi.org/10.1046/j.1365-2672.2003.01869.x" TargetMode="External"/><Relationship Id="rId43" Type="http://schemas.openxmlformats.org/officeDocument/2006/relationships/hyperlink" Target="https://doi.org/10.1128/AEM.70.4.2289-2295.2004" TargetMode="External"/><Relationship Id="rId48" Type="http://schemas.openxmlformats.org/officeDocument/2006/relationships/hyperlink" Target="https://doi.org/10.1111/j.1745-4530.2009.00549.x" TargetMode="External"/><Relationship Id="rId64" Type="http://schemas.openxmlformats.org/officeDocument/2006/relationships/hyperlink" Target="https://doi.org/10.1016/j.foodcont.2013.07.011" TargetMode="External"/><Relationship Id="rId69" Type="http://schemas.openxmlformats.org/officeDocument/2006/relationships/hyperlink" Target="https://doi.org/10.1016/j.foodcont.2013.07.011" TargetMode="External"/><Relationship Id="rId113" Type="http://schemas.openxmlformats.org/officeDocument/2006/relationships/hyperlink" Target="https://doi.org/10.1016/j.foodcont.2013.07.011" TargetMode="External"/><Relationship Id="rId118" Type="http://schemas.openxmlformats.org/officeDocument/2006/relationships/hyperlink" Target="https://doi.org/10.1016/j.foodcont.2013.07.011" TargetMode="External"/><Relationship Id="rId134" Type="http://schemas.openxmlformats.org/officeDocument/2006/relationships/hyperlink" Target="https://doi.org/10.1111/jfpe.13779" TargetMode="External"/><Relationship Id="rId139" Type="http://schemas.openxmlformats.org/officeDocument/2006/relationships/hyperlink" Target="https://doi.org/10.1111/jfpe.13779" TargetMode="External"/><Relationship Id="rId80" Type="http://schemas.openxmlformats.org/officeDocument/2006/relationships/hyperlink" Target="https://doi.org/10.1111/j.1750-3841.2008.00956.x" TargetMode="External"/><Relationship Id="rId85" Type="http://schemas.openxmlformats.org/officeDocument/2006/relationships/hyperlink" Target="https://doi.org/10.1111/j.1750-3841.2008.00956.x" TargetMode="External"/><Relationship Id="rId150" Type="http://schemas.openxmlformats.org/officeDocument/2006/relationships/hyperlink" Target="https://doi.org/10.1111/jfpe.13779" TargetMode="External"/><Relationship Id="rId155" Type="http://schemas.openxmlformats.org/officeDocument/2006/relationships/hyperlink" Target="https://doi.org/10.1016/j.foodcont.2013.07.011" TargetMode="External"/><Relationship Id="rId171" Type="http://schemas.openxmlformats.org/officeDocument/2006/relationships/hyperlink" Target="https://doi.org/10.4315/0362-028X-64.6.777" TargetMode="External"/><Relationship Id="rId12" Type="http://schemas.openxmlformats.org/officeDocument/2006/relationships/hyperlink" Target="https://doi.org/10.2202/1556-3758.1058" TargetMode="External"/><Relationship Id="rId17" Type="http://schemas.openxmlformats.org/officeDocument/2006/relationships/hyperlink" Target="https://doi.org/10.2202/1556-3758.1058" TargetMode="External"/><Relationship Id="rId33" Type="http://schemas.openxmlformats.org/officeDocument/2006/relationships/hyperlink" Target="https://doi.org/10.1016/S0168-1605(02)00247-7" TargetMode="External"/><Relationship Id="rId38" Type="http://schemas.openxmlformats.org/officeDocument/2006/relationships/hyperlink" Target="https://doi.org/10.1016/S0168-1605(02)00247-7" TargetMode="External"/><Relationship Id="rId59" Type="http://schemas.openxmlformats.org/officeDocument/2006/relationships/hyperlink" Target="https://doi.org/10.1016/j.foodcont.2013.07.011" TargetMode="External"/><Relationship Id="rId103" Type="http://schemas.openxmlformats.org/officeDocument/2006/relationships/hyperlink" Target="https://doi.org/10.1016/j.foodcont.2013.07.011" TargetMode="External"/><Relationship Id="rId108" Type="http://schemas.openxmlformats.org/officeDocument/2006/relationships/hyperlink" Target="https://doi.org/10.1016/j.foodcont.2013.07.011" TargetMode="External"/><Relationship Id="rId124" Type="http://schemas.openxmlformats.org/officeDocument/2006/relationships/hyperlink" Target="https://doi.org/10.1016/j.foodcont.2013.07.011" TargetMode="External"/><Relationship Id="rId129" Type="http://schemas.openxmlformats.org/officeDocument/2006/relationships/hyperlink" Target="https://doi.org/10.1111/j.1745-4530.2009.00549.x" TargetMode="External"/><Relationship Id="rId54" Type="http://schemas.openxmlformats.org/officeDocument/2006/relationships/hyperlink" Target="https://doi.org/10.1016/j.lwt.2014.09.028" TargetMode="External"/><Relationship Id="rId70" Type="http://schemas.openxmlformats.org/officeDocument/2006/relationships/hyperlink" Target="https://doi.org/10.1016/j.foodcont.2013.07.011" TargetMode="External"/><Relationship Id="rId75" Type="http://schemas.openxmlformats.org/officeDocument/2006/relationships/hyperlink" Target="https://doi.org/10.1016/j.foodcont.2013.07.011" TargetMode="External"/><Relationship Id="rId91" Type="http://schemas.openxmlformats.org/officeDocument/2006/relationships/hyperlink" Target="https://doi.org/10.1016/j.ijfoodmicro.2011.07.033" TargetMode="External"/><Relationship Id="rId96" Type="http://schemas.openxmlformats.org/officeDocument/2006/relationships/hyperlink" Target="https://doi.org/10.1016/j.ijfoodmicro.2011.07.033" TargetMode="External"/><Relationship Id="rId140" Type="http://schemas.openxmlformats.org/officeDocument/2006/relationships/hyperlink" Target="https://doi.org/10.1111/jfpe.13779" TargetMode="External"/><Relationship Id="rId145" Type="http://schemas.openxmlformats.org/officeDocument/2006/relationships/hyperlink" Target="https://doi.org/10.1111/jfpe.13779" TargetMode="External"/><Relationship Id="rId161" Type="http://schemas.openxmlformats.org/officeDocument/2006/relationships/hyperlink" Target="https://doi.org/10.1111/j.1745-4530.2009.00549.x" TargetMode="External"/><Relationship Id="rId166" Type="http://schemas.openxmlformats.org/officeDocument/2006/relationships/hyperlink" Target="http://dx.doi.org/10.1016/j.ijfoodmicro.2007.04.009" TargetMode="External"/><Relationship Id="rId1" Type="http://schemas.openxmlformats.org/officeDocument/2006/relationships/hyperlink" Target="https://doi.org/10.1016/j.ifset.2007.09.003" TargetMode="External"/><Relationship Id="rId6" Type="http://schemas.openxmlformats.org/officeDocument/2006/relationships/hyperlink" Target="https://doi.org/10.1016/j.jfoodeng.2014.08.020" TargetMode="External"/><Relationship Id="rId15" Type="http://schemas.openxmlformats.org/officeDocument/2006/relationships/hyperlink" Target="https://doi.org/10.2202/1556-3758.1058" TargetMode="External"/><Relationship Id="rId23" Type="http://schemas.openxmlformats.org/officeDocument/2006/relationships/hyperlink" Target="https://doi.org/10.2202/1556-3758.1058" TargetMode="External"/><Relationship Id="rId28" Type="http://schemas.openxmlformats.org/officeDocument/2006/relationships/hyperlink" Target="https://doi.org/10.1046/j.1365-2672.2003.01869.x" TargetMode="External"/><Relationship Id="rId36" Type="http://schemas.openxmlformats.org/officeDocument/2006/relationships/hyperlink" Target="https://doi.org/10.1016/S0168-1605(02)00247-7" TargetMode="External"/><Relationship Id="rId49" Type="http://schemas.openxmlformats.org/officeDocument/2006/relationships/hyperlink" Target="https://doi.org/10.1111/j.1745-4530.2009.00549.x" TargetMode="External"/><Relationship Id="rId57" Type="http://schemas.openxmlformats.org/officeDocument/2006/relationships/hyperlink" Target="https://doi.org/10.1016/j.lwt.2014.09.028" TargetMode="External"/><Relationship Id="rId106" Type="http://schemas.openxmlformats.org/officeDocument/2006/relationships/hyperlink" Target="https://doi.org/10.1016/j.foodcont.2013.07.011" TargetMode="External"/><Relationship Id="rId114" Type="http://schemas.openxmlformats.org/officeDocument/2006/relationships/hyperlink" Target="https://doi.org/10.1016/j.foodcont.2013.07.011" TargetMode="External"/><Relationship Id="rId119" Type="http://schemas.openxmlformats.org/officeDocument/2006/relationships/hyperlink" Target="https://doi.org/10.1016/j.foodcont.2013.07.011" TargetMode="External"/><Relationship Id="rId127" Type="http://schemas.openxmlformats.org/officeDocument/2006/relationships/hyperlink" Target="https://doi.org/10.4315/0362-028X-64.6.777" TargetMode="External"/><Relationship Id="rId10" Type="http://schemas.openxmlformats.org/officeDocument/2006/relationships/hyperlink" Target="https://doi.org/10.2202/1556-3758.1058" TargetMode="External"/><Relationship Id="rId31" Type="http://schemas.openxmlformats.org/officeDocument/2006/relationships/hyperlink" Target="https://doi.org/10.1016/S0168-1605(02)00247-7" TargetMode="External"/><Relationship Id="rId44" Type="http://schemas.openxmlformats.org/officeDocument/2006/relationships/hyperlink" Target="https://doi.org/10.1128/AEM.70.4.2289-2295.2004" TargetMode="External"/><Relationship Id="rId52" Type="http://schemas.openxmlformats.org/officeDocument/2006/relationships/hyperlink" Target="https://doi.org/10.1016/j.lwt.2014.09.028" TargetMode="External"/><Relationship Id="rId60" Type="http://schemas.openxmlformats.org/officeDocument/2006/relationships/hyperlink" Target="https://doi.org/10.1016/j.foodcont.2013.07.011" TargetMode="External"/><Relationship Id="rId65" Type="http://schemas.openxmlformats.org/officeDocument/2006/relationships/hyperlink" Target="https://doi.org/10.1016/j.foodcont.2013.07.011" TargetMode="External"/><Relationship Id="rId73" Type="http://schemas.openxmlformats.org/officeDocument/2006/relationships/hyperlink" Target="https://doi.org/10.1016/j.foodcont.2013.07.011" TargetMode="External"/><Relationship Id="rId78" Type="http://schemas.openxmlformats.org/officeDocument/2006/relationships/hyperlink" Target="https://doi.org/10.1016/j.foodcont.2013.07.011" TargetMode="External"/><Relationship Id="rId81" Type="http://schemas.openxmlformats.org/officeDocument/2006/relationships/hyperlink" Target="https://doi.org/10.1111/j.1750-3841.2008.00956.x" TargetMode="External"/><Relationship Id="rId86" Type="http://schemas.openxmlformats.org/officeDocument/2006/relationships/hyperlink" Target="https://doi.org/10.1111/j.1750-3841.2008.00956.x" TargetMode="External"/><Relationship Id="rId94" Type="http://schemas.openxmlformats.org/officeDocument/2006/relationships/hyperlink" Target="https://doi.org/10.1016/j.ijfoodmicro.2011.07.033" TargetMode="External"/><Relationship Id="rId99" Type="http://schemas.openxmlformats.org/officeDocument/2006/relationships/hyperlink" Target="https://doi.org/10.1016/j.ijfoodmicro.2011.07.033" TargetMode="External"/><Relationship Id="rId101" Type="http://schemas.openxmlformats.org/officeDocument/2006/relationships/hyperlink" Target="https://doi.org/10.1016/j.ijfoodmicro.2011.07.033" TargetMode="External"/><Relationship Id="rId122" Type="http://schemas.openxmlformats.org/officeDocument/2006/relationships/hyperlink" Target="https://doi.org/10.1016/j.foodcont.2013.07.011" TargetMode="External"/><Relationship Id="rId130" Type="http://schemas.openxmlformats.org/officeDocument/2006/relationships/hyperlink" Target="https://doi.org/10.1111/j.1745-4530.2009.00549.x" TargetMode="External"/><Relationship Id="rId135" Type="http://schemas.openxmlformats.org/officeDocument/2006/relationships/hyperlink" Target="https://doi.org/10.1111/jfpe.13779" TargetMode="External"/><Relationship Id="rId143" Type="http://schemas.openxmlformats.org/officeDocument/2006/relationships/hyperlink" Target="https://doi.org/10.1111/jfpe.13779" TargetMode="External"/><Relationship Id="rId148" Type="http://schemas.openxmlformats.org/officeDocument/2006/relationships/hyperlink" Target="https://doi.org/10.1111/jfpe.13779" TargetMode="External"/><Relationship Id="rId151" Type="http://schemas.openxmlformats.org/officeDocument/2006/relationships/hyperlink" Target="https://doi.org/10.1111/jfpe.13779" TargetMode="External"/><Relationship Id="rId156" Type="http://schemas.openxmlformats.org/officeDocument/2006/relationships/hyperlink" Target="https://doi.org/10.1111/j.1750-3841.2008.00956.x" TargetMode="External"/><Relationship Id="rId164" Type="http://schemas.openxmlformats.org/officeDocument/2006/relationships/hyperlink" Target="http://dx.doi.org/10.1016/j.ijfoodmicro.2007.04.009" TargetMode="External"/><Relationship Id="rId169" Type="http://schemas.openxmlformats.org/officeDocument/2006/relationships/hyperlink" Target="https://doi.org/10.4315/0362-028X-64.6.777" TargetMode="External"/><Relationship Id="rId4" Type="http://schemas.openxmlformats.org/officeDocument/2006/relationships/hyperlink" Target="https://doi.org/10.1016/j.jfoodeng.2014.08.020" TargetMode="External"/><Relationship Id="rId9" Type="http://schemas.openxmlformats.org/officeDocument/2006/relationships/hyperlink" Target="https://doi.org/10.2202/1556-3758.1058" TargetMode="External"/><Relationship Id="rId172" Type="http://schemas.openxmlformats.org/officeDocument/2006/relationships/hyperlink" Target="https://doi.org/10.4315/0362-028X-64.6.777" TargetMode="External"/><Relationship Id="rId13" Type="http://schemas.openxmlformats.org/officeDocument/2006/relationships/hyperlink" Target="https://doi.org/10.2202/1556-3758.1058" TargetMode="External"/><Relationship Id="rId18" Type="http://schemas.openxmlformats.org/officeDocument/2006/relationships/hyperlink" Target="https://doi.org/10.2202/1556-3758.1058" TargetMode="External"/><Relationship Id="rId39" Type="http://schemas.openxmlformats.org/officeDocument/2006/relationships/hyperlink" Target="https://doi.org/10.1016/S0168-1605(02)00247-7" TargetMode="External"/><Relationship Id="rId109" Type="http://schemas.openxmlformats.org/officeDocument/2006/relationships/hyperlink" Target="https://doi.org/10.1016/j.foodcont.2013.07.011" TargetMode="External"/><Relationship Id="rId34" Type="http://schemas.openxmlformats.org/officeDocument/2006/relationships/hyperlink" Target="https://doi.org/10.1016/S0168-1605(02)00247-7" TargetMode="External"/><Relationship Id="rId50" Type="http://schemas.openxmlformats.org/officeDocument/2006/relationships/hyperlink" Target="https://doi.org/10.1111/j.1745-4530.2009.00549.x" TargetMode="External"/><Relationship Id="rId55" Type="http://schemas.openxmlformats.org/officeDocument/2006/relationships/hyperlink" Target="https://doi.org/10.1016/j.lwt.2014.09.028" TargetMode="External"/><Relationship Id="rId76" Type="http://schemas.openxmlformats.org/officeDocument/2006/relationships/hyperlink" Target="https://doi.org/10.1016/j.foodcont.2013.07.011" TargetMode="External"/><Relationship Id="rId97" Type="http://schemas.openxmlformats.org/officeDocument/2006/relationships/hyperlink" Target="https://doi.org/10.1016/j.ijfoodmicro.2011.07.033" TargetMode="External"/><Relationship Id="rId104" Type="http://schemas.openxmlformats.org/officeDocument/2006/relationships/hyperlink" Target="https://doi.org/10.1016/j.foodcont.2013.07.011" TargetMode="External"/><Relationship Id="rId120" Type="http://schemas.openxmlformats.org/officeDocument/2006/relationships/hyperlink" Target="https://doi.org/10.1016/j.foodcont.2013.07.011" TargetMode="External"/><Relationship Id="rId125" Type="http://schemas.openxmlformats.org/officeDocument/2006/relationships/hyperlink" Target="https://doi.org/10.1016/j.foodcont.2013.07.011" TargetMode="External"/><Relationship Id="rId141" Type="http://schemas.openxmlformats.org/officeDocument/2006/relationships/hyperlink" Target="https://doi.org/10.1111/jfpe.13779" TargetMode="External"/><Relationship Id="rId146" Type="http://schemas.openxmlformats.org/officeDocument/2006/relationships/hyperlink" Target="https://doi.org/10.1111/jfpe.13779" TargetMode="External"/><Relationship Id="rId167" Type="http://schemas.openxmlformats.org/officeDocument/2006/relationships/hyperlink" Target="http://dx.doi.org/10.1016/j.ifset.2010.01.003" TargetMode="External"/><Relationship Id="rId7" Type="http://schemas.openxmlformats.org/officeDocument/2006/relationships/hyperlink" Target="https://doi.org/10.2202/1556-3758.1058" TargetMode="External"/><Relationship Id="rId71" Type="http://schemas.openxmlformats.org/officeDocument/2006/relationships/hyperlink" Target="https://doi.org/10.1016/j.foodcont.2013.07.011" TargetMode="External"/><Relationship Id="rId92" Type="http://schemas.openxmlformats.org/officeDocument/2006/relationships/hyperlink" Target="https://doi.org/10.1016/j.ijfoodmicro.2011.07.033" TargetMode="External"/><Relationship Id="rId162" Type="http://schemas.openxmlformats.org/officeDocument/2006/relationships/hyperlink" Target="https://doi.org/10.1111/j.1745-4530.2009.00549.x" TargetMode="External"/><Relationship Id="rId2" Type="http://schemas.openxmlformats.org/officeDocument/2006/relationships/hyperlink" Target="https://doi.org/10.1016/j.ifset.2007.09.003" TargetMode="External"/><Relationship Id="rId29" Type="http://schemas.openxmlformats.org/officeDocument/2006/relationships/hyperlink" Target="https://doi.org/10.1016/S0168-1605(02)00247-7" TargetMode="External"/><Relationship Id="rId24" Type="http://schemas.openxmlformats.org/officeDocument/2006/relationships/hyperlink" Target="https://doi.org/10.2202/1556-3758.1058" TargetMode="External"/><Relationship Id="rId40" Type="http://schemas.openxmlformats.org/officeDocument/2006/relationships/hyperlink" Target="https://doi.org/10.4315/0362-028X-64.6.777" TargetMode="External"/><Relationship Id="rId45" Type="http://schemas.openxmlformats.org/officeDocument/2006/relationships/hyperlink" Target="https://doi.org/10.4315/0362-028X-64.6.777" TargetMode="External"/><Relationship Id="rId66" Type="http://schemas.openxmlformats.org/officeDocument/2006/relationships/hyperlink" Target="https://doi.org/10.1016/j.foodcont.2013.07.011" TargetMode="External"/><Relationship Id="rId87" Type="http://schemas.openxmlformats.org/officeDocument/2006/relationships/hyperlink" Target="https://doi.org/10.1177/1082013217715369" TargetMode="External"/><Relationship Id="rId110" Type="http://schemas.openxmlformats.org/officeDocument/2006/relationships/hyperlink" Target="https://doi.org/10.1016/j.foodcont.2013.07.011" TargetMode="External"/><Relationship Id="rId115" Type="http://schemas.openxmlformats.org/officeDocument/2006/relationships/hyperlink" Target="https://doi.org/10.1016/j.foodcont.2013.07.011" TargetMode="External"/><Relationship Id="rId131" Type="http://schemas.openxmlformats.org/officeDocument/2006/relationships/hyperlink" Target="https://doi.org/10.1111/j.1745-4530.2009.00549.x" TargetMode="External"/><Relationship Id="rId136" Type="http://schemas.openxmlformats.org/officeDocument/2006/relationships/hyperlink" Target="https://doi.org/10.1111/jfpe.13779" TargetMode="External"/><Relationship Id="rId157" Type="http://schemas.openxmlformats.org/officeDocument/2006/relationships/hyperlink" Target="https://doi.org/10.1111/j.1745-4530.2009.00549.x" TargetMode="External"/><Relationship Id="rId61" Type="http://schemas.openxmlformats.org/officeDocument/2006/relationships/hyperlink" Target="https://doi.org/10.1016/j.foodcont.2013.07.011" TargetMode="External"/><Relationship Id="rId82" Type="http://schemas.openxmlformats.org/officeDocument/2006/relationships/hyperlink" Target="https://doi.org/10.1111/j.1750-3841.2008.00956.x" TargetMode="External"/><Relationship Id="rId152" Type="http://schemas.openxmlformats.org/officeDocument/2006/relationships/hyperlink" Target="https://doi.org/10.1111/jfpe.13779" TargetMode="External"/><Relationship Id="rId173" Type="http://schemas.openxmlformats.org/officeDocument/2006/relationships/hyperlink" Target="https://doi.org/10.4315/0362-028X-64.6.777" TargetMode="External"/><Relationship Id="rId19" Type="http://schemas.openxmlformats.org/officeDocument/2006/relationships/hyperlink" Target="https://doi.org/10.2202/1556-3758.1058" TargetMode="External"/><Relationship Id="rId14" Type="http://schemas.openxmlformats.org/officeDocument/2006/relationships/hyperlink" Target="https://doi.org/10.2202/1556-3758.1058" TargetMode="External"/><Relationship Id="rId30" Type="http://schemas.openxmlformats.org/officeDocument/2006/relationships/hyperlink" Target="https://doi.org/10.1016/S0168-1605(02)00247-7" TargetMode="External"/><Relationship Id="rId35" Type="http://schemas.openxmlformats.org/officeDocument/2006/relationships/hyperlink" Target="https://doi.org/10.1016/S0168-1605(02)00247-7" TargetMode="External"/><Relationship Id="rId56" Type="http://schemas.openxmlformats.org/officeDocument/2006/relationships/hyperlink" Target="https://doi.org/10.1016/j.lwt.2014.09.028" TargetMode="External"/><Relationship Id="rId77" Type="http://schemas.openxmlformats.org/officeDocument/2006/relationships/hyperlink" Target="https://doi.org/10.1016/j.foodcont.2013.07.011" TargetMode="External"/><Relationship Id="rId100" Type="http://schemas.openxmlformats.org/officeDocument/2006/relationships/hyperlink" Target="https://doi.org/10.1016/j.ijfoodmicro.2011.07.033" TargetMode="External"/><Relationship Id="rId105" Type="http://schemas.openxmlformats.org/officeDocument/2006/relationships/hyperlink" Target="https://doi.org/10.1016/j.foodcont.2013.07.011" TargetMode="External"/><Relationship Id="rId126" Type="http://schemas.openxmlformats.org/officeDocument/2006/relationships/hyperlink" Target="https://doi.org/10.1016/j.foodcont.2013.07.011" TargetMode="External"/><Relationship Id="rId147" Type="http://schemas.openxmlformats.org/officeDocument/2006/relationships/hyperlink" Target="https://doi.org/10.1111/jfpe.13779" TargetMode="External"/><Relationship Id="rId168" Type="http://schemas.openxmlformats.org/officeDocument/2006/relationships/hyperlink" Target="http://dx.doi.org/10.1111/j.1365-2621.2003.tb05765.x" TargetMode="External"/><Relationship Id="rId8" Type="http://schemas.openxmlformats.org/officeDocument/2006/relationships/hyperlink" Target="https://doi.org/10.2202/1556-3758.1058" TargetMode="External"/><Relationship Id="rId51" Type="http://schemas.openxmlformats.org/officeDocument/2006/relationships/hyperlink" Target="https://doi.org/10.1111/j.1745-4530.2009.00549.x" TargetMode="External"/><Relationship Id="rId72" Type="http://schemas.openxmlformats.org/officeDocument/2006/relationships/hyperlink" Target="https://doi.org/10.1016/j.foodcont.2013.07.011" TargetMode="External"/><Relationship Id="rId93" Type="http://schemas.openxmlformats.org/officeDocument/2006/relationships/hyperlink" Target="https://doi.org/10.1016/j.ijfoodmicro.2011.07.033" TargetMode="External"/><Relationship Id="rId98" Type="http://schemas.openxmlformats.org/officeDocument/2006/relationships/hyperlink" Target="https://doi.org/10.1016/j.ijfoodmicro.2011.07.033" TargetMode="External"/><Relationship Id="rId121" Type="http://schemas.openxmlformats.org/officeDocument/2006/relationships/hyperlink" Target="https://doi.org/10.1016/j.foodcont.2013.07.011" TargetMode="External"/><Relationship Id="rId142" Type="http://schemas.openxmlformats.org/officeDocument/2006/relationships/hyperlink" Target="https://doi.org/10.1111/jfpe.13779" TargetMode="External"/><Relationship Id="rId163" Type="http://schemas.openxmlformats.org/officeDocument/2006/relationships/hyperlink" Target="https://doi.org/10.1111/j.1745-4530.2009.00549.x" TargetMode="External"/><Relationship Id="rId3" Type="http://schemas.openxmlformats.org/officeDocument/2006/relationships/hyperlink" Target="https://doi.org/10.1128/AEM.70.4.2289-2295.2004" TargetMode="External"/><Relationship Id="rId25" Type="http://schemas.openxmlformats.org/officeDocument/2006/relationships/hyperlink" Target="https://doi.org/10.2202/1556-3758.1058" TargetMode="External"/><Relationship Id="rId46" Type="http://schemas.openxmlformats.org/officeDocument/2006/relationships/hyperlink" Target="https://doi.org/10.1111/j.1745-4530.2009.00549.x" TargetMode="External"/><Relationship Id="rId67" Type="http://schemas.openxmlformats.org/officeDocument/2006/relationships/hyperlink" Target="https://doi.org/10.1016/j.foodcont.2013.07.011" TargetMode="External"/><Relationship Id="rId116" Type="http://schemas.openxmlformats.org/officeDocument/2006/relationships/hyperlink" Target="https://doi.org/10.1016/j.foodcont.2013.07.011" TargetMode="External"/><Relationship Id="rId137" Type="http://schemas.openxmlformats.org/officeDocument/2006/relationships/hyperlink" Target="https://doi.org/10.1111/jfpe.13779" TargetMode="External"/><Relationship Id="rId158" Type="http://schemas.openxmlformats.org/officeDocument/2006/relationships/hyperlink" Target="https://doi.org/10.1111/j.1745-4530.2009.00549.x" TargetMode="External"/><Relationship Id="rId20" Type="http://schemas.openxmlformats.org/officeDocument/2006/relationships/hyperlink" Target="https://doi.org/10.2202/1556-3758.1058" TargetMode="External"/><Relationship Id="rId41" Type="http://schemas.openxmlformats.org/officeDocument/2006/relationships/hyperlink" Target="https://doi.org/10.4315/0362-028X-64.6.777" TargetMode="External"/><Relationship Id="rId62" Type="http://schemas.openxmlformats.org/officeDocument/2006/relationships/hyperlink" Target="https://doi.org/10.1016/j.foodcont.2013.07.011" TargetMode="External"/><Relationship Id="rId83" Type="http://schemas.openxmlformats.org/officeDocument/2006/relationships/hyperlink" Target="https://doi.org/10.1111/j.1750-3841.2008.00956.x" TargetMode="External"/><Relationship Id="rId88" Type="http://schemas.openxmlformats.org/officeDocument/2006/relationships/hyperlink" Target="https://doi.org/10.1016/j.jfoodeng.2014.08.020" TargetMode="External"/><Relationship Id="rId111" Type="http://schemas.openxmlformats.org/officeDocument/2006/relationships/hyperlink" Target="https://doi.org/10.1016/j.foodcont.2013.07.011" TargetMode="External"/><Relationship Id="rId132" Type="http://schemas.openxmlformats.org/officeDocument/2006/relationships/hyperlink" Target="https://doi.org/10.1111/j.1745-4530.2009.00549.x" TargetMode="External"/><Relationship Id="rId153" Type="http://schemas.openxmlformats.org/officeDocument/2006/relationships/hyperlink" Target="https://doi.org/10.1111/j.1745-4530.2009.00549.x" TargetMode="External"/><Relationship Id="rId17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E90B2-7A39-4A4B-B487-309F648BDE76}">
  <sheetPr codeName="Sheet1"/>
  <dimension ref="A1:CA1726"/>
  <sheetViews>
    <sheetView tabSelected="1" topLeftCell="R1" zoomScale="70" zoomScaleNormal="70" workbookViewId="0">
      <pane ySplit="1" topLeftCell="A34" activePane="bottomLeft" state="frozen"/>
      <selection pane="bottomLeft" activeCell="R1" sqref="A1:XFD1048576"/>
    </sheetView>
  </sheetViews>
  <sheetFormatPr defaultRowHeight="15"/>
  <cols>
    <col min="1" max="1" width="255.7109375" bestFit="1" customWidth="1"/>
    <col min="2" max="2" width="25.5703125" bestFit="1" customWidth="1"/>
    <col min="3" max="3" width="17.85546875" bestFit="1" customWidth="1"/>
    <col min="4" max="4" width="34.28515625" bestFit="1" customWidth="1"/>
    <col min="5" max="5" width="20.140625" bestFit="1" customWidth="1"/>
    <col min="6" max="6" width="25.7109375" bestFit="1" customWidth="1"/>
    <col min="7" max="7" width="8.7109375" bestFit="1" customWidth="1"/>
    <col min="8" max="8" width="9.7109375" bestFit="1" customWidth="1"/>
    <col min="9" max="9" width="19.140625" bestFit="1" customWidth="1"/>
    <col min="10" max="11" width="12.7109375" bestFit="1" customWidth="1"/>
    <col min="12" max="12" width="30.7109375" bestFit="1" customWidth="1"/>
    <col min="13" max="13" width="26" style="4" bestFit="1" customWidth="1"/>
    <col min="14" max="14" width="29.7109375" bestFit="1" customWidth="1"/>
    <col min="15" max="15" width="19.7109375" bestFit="1" customWidth="1"/>
    <col min="16" max="16" width="19.42578125" bestFit="1" customWidth="1"/>
    <col min="17" max="17" width="23.140625" bestFit="1" customWidth="1"/>
    <col min="18" max="18" width="17.140625" bestFit="1" customWidth="1"/>
    <col min="19" max="19" width="21.5703125" bestFit="1" customWidth="1"/>
    <col min="20" max="20" width="33.140625" bestFit="1" customWidth="1"/>
    <col min="21" max="21" width="25.28515625" bestFit="1" customWidth="1"/>
    <col min="22" max="22" width="25" bestFit="1" customWidth="1"/>
    <col min="23" max="23" width="24.140625" bestFit="1" customWidth="1"/>
    <col min="24" max="24" width="27.7109375" bestFit="1" customWidth="1"/>
    <col min="25" max="25" width="19.140625" bestFit="1" customWidth="1"/>
    <col min="26" max="26" width="22.7109375" bestFit="1" customWidth="1"/>
    <col min="27" max="27" width="29.42578125" bestFit="1" customWidth="1"/>
    <col min="28" max="29" width="35.28515625" bestFit="1" customWidth="1"/>
    <col min="30" max="30" width="23.7109375" style="4" bestFit="1" customWidth="1"/>
    <col min="31" max="31" width="26.140625" bestFit="1" customWidth="1"/>
    <col min="32" max="32" width="29" bestFit="1" customWidth="1"/>
    <col min="33" max="33" width="29.140625" bestFit="1" customWidth="1"/>
    <col min="34" max="34" width="32.7109375" bestFit="1" customWidth="1"/>
    <col min="35" max="35" width="22" bestFit="1" customWidth="1"/>
    <col min="36" max="36" width="21.140625" bestFit="1" customWidth="1"/>
    <col min="37" max="37" width="23.42578125" bestFit="1" customWidth="1"/>
    <col min="38" max="38" width="39.28515625" bestFit="1" customWidth="1"/>
    <col min="39" max="39" width="20.5703125" bestFit="1" customWidth="1"/>
    <col min="40" max="40" width="24.42578125" bestFit="1" customWidth="1"/>
    <col min="41" max="41" width="28.5703125" bestFit="1" customWidth="1"/>
    <col min="42" max="42" width="11.5703125" bestFit="1" customWidth="1"/>
    <col min="43" max="43" width="17.140625" bestFit="1" customWidth="1"/>
    <col min="44" max="44" width="12.7109375" bestFit="1" customWidth="1"/>
    <col min="45" max="45" width="17.7109375" bestFit="1" customWidth="1"/>
    <col min="46" max="46" width="15.5703125" bestFit="1" customWidth="1"/>
    <col min="47" max="47" width="19.140625" style="6" bestFit="1" customWidth="1"/>
    <col min="48" max="48" width="12.7109375" bestFit="1" customWidth="1"/>
    <col min="49" max="49" width="17.140625" bestFit="1" customWidth="1"/>
    <col min="50" max="50" width="24.42578125" bestFit="1" customWidth="1"/>
    <col min="51" max="51" width="15.5703125" bestFit="1" customWidth="1"/>
    <col min="52" max="52" width="13.140625" bestFit="1" customWidth="1"/>
    <col min="53" max="53" width="20.7109375" style="18" bestFit="1" customWidth="1"/>
    <col min="54" max="54" width="16.85546875" bestFit="1" customWidth="1"/>
    <col min="55" max="55" width="15.7109375" bestFit="1" customWidth="1"/>
    <col min="56" max="56" width="20.7109375" bestFit="1" customWidth="1"/>
    <col min="57" max="57" width="19.42578125" bestFit="1" customWidth="1"/>
    <col min="58" max="58" width="20.140625" bestFit="1" customWidth="1"/>
    <col min="59" max="59" width="64.7109375" bestFit="1" customWidth="1"/>
    <col min="60" max="60" width="19" bestFit="1" customWidth="1"/>
    <col min="61" max="61" width="23.140625" bestFit="1" customWidth="1"/>
    <col min="62" max="62" width="31.5703125" bestFit="1" customWidth="1"/>
    <col min="63" max="63" width="26.28515625" customWidth="1"/>
    <col min="64" max="64" width="22" bestFit="1" customWidth="1"/>
    <col min="65" max="65" width="16" bestFit="1" customWidth="1"/>
    <col min="66" max="66" width="9.7109375" bestFit="1" customWidth="1"/>
    <col min="67" max="67" width="12.28515625" bestFit="1" customWidth="1"/>
    <col min="68" max="68" width="10.7109375" bestFit="1" customWidth="1"/>
    <col min="69" max="69" width="21.7109375" bestFit="1" customWidth="1"/>
    <col min="70" max="70" width="24.7109375" bestFit="1" customWidth="1"/>
    <col min="71" max="71" width="12.28515625" bestFit="1" customWidth="1"/>
    <col min="72" max="72" width="25.7109375" bestFit="1" customWidth="1"/>
    <col min="73" max="73" width="31.28515625" bestFit="1" customWidth="1"/>
    <col min="74" max="74" width="8" bestFit="1" customWidth="1"/>
    <col min="75" max="75" width="51.140625" bestFit="1" customWidth="1"/>
    <col min="76" max="76" width="17.42578125" bestFit="1" customWidth="1"/>
    <col min="77" max="78" width="255.7109375" bestFit="1" customWidth="1"/>
    <col min="79" max="79" width="10.28515625" bestFit="1" customWidth="1"/>
  </cols>
  <sheetData>
    <row r="1" spans="1:79">
      <c r="A1" s="3" t="s">
        <v>0</v>
      </c>
      <c r="B1" s="3" t="s">
        <v>36</v>
      </c>
      <c r="C1" s="3" t="s">
        <v>37</v>
      </c>
      <c r="D1" s="3" t="s">
        <v>38</v>
      </c>
      <c r="E1" s="3" t="s">
        <v>39</v>
      </c>
      <c r="F1" s="3" t="s">
        <v>40</v>
      </c>
      <c r="G1" s="3" t="s">
        <v>1</v>
      </c>
      <c r="H1" s="3" t="s">
        <v>2</v>
      </c>
      <c r="I1" s="3" t="s">
        <v>3</v>
      </c>
      <c r="J1" s="3" t="s">
        <v>41</v>
      </c>
      <c r="K1" s="3" t="s">
        <v>42</v>
      </c>
      <c r="L1" s="3" t="s">
        <v>43</v>
      </c>
      <c r="M1" s="4" t="s">
        <v>44</v>
      </c>
      <c r="N1" s="3" t="s">
        <v>174</v>
      </c>
      <c r="O1" s="3" t="s">
        <v>45</v>
      </c>
      <c r="P1" s="3" t="s">
        <v>46</v>
      </c>
      <c r="Q1" s="3" t="s">
        <v>47</v>
      </c>
      <c r="R1" s="3" t="s">
        <v>48</v>
      </c>
      <c r="S1" s="3" t="s">
        <v>782</v>
      </c>
      <c r="T1" s="3" t="s">
        <v>49</v>
      </c>
      <c r="U1" s="3" t="s">
        <v>50</v>
      </c>
      <c r="V1" s="3" t="s">
        <v>51</v>
      </c>
      <c r="W1" s="3" t="s">
        <v>52</v>
      </c>
      <c r="X1" s="3" t="s">
        <v>53</v>
      </c>
      <c r="Y1" s="3" t="s">
        <v>54</v>
      </c>
      <c r="Z1" s="3" t="s">
        <v>55</v>
      </c>
      <c r="AA1" s="3" t="s">
        <v>56</v>
      </c>
      <c r="AB1" s="3" t="s">
        <v>57</v>
      </c>
      <c r="AC1" s="3" t="s">
        <v>58</v>
      </c>
      <c r="AD1" s="4" t="s">
        <v>525</v>
      </c>
      <c r="AE1" s="3" t="s">
        <v>59</v>
      </c>
      <c r="AF1" s="3" t="s">
        <v>60</v>
      </c>
      <c r="AG1" s="3" t="s">
        <v>61</v>
      </c>
      <c r="AH1" s="3" t="s">
        <v>62</v>
      </c>
      <c r="AI1" s="3" t="s">
        <v>63</v>
      </c>
      <c r="AJ1" s="3" t="s">
        <v>576</v>
      </c>
      <c r="AK1" s="3" t="s">
        <v>64</v>
      </c>
      <c r="AL1" s="3" t="s">
        <v>4</v>
      </c>
      <c r="AM1" s="3" t="s">
        <v>787</v>
      </c>
      <c r="AN1" s="3" t="s">
        <v>66</v>
      </c>
      <c r="AO1" s="3" t="s">
        <v>65</v>
      </c>
      <c r="AP1" s="3" t="s">
        <v>67</v>
      </c>
      <c r="AQ1" s="3" t="s">
        <v>68</v>
      </c>
      <c r="AR1" s="3" t="s">
        <v>69</v>
      </c>
      <c r="AS1" s="3" t="s">
        <v>70</v>
      </c>
      <c r="AT1" s="3" t="s">
        <v>71</v>
      </c>
      <c r="AU1" s="6" t="s">
        <v>72</v>
      </c>
      <c r="AV1" s="3" t="s">
        <v>5</v>
      </c>
      <c r="AW1" s="3" t="s">
        <v>6</v>
      </c>
      <c r="AX1" s="3" t="s">
        <v>7</v>
      </c>
      <c r="AY1" s="3" t="s">
        <v>8</v>
      </c>
      <c r="AZ1" s="3" t="s">
        <v>9</v>
      </c>
      <c r="BA1" s="17" t="s">
        <v>577</v>
      </c>
      <c r="BB1" s="3" t="s">
        <v>575</v>
      </c>
      <c r="BC1" s="3" t="s">
        <v>10</v>
      </c>
      <c r="BD1" s="3" t="s">
        <v>11</v>
      </c>
      <c r="BE1" s="3" t="s">
        <v>12</v>
      </c>
      <c r="BF1" s="3" t="s">
        <v>73</v>
      </c>
      <c r="BG1" s="3" t="s">
        <v>13</v>
      </c>
      <c r="BH1" s="3" t="s">
        <v>14</v>
      </c>
      <c r="BI1" s="3" t="s">
        <v>15</v>
      </c>
      <c r="BJ1" s="3" t="s">
        <v>16</v>
      </c>
      <c r="BK1" s="3" t="s">
        <v>524</v>
      </c>
      <c r="BL1" s="3" t="s">
        <v>17</v>
      </c>
      <c r="BM1" s="3" t="s">
        <v>18</v>
      </c>
      <c r="BN1" s="3" t="s">
        <v>19</v>
      </c>
      <c r="BO1" s="3" t="s">
        <v>20</v>
      </c>
      <c r="BP1" s="3" t="s">
        <v>21</v>
      </c>
      <c r="BQ1" s="3" t="s">
        <v>22</v>
      </c>
      <c r="BR1" s="3" t="s">
        <v>23</v>
      </c>
      <c r="BS1" s="3" t="s">
        <v>24</v>
      </c>
      <c r="BT1" s="3" t="s">
        <v>578</v>
      </c>
      <c r="BU1" s="3" t="s">
        <v>25</v>
      </c>
      <c r="BV1" s="3" t="s">
        <v>26</v>
      </c>
      <c r="BW1" s="3" t="s">
        <v>27</v>
      </c>
      <c r="BX1" s="3" t="s">
        <v>74</v>
      </c>
      <c r="BY1" s="3" t="s">
        <v>75</v>
      </c>
      <c r="BZ1" s="3" t="s">
        <v>28</v>
      </c>
      <c r="CA1" s="3" t="s">
        <v>804</v>
      </c>
    </row>
    <row r="2" spans="1:79">
      <c r="A2" t="s">
        <v>225</v>
      </c>
      <c r="B2" t="s">
        <v>565</v>
      </c>
      <c r="C2" t="s">
        <v>563</v>
      </c>
      <c r="D2" t="s">
        <v>33</v>
      </c>
      <c r="E2" t="s">
        <v>77</v>
      </c>
      <c r="F2" t="s">
        <v>32</v>
      </c>
      <c r="G2">
        <v>30</v>
      </c>
      <c r="H2">
        <v>61</v>
      </c>
      <c r="I2" t="b">
        <v>1</v>
      </c>
      <c r="J2" t="s">
        <v>33</v>
      </c>
      <c r="K2" t="s">
        <v>33</v>
      </c>
      <c r="L2">
        <v>30</v>
      </c>
      <c r="M2" s="4">
        <v>500</v>
      </c>
      <c r="N2" s="3">
        <f>IFERROR(AF2/((T2*X2/Y2)*O2*AI2),"NA")</f>
        <v>521.04864189465479</v>
      </c>
      <c r="O2">
        <v>4</v>
      </c>
      <c r="P2" t="s">
        <v>33</v>
      </c>
      <c r="Q2" s="8">
        <f t="shared" ref="Q2:Q22" si="0">IFERROR(X2/Z2, "NA")</f>
        <v>1.3333333333333332E-2</v>
      </c>
      <c r="R2" t="s">
        <v>183</v>
      </c>
      <c r="S2" t="s">
        <v>613</v>
      </c>
      <c r="T2" s="11">
        <v>6</v>
      </c>
      <c r="U2">
        <v>2.2999999999999998</v>
      </c>
      <c r="V2">
        <v>2.2000000000000002</v>
      </c>
      <c r="W2" t="s">
        <v>33</v>
      </c>
      <c r="X2" s="8">
        <f t="shared" ref="X2:X10" si="1">IFERROR(((PI())*(((V2*10^-1)/2)^2)*(U2*10^-1)), "NA")</f>
        <v>8.7430523549403959E-3</v>
      </c>
      <c r="Y2" s="6">
        <f>41/60</f>
        <v>0.68333333333333335</v>
      </c>
      <c r="Z2" s="3">
        <f t="shared" ref="Z2:Z13" si="2">IFERROR(X2*M2*O2*T2*AI2/AF2, "NA")</f>
        <v>0.65572892662052973</v>
      </c>
      <c r="AA2" s="3">
        <f>40/6</f>
        <v>6.666666666666667</v>
      </c>
      <c r="AB2" s="6">
        <f t="shared" ref="AB2:AB8" si="3">IFERROR(((X2*M2)/Z2), "NA")</f>
        <v>6.6666666666666661</v>
      </c>
      <c r="AC2" t="str">
        <f t="shared" ref="AC2:AC49" si="4">IFERROR(M2*P2,"NA")</f>
        <v>NA</v>
      </c>
      <c r="AD2" s="4">
        <f>AB2*T2*AI2</f>
        <v>40</v>
      </c>
      <c r="AE2" s="3">
        <f t="shared" ref="AE2:AE13" si="5">IFERROR(((L2^2)*M2*O2*AK2*10^-6*Q2*T2*AI2), "NA")</f>
        <v>576</v>
      </c>
      <c r="AF2">
        <v>160</v>
      </c>
      <c r="AG2" t="str">
        <f>IFERROR((M2*O2*P2), "NA")</f>
        <v>NA</v>
      </c>
      <c r="AH2" t="str">
        <f>IFERROR((AG2*T2*AI2), "NA")</f>
        <v>NA</v>
      </c>
      <c r="AI2">
        <v>1</v>
      </c>
      <c r="AJ2" t="s">
        <v>31</v>
      </c>
      <c r="AK2">
        <v>4000</v>
      </c>
      <c r="AL2" t="s">
        <v>546</v>
      </c>
      <c r="AM2" t="s">
        <v>103</v>
      </c>
      <c r="AN2" t="s">
        <v>130</v>
      </c>
      <c r="AO2" t="s">
        <v>795</v>
      </c>
      <c r="AP2">
        <v>5</v>
      </c>
      <c r="AQ2" t="s">
        <v>33</v>
      </c>
      <c r="AR2" t="s">
        <v>33</v>
      </c>
      <c r="AS2" s="6">
        <v>8.1</v>
      </c>
      <c r="AT2" s="3">
        <f t="shared" ref="AT2:AT6" si="6">IFERROR(AS2-AU2,"NA")</f>
        <v>9.9999999999999645E-2</v>
      </c>
      <c r="AU2" s="6">
        <v>8</v>
      </c>
      <c r="AV2" t="b">
        <v>1</v>
      </c>
      <c r="AW2" t="s">
        <v>29</v>
      </c>
      <c r="AX2" t="s">
        <v>30</v>
      </c>
      <c r="AY2" t="s">
        <v>226</v>
      </c>
      <c r="AZ2" t="s">
        <v>33</v>
      </c>
      <c r="BA2" s="18" t="s">
        <v>798</v>
      </c>
      <c r="BB2" t="b">
        <v>0</v>
      </c>
      <c r="BC2" t="s">
        <v>81</v>
      </c>
      <c r="BD2">
        <v>14</v>
      </c>
      <c r="BE2" t="s">
        <v>80</v>
      </c>
      <c r="BF2" s="11">
        <v>120</v>
      </c>
      <c r="BG2" t="s">
        <v>139</v>
      </c>
      <c r="BH2" t="s">
        <v>31</v>
      </c>
      <c r="BI2" t="s">
        <v>32</v>
      </c>
      <c r="BJ2" s="3">
        <f t="shared" ref="BJ2:BJ49" si="7">AU2</f>
        <v>8</v>
      </c>
      <c r="BK2" s="3">
        <f t="shared" ref="BK2:BK49" si="8">LOG10(BJ2)</f>
        <v>0.90308998699194354</v>
      </c>
      <c r="BL2">
        <v>2</v>
      </c>
      <c r="BM2" s="3">
        <f t="shared" ref="BM2:BM34" si="9">IFERROR(LOG(BO2),"NA")</f>
        <v>1.8573324964312685</v>
      </c>
      <c r="BN2" t="s">
        <v>33</v>
      </c>
      <c r="BO2" s="3">
        <f t="shared" ref="BO2:BO65" si="10">IFERROR((AE2/BJ2),"NA")</f>
        <v>72</v>
      </c>
      <c r="BP2" t="s">
        <v>33</v>
      </c>
      <c r="BQ2" t="s">
        <v>33</v>
      </c>
      <c r="BR2" t="s">
        <v>33</v>
      </c>
      <c r="BS2" t="s">
        <v>33</v>
      </c>
      <c r="BT2" t="s">
        <v>31</v>
      </c>
      <c r="BU2" t="s">
        <v>227</v>
      </c>
      <c r="BV2">
        <v>2001</v>
      </c>
      <c r="BW2" t="s">
        <v>228</v>
      </c>
      <c r="BX2" t="s">
        <v>78</v>
      </c>
      <c r="BY2" t="s">
        <v>33</v>
      </c>
      <c r="BZ2" t="s">
        <v>33</v>
      </c>
      <c r="CA2" t="str">
        <f>IF(OR(AN2="low acidic liquid medium", AN2="low acidic food product"), "low acid",
    IF(OR(AN2="high acidic food product", AN2="high acidic liquid medium"), "high acid", "NA"))</f>
        <v>low acid</v>
      </c>
    </row>
    <row r="3" spans="1:79">
      <c r="A3" t="s">
        <v>231</v>
      </c>
      <c r="B3" t="s">
        <v>565</v>
      </c>
      <c r="C3" t="s">
        <v>563</v>
      </c>
      <c r="D3" t="s">
        <v>33</v>
      </c>
      <c r="E3" t="s">
        <v>77</v>
      </c>
      <c r="F3" t="s">
        <v>32</v>
      </c>
      <c r="G3">
        <v>30</v>
      </c>
      <c r="H3">
        <v>61</v>
      </c>
      <c r="I3" t="b">
        <v>1</v>
      </c>
      <c r="J3" t="s">
        <v>33</v>
      </c>
      <c r="K3" t="s">
        <v>33</v>
      </c>
      <c r="L3">
        <v>30</v>
      </c>
      <c r="M3" s="4">
        <v>250</v>
      </c>
      <c r="N3" s="3">
        <f>IFERROR(AF3/((T3*X3/Y3)*O3*AI3),"NA")</f>
        <v>260.5243209473274</v>
      </c>
      <c r="O3">
        <v>4</v>
      </c>
      <c r="P3" t="s">
        <v>33</v>
      </c>
      <c r="Q3" s="9">
        <f t="shared" si="0"/>
        <v>1.3333333333333332E-2</v>
      </c>
      <c r="R3" t="s">
        <v>183</v>
      </c>
      <c r="S3" t="s">
        <v>613</v>
      </c>
      <c r="T3" s="11">
        <v>6</v>
      </c>
      <c r="U3">
        <v>2.2999999999999998</v>
      </c>
      <c r="V3">
        <v>2.2000000000000002</v>
      </c>
      <c r="W3" t="s">
        <v>33</v>
      </c>
      <c r="X3" s="8">
        <f t="shared" si="1"/>
        <v>8.7430523549403959E-3</v>
      </c>
      <c r="Y3" s="6">
        <f>41/60</f>
        <v>0.68333333333333335</v>
      </c>
      <c r="Z3" s="3">
        <f t="shared" si="2"/>
        <v>0.65572892662052973</v>
      </c>
      <c r="AA3" s="3">
        <f>20/6</f>
        <v>3.3333333333333335</v>
      </c>
      <c r="AB3" s="6">
        <f t="shared" si="3"/>
        <v>3.333333333333333</v>
      </c>
      <c r="AC3" t="str">
        <f t="shared" si="4"/>
        <v>NA</v>
      </c>
      <c r="AD3" s="4">
        <f>AB3*T3*AI3</f>
        <v>20</v>
      </c>
      <c r="AE3" s="3">
        <f t="shared" si="5"/>
        <v>288</v>
      </c>
      <c r="AF3">
        <v>80</v>
      </c>
      <c r="AG3" t="str">
        <f>IFERROR((M3*O3*P3), "NA")</f>
        <v>NA</v>
      </c>
      <c r="AH3" t="str">
        <f>IFERROR((AG3*T3*AI3), "NA")</f>
        <v>NA</v>
      </c>
      <c r="AI3">
        <v>1</v>
      </c>
      <c r="AJ3" t="s">
        <v>31</v>
      </c>
      <c r="AK3">
        <v>4000</v>
      </c>
      <c r="AL3" t="s">
        <v>546</v>
      </c>
      <c r="AM3" t="s">
        <v>103</v>
      </c>
      <c r="AN3" t="s">
        <v>130</v>
      </c>
      <c r="AO3" t="s">
        <v>795</v>
      </c>
      <c r="AP3">
        <v>5</v>
      </c>
      <c r="AQ3" t="s">
        <v>33</v>
      </c>
      <c r="AR3" t="s">
        <v>33</v>
      </c>
      <c r="AS3" s="6">
        <v>6.4</v>
      </c>
      <c r="AT3" s="3">
        <f t="shared" si="6"/>
        <v>0.10000000000000053</v>
      </c>
      <c r="AU3" s="6">
        <v>6.3</v>
      </c>
      <c r="AV3" t="b">
        <v>1</v>
      </c>
      <c r="AW3" t="s">
        <v>172</v>
      </c>
      <c r="AX3" t="s">
        <v>173</v>
      </c>
      <c r="AY3" t="s">
        <v>236</v>
      </c>
      <c r="AZ3" t="s">
        <v>33</v>
      </c>
      <c r="BA3" s="18" t="s">
        <v>799</v>
      </c>
      <c r="BB3" t="b">
        <v>0</v>
      </c>
      <c r="BC3" t="s">
        <v>81</v>
      </c>
      <c r="BD3">
        <v>24</v>
      </c>
      <c r="BE3" t="s">
        <v>80</v>
      </c>
      <c r="BF3" s="11">
        <v>120</v>
      </c>
      <c r="BG3" t="s">
        <v>522</v>
      </c>
      <c r="BH3" t="s">
        <v>31</v>
      </c>
      <c r="BI3" t="s">
        <v>32</v>
      </c>
      <c r="BJ3" s="3">
        <f t="shared" si="7"/>
        <v>6.3</v>
      </c>
      <c r="BK3" s="3">
        <f t="shared" si="8"/>
        <v>0.79934054945358168</v>
      </c>
      <c r="BL3">
        <v>2</v>
      </c>
      <c r="BM3" s="3">
        <f t="shared" si="9"/>
        <v>1.6600519383056491</v>
      </c>
      <c r="BN3" t="s">
        <v>33</v>
      </c>
      <c r="BO3" s="3">
        <f t="shared" si="10"/>
        <v>45.714285714285715</v>
      </c>
      <c r="BP3" t="s">
        <v>33</v>
      </c>
      <c r="BQ3" t="s">
        <v>33</v>
      </c>
      <c r="BR3" t="s">
        <v>33</v>
      </c>
      <c r="BS3" t="s">
        <v>33</v>
      </c>
      <c r="BT3" t="s">
        <v>31</v>
      </c>
      <c r="BU3" t="s">
        <v>227</v>
      </c>
      <c r="BV3">
        <v>2001</v>
      </c>
      <c r="BW3" t="s">
        <v>228</v>
      </c>
      <c r="BX3" t="s">
        <v>78</v>
      </c>
      <c r="BY3" t="s">
        <v>33</v>
      </c>
      <c r="BZ3" t="s">
        <v>33</v>
      </c>
      <c r="CA3" t="str">
        <f t="shared" ref="CA3:CA66" si="11">IF(OR(AN3="low acidic liquid medium", AN3="low acidic food product"), "low acid",
    IF(OR(AN3="high acidic food product", AN3="high acidic liquid medium"), "high acid", "NA"))</f>
        <v>low acid</v>
      </c>
    </row>
    <row r="4" spans="1:79">
      <c r="A4" t="s">
        <v>231</v>
      </c>
      <c r="B4" t="s">
        <v>565</v>
      </c>
      <c r="C4" t="s">
        <v>563</v>
      </c>
      <c r="D4" t="s">
        <v>33</v>
      </c>
      <c r="E4" t="s">
        <v>77</v>
      </c>
      <c r="F4" t="s">
        <v>32</v>
      </c>
      <c r="G4">
        <v>30</v>
      </c>
      <c r="H4">
        <v>61</v>
      </c>
      <c r="I4" t="b">
        <v>1</v>
      </c>
      <c r="J4" t="s">
        <v>33</v>
      </c>
      <c r="K4" t="s">
        <v>33</v>
      </c>
      <c r="L4">
        <v>35</v>
      </c>
      <c r="M4" s="4">
        <v>250</v>
      </c>
      <c r="N4" s="3">
        <f>IFERROR(AF4/((T4*X4/Y4)*O4*AI4),"NA")</f>
        <v>260.5243209473274</v>
      </c>
      <c r="O4">
        <v>2</v>
      </c>
      <c r="P4" t="s">
        <v>33</v>
      </c>
      <c r="Q4" s="9">
        <f t="shared" si="0"/>
        <v>1.3333333333333332E-2</v>
      </c>
      <c r="R4" t="s">
        <v>183</v>
      </c>
      <c r="S4" t="s">
        <v>613</v>
      </c>
      <c r="T4" s="11">
        <v>6</v>
      </c>
      <c r="U4">
        <v>2.2999999999999998</v>
      </c>
      <c r="V4">
        <v>2.2000000000000002</v>
      </c>
      <c r="W4" t="s">
        <v>33</v>
      </c>
      <c r="X4" s="8">
        <f t="shared" si="1"/>
        <v>8.7430523549403959E-3</v>
      </c>
      <c r="Y4" s="6">
        <f>41/60</f>
        <v>0.68333333333333335</v>
      </c>
      <c r="Z4" s="3">
        <f t="shared" si="2"/>
        <v>0.65572892662052973</v>
      </c>
      <c r="AA4" s="3">
        <f>20/6</f>
        <v>3.3333333333333335</v>
      </c>
      <c r="AB4" s="6">
        <f t="shared" si="3"/>
        <v>3.333333333333333</v>
      </c>
      <c r="AC4" t="str">
        <f t="shared" si="4"/>
        <v>NA</v>
      </c>
      <c r="AD4" s="4">
        <f>IFERROR(AB4*T4*AI4, "NA")</f>
        <v>20</v>
      </c>
      <c r="AE4" s="3">
        <f t="shared" si="5"/>
        <v>196</v>
      </c>
      <c r="AF4">
        <v>40</v>
      </c>
      <c r="AG4" t="str">
        <f>IFERROR((M4*O4*P4), "NA")</f>
        <v>NA</v>
      </c>
      <c r="AH4" t="str">
        <f>IFERROR((AG4*T4*AI4), "NA")</f>
        <v>NA</v>
      </c>
      <c r="AI4" s="11">
        <v>1</v>
      </c>
      <c r="AJ4" t="s">
        <v>31</v>
      </c>
      <c r="AK4">
        <v>4000</v>
      </c>
      <c r="AL4" t="s">
        <v>546</v>
      </c>
      <c r="AM4" t="s">
        <v>103</v>
      </c>
      <c r="AN4" t="s">
        <v>130</v>
      </c>
      <c r="AO4" t="s">
        <v>795</v>
      </c>
      <c r="AP4">
        <v>5</v>
      </c>
      <c r="AQ4" t="s">
        <v>33</v>
      </c>
      <c r="AR4" t="s">
        <v>33</v>
      </c>
      <c r="AS4" s="6">
        <v>6.6</v>
      </c>
      <c r="AT4" s="3">
        <f t="shared" si="6"/>
        <v>0.29999999999999982</v>
      </c>
      <c r="AU4" s="6">
        <v>6.3</v>
      </c>
      <c r="AV4" t="b">
        <v>1</v>
      </c>
      <c r="AW4" t="s">
        <v>172</v>
      </c>
      <c r="AX4" t="s">
        <v>173</v>
      </c>
      <c r="AY4" t="s">
        <v>236</v>
      </c>
      <c r="AZ4" t="s">
        <v>33</v>
      </c>
      <c r="BA4" s="18" t="s">
        <v>799</v>
      </c>
      <c r="BB4" t="b">
        <v>0</v>
      </c>
      <c r="BC4" t="s">
        <v>81</v>
      </c>
      <c r="BD4">
        <v>24</v>
      </c>
      <c r="BE4" t="s">
        <v>80</v>
      </c>
      <c r="BF4" s="11">
        <v>120</v>
      </c>
      <c r="BG4" t="s">
        <v>522</v>
      </c>
      <c r="BH4" t="s">
        <v>31</v>
      </c>
      <c r="BI4" t="s">
        <v>31</v>
      </c>
      <c r="BJ4" s="3">
        <f t="shared" si="7"/>
        <v>6.3</v>
      </c>
      <c r="BK4" s="3">
        <f t="shared" si="8"/>
        <v>0.79934054945358168</v>
      </c>
      <c r="BL4">
        <v>2</v>
      </c>
      <c r="BM4" s="3">
        <f t="shared" si="9"/>
        <v>1.4929155219028944</v>
      </c>
      <c r="BN4" t="s">
        <v>33</v>
      </c>
      <c r="BO4" s="3">
        <f t="shared" si="10"/>
        <v>31.111111111111111</v>
      </c>
      <c r="BP4" t="s">
        <v>33</v>
      </c>
      <c r="BQ4" t="s">
        <v>33</v>
      </c>
      <c r="BR4" t="s">
        <v>33</v>
      </c>
      <c r="BS4" t="s">
        <v>33</v>
      </c>
      <c r="BT4" t="s">
        <v>31</v>
      </c>
      <c r="BU4" t="s">
        <v>227</v>
      </c>
      <c r="BV4">
        <v>2001</v>
      </c>
      <c r="BW4" t="s">
        <v>228</v>
      </c>
      <c r="BX4" t="s">
        <v>78</v>
      </c>
      <c r="BY4" t="s">
        <v>33</v>
      </c>
      <c r="BZ4" t="s">
        <v>33</v>
      </c>
      <c r="CA4" t="str">
        <f t="shared" si="11"/>
        <v>low acid</v>
      </c>
    </row>
    <row r="5" spans="1:79">
      <c r="A5" t="s">
        <v>231</v>
      </c>
      <c r="B5" t="s">
        <v>565</v>
      </c>
      <c r="C5" t="s">
        <v>563</v>
      </c>
      <c r="D5" t="s">
        <v>33</v>
      </c>
      <c r="E5" t="s">
        <v>77</v>
      </c>
      <c r="F5" t="s">
        <v>32</v>
      </c>
      <c r="G5">
        <v>30</v>
      </c>
      <c r="H5">
        <v>61</v>
      </c>
      <c r="I5" t="b">
        <v>1</v>
      </c>
      <c r="J5" t="s">
        <v>33</v>
      </c>
      <c r="K5" t="s">
        <v>33</v>
      </c>
      <c r="L5">
        <v>35</v>
      </c>
      <c r="M5" s="4">
        <v>250</v>
      </c>
      <c r="N5" s="3">
        <f>IFERROR(AF5/((T5*X5/Y5)*O5*AI5),"NA")</f>
        <v>260.5243209473274</v>
      </c>
      <c r="O5">
        <v>4</v>
      </c>
      <c r="P5" t="s">
        <v>33</v>
      </c>
      <c r="Q5" s="9">
        <f t="shared" si="0"/>
        <v>1.3333333333333332E-2</v>
      </c>
      <c r="R5" t="s">
        <v>183</v>
      </c>
      <c r="S5" t="s">
        <v>613</v>
      </c>
      <c r="T5" s="11">
        <v>6</v>
      </c>
      <c r="U5">
        <v>2.2999999999999998</v>
      </c>
      <c r="V5">
        <v>2.2000000000000002</v>
      </c>
      <c r="W5" t="s">
        <v>33</v>
      </c>
      <c r="X5" s="8">
        <f t="shared" si="1"/>
        <v>8.7430523549403959E-3</v>
      </c>
      <c r="Y5" s="6">
        <f>41/60</f>
        <v>0.68333333333333335</v>
      </c>
      <c r="Z5" s="3">
        <f t="shared" si="2"/>
        <v>0.65572892662052973</v>
      </c>
      <c r="AA5" s="3">
        <f>20/6</f>
        <v>3.3333333333333335</v>
      </c>
      <c r="AB5" s="6">
        <f t="shared" si="3"/>
        <v>3.333333333333333</v>
      </c>
      <c r="AC5" t="str">
        <f t="shared" si="4"/>
        <v>NA</v>
      </c>
      <c r="AD5" s="4">
        <f>AB5*T5*AI5</f>
        <v>20</v>
      </c>
      <c r="AE5" s="3">
        <f t="shared" si="5"/>
        <v>392</v>
      </c>
      <c r="AF5">
        <v>80</v>
      </c>
      <c r="AG5" t="str">
        <f>IFERROR((M5*O5*P5), "NA")</f>
        <v>NA</v>
      </c>
      <c r="AH5" t="str">
        <f>IFERROR((AG5*T5*AI5), "NA")</f>
        <v>NA</v>
      </c>
      <c r="AI5">
        <v>1</v>
      </c>
      <c r="AJ5" t="s">
        <v>31</v>
      </c>
      <c r="AK5">
        <v>4000</v>
      </c>
      <c r="AL5" t="s">
        <v>546</v>
      </c>
      <c r="AM5" t="s">
        <v>103</v>
      </c>
      <c r="AN5" t="s">
        <v>130</v>
      </c>
      <c r="AO5" t="s">
        <v>795</v>
      </c>
      <c r="AP5">
        <v>5</v>
      </c>
      <c r="AQ5" t="s">
        <v>33</v>
      </c>
      <c r="AR5" t="s">
        <v>33</v>
      </c>
      <c r="AS5" s="6">
        <v>6.4</v>
      </c>
      <c r="AT5" s="3">
        <f t="shared" si="6"/>
        <v>0.30000000000000071</v>
      </c>
      <c r="AU5" s="6">
        <v>6.1</v>
      </c>
      <c r="AV5" t="b">
        <v>1</v>
      </c>
      <c r="AW5" t="s">
        <v>172</v>
      </c>
      <c r="AX5" t="s">
        <v>173</v>
      </c>
      <c r="AY5" t="s">
        <v>236</v>
      </c>
      <c r="AZ5" t="s">
        <v>33</v>
      </c>
      <c r="BA5" s="18" t="s">
        <v>799</v>
      </c>
      <c r="BB5" t="b">
        <v>0</v>
      </c>
      <c r="BC5" t="s">
        <v>81</v>
      </c>
      <c r="BD5">
        <v>24</v>
      </c>
      <c r="BE5" t="s">
        <v>80</v>
      </c>
      <c r="BF5" s="11">
        <v>120</v>
      </c>
      <c r="BG5" t="s">
        <v>522</v>
      </c>
      <c r="BH5" t="s">
        <v>31</v>
      </c>
      <c r="BI5" t="s">
        <v>32</v>
      </c>
      <c r="BJ5" s="3">
        <f t="shared" si="7"/>
        <v>6.1</v>
      </c>
      <c r="BK5" s="3">
        <f t="shared" si="8"/>
        <v>0.78532983501076703</v>
      </c>
      <c r="BL5">
        <v>2</v>
      </c>
      <c r="BM5" s="3">
        <f t="shared" si="9"/>
        <v>1.8079562320096902</v>
      </c>
      <c r="BN5" t="s">
        <v>33</v>
      </c>
      <c r="BO5" s="3">
        <f t="shared" si="10"/>
        <v>64.26229508196721</v>
      </c>
      <c r="BP5" t="s">
        <v>33</v>
      </c>
      <c r="BQ5" t="s">
        <v>33</v>
      </c>
      <c r="BR5" t="s">
        <v>33</v>
      </c>
      <c r="BS5" t="s">
        <v>33</v>
      </c>
      <c r="BT5" t="s">
        <v>31</v>
      </c>
      <c r="BU5" t="s">
        <v>227</v>
      </c>
      <c r="BV5">
        <v>2001</v>
      </c>
      <c r="BW5" t="s">
        <v>228</v>
      </c>
      <c r="BX5" t="s">
        <v>78</v>
      </c>
      <c r="BY5" t="s">
        <v>33</v>
      </c>
      <c r="BZ5" t="s">
        <v>33</v>
      </c>
      <c r="CA5" t="str">
        <f t="shared" si="11"/>
        <v>low acid</v>
      </c>
    </row>
    <row r="6" spans="1:79">
      <c r="A6" t="s">
        <v>229</v>
      </c>
      <c r="B6" t="s">
        <v>565</v>
      </c>
      <c r="C6" t="s">
        <v>563</v>
      </c>
      <c r="D6" t="s">
        <v>33</v>
      </c>
      <c r="E6" t="s">
        <v>77</v>
      </c>
      <c r="F6" t="s">
        <v>32</v>
      </c>
      <c r="G6">
        <v>30</v>
      </c>
      <c r="H6">
        <v>61</v>
      </c>
      <c r="I6" t="b">
        <v>1</v>
      </c>
      <c r="J6" t="s">
        <v>33</v>
      </c>
      <c r="K6" t="s">
        <v>33</v>
      </c>
      <c r="L6">
        <v>35</v>
      </c>
      <c r="M6" s="4">
        <v>500</v>
      </c>
      <c r="N6" s="3">
        <f>IFERROR(AF6/((T6*X6/Y6)*O6*AI6),"NA")</f>
        <v>521.04864189465479</v>
      </c>
      <c r="O6">
        <v>4</v>
      </c>
      <c r="P6" t="s">
        <v>33</v>
      </c>
      <c r="Q6" s="8">
        <f t="shared" si="0"/>
        <v>1.3333333333333332E-2</v>
      </c>
      <c r="R6" t="s">
        <v>183</v>
      </c>
      <c r="S6" t="s">
        <v>613</v>
      </c>
      <c r="T6" s="11">
        <v>6</v>
      </c>
      <c r="U6">
        <v>2.2999999999999998</v>
      </c>
      <c r="V6">
        <v>2.2000000000000002</v>
      </c>
      <c r="W6" t="s">
        <v>33</v>
      </c>
      <c r="X6" s="8">
        <f t="shared" si="1"/>
        <v>8.7430523549403959E-3</v>
      </c>
      <c r="Y6" s="6">
        <f>41/60</f>
        <v>0.68333333333333335</v>
      </c>
      <c r="Z6" s="3">
        <f t="shared" si="2"/>
        <v>0.65572892662052973</v>
      </c>
      <c r="AA6" s="3">
        <f>40/6</f>
        <v>6.666666666666667</v>
      </c>
      <c r="AB6" s="6">
        <f t="shared" si="3"/>
        <v>6.6666666666666661</v>
      </c>
      <c r="AC6" t="str">
        <f t="shared" si="4"/>
        <v>NA</v>
      </c>
      <c r="AD6" s="4">
        <f>AB6*T6*AI6</f>
        <v>40</v>
      </c>
      <c r="AE6" s="3">
        <f t="shared" si="5"/>
        <v>784</v>
      </c>
      <c r="AF6">
        <v>160</v>
      </c>
      <c r="AG6" t="str">
        <f>IFERROR((M6*O6*P6), "NA")</f>
        <v>NA</v>
      </c>
      <c r="AH6" t="str">
        <f>IFERROR((AG6*T6*AI6), "NA")</f>
        <v>NA</v>
      </c>
      <c r="AI6">
        <v>1</v>
      </c>
      <c r="AJ6" t="s">
        <v>31</v>
      </c>
      <c r="AK6">
        <v>4000</v>
      </c>
      <c r="AL6" t="s">
        <v>546</v>
      </c>
      <c r="AM6" t="s">
        <v>103</v>
      </c>
      <c r="AN6" t="s">
        <v>130</v>
      </c>
      <c r="AO6" t="s">
        <v>795</v>
      </c>
      <c r="AP6">
        <v>5</v>
      </c>
      <c r="AQ6" t="s">
        <v>33</v>
      </c>
      <c r="AR6" t="s">
        <v>33</v>
      </c>
      <c r="AS6" s="6">
        <v>8.4</v>
      </c>
      <c r="AT6" s="3">
        <f t="shared" si="6"/>
        <v>0.30000000000000071</v>
      </c>
      <c r="AU6" s="6">
        <v>8.1</v>
      </c>
      <c r="AV6" t="b">
        <v>1</v>
      </c>
      <c r="AW6" t="s">
        <v>92</v>
      </c>
      <c r="AX6" t="s">
        <v>119</v>
      </c>
      <c r="AY6" t="s">
        <v>230</v>
      </c>
      <c r="AZ6" t="s">
        <v>33</v>
      </c>
      <c r="BA6" s="18" t="s">
        <v>801</v>
      </c>
      <c r="BB6" t="b">
        <v>0</v>
      </c>
      <c r="BC6" t="s">
        <v>81</v>
      </c>
      <c r="BD6">
        <v>14</v>
      </c>
      <c r="BE6" t="s">
        <v>80</v>
      </c>
      <c r="BF6" s="11">
        <v>120</v>
      </c>
      <c r="BG6" t="s">
        <v>139</v>
      </c>
      <c r="BH6" t="s">
        <v>31</v>
      </c>
      <c r="BI6" t="s">
        <v>32</v>
      </c>
      <c r="BJ6" s="3">
        <f t="shared" si="7"/>
        <v>8.1</v>
      </c>
      <c r="BK6" s="3">
        <f t="shared" si="8"/>
        <v>0.90848501887864974</v>
      </c>
      <c r="BL6">
        <v>2</v>
      </c>
      <c r="BM6" s="3">
        <f t="shared" si="9"/>
        <v>1.9858310438057887</v>
      </c>
      <c r="BN6" t="s">
        <v>33</v>
      </c>
      <c r="BO6" s="3">
        <f t="shared" si="10"/>
        <v>96.790123456790127</v>
      </c>
      <c r="BP6" t="s">
        <v>33</v>
      </c>
      <c r="BQ6" t="s">
        <v>33</v>
      </c>
      <c r="BR6" t="s">
        <v>33</v>
      </c>
      <c r="BS6" t="s">
        <v>33</v>
      </c>
      <c r="BT6" t="s">
        <v>31</v>
      </c>
      <c r="BU6" t="s">
        <v>227</v>
      </c>
      <c r="BV6">
        <v>2001</v>
      </c>
      <c r="BW6" t="s">
        <v>228</v>
      </c>
      <c r="BX6" t="s">
        <v>78</v>
      </c>
      <c r="BY6" t="s">
        <v>33</v>
      </c>
      <c r="BZ6" t="s">
        <v>33</v>
      </c>
      <c r="CA6" t="str">
        <f t="shared" si="11"/>
        <v>low acid</v>
      </c>
    </row>
    <row r="7" spans="1:79">
      <c r="A7" t="s">
        <v>596</v>
      </c>
      <c r="B7" t="s">
        <v>565</v>
      </c>
      <c r="C7" t="s">
        <v>563</v>
      </c>
      <c r="D7" t="s">
        <v>610</v>
      </c>
      <c r="E7" t="s">
        <v>77</v>
      </c>
      <c r="F7" t="s">
        <v>33</v>
      </c>
      <c r="G7">
        <v>20</v>
      </c>
      <c r="H7" t="s">
        <v>33</v>
      </c>
      <c r="I7" t="b">
        <v>0</v>
      </c>
      <c r="J7">
        <v>14000</v>
      </c>
      <c r="K7" t="s">
        <v>33</v>
      </c>
      <c r="L7">
        <v>35</v>
      </c>
      <c r="M7" s="4">
        <v>16</v>
      </c>
      <c r="N7" t="e">
        <f>(#REF!*Y7)/(T7*X7*O7)</f>
        <v>#REF!</v>
      </c>
      <c r="O7">
        <v>5</v>
      </c>
      <c r="P7" t="s">
        <v>33</v>
      </c>
      <c r="Q7" s="1">
        <f>IFERROR(X7/Z7, "NA")</f>
        <v>0.93750000000000011</v>
      </c>
      <c r="R7" t="s">
        <v>183</v>
      </c>
      <c r="S7" t="s">
        <v>613</v>
      </c>
      <c r="T7">
        <v>1</v>
      </c>
      <c r="U7">
        <v>4</v>
      </c>
      <c r="V7">
        <v>4</v>
      </c>
      <c r="W7" t="s">
        <v>33</v>
      </c>
      <c r="X7">
        <f>IFERROR(((PI())*(((V7*10^-1)/2)^2)*(U7*10^-1)), "NA")</f>
        <v>5.02654824574367E-2</v>
      </c>
      <c r="Y7">
        <v>0.106667</v>
      </c>
      <c r="Z7" s="3">
        <f t="shared" si="2"/>
        <v>5.3616514621265807E-2</v>
      </c>
      <c r="AA7" t="s">
        <v>33</v>
      </c>
      <c r="AB7">
        <f t="shared" si="3"/>
        <v>15.000000000000002</v>
      </c>
      <c r="AC7" s="1" t="str">
        <f t="shared" si="4"/>
        <v>NA</v>
      </c>
      <c r="AE7" s="3">
        <f t="shared" si="5"/>
        <v>183.75000000000003</v>
      </c>
      <c r="AF7">
        <v>75</v>
      </c>
      <c r="AG7" s="1" t="str">
        <f>IFERROR((N7*P7*Q7), "NA")</f>
        <v>NA</v>
      </c>
      <c r="AH7" s="1" t="str">
        <f>IFERROR((AG7*U7*AI7), "NA")</f>
        <v>NA</v>
      </c>
      <c r="AI7" s="1">
        <v>1</v>
      </c>
      <c r="AJ7" s="11" t="s">
        <v>31</v>
      </c>
      <c r="AK7">
        <v>2000</v>
      </c>
      <c r="AL7" t="s">
        <v>149</v>
      </c>
      <c r="AM7" t="s">
        <v>86</v>
      </c>
      <c r="AN7" t="s">
        <v>205</v>
      </c>
      <c r="AO7" t="s">
        <v>789</v>
      </c>
      <c r="AP7" t="s">
        <v>33</v>
      </c>
      <c r="AQ7" t="s">
        <v>33</v>
      </c>
      <c r="AR7" t="s">
        <v>33</v>
      </c>
      <c r="AS7">
        <f>AVERAGE(6,8)</f>
        <v>7</v>
      </c>
      <c r="AT7">
        <f>AS7-AU7</f>
        <v>0.38999999999999968</v>
      </c>
      <c r="AU7" s="6">
        <v>6.61</v>
      </c>
      <c r="AV7" t="b">
        <v>1</v>
      </c>
      <c r="AW7" t="s">
        <v>626</v>
      </c>
      <c r="AX7" t="s">
        <v>627</v>
      </c>
      <c r="AY7" t="s">
        <v>634</v>
      </c>
      <c r="AZ7" t="s">
        <v>33</v>
      </c>
      <c r="BA7" s="18" t="s">
        <v>800</v>
      </c>
      <c r="BB7" s="3" t="b">
        <v>0</v>
      </c>
      <c r="BC7" t="s">
        <v>81</v>
      </c>
      <c r="BD7">
        <v>18</v>
      </c>
      <c r="BE7" t="s">
        <v>80</v>
      </c>
      <c r="BF7">
        <v>24</v>
      </c>
      <c r="BG7" t="s">
        <v>644</v>
      </c>
      <c r="BH7" t="s">
        <v>31</v>
      </c>
      <c r="BI7" t="s">
        <v>32</v>
      </c>
      <c r="BJ7">
        <f t="shared" si="7"/>
        <v>6.61</v>
      </c>
      <c r="BK7" s="3">
        <f t="shared" si="8"/>
        <v>0.82020145948564027</v>
      </c>
      <c r="BL7">
        <v>2</v>
      </c>
      <c r="BM7" s="3">
        <f t="shared" si="9"/>
        <v>1.4440258882705923</v>
      </c>
      <c r="BN7" t="s">
        <v>33</v>
      </c>
      <c r="BO7" s="3">
        <f t="shared" si="10"/>
        <v>27.798789712556736</v>
      </c>
      <c r="BP7" t="s">
        <v>33</v>
      </c>
      <c r="BQ7" t="s">
        <v>33</v>
      </c>
      <c r="BR7" t="s">
        <v>33</v>
      </c>
      <c r="BS7" t="s">
        <v>33</v>
      </c>
      <c r="BT7" t="s">
        <v>32</v>
      </c>
      <c r="BU7" t="s">
        <v>661</v>
      </c>
      <c r="BV7">
        <v>2013</v>
      </c>
      <c r="BW7" t="s">
        <v>662</v>
      </c>
      <c r="BX7" s="13" t="s">
        <v>663</v>
      </c>
      <c r="BY7" s="13" t="s">
        <v>684</v>
      </c>
      <c r="CA7" t="str">
        <f t="shared" si="11"/>
        <v>high acid</v>
      </c>
    </row>
    <row r="8" spans="1:79">
      <c r="A8" t="s">
        <v>596</v>
      </c>
      <c r="B8" t="s">
        <v>565</v>
      </c>
      <c r="C8" t="s">
        <v>563</v>
      </c>
      <c r="D8" t="s">
        <v>610</v>
      </c>
      <c r="E8" t="s">
        <v>77</v>
      </c>
      <c r="F8" t="s">
        <v>33</v>
      </c>
      <c r="G8">
        <v>20</v>
      </c>
      <c r="H8" t="s">
        <v>33</v>
      </c>
      <c r="I8" t="b">
        <v>0</v>
      </c>
      <c r="J8">
        <v>14000</v>
      </c>
      <c r="K8" t="s">
        <v>33</v>
      </c>
      <c r="L8">
        <v>35</v>
      </c>
      <c r="M8" s="4">
        <v>31.831088090218493</v>
      </c>
      <c r="N8" t="e">
        <f>(#REF!*Y8)/(T8*X8*O8)</f>
        <v>#REF!</v>
      </c>
      <c r="O8">
        <v>5</v>
      </c>
      <c r="P8" t="s">
        <v>33</v>
      </c>
      <c r="Q8" s="1">
        <f t="shared" si="0"/>
        <v>0.4712374254215147</v>
      </c>
      <c r="R8" t="s">
        <v>183</v>
      </c>
      <c r="S8" t="s">
        <v>613</v>
      </c>
      <c r="T8">
        <v>1</v>
      </c>
      <c r="U8">
        <v>4</v>
      </c>
      <c r="V8">
        <v>4</v>
      </c>
      <c r="W8" t="s">
        <v>33</v>
      </c>
      <c r="X8">
        <f t="shared" si="1"/>
        <v>5.02654824574367E-2</v>
      </c>
      <c r="Y8">
        <v>0.106667</v>
      </c>
      <c r="Z8" s="3">
        <f t="shared" si="2"/>
        <v>0.10666699999999998</v>
      </c>
      <c r="AA8" t="s">
        <v>33</v>
      </c>
      <c r="AB8">
        <f t="shared" si="3"/>
        <v>15.000000000000002</v>
      </c>
      <c r="AC8" s="1" t="str">
        <f t="shared" si="4"/>
        <v>NA</v>
      </c>
      <c r="AE8" s="3">
        <f t="shared" si="5"/>
        <v>183.75</v>
      </c>
      <c r="AF8">
        <v>75</v>
      </c>
      <c r="AG8" s="1" t="str">
        <f>IFERROR((N8*P8*Q8), "NA")</f>
        <v>NA</v>
      </c>
      <c r="AH8" s="1" t="str">
        <f>IFERROR((AG8*U8*AI8), "NA")</f>
        <v>NA</v>
      </c>
      <c r="AI8" s="1">
        <v>1</v>
      </c>
      <c r="AJ8" s="11" t="s">
        <v>31</v>
      </c>
      <c r="AK8">
        <v>2000</v>
      </c>
      <c r="AL8" t="s">
        <v>149</v>
      </c>
      <c r="AM8" t="s">
        <v>86</v>
      </c>
      <c r="AN8" t="s">
        <v>205</v>
      </c>
      <c r="AO8" t="s">
        <v>789</v>
      </c>
      <c r="AP8" t="s">
        <v>33</v>
      </c>
      <c r="AQ8" t="s">
        <v>33</v>
      </c>
      <c r="AR8" t="s">
        <v>33</v>
      </c>
      <c r="AS8">
        <f>AVERAGE(6,8)</f>
        <v>7</v>
      </c>
      <c r="AT8">
        <f>AS8-AU8</f>
        <v>0.87999999999999989</v>
      </c>
      <c r="AU8" s="6">
        <v>6.12</v>
      </c>
      <c r="AV8" t="b">
        <v>1</v>
      </c>
      <c r="AW8" t="s">
        <v>626</v>
      </c>
      <c r="AX8" t="s">
        <v>627</v>
      </c>
      <c r="AY8" t="s">
        <v>634</v>
      </c>
      <c r="AZ8" t="s">
        <v>33</v>
      </c>
      <c r="BA8" s="18" t="s">
        <v>800</v>
      </c>
      <c r="BB8" s="3" t="b">
        <v>0</v>
      </c>
      <c r="BC8" t="s">
        <v>81</v>
      </c>
      <c r="BD8">
        <v>18</v>
      </c>
      <c r="BE8" t="s">
        <v>80</v>
      </c>
      <c r="BF8">
        <v>24</v>
      </c>
      <c r="BG8" t="s">
        <v>644</v>
      </c>
      <c r="BH8" t="s">
        <v>31</v>
      </c>
      <c r="BI8" t="s">
        <v>32</v>
      </c>
      <c r="BJ8">
        <f t="shared" si="7"/>
        <v>6.12</v>
      </c>
      <c r="BK8" s="3">
        <f t="shared" si="8"/>
        <v>0.78675142214556115</v>
      </c>
      <c r="BL8">
        <v>2</v>
      </c>
      <c r="BM8" s="3">
        <f t="shared" si="9"/>
        <v>1.4774759256106713</v>
      </c>
      <c r="BN8" t="s">
        <v>33</v>
      </c>
      <c r="BO8" s="3">
        <f t="shared" si="10"/>
        <v>30.024509803921568</v>
      </c>
      <c r="BP8" t="s">
        <v>33</v>
      </c>
      <c r="BQ8" t="s">
        <v>33</v>
      </c>
      <c r="BR8" t="s">
        <v>33</v>
      </c>
      <c r="BS8" t="s">
        <v>33</v>
      </c>
      <c r="BT8" t="s">
        <v>32</v>
      </c>
      <c r="BU8" t="s">
        <v>661</v>
      </c>
      <c r="BV8">
        <v>2013</v>
      </c>
      <c r="BW8" t="s">
        <v>662</v>
      </c>
      <c r="BX8" s="13" t="s">
        <v>663</v>
      </c>
      <c r="BY8" s="13" t="s">
        <v>684</v>
      </c>
      <c r="CA8" t="str">
        <f t="shared" si="11"/>
        <v>high acid</v>
      </c>
    </row>
    <row r="9" spans="1:79">
      <c r="A9" t="s">
        <v>407</v>
      </c>
      <c r="B9" t="s">
        <v>565</v>
      </c>
      <c r="C9" t="s">
        <v>563</v>
      </c>
      <c r="D9" t="s">
        <v>118</v>
      </c>
      <c r="E9" t="s">
        <v>77</v>
      </c>
      <c r="F9" t="s">
        <v>32</v>
      </c>
      <c r="G9">
        <v>20</v>
      </c>
      <c r="H9" t="s">
        <v>33</v>
      </c>
      <c r="I9" t="b">
        <v>0</v>
      </c>
      <c r="J9" t="s">
        <v>33</v>
      </c>
      <c r="K9" t="s">
        <v>33</v>
      </c>
      <c r="L9">
        <v>31</v>
      </c>
      <c r="M9" s="4">
        <v>500</v>
      </c>
      <c r="N9" s="3">
        <f>IFERROR(AF9/((T9*X9/Y9)*O9*AI9),"NA")</f>
        <v>500.00000000000011</v>
      </c>
      <c r="O9">
        <v>3</v>
      </c>
      <c r="P9" t="s">
        <v>33</v>
      </c>
      <c r="Q9" s="8">
        <f t="shared" si="0"/>
        <v>2.2787935011895258E-2</v>
      </c>
      <c r="R9" t="s">
        <v>183</v>
      </c>
      <c r="S9" t="s">
        <v>613</v>
      </c>
      <c r="T9" s="11">
        <v>6</v>
      </c>
      <c r="U9">
        <v>2.2999999999999998</v>
      </c>
      <c r="V9">
        <v>2.9</v>
      </c>
      <c r="W9" t="s">
        <v>33</v>
      </c>
      <c r="X9" s="9">
        <f t="shared" si="1"/>
        <v>1.519195667459684E-2</v>
      </c>
      <c r="Y9" s="6">
        <f>40/60</f>
        <v>0.66666666666666663</v>
      </c>
      <c r="Z9" s="3">
        <f t="shared" si="2"/>
        <v>0.66666666666666674</v>
      </c>
      <c r="AA9" t="s">
        <v>33</v>
      </c>
      <c r="AB9" s="6">
        <f>IFERROR(((X9*M9)/Y9), "NA")</f>
        <v>11.39396750594763</v>
      </c>
      <c r="AC9" t="str">
        <f t="shared" si="4"/>
        <v>NA</v>
      </c>
      <c r="AD9" s="4">
        <f>AB9*T9*AI9</f>
        <v>68.363805035685786</v>
      </c>
      <c r="AE9" s="3">
        <f t="shared" si="5"/>
        <v>455.28448331030756</v>
      </c>
      <c r="AF9" s="4">
        <f>AB9*T9*O9*AI9</f>
        <v>205.09141510705734</v>
      </c>
      <c r="AG9" t="str">
        <f>IFERROR((M9*O9*P9), "NA")</f>
        <v>NA</v>
      </c>
      <c r="AH9" t="str">
        <f>IFERROR((AG9*T9*AI9), "NA")</f>
        <v>NA</v>
      </c>
      <c r="AI9">
        <v>1</v>
      </c>
      <c r="AJ9" t="s">
        <v>31</v>
      </c>
      <c r="AK9">
        <v>2310</v>
      </c>
      <c r="AL9" t="s">
        <v>399</v>
      </c>
      <c r="AM9" t="s">
        <v>515</v>
      </c>
      <c r="AN9" t="s">
        <v>205</v>
      </c>
      <c r="AO9" t="s">
        <v>788</v>
      </c>
      <c r="AP9">
        <v>3.01</v>
      </c>
      <c r="AQ9" t="s">
        <v>33</v>
      </c>
      <c r="AR9" t="s">
        <v>33</v>
      </c>
      <c r="AS9">
        <v>5.95</v>
      </c>
      <c r="AT9" s="3">
        <f t="shared" ref="AT9:AT11" si="12">IFERROR(AS9-AU9,"NA")</f>
        <v>1.0200000000000005</v>
      </c>
      <c r="AU9" s="6">
        <v>4.93</v>
      </c>
      <c r="AV9" t="b">
        <v>1</v>
      </c>
      <c r="AW9" t="s">
        <v>172</v>
      </c>
      <c r="AX9" t="s">
        <v>173</v>
      </c>
      <c r="AY9" t="s">
        <v>33</v>
      </c>
      <c r="AZ9" t="s">
        <v>33</v>
      </c>
      <c r="BA9" s="18" t="s">
        <v>799</v>
      </c>
      <c r="BB9" t="b">
        <v>0</v>
      </c>
      <c r="BC9" t="s">
        <v>81</v>
      </c>
      <c r="BD9">
        <v>36</v>
      </c>
      <c r="BE9" t="s">
        <v>80</v>
      </c>
      <c r="BF9" s="11">
        <v>96</v>
      </c>
      <c r="BG9" t="s">
        <v>401</v>
      </c>
      <c r="BH9" t="s">
        <v>31</v>
      </c>
      <c r="BI9" t="s">
        <v>31</v>
      </c>
      <c r="BJ9" s="3">
        <f t="shared" si="7"/>
        <v>4.93</v>
      </c>
      <c r="BK9" s="3">
        <f t="shared" si="8"/>
        <v>0.69284691927722997</v>
      </c>
      <c r="BL9">
        <v>2</v>
      </c>
      <c r="BM9" s="3">
        <f t="shared" si="9"/>
        <v>1.9654359299601423</v>
      </c>
      <c r="BN9" t="s">
        <v>33</v>
      </c>
      <c r="BO9" s="3">
        <f t="shared" si="10"/>
        <v>92.349793774910268</v>
      </c>
      <c r="BP9" t="s">
        <v>33</v>
      </c>
      <c r="BQ9" t="s">
        <v>33</v>
      </c>
      <c r="BR9" t="s">
        <v>33</v>
      </c>
      <c r="BS9" t="s">
        <v>33</v>
      </c>
      <c r="BT9" t="s">
        <v>31</v>
      </c>
      <c r="BU9" t="s">
        <v>402</v>
      </c>
      <c r="BV9">
        <v>2014</v>
      </c>
      <c r="BW9" t="s">
        <v>413</v>
      </c>
      <c r="BX9" t="s">
        <v>78</v>
      </c>
      <c r="BY9" t="s">
        <v>404</v>
      </c>
      <c r="BZ9" t="s">
        <v>410</v>
      </c>
      <c r="CA9" t="str">
        <f t="shared" si="11"/>
        <v>high acid</v>
      </c>
    </row>
    <row r="10" spans="1:79">
      <c r="A10" t="s">
        <v>231</v>
      </c>
      <c r="B10" t="s">
        <v>565</v>
      </c>
      <c r="C10" t="s">
        <v>563</v>
      </c>
      <c r="D10" t="s">
        <v>33</v>
      </c>
      <c r="E10" t="s">
        <v>77</v>
      </c>
      <c r="F10" t="s">
        <v>32</v>
      </c>
      <c r="G10">
        <v>30</v>
      </c>
      <c r="H10">
        <v>61</v>
      </c>
      <c r="I10" t="b">
        <v>1</v>
      </c>
      <c r="J10" t="s">
        <v>33</v>
      </c>
      <c r="K10" t="s">
        <v>33</v>
      </c>
      <c r="L10">
        <v>25</v>
      </c>
      <c r="M10" s="4">
        <v>500</v>
      </c>
      <c r="N10" s="3">
        <f>IFERROR(AF10/((T10*X10/Y10)*O10*AI10),"NA")</f>
        <v>521.04864189465479</v>
      </c>
      <c r="O10">
        <v>4</v>
      </c>
      <c r="P10" t="s">
        <v>33</v>
      </c>
      <c r="Q10" s="9">
        <f t="shared" si="0"/>
        <v>1.3333333333333332E-2</v>
      </c>
      <c r="R10" t="s">
        <v>183</v>
      </c>
      <c r="S10" t="s">
        <v>613</v>
      </c>
      <c r="T10" s="11">
        <v>6</v>
      </c>
      <c r="U10">
        <v>2.2999999999999998</v>
      </c>
      <c r="V10">
        <v>2.2000000000000002</v>
      </c>
      <c r="W10" t="s">
        <v>33</v>
      </c>
      <c r="X10" s="8">
        <f t="shared" si="1"/>
        <v>8.7430523549403959E-3</v>
      </c>
      <c r="Y10" s="6">
        <f>41/60</f>
        <v>0.68333333333333335</v>
      </c>
      <c r="Z10" s="3">
        <f t="shared" si="2"/>
        <v>0.65572892662052973</v>
      </c>
      <c r="AA10" s="3">
        <f>40/6</f>
        <v>6.666666666666667</v>
      </c>
      <c r="AB10" s="6">
        <f>IFERROR(((X10*M10)/Z10), "NA")</f>
        <v>6.6666666666666661</v>
      </c>
      <c r="AC10" t="str">
        <f t="shared" si="4"/>
        <v>NA</v>
      </c>
      <c r="AD10" s="4">
        <f>AB10*T10*AI10</f>
        <v>40</v>
      </c>
      <c r="AE10" s="3">
        <f t="shared" si="5"/>
        <v>399.99999999999994</v>
      </c>
      <c r="AF10">
        <v>160</v>
      </c>
      <c r="AG10" t="str">
        <f>IFERROR((M10*O10*P10), "NA")</f>
        <v>NA</v>
      </c>
      <c r="AH10" t="str">
        <f>IFERROR((AG10*T10*AI10), "NA")</f>
        <v>NA</v>
      </c>
      <c r="AI10">
        <v>1</v>
      </c>
      <c r="AJ10" t="s">
        <v>31</v>
      </c>
      <c r="AK10">
        <v>4000</v>
      </c>
      <c r="AL10" t="s">
        <v>546</v>
      </c>
      <c r="AM10" t="s">
        <v>103</v>
      </c>
      <c r="AN10" t="s">
        <v>130</v>
      </c>
      <c r="AO10" t="s">
        <v>795</v>
      </c>
      <c r="AP10">
        <v>5</v>
      </c>
      <c r="AQ10" t="s">
        <v>33</v>
      </c>
      <c r="AR10" t="s">
        <v>33</v>
      </c>
      <c r="AS10" s="6">
        <v>6.4</v>
      </c>
      <c r="AT10" s="3">
        <f t="shared" si="12"/>
        <v>1.1000000000000005</v>
      </c>
      <c r="AU10" s="6">
        <v>5.3</v>
      </c>
      <c r="AV10" t="b">
        <v>1</v>
      </c>
      <c r="AW10" t="s">
        <v>172</v>
      </c>
      <c r="AX10" t="s">
        <v>173</v>
      </c>
      <c r="AY10" t="s">
        <v>236</v>
      </c>
      <c r="AZ10" t="s">
        <v>33</v>
      </c>
      <c r="BA10" s="18" t="s">
        <v>799</v>
      </c>
      <c r="BB10" t="b">
        <v>0</v>
      </c>
      <c r="BC10" t="s">
        <v>81</v>
      </c>
      <c r="BD10">
        <v>24</v>
      </c>
      <c r="BE10" t="s">
        <v>80</v>
      </c>
      <c r="BF10" s="11">
        <v>120</v>
      </c>
      <c r="BG10" t="s">
        <v>522</v>
      </c>
      <c r="BH10" t="s">
        <v>31</v>
      </c>
      <c r="BI10" t="s">
        <v>32</v>
      </c>
      <c r="BJ10" s="3">
        <f t="shared" si="7"/>
        <v>5.3</v>
      </c>
      <c r="BK10" s="3">
        <f t="shared" si="8"/>
        <v>0.72427586960078905</v>
      </c>
      <c r="BL10">
        <v>2</v>
      </c>
      <c r="BM10" s="3">
        <f t="shared" si="9"/>
        <v>1.8777841217271733</v>
      </c>
      <c r="BN10" t="s">
        <v>33</v>
      </c>
      <c r="BO10" s="3">
        <f t="shared" si="10"/>
        <v>75.471698113207538</v>
      </c>
      <c r="BP10" t="s">
        <v>33</v>
      </c>
      <c r="BQ10" t="s">
        <v>33</v>
      </c>
      <c r="BR10" t="s">
        <v>33</v>
      </c>
      <c r="BS10" t="s">
        <v>33</v>
      </c>
      <c r="BT10" t="s">
        <v>31</v>
      </c>
      <c r="BU10" t="s">
        <v>227</v>
      </c>
      <c r="BV10">
        <v>2001</v>
      </c>
      <c r="BW10" t="s">
        <v>228</v>
      </c>
      <c r="BX10" t="s">
        <v>78</v>
      </c>
      <c r="BY10" t="s">
        <v>33</v>
      </c>
      <c r="BZ10" t="s">
        <v>33</v>
      </c>
      <c r="CA10" t="str">
        <f t="shared" si="11"/>
        <v>low acid</v>
      </c>
    </row>
    <row r="11" spans="1:79">
      <c r="A11" t="s">
        <v>311</v>
      </c>
      <c r="B11" t="s">
        <v>565</v>
      </c>
      <c r="C11" t="s">
        <v>563</v>
      </c>
      <c r="D11" t="s">
        <v>33</v>
      </c>
      <c r="E11" t="s">
        <v>77</v>
      </c>
      <c r="F11" t="s">
        <v>32</v>
      </c>
      <c r="G11">
        <v>5</v>
      </c>
      <c r="H11">
        <v>52</v>
      </c>
      <c r="I11" t="b">
        <v>0</v>
      </c>
      <c r="J11" t="s">
        <v>33</v>
      </c>
      <c r="K11" t="s">
        <v>33</v>
      </c>
      <c r="L11">
        <v>60</v>
      </c>
      <c r="M11" s="4">
        <v>60</v>
      </c>
      <c r="N11" s="3">
        <f>IFERROR(AF11/((T11*X11/Y11)*O11*AI11),"NA")</f>
        <v>59.788359788359799</v>
      </c>
      <c r="O11">
        <v>3.5</v>
      </c>
      <c r="P11" t="s">
        <v>33</v>
      </c>
      <c r="Q11" s="8">
        <f t="shared" si="0"/>
        <v>9.4166666666666676E-2</v>
      </c>
      <c r="R11" t="s">
        <v>278</v>
      </c>
      <c r="S11" t="s">
        <v>613</v>
      </c>
      <c r="T11" s="11">
        <v>2</v>
      </c>
      <c r="U11" t="s">
        <v>33</v>
      </c>
      <c r="V11" t="s">
        <v>33</v>
      </c>
      <c r="W11">
        <v>1.26E-2</v>
      </c>
      <c r="X11" s="8">
        <f>W11</f>
        <v>1.26E-2</v>
      </c>
      <c r="Y11" s="6">
        <f>8/60</f>
        <v>0.13333333333333333</v>
      </c>
      <c r="Z11" s="3">
        <f t="shared" si="2"/>
        <v>0.13380530973451327</v>
      </c>
      <c r="AA11">
        <f>11.3/2</f>
        <v>5.65</v>
      </c>
      <c r="AB11" s="6">
        <f>IFERROR(((X11*M11)/Y11), "NA")</f>
        <v>5.67</v>
      </c>
      <c r="AC11" t="str">
        <f t="shared" si="4"/>
        <v>NA</v>
      </c>
      <c r="AD11" s="4">
        <f>AB11*T11*AI11</f>
        <v>11.34</v>
      </c>
      <c r="AE11" s="3">
        <f t="shared" si="5"/>
        <v>336.01679999999999</v>
      </c>
      <c r="AF11">
        <f>AA11*O11*T11</f>
        <v>39.550000000000004</v>
      </c>
      <c r="AG11" t="str">
        <f>IFERROR((M11*O11*P11), "NA")</f>
        <v>NA</v>
      </c>
      <c r="AH11" t="str">
        <f>IFERROR((AG11*T11*AI11), "NA")</f>
        <v>NA</v>
      </c>
      <c r="AI11">
        <v>1</v>
      </c>
      <c r="AJ11" t="s">
        <v>31</v>
      </c>
      <c r="AK11">
        <v>2360</v>
      </c>
      <c r="AL11" t="s">
        <v>149</v>
      </c>
      <c r="AM11" t="s">
        <v>86</v>
      </c>
      <c r="AN11" t="s">
        <v>205</v>
      </c>
      <c r="AO11" t="s">
        <v>789</v>
      </c>
      <c r="AP11">
        <v>3.8</v>
      </c>
      <c r="AQ11" t="s">
        <v>33</v>
      </c>
      <c r="AR11" t="s">
        <v>33</v>
      </c>
      <c r="AS11" s="3">
        <f>LOG(10^6)</f>
        <v>6</v>
      </c>
      <c r="AT11" s="3">
        <f t="shared" si="12"/>
        <v>1.1360000000000001</v>
      </c>
      <c r="AU11" s="6">
        <v>4.8639999999999999</v>
      </c>
      <c r="AV11" t="b">
        <v>1</v>
      </c>
      <c r="AW11" t="s">
        <v>29</v>
      </c>
      <c r="AX11" t="s">
        <v>30</v>
      </c>
      <c r="AY11" t="s">
        <v>307</v>
      </c>
      <c r="AZ11" t="s">
        <v>33</v>
      </c>
      <c r="BA11" s="18" t="s">
        <v>798</v>
      </c>
      <c r="BB11" t="b">
        <v>0</v>
      </c>
      <c r="BC11" t="s">
        <v>81</v>
      </c>
      <c r="BD11">
        <v>18</v>
      </c>
      <c r="BE11" t="s">
        <v>80</v>
      </c>
      <c r="BF11" s="11">
        <v>48</v>
      </c>
      <c r="BG11" t="s">
        <v>308</v>
      </c>
      <c r="BH11" t="s">
        <v>31</v>
      </c>
      <c r="BI11" t="s">
        <v>31</v>
      </c>
      <c r="BJ11" s="3">
        <f t="shared" si="7"/>
        <v>4.8639999999999999</v>
      </c>
      <c r="BK11" s="3">
        <f t="shared" si="8"/>
        <v>0.68699356626467856</v>
      </c>
      <c r="BL11">
        <v>2</v>
      </c>
      <c r="BM11" s="3">
        <f t="shared" si="9"/>
        <v>1.8393674253064107</v>
      </c>
      <c r="BN11" t="s">
        <v>33</v>
      </c>
      <c r="BO11" s="3">
        <f t="shared" si="10"/>
        <v>69.082401315789468</v>
      </c>
      <c r="BP11" t="s">
        <v>33</v>
      </c>
      <c r="BQ11" t="s">
        <v>33</v>
      </c>
      <c r="BR11" t="s">
        <v>33</v>
      </c>
      <c r="BS11" t="s">
        <v>33</v>
      </c>
      <c r="BT11" t="s">
        <v>31</v>
      </c>
      <c r="BU11" t="s">
        <v>309</v>
      </c>
      <c r="BV11">
        <v>2011</v>
      </c>
      <c r="BW11" s="2" t="s">
        <v>312</v>
      </c>
      <c r="BX11" t="s">
        <v>78</v>
      </c>
      <c r="BY11" t="s">
        <v>310</v>
      </c>
      <c r="BZ11" t="s">
        <v>33</v>
      </c>
      <c r="CA11" t="str">
        <f t="shared" si="11"/>
        <v>high acid</v>
      </c>
    </row>
    <row r="12" spans="1:79">
      <c r="A12" t="s">
        <v>596</v>
      </c>
      <c r="B12" t="s">
        <v>565</v>
      </c>
      <c r="C12" t="s">
        <v>563</v>
      </c>
      <c r="D12" t="s">
        <v>610</v>
      </c>
      <c r="E12" t="s">
        <v>77</v>
      </c>
      <c r="F12" t="s">
        <v>33</v>
      </c>
      <c r="G12">
        <v>20</v>
      </c>
      <c r="H12" t="s">
        <v>33</v>
      </c>
      <c r="I12" t="b">
        <v>0</v>
      </c>
      <c r="J12">
        <v>14000</v>
      </c>
      <c r="K12" t="s">
        <v>33</v>
      </c>
      <c r="L12">
        <v>35</v>
      </c>
      <c r="M12" s="4">
        <v>31.831088090218493</v>
      </c>
      <c r="N12" t="e">
        <f>(#REF!*Y12)/(T12*X12*O12)</f>
        <v>#REF!</v>
      </c>
      <c r="O12">
        <v>5</v>
      </c>
      <c r="P12" t="s">
        <v>33</v>
      </c>
      <c r="Q12" s="1">
        <f t="shared" si="0"/>
        <v>0.4712374254215147</v>
      </c>
      <c r="R12" t="s">
        <v>183</v>
      </c>
      <c r="S12" t="s">
        <v>613</v>
      </c>
      <c r="T12">
        <v>1</v>
      </c>
      <c r="U12">
        <v>4</v>
      </c>
      <c r="V12">
        <v>4</v>
      </c>
      <c r="W12" t="s">
        <v>33</v>
      </c>
      <c r="X12">
        <f>IFERROR(((PI())*(((V12*10^-1)/2)^2)*(U12*10^-1)), "NA")</f>
        <v>5.02654824574367E-2</v>
      </c>
      <c r="Y12">
        <v>0.106667</v>
      </c>
      <c r="Z12" s="3">
        <f t="shared" si="2"/>
        <v>0.10666699999999998</v>
      </c>
      <c r="AA12" t="s">
        <v>33</v>
      </c>
      <c r="AB12">
        <f>IFERROR(((X12*M12)/Z12), "NA")</f>
        <v>15.000000000000002</v>
      </c>
      <c r="AC12" s="1" t="str">
        <f t="shared" si="4"/>
        <v>NA</v>
      </c>
      <c r="AE12" s="3">
        <f t="shared" si="5"/>
        <v>137.8125</v>
      </c>
      <c r="AF12">
        <v>75</v>
      </c>
      <c r="AG12" s="1" t="str">
        <f>IFERROR((N12*P12*Q12), "NA")</f>
        <v>NA</v>
      </c>
      <c r="AH12" s="1" t="str">
        <f>IFERROR((AG12*U12*AI12), "NA")</f>
        <v>NA</v>
      </c>
      <c r="AI12" s="1">
        <v>1</v>
      </c>
      <c r="AJ12" s="11" t="s">
        <v>31</v>
      </c>
      <c r="AK12">
        <v>1500</v>
      </c>
      <c r="AL12" t="s">
        <v>149</v>
      </c>
      <c r="AM12" t="s">
        <v>86</v>
      </c>
      <c r="AN12" t="s">
        <v>205</v>
      </c>
      <c r="AO12" t="s">
        <v>789</v>
      </c>
      <c r="AP12" t="s">
        <v>33</v>
      </c>
      <c r="AQ12" t="s">
        <v>33</v>
      </c>
      <c r="AR12" t="s">
        <v>33</v>
      </c>
      <c r="AS12">
        <f>AVERAGE(6,8)</f>
        <v>7</v>
      </c>
      <c r="AT12">
        <f>AS12-AU12</f>
        <v>1.1799999999999997</v>
      </c>
      <c r="AU12" s="6">
        <v>5.82</v>
      </c>
      <c r="AV12" t="b">
        <v>1</v>
      </c>
      <c r="AW12" t="s">
        <v>626</v>
      </c>
      <c r="AX12" t="s">
        <v>627</v>
      </c>
      <c r="AY12" t="s">
        <v>634</v>
      </c>
      <c r="AZ12" t="s">
        <v>33</v>
      </c>
      <c r="BA12" s="18" t="s">
        <v>800</v>
      </c>
      <c r="BB12" s="3" t="b">
        <v>0</v>
      </c>
      <c r="BC12" t="s">
        <v>81</v>
      </c>
      <c r="BD12">
        <v>18</v>
      </c>
      <c r="BE12" t="s">
        <v>80</v>
      </c>
      <c r="BF12">
        <v>24</v>
      </c>
      <c r="BG12" t="s">
        <v>644</v>
      </c>
      <c r="BH12" t="s">
        <v>31</v>
      </c>
      <c r="BI12" t="s">
        <v>32</v>
      </c>
      <c r="BJ12">
        <f t="shared" si="7"/>
        <v>5.82</v>
      </c>
      <c r="BK12" s="3">
        <f t="shared" si="8"/>
        <v>0.7649229846498885</v>
      </c>
      <c r="BL12">
        <v>2</v>
      </c>
      <c r="BM12" s="3">
        <f t="shared" si="9"/>
        <v>1.3743656264980439</v>
      </c>
      <c r="BN12" t="s">
        <v>33</v>
      </c>
      <c r="BO12" s="3">
        <f t="shared" si="10"/>
        <v>23.679123711340203</v>
      </c>
      <c r="BP12" t="s">
        <v>33</v>
      </c>
      <c r="BQ12" t="s">
        <v>33</v>
      </c>
      <c r="BR12" t="s">
        <v>33</v>
      </c>
      <c r="BS12" t="s">
        <v>33</v>
      </c>
      <c r="BT12" t="s">
        <v>32</v>
      </c>
      <c r="BU12" t="s">
        <v>661</v>
      </c>
      <c r="BV12">
        <v>2013</v>
      </c>
      <c r="BW12" t="s">
        <v>662</v>
      </c>
      <c r="BX12" s="13" t="s">
        <v>663</v>
      </c>
      <c r="BY12" s="13" t="s">
        <v>684</v>
      </c>
      <c r="CA12" t="str">
        <f t="shared" si="11"/>
        <v>high acid</v>
      </c>
    </row>
    <row r="13" spans="1:79">
      <c r="A13" t="s">
        <v>431</v>
      </c>
      <c r="B13" t="s">
        <v>565</v>
      </c>
      <c r="C13" t="s">
        <v>563</v>
      </c>
      <c r="D13" t="s">
        <v>118</v>
      </c>
      <c r="E13" t="s">
        <v>77</v>
      </c>
      <c r="F13" t="s">
        <v>32</v>
      </c>
      <c r="G13">
        <v>20</v>
      </c>
      <c r="H13">
        <v>25</v>
      </c>
      <c r="I13" t="b">
        <v>0</v>
      </c>
      <c r="J13" t="s">
        <v>33</v>
      </c>
      <c r="K13" t="s">
        <v>33</v>
      </c>
      <c r="L13">
        <v>38.4</v>
      </c>
      <c r="M13" s="4">
        <v>667</v>
      </c>
      <c r="N13" s="3" t="str">
        <f>IFERROR(AF13/((T13*X13/Y13)*O13*AI13),"NA")</f>
        <v>NA</v>
      </c>
      <c r="O13">
        <v>2</v>
      </c>
      <c r="P13" t="s">
        <v>33</v>
      </c>
      <c r="Q13" s="8">
        <f t="shared" si="0"/>
        <v>1.999000499750125E-2</v>
      </c>
      <c r="R13" t="s">
        <v>183</v>
      </c>
      <c r="S13" t="s">
        <v>613</v>
      </c>
      <c r="T13" s="11">
        <v>6</v>
      </c>
      <c r="U13">
        <v>2.92</v>
      </c>
      <c r="V13">
        <v>2.2999999999999998</v>
      </c>
      <c r="W13" t="s">
        <v>33</v>
      </c>
      <c r="X13" s="9">
        <f>IFERROR(((PI())*(((V13*10^-1)/2)^2)*(U13*10^-1)), "NA")</f>
        <v>1.2131888350367701E-2</v>
      </c>
      <c r="Y13" s="6" t="s">
        <v>33</v>
      </c>
      <c r="Z13" s="3">
        <f t="shared" si="2"/>
        <v>0.60689771472714416</v>
      </c>
      <c r="AA13" t="s">
        <v>33</v>
      </c>
      <c r="AB13" s="6" t="str">
        <f>IFERROR(((X13*M13)/Y13), "NA")</f>
        <v>NA</v>
      </c>
      <c r="AC13" t="str">
        <f t="shared" si="4"/>
        <v>NA</v>
      </c>
      <c r="AD13" s="4" t="e">
        <f>AB13*T13*AI13</f>
        <v>#VALUE!</v>
      </c>
      <c r="AE13" s="3">
        <f t="shared" si="5"/>
        <v>235.92960000000002</v>
      </c>
      <c r="AF13">
        <v>160</v>
      </c>
      <c r="AG13" t="str">
        <f>IFERROR((M13*O13*P13), "NA")</f>
        <v>NA</v>
      </c>
      <c r="AH13" t="str">
        <f>IFERROR((AG13*T13*AI13), "NA")</f>
        <v>NA</v>
      </c>
      <c r="AI13" s="11">
        <v>1</v>
      </c>
      <c r="AJ13" t="s">
        <v>31</v>
      </c>
      <c r="AK13">
        <v>1000</v>
      </c>
      <c r="AL13" t="s">
        <v>430</v>
      </c>
      <c r="AM13" t="s">
        <v>530</v>
      </c>
      <c r="AN13" t="s">
        <v>186</v>
      </c>
      <c r="AO13" t="s">
        <v>796</v>
      </c>
      <c r="AP13" s="4">
        <v>6</v>
      </c>
      <c r="AQ13" t="s">
        <v>33</v>
      </c>
      <c r="AR13" t="s">
        <v>33</v>
      </c>
      <c r="AS13" s="3">
        <f>LOG((10^6+10^7)/2)</f>
        <v>6.7403626894942441</v>
      </c>
      <c r="AT13" s="3">
        <f t="shared" ref="AT13:AT17" si="13">IFERROR(AS13-AU13,"NA")</f>
        <v>1.1843626894942441</v>
      </c>
      <c r="AU13" s="6">
        <v>5.556</v>
      </c>
      <c r="AV13" t="b">
        <v>1</v>
      </c>
      <c r="AW13" t="s">
        <v>29</v>
      </c>
      <c r="AX13" t="s">
        <v>30</v>
      </c>
      <c r="AY13" t="s">
        <v>216</v>
      </c>
      <c r="AZ13" t="s">
        <v>33</v>
      </c>
      <c r="BA13" s="18" t="s">
        <v>798</v>
      </c>
      <c r="BB13" s="3" t="b">
        <v>0</v>
      </c>
      <c r="BC13" t="s">
        <v>81</v>
      </c>
      <c r="BD13">
        <v>15</v>
      </c>
      <c r="BE13" t="s">
        <v>80</v>
      </c>
      <c r="BF13" s="11">
        <v>240</v>
      </c>
      <c r="BG13" t="s">
        <v>139</v>
      </c>
      <c r="BH13" t="s">
        <v>31</v>
      </c>
      <c r="BI13" t="s">
        <v>32</v>
      </c>
      <c r="BJ13" s="3">
        <f t="shared" si="7"/>
        <v>5.556</v>
      </c>
      <c r="BK13" s="3">
        <f t="shared" si="8"/>
        <v>0.74476223706557798</v>
      </c>
      <c r="BL13">
        <v>2</v>
      </c>
      <c r="BM13" s="3">
        <f t="shared" si="9"/>
        <v>1.6280201943254085</v>
      </c>
      <c r="BN13" t="s">
        <v>33</v>
      </c>
      <c r="BO13" s="3">
        <f t="shared" si="10"/>
        <v>42.463930885529159</v>
      </c>
      <c r="BP13" t="s">
        <v>33</v>
      </c>
      <c r="BQ13" t="s">
        <v>33</v>
      </c>
      <c r="BR13" t="s">
        <v>33</v>
      </c>
      <c r="BS13" t="s">
        <v>33</v>
      </c>
      <c r="BT13" t="s">
        <v>32</v>
      </c>
      <c r="BU13" t="s">
        <v>344</v>
      </c>
      <c r="BV13">
        <v>2008</v>
      </c>
      <c r="BW13" t="s">
        <v>432</v>
      </c>
      <c r="BX13" t="s">
        <v>78</v>
      </c>
      <c r="BY13" t="s">
        <v>33</v>
      </c>
      <c r="BZ13" t="s">
        <v>33</v>
      </c>
      <c r="CA13" t="str">
        <f t="shared" si="11"/>
        <v>low acid</v>
      </c>
    </row>
    <row r="14" spans="1:79">
      <c r="A14" t="s">
        <v>350</v>
      </c>
      <c r="B14" t="s">
        <v>565</v>
      </c>
      <c r="C14" t="s">
        <v>564</v>
      </c>
      <c r="D14" t="s">
        <v>346</v>
      </c>
      <c r="E14" t="s">
        <v>77</v>
      </c>
      <c r="F14" t="s">
        <v>31</v>
      </c>
      <c r="G14">
        <v>18</v>
      </c>
      <c r="H14" t="s">
        <v>33</v>
      </c>
      <c r="I14" t="b">
        <v>0</v>
      </c>
      <c r="J14" t="s">
        <v>33</v>
      </c>
      <c r="K14" t="s">
        <v>33</v>
      </c>
      <c r="L14">
        <v>33.5</v>
      </c>
      <c r="M14" s="4" t="s">
        <v>33</v>
      </c>
      <c r="N14" s="3">
        <f>IFERROR(AF14/((T14*X14/Y14)*O14*AI14),"NA")</f>
        <v>580.19468588545578</v>
      </c>
      <c r="O14">
        <v>1.7</v>
      </c>
      <c r="P14" t="s">
        <v>33</v>
      </c>
      <c r="Q14" s="8">
        <f t="shared" si="0"/>
        <v>1.1583332972168797E-2</v>
      </c>
      <c r="R14" t="s">
        <v>183</v>
      </c>
      <c r="S14" t="s">
        <v>613</v>
      </c>
      <c r="T14" s="11">
        <v>4</v>
      </c>
      <c r="U14">
        <v>12.7</v>
      </c>
      <c r="V14">
        <v>6.35</v>
      </c>
      <c r="W14" t="s">
        <v>33</v>
      </c>
      <c r="X14" s="8">
        <f>IFERROR(((PI())*(((V14*10^-1)/2)^2)*(U14*10^-1)), "NA")</f>
        <v>0.40219906153363882</v>
      </c>
      <c r="Y14" s="4">
        <f>125000/3600</f>
        <v>34.722222222222221</v>
      </c>
      <c r="Z14" s="3">
        <f>IFERROR(X14*N14*O14*T14*AI14/AF14, "NA")</f>
        <v>34.722222222222229</v>
      </c>
      <c r="AA14" t="s">
        <v>33</v>
      </c>
      <c r="AB14" s="6" t="str">
        <f t="shared" ref="AB14:AB20" si="14">IFERROR(((X14*M14)/Z14), "NA")</f>
        <v>NA</v>
      </c>
      <c r="AC14" t="str">
        <f t="shared" si="4"/>
        <v>NA</v>
      </c>
      <c r="AD14" s="4" t="e">
        <f>AB14*T14*AI14</f>
        <v>#VALUE!</v>
      </c>
      <c r="AE14" s="3">
        <f>IFERROR(((L14^2)*N14*O14*AK14*10^-6*Q14*T14*AI14), "NA")</f>
        <v>317.97831499999995</v>
      </c>
      <c r="AF14" s="4">
        <v>45.7</v>
      </c>
      <c r="AG14" t="str">
        <f>IFERROR((M14*O14*P14), "NA")</f>
        <v>NA</v>
      </c>
      <c r="AH14" t="str">
        <f>IFERROR((AG14*T14*AI14), "NA")</f>
        <v>NA</v>
      </c>
      <c r="AI14">
        <v>1</v>
      </c>
      <c r="AJ14" t="s">
        <v>31</v>
      </c>
      <c r="AK14">
        <v>6200</v>
      </c>
      <c r="AL14" t="s">
        <v>550</v>
      </c>
      <c r="AM14" t="s">
        <v>783</v>
      </c>
      <c r="AN14" t="s">
        <v>205</v>
      </c>
      <c r="AO14" t="s">
        <v>33</v>
      </c>
      <c r="AP14">
        <v>4.3</v>
      </c>
      <c r="AQ14" t="s">
        <v>33</v>
      </c>
      <c r="AR14" t="s">
        <v>33</v>
      </c>
      <c r="AS14" s="6">
        <v>8.923</v>
      </c>
      <c r="AT14" s="3">
        <f t="shared" si="13"/>
        <v>1.2370000000000001</v>
      </c>
      <c r="AU14" s="6">
        <v>7.6859999999999999</v>
      </c>
      <c r="AV14" t="b">
        <v>1</v>
      </c>
      <c r="AW14" t="s">
        <v>123</v>
      </c>
      <c r="AX14" t="s">
        <v>88</v>
      </c>
      <c r="AY14" t="s">
        <v>347</v>
      </c>
      <c r="AZ14" t="s">
        <v>33</v>
      </c>
      <c r="BA14" s="18" t="s">
        <v>579</v>
      </c>
      <c r="BB14" t="b">
        <v>1</v>
      </c>
      <c r="BC14" t="s">
        <v>81</v>
      </c>
      <c r="BD14">
        <v>8</v>
      </c>
      <c r="BE14" t="s">
        <v>159</v>
      </c>
      <c r="BF14" s="11">
        <v>48</v>
      </c>
      <c r="BG14" t="s">
        <v>395</v>
      </c>
      <c r="BH14" t="s">
        <v>31</v>
      </c>
      <c r="BI14" t="s">
        <v>32</v>
      </c>
      <c r="BJ14" s="3">
        <f t="shared" si="7"/>
        <v>7.6859999999999999</v>
      </c>
      <c r="BK14" s="3">
        <f t="shared" si="8"/>
        <v>0.88570038012832997</v>
      </c>
      <c r="BL14">
        <v>2</v>
      </c>
      <c r="BM14" s="3">
        <f t="shared" si="9"/>
        <v>1.6166971235134646</v>
      </c>
      <c r="BN14" t="s">
        <v>33</v>
      </c>
      <c r="BO14" s="3">
        <f t="shared" si="10"/>
        <v>41.371105256310166</v>
      </c>
      <c r="BP14" t="s">
        <v>33</v>
      </c>
      <c r="BQ14" t="s">
        <v>33</v>
      </c>
      <c r="BR14" t="s">
        <v>33</v>
      </c>
      <c r="BS14" t="s">
        <v>33</v>
      </c>
      <c r="BT14" t="s">
        <v>31</v>
      </c>
      <c r="BU14" t="s">
        <v>217</v>
      </c>
      <c r="BV14">
        <v>2005</v>
      </c>
      <c r="BW14" t="s">
        <v>348</v>
      </c>
      <c r="BX14" t="s">
        <v>78</v>
      </c>
      <c r="BY14" t="s">
        <v>33</v>
      </c>
      <c r="BZ14" t="s">
        <v>349</v>
      </c>
      <c r="CA14" t="str">
        <f t="shared" si="11"/>
        <v>high acid</v>
      </c>
    </row>
    <row r="15" spans="1:79">
      <c r="A15" t="s">
        <v>232</v>
      </c>
      <c r="B15" t="s">
        <v>565</v>
      </c>
      <c r="C15" t="s">
        <v>563</v>
      </c>
      <c r="D15" t="s">
        <v>33</v>
      </c>
      <c r="E15" t="s">
        <v>77</v>
      </c>
      <c r="F15" t="s">
        <v>32</v>
      </c>
      <c r="G15">
        <v>30</v>
      </c>
      <c r="H15">
        <v>61</v>
      </c>
      <c r="I15" t="b">
        <v>1</v>
      </c>
      <c r="J15" t="s">
        <v>33</v>
      </c>
      <c r="K15" t="s">
        <v>33</v>
      </c>
      <c r="L15">
        <v>35</v>
      </c>
      <c r="M15" s="4">
        <v>500</v>
      </c>
      <c r="N15" s="3">
        <f>IFERROR(AF15/((T15*X15/Y15)*O15*AI15),"NA")</f>
        <v>521.04864189465479</v>
      </c>
      <c r="O15">
        <v>4</v>
      </c>
      <c r="P15" t="s">
        <v>33</v>
      </c>
      <c r="Q15" s="8">
        <f t="shared" si="0"/>
        <v>1.3333333333333332E-2</v>
      </c>
      <c r="R15" t="s">
        <v>183</v>
      </c>
      <c r="S15" t="s">
        <v>613</v>
      </c>
      <c r="T15" s="11">
        <v>6</v>
      </c>
      <c r="U15">
        <v>2.2999999999999998</v>
      </c>
      <c r="V15">
        <v>2.2000000000000002</v>
      </c>
      <c r="W15" t="s">
        <v>33</v>
      </c>
      <c r="X15" s="8">
        <f t="shared" ref="X15:X25" si="15">IFERROR(((PI())*(((V15*10^-1)/2)^2)*(U15*10^-1)), "NA")</f>
        <v>8.7430523549403959E-3</v>
      </c>
      <c r="Y15" s="6">
        <f>41/60</f>
        <v>0.68333333333333335</v>
      </c>
      <c r="Z15" s="3">
        <f>IFERROR(X15*M15*O15*T15*AI15/AF15, "NA")</f>
        <v>0.65572892662052973</v>
      </c>
      <c r="AA15" s="3">
        <f>40/6</f>
        <v>6.666666666666667</v>
      </c>
      <c r="AB15" s="6">
        <f t="shared" si="14"/>
        <v>6.6666666666666661</v>
      </c>
      <c r="AC15" t="str">
        <f t="shared" si="4"/>
        <v>NA</v>
      </c>
      <c r="AD15" s="4">
        <f>AB15*T15*AI15</f>
        <v>40</v>
      </c>
      <c r="AE15" s="3">
        <f>IFERROR(((L15^2)*M15*O15*AK15*10^-6*Q15*T15*AI15), "NA")</f>
        <v>784</v>
      </c>
      <c r="AF15">
        <v>160</v>
      </c>
      <c r="AG15" t="str">
        <f>IFERROR((M15*O15*P15), "NA")</f>
        <v>NA</v>
      </c>
      <c r="AH15" t="str">
        <f>IFERROR((AG15*T15*AI15), "NA")</f>
        <v>NA</v>
      </c>
      <c r="AI15">
        <v>1</v>
      </c>
      <c r="AJ15" t="s">
        <v>31</v>
      </c>
      <c r="AK15">
        <v>4000</v>
      </c>
      <c r="AL15" t="s">
        <v>546</v>
      </c>
      <c r="AM15" t="s">
        <v>103</v>
      </c>
      <c r="AN15" t="s">
        <v>130</v>
      </c>
      <c r="AO15" t="s">
        <v>795</v>
      </c>
      <c r="AP15">
        <v>5</v>
      </c>
      <c r="AQ15" t="s">
        <v>33</v>
      </c>
      <c r="AR15" t="s">
        <v>33</v>
      </c>
      <c r="AS15" s="6">
        <v>8.3000000000000007</v>
      </c>
      <c r="AT15" s="3">
        <f t="shared" si="13"/>
        <v>1.3000000000000007</v>
      </c>
      <c r="AU15" s="6">
        <v>7</v>
      </c>
      <c r="AV15" t="b">
        <v>1</v>
      </c>
      <c r="AW15" t="s">
        <v>233</v>
      </c>
      <c r="AX15" t="s">
        <v>234</v>
      </c>
      <c r="AY15" t="s">
        <v>235</v>
      </c>
      <c r="AZ15" t="s">
        <v>33</v>
      </c>
      <c r="BA15" s="18" t="s">
        <v>579</v>
      </c>
      <c r="BB15" t="b">
        <v>1</v>
      </c>
      <c r="BC15" t="s">
        <v>81</v>
      </c>
      <c r="BD15">
        <v>17</v>
      </c>
      <c r="BE15" t="s">
        <v>80</v>
      </c>
      <c r="BF15" s="11">
        <v>120</v>
      </c>
      <c r="BG15" t="s">
        <v>395</v>
      </c>
      <c r="BH15" t="s">
        <v>31</v>
      </c>
      <c r="BI15" t="s">
        <v>32</v>
      </c>
      <c r="BJ15" s="3">
        <f t="shared" si="7"/>
        <v>7</v>
      </c>
      <c r="BK15" s="3">
        <f t="shared" si="8"/>
        <v>0.84509804001425681</v>
      </c>
      <c r="BL15">
        <v>2</v>
      </c>
      <c r="BM15" s="3">
        <f t="shared" si="9"/>
        <v>2.0492180226701815</v>
      </c>
      <c r="BN15" t="s">
        <v>33</v>
      </c>
      <c r="BO15" s="3">
        <f t="shared" si="10"/>
        <v>112</v>
      </c>
      <c r="BP15" t="s">
        <v>33</v>
      </c>
      <c r="BQ15" t="s">
        <v>33</v>
      </c>
      <c r="BR15" t="s">
        <v>33</v>
      </c>
      <c r="BS15" t="s">
        <v>33</v>
      </c>
      <c r="BT15" t="s">
        <v>31</v>
      </c>
      <c r="BU15" t="s">
        <v>227</v>
      </c>
      <c r="BV15">
        <v>2001</v>
      </c>
      <c r="BW15" t="s">
        <v>228</v>
      </c>
      <c r="BX15" t="s">
        <v>78</v>
      </c>
      <c r="BY15" t="s">
        <v>33</v>
      </c>
      <c r="BZ15" t="s">
        <v>33</v>
      </c>
      <c r="CA15" t="str">
        <f t="shared" si="11"/>
        <v>low acid</v>
      </c>
    </row>
    <row r="16" spans="1:79">
      <c r="A16" t="s">
        <v>350</v>
      </c>
      <c r="B16" t="s">
        <v>565</v>
      </c>
      <c r="C16" t="s">
        <v>564</v>
      </c>
      <c r="D16" t="s">
        <v>346</v>
      </c>
      <c r="E16" t="s">
        <v>77</v>
      </c>
      <c r="F16" t="s">
        <v>31</v>
      </c>
      <c r="G16">
        <v>18</v>
      </c>
      <c r="H16" t="s">
        <v>33</v>
      </c>
      <c r="I16" t="b">
        <v>0</v>
      </c>
      <c r="J16" t="s">
        <v>33</v>
      </c>
      <c r="K16" t="s">
        <v>33</v>
      </c>
      <c r="L16">
        <v>34</v>
      </c>
      <c r="M16" s="4" t="s">
        <v>33</v>
      </c>
      <c r="N16" s="3">
        <f>IFERROR(AF16/((T16*X16/Y16)*O16*AI16),"NA")</f>
        <v>580.19468588545578</v>
      </c>
      <c r="O16">
        <v>1.7</v>
      </c>
      <c r="P16" t="s">
        <v>33</v>
      </c>
      <c r="Q16" s="8">
        <f t="shared" si="0"/>
        <v>1.1583332972168797E-2</v>
      </c>
      <c r="R16" t="s">
        <v>183</v>
      </c>
      <c r="S16" t="s">
        <v>613</v>
      </c>
      <c r="T16" s="11">
        <v>4</v>
      </c>
      <c r="U16">
        <v>12.7</v>
      </c>
      <c r="V16">
        <v>6.35</v>
      </c>
      <c r="W16" t="s">
        <v>33</v>
      </c>
      <c r="X16" s="8">
        <f t="shared" si="15"/>
        <v>0.40219906153363882</v>
      </c>
      <c r="Y16" s="4">
        <f>125000/3600</f>
        <v>34.722222222222221</v>
      </c>
      <c r="Z16" s="3">
        <f>IFERROR(X16*N16*O16*T16*AI16/AF16, "NA")</f>
        <v>34.722222222222229</v>
      </c>
      <c r="AA16" t="s">
        <v>33</v>
      </c>
      <c r="AB16" s="6" t="str">
        <f t="shared" si="14"/>
        <v>NA</v>
      </c>
      <c r="AC16" t="str">
        <f t="shared" si="4"/>
        <v>NA</v>
      </c>
      <c r="AD16" s="4" t="e">
        <f>AB16*T16*AI16</f>
        <v>#VALUE!</v>
      </c>
      <c r="AE16" s="3">
        <f>IFERROR(((L16^2)*N16*O16*AK16*10^-6*Q16*T16*AI16), "NA")</f>
        <v>327.54103999999995</v>
      </c>
      <c r="AF16" s="4">
        <v>45.7</v>
      </c>
      <c r="AG16" t="str">
        <f>IFERROR((M16*O16*P16), "NA")</f>
        <v>NA</v>
      </c>
      <c r="AH16" t="str">
        <f>IFERROR((AG16*T16*AI16), "NA")</f>
        <v>NA</v>
      </c>
      <c r="AI16">
        <v>1</v>
      </c>
      <c r="AJ16" t="s">
        <v>31</v>
      </c>
      <c r="AK16">
        <v>6200</v>
      </c>
      <c r="AL16" t="s">
        <v>550</v>
      </c>
      <c r="AM16" t="s">
        <v>783</v>
      </c>
      <c r="AN16" t="s">
        <v>205</v>
      </c>
      <c r="AO16" t="s">
        <v>33</v>
      </c>
      <c r="AP16">
        <v>4.3</v>
      </c>
      <c r="AQ16" t="s">
        <v>33</v>
      </c>
      <c r="AR16" t="s">
        <v>33</v>
      </c>
      <c r="AS16" s="6">
        <v>8.923</v>
      </c>
      <c r="AT16" s="3">
        <f t="shared" si="13"/>
        <v>1.3090000000000002</v>
      </c>
      <c r="AU16" s="6">
        <v>7.6139999999999999</v>
      </c>
      <c r="AV16" t="b">
        <v>1</v>
      </c>
      <c r="AW16" t="s">
        <v>123</v>
      </c>
      <c r="AX16" t="s">
        <v>88</v>
      </c>
      <c r="AY16" t="s">
        <v>347</v>
      </c>
      <c r="AZ16" t="s">
        <v>33</v>
      </c>
      <c r="BA16" s="18" t="s">
        <v>579</v>
      </c>
      <c r="BB16" t="b">
        <v>1</v>
      </c>
      <c r="BC16" t="s">
        <v>81</v>
      </c>
      <c r="BD16">
        <v>8</v>
      </c>
      <c r="BE16" t="s">
        <v>159</v>
      </c>
      <c r="BF16" s="11">
        <v>48</v>
      </c>
      <c r="BG16" t="s">
        <v>395</v>
      </c>
      <c r="BH16" t="s">
        <v>31</v>
      </c>
      <c r="BI16" t="s">
        <v>32</v>
      </c>
      <c r="BJ16" s="3">
        <f t="shared" si="7"/>
        <v>7.6139999999999999</v>
      </c>
      <c r="BK16" s="3">
        <f t="shared" si="8"/>
        <v>0.88161287247834841</v>
      </c>
      <c r="BL16">
        <v>2</v>
      </c>
      <c r="BM16" s="3">
        <f t="shared" si="9"/>
        <v>1.6336528511742658</v>
      </c>
      <c r="BN16" t="s">
        <v>33</v>
      </c>
      <c r="BO16" s="3">
        <f t="shared" si="10"/>
        <v>43.018261097977401</v>
      </c>
      <c r="BP16" t="s">
        <v>33</v>
      </c>
      <c r="BQ16" t="s">
        <v>33</v>
      </c>
      <c r="BR16" t="s">
        <v>33</v>
      </c>
      <c r="BS16" t="s">
        <v>33</v>
      </c>
      <c r="BT16" t="s">
        <v>31</v>
      </c>
      <c r="BU16" t="s">
        <v>217</v>
      </c>
      <c r="BV16">
        <v>2005</v>
      </c>
      <c r="BW16" t="s">
        <v>348</v>
      </c>
      <c r="BX16" t="s">
        <v>78</v>
      </c>
      <c r="BY16" t="s">
        <v>33</v>
      </c>
      <c r="BZ16" t="s">
        <v>349</v>
      </c>
      <c r="CA16" t="str">
        <f t="shared" si="11"/>
        <v>high acid</v>
      </c>
    </row>
    <row r="17" spans="1:79">
      <c r="A17" s="3" t="s">
        <v>303</v>
      </c>
      <c r="B17" t="s">
        <v>566</v>
      </c>
      <c r="C17" t="s">
        <v>563</v>
      </c>
      <c r="D17" s="3" t="s">
        <v>279</v>
      </c>
      <c r="E17" s="3" t="s">
        <v>77</v>
      </c>
      <c r="F17" t="s">
        <v>32</v>
      </c>
      <c r="G17" s="11">
        <v>10</v>
      </c>
      <c r="H17" s="11">
        <v>30</v>
      </c>
      <c r="I17" s="3" t="b">
        <v>0</v>
      </c>
      <c r="J17" s="3" t="s">
        <v>33</v>
      </c>
      <c r="K17" s="3" t="s">
        <v>33</v>
      </c>
      <c r="L17" s="11">
        <v>20</v>
      </c>
      <c r="M17" s="4">
        <v>1000</v>
      </c>
      <c r="N17" s="3">
        <f>IFERROR(AF17/((T17*X17/Y17)*O17*AI17),"NA")</f>
        <v>10105.075751866369</v>
      </c>
      <c r="O17" s="3">
        <v>16</v>
      </c>
      <c r="P17" s="3" t="s">
        <v>33</v>
      </c>
      <c r="Q17" s="3">
        <f t="shared" si="0"/>
        <v>0.30000000000000004</v>
      </c>
      <c r="R17" t="s">
        <v>183</v>
      </c>
      <c r="S17" t="s">
        <v>613</v>
      </c>
      <c r="T17" s="11">
        <v>1</v>
      </c>
      <c r="U17" s="3">
        <v>2.8</v>
      </c>
      <c r="V17" s="3">
        <v>3</v>
      </c>
      <c r="W17" s="3">
        <v>0.02</v>
      </c>
      <c r="X17" s="3">
        <f t="shared" si="15"/>
        <v>1.97920337176157E-2</v>
      </c>
      <c r="Y17" s="3">
        <f>40/60</f>
        <v>0.66666666666666663</v>
      </c>
      <c r="Z17" s="3">
        <f t="shared" ref="Z17:Z48" si="16">IFERROR(X17*M17*O17*T17*AI17/AF17, "NA")</f>
        <v>6.597344572538566E-2</v>
      </c>
      <c r="AA17" s="3" t="s">
        <v>33</v>
      </c>
      <c r="AB17" s="3">
        <f t="shared" si="14"/>
        <v>300</v>
      </c>
      <c r="AC17" s="3" t="str">
        <f t="shared" si="4"/>
        <v>NA</v>
      </c>
      <c r="AD17" s="4">
        <f>AB17*T17*AI17</f>
        <v>300</v>
      </c>
      <c r="AE17" s="3">
        <f t="shared" ref="AE17:AE48" si="17">IFERROR(((L17^2)*M17*O17*AK17*10^-6*Q17*T17*AI17), "NA")</f>
        <v>960.00000000000011</v>
      </c>
      <c r="AF17" s="3">
        <v>4800</v>
      </c>
      <c r="AG17" s="3" t="str">
        <f>IFERROR((M17*O17*P17), "NA")</f>
        <v>NA</v>
      </c>
      <c r="AH17" s="3" t="str">
        <f>IFERROR((AG17*T17*AI17), "NA")</f>
        <v>NA</v>
      </c>
      <c r="AI17" s="3">
        <v>1</v>
      </c>
      <c r="AJ17" t="s">
        <v>31</v>
      </c>
      <c r="AK17" s="3">
        <v>500</v>
      </c>
      <c r="AL17" s="3" t="s">
        <v>281</v>
      </c>
      <c r="AM17" s="3" t="s">
        <v>103</v>
      </c>
      <c r="AN17" t="s">
        <v>130</v>
      </c>
      <c r="AO17" t="s">
        <v>795</v>
      </c>
      <c r="AP17" s="3" t="s">
        <v>33</v>
      </c>
      <c r="AQ17" s="3" t="s">
        <v>33</v>
      </c>
      <c r="AR17" s="3" t="s">
        <v>33</v>
      </c>
      <c r="AS17" s="3">
        <f>4.049</f>
        <v>4.0490000000000004</v>
      </c>
      <c r="AT17" s="3">
        <f t="shared" si="13"/>
        <v>1.3130000000000002</v>
      </c>
      <c r="AU17" s="6">
        <v>2.7360000000000002</v>
      </c>
      <c r="AV17" s="3" t="b">
        <v>1</v>
      </c>
      <c r="AW17" s="3" t="s">
        <v>172</v>
      </c>
      <c r="AX17" s="3" t="s">
        <v>173</v>
      </c>
      <c r="AY17" s="3" t="s">
        <v>283</v>
      </c>
      <c r="AZ17" s="3" t="s">
        <v>33</v>
      </c>
      <c r="BA17" s="18" t="s">
        <v>799</v>
      </c>
      <c r="BB17" s="3" t="b">
        <v>0</v>
      </c>
      <c r="BC17" t="s">
        <v>81</v>
      </c>
      <c r="BD17" s="3">
        <v>2</v>
      </c>
      <c r="BE17" s="3" t="s">
        <v>252</v>
      </c>
      <c r="BF17" s="11">
        <v>72</v>
      </c>
      <c r="BG17" s="3" t="s">
        <v>574</v>
      </c>
      <c r="BH17" s="3" t="s">
        <v>31</v>
      </c>
      <c r="BI17" s="3" t="s">
        <v>31</v>
      </c>
      <c r="BJ17" s="3">
        <f t="shared" si="7"/>
        <v>2.7360000000000002</v>
      </c>
      <c r="BK17" s="3">
        <f t="shared" si="8"/>
        <v>0.43711609304807864</v>
      </c>
      <c r="BL17" s="3">
        <v>2</v>
      </c>
      <c r="BM17" s="3">
        <f t="shared" si="9"/>
        <v>2.5451551399914898</v>
      </c>
      <c r="BN17" s="3" t="s">
        <v>33</v>
      </c>
      <c r="BO17" s="3">
        <f t="shared" si="10"/>
        <v>350.87719298245617</v>
      </c>
      <c r="BP17" s="3" t="s">
        <v>33</v>
      </c>
      <c r="BQ17" s="3" t="s">
        <v>33</v>
      </c>
      <c r="BR17" s="3" t="s">
        <v>33</v>
      </c>
      <c r="BS17" s="3" t="s">
        <v>33</v>
      </c>
      <c r="BT17" t="s">
        <v>31</v>
      </c>
      <c r="BU17" s="3" t="s">
        <v>247</v>
      </c>
      <c r="BV17" s="11">
        <v>2016</v>
      </c>
      <c r="BW17" s="3" t="s">
        <v>284</v>
      </c>
      <c r="BX17" t="s">
        <v>78</v>
      </c>
      <c r="BY17" s="3" t="s">
        <v>33</v>
      </c>
      <c r="BZ17" s="3" t="s">
        <v>302</v>
      </c>
      <c r="CA17" t="str">
        <f t="shared" si="11"/>
        <v>low acid</v>
      </c>
    </row>
    <row r="18" spans="1:79">
      <c r="A18" t="s">
        <v>598</v>
      </c>
      <c r="B18" t="s">
        <v>565</v>
      </c>
      <c r="C18" t="s">
        <v>563</v>
      </c>
      <c r="D18" t="s">
        <v>118</v>
      </c>
      <c r="E18" t="s">
        <v>77</v>
      </c>
      <c r="F18" t="s">
        <v>32</v>
      </c>
      <c r="G18">
        <v>50</v>
      </c>
      <c r="H18">
        <f>50+AVERAGE(3,10)</f>
        <v>56.5</v>
      </c>
      <c r="I18" t="b">
        <v>1</v>
      </c>
      <c r="J18" t="s">
        <v>33</v>
      </c>
      <c r="K18" t="s">
        <v>33</v>
      </c>
      <c r="L18">
        <v>34</v>
      </c>
      <c r="M18" s="4">
        <v>548</v>
      </c>
      <c r="N18" t="e">
        <f>(#REF!*Y18)/(T18*X18*O18)</f>
        <v>#REF!</v>
      </c>
      <c r="O18">
        <v>2.5</v>
      </c>
      <c r="P18" t="s">
        <v>33</v>
      </c>
      <c r="Q18" s="1">
        <f t="shared" si="0"/>
        <v>6.0827250608272501E-3</v>
      </c>
      <c r="R18" t="s">
        <v>183</v>
      </c>
      <c r="S18" t="s">
        <v>612</v>
      </c>
      <c r="T18">
        <v>6</v>
      </c>
      <c r="U18">
        <v>2.9</v>
      </c>
      <c r="V18">
        <v>2.2999999999999998</v>
      </c>
      <c r="W18" t="s">
        <v>33</v>
      </c>
      <c r="X18">
        <f t="shared" si="15"/>
        <v>1.204879322468025E-2</v>
      </c>
      <c r="Y18">
        <v>2</v>
      </c>
      <c r="Z18" s="3">
        <f t="shared" si="16"/>
        <v>1.9808216061374333</v>
      </c>
      <c r="AA18">
        <v>3.3</v>
      </c>
      <c r="AB18">
        <f t="shared" si="14"/>
        <v>3.333333333333333</v>
      </c>
      <c r="AC18" s="1" t="str">
        <f t="shared" si="4"/>
        <v>NA</v>
      </c>
      <c r="AE18" s="3">
        <f t="shared" si="17"/>
        <v>187.84999999999997</v>
      </c>
      <c r="AF18">
        <v>50</v>
      </c>
      <c r="AG18" s="1" t="str">
        <f>IFERROR((N18*P18*Q18), "NA")</f>
        <v>NA</v>
      </c>
      <c r="AH18" s="1" t="str">
        <f>IFERROR((AG18*U18*AI18), "NA")</f>
        <v>NA</v>
      </c>
      <c r="AI18" s="1">
        <v>1</v>
      </c>
      <c r="AJ18" s="11" t="s">
        <v>31</v>
      </c>
      <c r="AK18">
        <f>3.25*10^3</f>
        <v>3250</v>
      </c>
      <c r="AL18" t="s">
        <v>238</v>
      </c>
      <c r="AM18" t="s">
        <v>86</v>
      </c>
      <c r="AN18" t="s">
        <v>205</v>
      </c>
      <c r="AO18" t="s">
        <v>789</v>
      </c>
      <c r="AP18">
        <v>4.16</v>
      </c>
      <c r="AQ18" t="s">
        <v>33</v>
      </c>
      <c r="AR18" t="s">
        <v>33</v>
      </c>
      <c r="AS18">
        <f>AVERAGE(6.63, 6.39)</f>
        <v>6.51</v>
      </c>
      <c r="AT18">
        <f>AS18-AU18</f>
        <v>1.3199999999999994</v>
      </c>
      <c r="AU18" s="6">
        <v>5.19</v>
      </c>
      <c r="AV18" t="b">
        <v>1</v>
      </c>
      <c r="AW18" t="s">
        <v>617</v>
      </c>
      <c r="AX18" t="s">
        <v>638</v>
      </c>
      <c r="AY18" t="s">
        <v>637</v>
      </c>
      <c r="AZ18" t="s">
        <v>33</v>
      </c>
      <c r="BA18" s="18" t="s">
        <v>802</v>
      </c>
      <c r="BB18" s="3" t="b">
        <v>0</v>
      </c>
      <c r="BC18" t="s">
        <v>81</v>
      </c>
      <c r="BD18">
        <v>16</v>
      </c>
      <c r="BE18" t="s">
        <v>80</v>
      </c>
      <c r="BF18">
        <v>24</v>
      </c>
      <c r="BG18" t="s">
        <v>646</v>
      </c>
      <c r="BH18" t="s">
        <v>31</v>
      </c>
      <c r="BI18" t="s">
        <v>32</v>
      </c>
      <c r="BJ18">
        <f t="shared" si="7"/>
        <v>5.19</v>
      </c>
      <c r="BK18" s="3">
        <f t="shared" si="8"/>
        <v>0.71516735784845786</v>
      </c>
      <c r="BL18">
        <v>2</v>
      </c>
      <c r="BM18" s="3">
        <f t="shared" si="9"/>
        <v>1.5586438415509456</v>
      </c>
      <c r="BN18" t="s">
        <v>33</v>
      </c>
      <c r="BO18" s="3">
        <f t="shared" si="10"/>
        <v>36.194605009633904</v>
      </c>
      <c r="BP18" t="s">
        <v>33</v>
      </c>
      <c r="BQ18" t="s">
        <v>33</v>
      </c>
      <c r="BR18" t="s">
        <v>33</v>
      </c>
      <c r="BS18" t="s">
        <v>33</v>
      </c>
      <c r="BT18" t="s">
        <v>32</v>
      </c>
      <c r="BU18" s="13" t="s">
        <v>84</v>
      </c>
      <c r="BV18" s="14">
        <v>2012</v>
      </c>
      <c r="BW18" s="13" t="s">
        <v>83</v>
      </c>
      <c r="BX18" t="s">
        <v>78</v>
      </c>
      <c r="BY18" s="13" t="s">
        <v>686</v>
      </c>
      <c r="CA18" t="str">
        <f t="shared" si="11"/>
        <v>high acid</v>
      </c>
    </row>
    <row r="19" spans="1:79">
      <c r="A19" t="s">
        <v>596</v>
      </c>
      <c r="B19" t="s">
        <v>565</v>
      </c>
      <c r="C19" t="s">
        <v>563</v>
      </c>
      <c r="D19" t="s">
        <v>610</v>
      </c>
      <c r="E19" t="s">
        <v>77</v>
      </c>
      <c r="F19" t="s">
        <v>33</v>
      </c>
      <c r="G19">
        <v>20</v>
      </c>
      <c r="H19" t="s">
        <v>33</v>
      </c>
      <c r="I19" t="b">
        <v>0</v>
      </c>
      <c r="J19">
        <v>14000</v>
      </c>
      <c r="K19" t="s">
        <v>33</v>
      </c>
      <c r="L19">
        <v>35</v>
      </c>
      <c r="M19" s="4">
        <v>31.831088090218493</v>
      </c>
      <c r="N19" t="e">
        <f>(#REF!*Y19)/(T19*X19*O19)</f>
        <v>#REF!</v>
      </c>
      <c r="O19">
        <v>5</v>
      </c>
      <c r="P19" t="s">
        <v>33</v>
      </c>
      <c r="Q19" s="1">
        <f t="shared" si="0"/>
        <v>0.4712374254215147</v>
      </c>
      <c r="R19" t="s">
        <v>183</v>
      </c>
      <c r="S19" t="s">
        <v>613</v>
      </c>
      <c r="T19">
        <v>1</v>
      </c>
      <c r="U19">
        <v>4</v>
      </c>
      <c r="V19">
        <v>4</v>
      </c>
      <c r="W19" t="s">
        <v>33</v>
      </c>
      <c r="X19">
        <f t="shared" si="15"/>
        <v>5.02654824574367E-2</v>
      </c>
      <c r="Y19">
        <v>0.106667</v>
      </c>
      <c r="Z19" s="3">
        <f t="shared" si="16"/>
        <v>0.10666699999999998</v>
      </c>
      <c r="AA19" t="s">
        <v>33</v>
      </c>
      <c r="AB19">
        <f t="shared" si="14"/>
        <v>15.000000000000002</v>
      </c>
      <c r="AC19" s="1" t="str">
        <f t="shared" si="4"/>
        <v>NA</v>
      </c>
      <c r="AE19" s="3">
        <f t="shared" si="17"/>
        <v>183.75</v>
      </c>
      <c r="AF19">
        <v>75</v>
      </c>
      <c r="AG19" s="1" t="str">
        <f>IFERROR((N19*P19*Q19), "NA")</f>
        <v>NA</v>
      </c>
      <c r="AH19" s="1" t="str">
        <f>IFERROR((AG19*U19*AI19), "NA")</f>
        <v>NA</v>
      </c>
      <c r="AI19" s="1">
        <v>1</v>
      </c>
      <c r="AJ19" s="11" t="s">
        <v>31</v>
      </c>
      <c r="AK19">
        <v>2000</v>
      </c>
      <c r="AL19" t="s">
        <v>149</v>
      </c>
      <c r="AM19" t="s">
        <v>86</v>
      </c>
      <c r="AN19" t="s">
        <v>205</v>
      </c>
      <c r="AO19" t="s">
        <v>789</v>
      </c>
      <c r="AP19" t="s">
        <v>33</v>
      </c>
      <c r="AQ19" t="s">
        <v>33</v>
      </c>
      <c r="AR19" t="s">
        <v>33</v>
      </c>
      <c r="AS19">
        <f>AVERAGE(6,8)</f>
        <v>7</v>
      </c>
      <c r="AT19">
        <f>AS19-AU19</f>
        <v>1.3200000000000003</v>
      </c>
      <c r="AU19" s="6">
        <v>5.68</v>
      </c>
      <c r="AV19" t="b">
        <v>1</v>
      </c>
      <c r="AW19" t="s">
        <v>626</v>
      </c>
      <c r="AX19" t="s">
        <v>627</v>
      </c>
      <c r="AY19" t="s">
        <v>634</v>
      </c>
      <c r="AZ19" t="s">
        <v>33</v>
      </c>
      <c r="BA19" s="18" t="s">
        <v>800</v>
      </c>
      <c r="BB19" s="3" t="b">
        <v>0</v>
      </c>
      <c r="BC19" t="s">
        <v>81</v>
      </c>
      <c r="BD19">
        <v>18</v>
      </c>
      <c r="BE19" t="s">
        <v>80</v>
      </c>
      <c r="BF19">
        <v>24</v>
      </c>
      <c r="BG19" t="s">
        <v>644</v>
      </c>
      <c r="BH19" t="s">
        <v>31</v>
      </c>
      <c r="BI19" t="s">
        <v>32</v>
      </c>
      <c r="BJ19">
        <f t="shared" si="7"/>
        <v>5.68</v>
      </c>
      <c r="BK19" s="3">
        <f t="shared" si="8"/>
        <v>0.75434833571101889</v>
      </c>
      <c r="BL19">
        <v>2</v>
      </c>
      <c r="BM19" s="3">
        <f t="shared" si="9"/>
        <v>1.5098790120452137</v>
      </c>
      <c r="BN19" t="s">
        <v>33</v>
      </c>
      <c r="BO19" s="3">
        <f t="shared" si="10"/>
        <v>32.350352112676056</v>
      </c>
      <c r="BP19" t="s">
        <v>33</v>
      </c>
      <c r="BQ19" t="s">
        <v>33</v>
      </c>
      <c r="BR19" t="s">
        <v>33</v>
      </c>
      <c r="BS19" t="s">
        <v>33</v>
      </c>
      <c r="BT19" t="s">
        <v>32</v>
      </c>
      <c r="BU19" t="s">
        <v>661</v>
      </c>
      <c r="BV19">
        <v>2013</v>
      </c>
      <c r="BW19" t="s">
        <v>662</v>
      </c>
      <c r="BX19" s="13" t="s">
        <v>663</v>
      </c>
      <c r="BY19" s="13" t="s">
        <v>684</v>
      </c>
      <c r="CA19" t="str">
        <f t="shared" si="11"/>
        <v>high acid</v>
      </c>
    </row>
    <row r="20" spans="1:79">
      <c r="A20" t="s">
        <v>85</v>
      </c>
      <c r="B20" t="s">
        <v>565</v>
      </c>
      <c r="C20" t="s">
        <v>563</v>
      </c>
      <c r="D20" t="s">
        <v>118</v>
      </c>
      <c r="E20" t="s">
        <v>77</v>
      </c>
      <c r="F20" t="s">
        <v>32</v>
      </c>
      <c r="G20">
        <v>40</v>
      </c>
      <c r="H20">
        <f>(42+47)/2</f>
        <v>44.5</v>
      </c>
      <c r="I20" t="b">
        <v>1</v>
      </c>
      <c r="J20" t="s">
        <v>33</v>
      </c>
      <c r="K20" t="s">
        <v>33</v>
      </c>
      <c r="L20">
        <v>34</v>
      </c>
      <c r="M20" s="4">
        <v>548</v>
      </c>
      <c r="N20" s="3">
        <f t="shared" ref="N20:N25" si="18">IFERROR(AF20/((T20*X20/Y20)*O20*AI20),"NA")</f>
        <v>553.30575787548105</v>
      </c>
      <c r="O20">
        <v>2.5</v>
      </c>
      <c r="P20" t="s">
        <v>33</v>
      </c>
      <c r="Q20" s="8">
        <f t="shared" si="0"/>
        <v>6.0827250608272501E-3</v>
      </c>
      <c r="R20" t="s">
        <v>183</v>
      </c>
      <c r="S20" t="s">
        <v>612</v>
      </c>
      <c r="T20" s="11">
        <v>6</v>
      </c>
      <c r="U20">
        <v>2.9</v>
      </c>
      <c r="V20">
        <v>2.2999999999999998</v>
      </c>
      <c r="W20" t="s">
        <v>33</v>
      </c>
      <c r="X20" s="8">
        <f t="shared" si="15"/>
        <v>1.204879322468025E-2</v>
      </c>
      <c r="Y20" s="6">
        <f>120/60</f>
        <v>2</v>
      </c>
      <c r="Z20" s="3">
        <f t="shared" si="16"/>
        <v>1.9808216061374333</v>
      </c>
      <c r="AA20">
        <v>3.3</v>
      </c>
      <c r="AB20" s="6">
        <f t="shared" si="14"/>
        <v>3.333333333333333</v>
      </c>
      <c r="AC20" t="str">
        <f t="shared" si="4"/>
        <v>NA</v>
      </c>
      <c r="AD20" s="4">
        <f>IFERROR(AB20*T20*AI20, "NA")</f>
        <v>20</v>
      </c>
      <c r="AE20">
        <f t="shared" si="17"/>
        <v>124.27</v>
      </c>
      <c r="AF20">
        <v>50</v>
      </c>
      <c r="AG20" t="str">
        <f t="shared" ref="AG20:AG25" si="19">IFERROR((M20*O20*P20), "NA")</f>
        <v>NA</v>
      </c>
      <c r="AH20" t="str">
        <f t="shared" ref="AH20:AH25" si="20">IFERROR((AG20*T20*AI20), "NA")</f>
        <v>NA</v>
      </c>
      <c r="AI20" s="11">
        <v>1</v>
      </c>
      <c r="AJ20" t="s">
        <v>31</v>
      </c>
      <c r="AK20">
        <v>2150</v>
      </c>
      <c r="AL20" t="s">
        <v>238</v>
      </c>
      <c r="AM20" t="s">
        <v>86</v>
      </c>
      <c r="AN20" t="s">
        <v>205</v>
      </c>
      <c r="AO20" t="s">
        <v>789</v>
      </c>
      <c r="AP20">
        <v>4.16</v>
      </c>
      <c r="AQ20" t="s">
        <v>33</v>
      </c>
      <c r="AR20" t="s">
        <v>33</v>
      </c>
      <c r="AS20">
        <f>5.98</f>
        <v>5.98</v>
      </c>
      <c r="AT20" s="3">
        <f t="shared" ref="AT20:AT25" si="21">IFERROR(AS20-AU20,"NA")</f>
        <v>1.33</v>
      </c>
      <c r="AU20" s="6">
        <v>4.6500000000000004</v>
      </c>
      <c r="AV20" t="b">
        <v>1</v>
      </c>
      <c r="AW20" t="s">
        <v>29</v>
      </c>
      <c r="AX20" t="s">
        <v>30</v>
      </c>
      <c r="AY20" t="s">
        <v>270</v>
      </c>
      <c r="AZ20" t="s">
        <v>134</v>
      </c>
      <c r="BA20" s="18" t="s">
        <v>798</v>
      </c>
      <c r="BB20" t="b">
        <v>0</v>
      </c>
      <c r="BC20" t="s">
        <v>81</v>
      </c>
      <c r="BD20">
        <v>16</v>
      </c>
      <c r="BE20" t="s">
        <v>80</v>
      </c>
      <c r="BF20" s="11">
        <v>24</v>
      </c>
      <c r="BG20" t="s">
        <v>568</v>
      </c>
      <c r="BH20" t="s">
        <v>31</v>
      </c>
      <c r="BI20" t="s">
        <v>31</v>
      </c>
      <c r="BJ20" s="3">
        <f t="shared" si="7"/>
        <v>4.6500000000000004</v>
      </c>
      <c r="BK20" s="3">
        <f t="shared" si="8"/>
        <v>0.66745295288995399</v>
      </c>
      <c r="BL20">
        <v>2</v>
      </c>
      <c r="BM20" s="3">
        <f t="shared" si="9"/>
        <v>1.4269133454461804</v>
      </c>
      <c r="BN20" t="s">
        <v>33</v>
      </c>
      <c r="BO20" s="3">
        <f t="shared" si="10"/>
        <v>26.724731182795697</v>
      </c>
      <c r="BP20" t="s">
        <v>33</v>
      </c>
      <c r="BQ20" t="s">
        <v>33</v>
      </c>
      <c r="BR20" t="s">
        <v>33</v>
      </c>
      <c r="BS20" t="s">
        <v>33</v>
      </c>
      <c r="BT20" t="s">
        <v>32</v>
      </c>
      <c r="BU20" t="s">
        <v>84</v>
      </c>
      <c r="BV20">
        <v>2013</v>
      </c>
      <c r="BW20" s="1" t="s">
        <v>83</v>
      </c>
      <c r="BX20" t="s">
        <v>78</v>
      </c>
      <c r="BY20" t="s">
        <v>33</v>
      </c>
      <c r="BZ20" t="s">
        <v>33</v>
      </c>
      <c r="CA20" t="str">
        <f t="shared" si="11"/>
        <v>high acid</v>
      </c>
    </row>
    <row r="21" spans="1:79">
      <c r="A21" t="s">
        <v>429</v>
      </c>
      <c r="B21" t="s">
        <v>565</v>
      </c>
      <c r="C21" t="s">
        <v>563</v>
      </c>
      <c r="D21" t="s">
        <v>118</v>
      </c>
      <c r="E21" t="s">
        <v>77</v>
      </c>
      <c r="F21" t="s">
        <v>32</v>
      </c>
      <c r="G21">
        <v>4</v>
      </c>
      <c r="H21">
        <v>40</v>
      </c>
      <c r="I21" t="b">
        <v>0</v>
      </c>
      <c r="J21" t="s">
        <v>33</v>
      </c>
      <c r="K21" t="s">
        <v>33</v>
      </c>
      <c r="L21">
        <v>35</v>
      </c>
      <c r="M21" s="4">
        <v>200</v>
      </c>
      <c r="N21" s="3">
        <f t="shared" si="18"/>
        <v>5186.7227559346256</v>
      </c>
      <c r="O21">
        <v>4</v>
      </c>
      <c r="P21" t="s">
        <v>33</v>
      </c>
      <c r="Q21" s="8">
        <f t="shared" si="0"/>
        <v>0.31246875000000002</v>
      </c>
      <c r="R21" t="s">
        <v>183</v>
      </c>
      <c r="S21" t="s">
        <v>613</v>
      </c>
      <c r="T21" s="11">
        <v>8</v>
      </c>
      <c r="U21">
        <v>2.9</v>
      </c>
      <c r="V21">
        <v>2.2999999999999998</v>
      </c>
      <c r="W21" t="s">
        <v>33</v>
      </c>
      <c r="X21" s="9">
        <f t="shared" si="15"/>
        <v>1.204879322468025E-2</v>
      </c>
      <c r="Y21" s="6">
        <f>60/60</f>
        <v>1</v>
      </c>
      <c r="Z21" s="3">
        <f t="shared" si="16"/>
        <v>3.855999431840864E-2</v>
      </c>
      <c r="AA21" t="s">
        <v>33</v>
      </c>
      <c r="AB21" s="6">
        <f>IFERROR(((X21*M21)/Y21), "NA")</f>
        <v>2.40975864493605</v>
      </c>
      <c r="AC21" t="str">
        <f t="shared" si="4"/>
        <v>NA</v>
      </c>
      <c r="AD21" s="4">
        <f>AB21*T21*AI21</f>
        <v>19.2780691594884</v>
      </c>
      <c r="AE21" s="3">
        <f t="shared" si="17"/>
        <v>3772.6226999999999</v>
      </c>
      <c r="AF21">
        <v>1999.8</v>
      </c>
      <c r="AG21" t="str">
        <f t="shared" si="19"/>
        <v>NA</v>
      </c>
      <c r="AH21" t="str">
        <f t="shared" si="20"/>
        <v>NA</v>
      </c>
      <c r="AI21" s="11">
        <v>1</v>
      </c>
      <c r="AJ21" t="s">
        <v>31</v>
      </c>
      <c r="AK21">
        <v>1540</v>
      </c>
      <c r="AL21" t="s">
        <v>424</v>
      </c>
      <c r="AM21" t="s">
        <v>86</v>
      </c>
      <c r="AN21" t="s">
        <v>205</v>
      </c>
      <c r="AO21" t="s">
        <v>789</v>
      </c>
      <c r="AP21" s="4">
        <v>3.67</v>
      </c>
      <c r="AQ21" t="s">
        <v>33</v>
      </c>
      <c r="AR21" t="s">
        <v>33</v>
      </c>
      <c r="AS21" s="3">
        <v>7.54</v>
      </c>
      <c r="AT21" s="3">
        <f t="shared" si="21"/>
        <v>1.359</v>
      </c>
      <c r="AU21" s="6">
        <v>6.181</v>
      </c>
      <c r="AV21" t="b">
        <v>1</v>
      </c>
      <c r="AW21" t="s">
        <v>92</v>
      </c>
      <c r="AX21" t="s">
        <v>119</v>
      </c>
      <c r="AY21" t="s">
        <v>425</v>
      </c>
      <c r="AZ21" t="s">
        <v>33</v>
      </c>
      <c r="BA21" s="18" t="s">
        <v>801</v>
      </c>
      <c r="BB21" t="b">
        <v>0</v>
      </c>
      <c r="BC21" t="s">
        <v>81</v>
      </c>
      <c r="BD21">
        <v>15</v>
      </c>
      <c r="BE21" t="s">
        <v>80</v>
      </c>
      <c r="BF21" s="11">
        <v>36</v>
      </c>
      <c r="BG21" t="s">
        <v>573</v>
      </c>
      <c r="BH21" t="s">
        <v>31</v>
      </c>
      <c r="BI21" t="s">
        <v>32</v>
      </c>
      <c r="BJ21" s="3">
        <f t="shared" si="7"/>
        <v>6.181</v>
      </c>
      <c r="BK21" s="3">
        <f t="shared" si="8"/>
        <v>0.79105874359182538</v>
      </c>
      <c r="BL21">
        <v>2</v>
      </c>
      <c r="BM21" s="3">
        <f t="shared" si="9"/>
        <v>2.7855846299893625</v>
      </c>
      <c r="BN21" t="s">
        <v>33</v>
      </c>
      <c r="BO21" s="3">
        <f t="shared" si="10"/>
        <v>610.35798414496037</v>
      </c>
      <c r="BP21" t="s">
        <v>33</v>
      </c>
      <c r="BQ21" t="s">
        <v>33</v>
      </c>
      <c r="BR21" t="s">
        <v>33</v>
      </c>
      <c r="BS21" t="s">
        <v>33</v>
      </c>
      <c r="BT21" t="s">
        <v>31</v>
      </c>
      <c r="BU21" t="s">
        <v>426</v>
      </c>
      <c r="BV21">
        <v>2017</v>
      </c>
      <c r="BW21" t="s">
        <v>427</v>
      </c>
      <c r="BX21" t="s">
        <v>78</v>
      </c>
      <c r="BY21" t="s">
        <v>428</v>
      </c>
      <c r="BZ21" t="s">
        <v>33</v>
      </c>
      <c r="CA21" t="str">
        <f t="shared" si="11"/>
        <v>high acid</v>
      </c>
    </row>
    <row r="22" spans="1:79">
      <c r="A22" t="s">
        <v>429</v>
      </c>
      <c r="B22" t="s">
        <v>565</v>
      </c>
      <c r="C22" t="s">
        <v>563</v>
      </c>
      <c r="D22" t="s">
        <v>118</v>
      </c>
      <c r="E22" t="s">
        <v>77</v>
      </c>
      <c r="F22" t="s">
        <v>32</v>
      </c>
      <c r="G22">
        <v>4</v>
      </c>
      <c r="H22">
        <v>40</v>
      </c>
      <c r="I22" t="b">
        <v>0</v>
      </c>
      <c r="J22" t="s">
        <v>33</v>
      </c>
      <c r="K22" t="s">
        <v>33</v>
      </c>
      <c r="L22">
        <v>35</v>
      </c>
      <c r="M22" s="4">
        <v>200</v>
      </c>
      <c r="N22" s="3">
        <f t="shared" si="18"/>
        <v>3396.3463590841047</v>
      </c>
      <c r="O22">
        <v>4</v>
      </c>
      <c r="P22" t="s">
        <v>33</v>
      </c>
      <c r="Q22" s="8">
        <f t="shared" si="0"/>
        <v>0.20460937500000001</v>
      </c>
      <c r="R22" t="s">
        <v>183</v>
      </c>
      <c r="S22" t="s">
        <v>613</v>
      </c>
      <c r="T22" s="11">
        <v>8</v>
      </c>
      <c r="U22">
        <v>2.9</v>
      </c>
      <c r="V22">
        <v>2.2999999999999998</v>
      </c>
      <c r="W22" t="s">
        <v>33</v>
      </c>
      <c r="X22" s="9">
        <f t="shared" si="15"/>
        <v>1.204879322468025E-2</v>
      </c>
      <c r="Y22" s="6">
        <f>60/60</f>
        <v>1</v>
      </c>
      <c r="Z22" s="3">
        <f t="shared" si="16"/>
        <v>5.8886809192786251E-2</v>
      </c>
      <c r="AA22" t="s">
        <v>33</v>
      </c>
      <c r="AB22" s="6">
        <f>IFERROR(((X22*M22)/Y22), "NA")</f>
        <v>2.40975864493605</v>
      </c>
      <c r="AC22" t="str">
        <f t="shared" si="4"/>
        <v>NA</v>
      </c>
      <c r="AD22" s="4">
        <f>AB22*T22*AI22</f>
        <v>19.2780691594884</v>
      </c>
      <c r="AE22" s="3">
        <f t="shared" si="17"/>
        <v>2470.3717499999998</v>
      </c>
      <c r="AF22">
        <v>1309.5</v>
      </c>
      <c r="AG22" t="str">
        <f t="shared" si="19"/>
        <v>NA</v>
      </c>
      <c r="AH22" t="str">
        <f t="shared" si="20"/>
        <v>NA</v>
      </c>
      <c r="AI22" s="11">
        <v>1</v>
      </c>
      <c r="AJ22" t="s">
        <v>31</v>
      </c>
      <c r="AK22">
        <v>1540</v>
      </c>
      <c r="AL22" t="s">
        <v>424</v>
      </c>
      <c r="AM22" t="s">
        <v>86</v>
      </c>
      <c r="AN22" t="s">
        <v>205</v>
      </c>
      <c r="AO22" t="s">
        <v>789</v>
      </c>
      <c r="AP22" s="4">
        <v>3.67</v>
      </c>
      <c r="AQ22" t="s">
        <v>33</v>
      </c>
      <c r="AR22" t="s">
        <v>33</v>
      </c>
      <c r="AS22" s="3">
        <v>7.54</v>
      </c>
      <c r="AT22" s="3">
        <f t="shared" si="21"/>
        <v>1.359</v>
      </c>
      <c r="AU22" s="6">
        <v>6.181</v>
      </c>
      <c r="AV22" t="b">
        <v>1</v>
      </c>
      <c r="AW22" t="s">
        <v>92</v>
      </c>
      <c r="AX22" t="s">
        <v>119</v>
      </c>
      <c r="AY22" t="s">
        <v>425</v>
      </c>
      <c r="AZ22" t="s">
        <v>33</v>
      </c>
      <c r="BA22" s="18" t="s">
        <v>801</v>
      </c>
      <c r="BB22" t="b">
        <v>0</v>
      </c>
      <c r="BC22" t="s">
        <v>81</v>
      </c>
      <c r="BD22">
        <v>15</v>
      </c>
      <c r="BE22" t="s">
        <v>80</v>
      </c>
      <c r="BF22" s="11">
        <v>36</v>
      </c>
      <c r="BG22" t="s">
        <v>573</v>
      </c>
      <c r="BH22" t="s">
        <v>31</v>
      </c>
      <c r="BI22" t="s">
        <v>32</v>
      </c>
      <c r="BJ22" s="3">
        <f t="shared" si="7"/>
        <v>6.181</v>
      </c>
      <c r="BK22" s="3">
        <f t="shared" si="8"/>
        <v>0.79105874359182538</v>
      </c>
      <c r="BL22">
        <v>2</v>
      </c>
      <c r="BM22" s="3">
        <f t="shared" si="9"/>
        <v>2.6017035687064398</v>
      </c>
      <c r="BN22" t="s">
        <v>33</v>
      </c>
      <c r="BO22" s="3">
        <f t="shared" si="10"/>
        <v>399.6718573046432</v>
      </c>
      <c r="BP22" t="s">
        <v>33</v>
      </c>
      <c r="BQ22" t="s">
        <v>33</v>
      </c>
      <c r="BR22" t="s">
        <v>33</v>
      </c>
      <c r="BS22" t="s">
        <v>33</v>
      </c>
      <c r="BT22" t="s">
        <v>31</v>
      </c>
      <c r="BU22" t="s">
        <v>426</v>
      </c>
      <c r="BV22">
        <v>2017</v>
      </c>
      <c r="BW22" t="s">
        <v>427</v>
      </c>
      <c r="BX22" t="s">
        <v>78</v>
      </c>
      <c r="BY22" t="s">
        <v>428</v>
      </c>
      <c r="BZ22" t="s">
        <v>33</v>
      </c>
      <c r="CA22" t="str">
        <f t="shared" si="11"/>
        <v>high acid</v>
      </c>
    </row>
    <row r="23" spans="1:79">
      <c r="A23" t="s">
        <v>231</v>
      </c>
      <c r="B23" t="s">
        <v>565</v>
      </c>
      <c r="C23" t="s">
        <v>563</v>
      </c>
      <c r="D23" t="s">
        <v>33</v>
      </c>
      <c r="E23" t="s">
        <v>77</v>
      </c>
      <c r="F23" t="s">
        <v>32</v>
      </c>
      <c r="G23">
        <v>30</v>
      </c>
      <c r="H23">
        <v>61</v>
      </c>
      <c r="I23" t="b">
        <v>1</v>
      </c>
      <c r="J23" t="s">
        <v>33</v>
      </c>
      <c r="K23" t="s">
        <v>33</v>
      </c>
      <c r="L23">
        <v>30</v>
      </c>
      <c r="M23" s="4">
        <v>250</v>
      </c>
      <c r="N23" s="3">
        <f t="shared" si="18"/>
        <v>260.5243209473274</v>
      </c>
      <c r="O23">
        <v>2</v>
      </c>
      <c r="P23" t="s">
        <v>33</v>
      </c>
      <c r="Q23" s="9">
        <f t="shared" ref="Q23:Q49" si="22">IFERROR(X23/Z23, "NA")</f>
        <v>1.3333333333333332E-2</v>
      </c>
      <c r="R23" t="s">
        <v>183</v>
      </c>
      <c r="S23" t="s">
        <v>613</v>
      </c>
      <c r="T23" s="11">
        <v>6</v>
      </c>
      <c r="U23">
        <v>2.2999999999999998</v>
      </c>
      <c r="V23">
        <v>2.2000000000000002</v>
      </c>
      <c r="W23" t="s">
        <v>33</v>
      </c>
      <c r="X23" s="8">
        <f t="shared" si="15"/>
        <v>8.7430523549403959E-3</v>
      </c>
      <c r="Y23" s="6">
        <f>41/60</f>
        <v>0.68333333333333335</v>
      </c>
      <c r="Z23" s="3">
        <f t="shared" si="16"/>
        <v>0.65572892662052973</v>
      </c>
      <c r="AA23" s="3">
        <f>20/6</f>
        <v>3.3333333333333335</v>
      </c>
      <c r="AB23" s="6">
        <f>IFERROR(((X23*M23)/Z23), "NA")</f>
        <v>3.333333333333333</v>
      </c>
      <c r="AC23" t="str">
        <f t="shared" si="4"/>
        <v>NA</v>
      </c>
      <c r="AD23" s="4">
        <f>IFERROR(AB23*T23*AI23, "NA")</f>
        <v>20</v>
      </c>
      <c r="AE23" s="3">
        <f t="shared" si="17"/>
        <v>144</v>
      </c>
      <c r="AF23">
        <v>40</v>
      </c>
      <c r="AG23" t="str">
        <f t="shared" si="19"/>
        <v>NA</v>
      </c>
      <c r="AH23" t="str">
        <f t="shared" si="20"/>
        <v>NA</v>
      </c>
      <c r="AI23" s="11">
        <v>1</v>
      </c>
      <c r="AJ23" t="s">
        <v>31</v>
      </c>
      <c r="AK23">
        <v>4000</v>
      </c>
      <c r="AL23" t="s">
        <v>546</v>
      </c>
      <c r="AM23" t="s">
        <v>103</v>
      </c>
      <c r="AN23" t="s">
        <v>130</v>
      </c>
      <c r="AO23" t="s">
        <v>795</v>
      </c>
      <c r="AP23">
        <v>5</v>
      </c>
      <c r="AQ23" t="s">
        <v>33</v>
      </c>
      <c r="AR23" t="s">
        <v>33</v>
      </c>
      <c r="AS23" s="6">
        <v>6.6</v>
      </c>
      <c r="AT23" s="3">
        <f t="shared" si="21"/>
        <v>1.3999999999999995</v>
      </c>
      <c r="AU23" s="6">
        <v>5.2</v>
      </c>
      <c r="AV23" t="b">
        <v>1</v>
      </c>
      <c r="AW23" t="s">
        <v>172</v>
      </c>
      <c r="AX23" t="s">
        <v>173</v>
      </c>
      <c r="AY23" t="s">
        <v>236</v>
      </c>
      <c r="AZ23" t="s">
        <v>33</v>
      </c>
      <c r="BA23" s="18" t="s">
        <v>799</v>
      </c>
      <c r="BB23" t="b">
        <v>0</v>
      </c>
      <c r="BC23" t="s">
        <v>81</v>
      </c>
      <c r="BD23">
        <v>24</v>
      </c>
      <c r="BE23" t="s">
        <v>80</v>
      </c>
      <c r="BF23" s="11">
        <v>120</v>
      </c>
      <c r="BG23" t="s">
        <v>522</v>
      </c>
      <c r="BH23" t="s">
        <v>31</v>
      </c>
      <c r="BI23" t="s">
        <v>31</v>
      </c>
      <c r="BJ23" s="3">
        <f t="shared" si="7"/>
        <v>5.2</v>
      </c>
      <c r="BK23" s="3">
        <f t="shared" si="8"/>
        <v>0.71600334363479923</v>
      </c>
      <c r="BL23">
        <v>2</v>
      </c>
      <c r="BM23" s="3">
        <f t="shared" si="9"/>
        <v>1.4423591484604505</v>
      </c>
      <c r="BN23" t="s">
        <v>33</v>
      </c>
      <c r="BO23" s="3">
        <f t="shared" si="10"/>
        <v>27.69230769230769</v>
      </c>
      <c r="BP23" t="s">
        <v>33</v>
      </c>
      <c r="BQ23" t="s">
        <v>33</v>
      </c>
      <c r="BR23" t="s">
        <v>33</v>
      </c>
      <c r="BS23" t="s">
        <v>33</v>
      </c>
      <c r="BT23" t="s">
        <v>31</v>
      </c>
      <c r="BU23" t="s">
        <v>227</v>
      </c>
      <c r="BV23">
        <v>2001</v>
      </c>
      <c r="BW23" t="s">
        <v>228</v>
      </c>
      <c r="BX23" t="s">
        <v>78</v>
      </c>
      <c r="BY23" t="s">
        <v>33</v>
      </c>
      <c r="BZ23" t="s">
        <v>33</v>
      </c>
      <c r="CA23" t="str">
        <f t="shared" si="11"/>
        <v>low acid</v>
      </c>
    </row>
    <row r="24" spans="1:79">
      <c r="A24" t="s">
        <v>231</v>
      </c>
      <c r="B24" t="s">
        <v>565</v>
      </c>
      <c r="C24" t="s">
        <v>563</v>
      </c>
      <c r="D24" t="s">
        <v>33</v>
      </c>
      <c r="E24" t="s">
        <v>77</v>
      </c>
      <c r="F24" t="s">
        <v>32</v>
      </c>
      <c r="G24">
        <v>30</v>
      </c>
      <c r="H24">
        <v>61</v>
      </c>
      <c r="I24" t="b">
        <v>1</v>
      </c>
      <c r="J24" t="s">
        <v>33</v>
      </c>
      <c r="K24" t="s">
        <v>33</v>
      </c>
      <c r="L24">
        <v>25</v>
      </c>
      <c r="M24" s="4">
        <v>250</v>
      </c>
      <c r="N24" s="3">
        <f t="shared" si="18"/>
        <v>260.5243209473274</v>
      </c>
      <c r="O24">
        <v>4</v>
      </c>
      <c r="P24" t="s">
        <v>33</v>
      </c>
      <c r="Q24" s="9">
        <f t="shared" si="22"/>
        <v>1.3333333333333332E-2</v>
      </c>
      <c r="R24" t="s">
        <v>183</v>
      </c>
      <c r="S24" t="s">
        <v>613</v>
      </c>
      <c r="T24" s="11">
        <v>6</v>
      </c>
      <c r="U24">
        <v>2.2999999999999998</v>
      </c>
      <c r="V24">
        <v>2.2000000000000002</v>
      </c>
      <c r="W24" t="s">
        <v>33</v>
      </c>
      <c r="X24" s="8">
        <f t="shared" si="15"/>
        <v>8.7430523549403959E-3</v>
      </c>
      <c r="Y24" s="6">
        <f>41/60</f>
        <v>0.68333333333333335</v>
      </c>
      <c r="Z24" s="3">
        <f t="shared" si="16"/>
        <v>0.65572892662052973</v>
      </c>
      <c r="AA24" s="3">
        <f>20/6</f>
        <v>3.3333333333333335</v>
      </c>
      <c r="AB24" s="6">
        <f>IFERROR(((X24*M24)/Z24), "NA")</f>
        <v>3.333333333333333</v>
      </c>
      <c r="AC24" t="str">
        <f t="shared" si="4"/>
        <v>NA</v>
      </c>
      <c r="AD24" s="4">
        <f>AB24*T24*AI24</f>
        <v>20</v>
      </c>
      <c r="AE24" s="3">
        <f t="shared" si="17"/>
        <v>199.99999999999997</v>
      </c>
      <c r="AF24">
        <v>80</v>
      </c>
      <c r="AG24" t="str">
        <f t="shared" si="19"/>
        <v>NA</v>
      </c>
      <c r="AH24" t="str">
        <f t="shared" si="20"/>
        <v>NA</v>
      </c>
      <c r="AI24" s="11">
        <v>1</v>
      </c>
      <c r="AJ24" t="s">
        <v>31</v>
      </c>
      <c r="AK24">
        <v>4000</v>
      </c>
      <c r="AL24" t="s">
        <v>546</v>
      </c>
      <c r="AM24" t="s">
        <v>103</v>
      </c>
      <c r="AN24" t="s">
        <v>130</v>
      </c>
      <c r="AO24" t="s">
        <v>795</v>
      </c>
      <c r="AP24">
        <v>5</v>
      </c>
      <c r="AQ24" t="s">
        <v>33</v>
      </c>
      <c r="AR24" t="s">
        <v>33</v>
      </c>
      <c r="AS24" s="6">
        <v>6.4</v>
      </c>
      <c r="AT24" s="3">
        <f t="shared" si="21"/>
        <v>1.4000000000000004</v>
      </c>
      <c r="AU24" s="6">
        <v>5</v>
      </c>
      <c r="AV24" t="b">
        <v>1</v>
      </c>
      <c r="AW24" t="s">
        <v>172</v>
      </c>
      <c r="AX24" t="s">
        <v>173</v>
      </c>
      <c r="AY24" t="s">
        <v>236</v>
      </c>
      <c r="AZ24" t="s">
        <v>33</v>
      </c>
      <c r="BA24" s="18" t="s">
        <v>799</v>
      </c>
      <c r="BB24" t="b">
        <v>0</v>
      </c>
      <c r="BC24" t="s">
        <v>81</v>
      </c>
      <c r="BD24">
        <v>24</v>
      </c>
      <c r="BE24" t="s">
        <v>80</v>
      </c>
      <c r="BF24" s="11">
        <v>120</v>
      </c>
      <c r="BG24" t="s">
        <v>522</v>
      </c>
      <c r="BH24" t="s">
        <v>31</v>
      </c>
      <c r="BI24" t="s">
        <v>31</v>
      </c>
      <c r="BJ24" s="3">
        <f t="shared" si="7"/>
        <v>5</v>
      </c>
      <c r="BK24" s="3">
        <f t="shared" si="8"/>
        <v>0.69897000433601886</v>
      </c>
      <c r="BL24">
        <v>2</v>
      </c>
      <c r="BM24" s="3">
        <f t="shared" si="9"/>
        <v>1.6020599913279623</v>
      </c>
      <c r="BN24" t="s">
        <v>33</v>
      </c>
      <c r="BO24" s="3">
        <f t="shared" si="10"/>
        <v>39.999999999999993</v>
      </c>
      <c r="BP24" t="s">
        <v>33</v>
      </c>
      <c r="BQ24" t="s">
        <v>33</v>
      </c>
      <c r="BR24" t="s">
        <v>33</v>
      </c>
      <c r="BS24" t="s">
        <v>33</v>
      </c>
      <c r="BT24" t="s">
        <v>31</v>
      </c>
      <c r="BU24" t="s">
        <v>227</v>
      </c>
      <c r="BV24">
        <v>2001</v>
      </c>
      <c r="BW24" t="s">
        <v>228</v>
      </c>
      <c r="BX24" t="s">
        <v>78</v>
      </c>
      <c r="BY24" t="s">
        <v>33</v>
      </c>
      <c r="BZ24" t="s">
        <v>33</v>
      </c>
      <c r="CA24" t="str">
        <f t="shared" si="11"/>
        <v>low acid</v>
      </c>
    </row>
    <row r="25" spans="1:79">
      <c r="A25" t="s">
        <v>415</v>
      </c>
      <c r="B25" t="s">
        <v>565</v>
      </c>
      <c r="C25" t="s">
        <v>563</v>
      </c>
      <c r="D25" t="s">
        <v>33</v>
      </c>
      <c r="E25" t="s">
        <v>77</v>
      </c>
      <c r="F25" t="s">
        <v>32</v>
      </c>
      <c r="G25">
        <v>25</v>
      </c>
      <c r="H25">
        <v>45.5</v>
      </c>
      <c r="I25" t="b">
        <v>0</v>
      </c>
      <c r="J25">
        <v>8125</v>
      </c>
      <c r="K25">
        <v>26.9</v>
      </c>
      <c r="L25">
        <v>30</v>
      </c>
      <c r="M25" s="4">
        <v>250</v>
      </c>
      <c r="N25" s="3">
        <f t="shared" si="18"/>
        <v>251.11113243387931</v>
      </c>
      <c r="O25">
        <v>4</v>
      </c>
      <c r="P25" t="s">
        <v>33</v>
      </c>
      <c r="Q25" s="8">
        <f t="shared" si="22"/>
        <v>1.4200000000000001E-2</v>
      </c>
      <c r="R25" t="s">
        <v>183</v>
      </c>
      <c r="S25" t="s">
        <v>612</v>
      </c>
      <c r="T25" s="11">
        <v>6</v>
      </c>
      <c r="U25">
        <v>2.7</v>
      </c>
      <c r="V25">
        <v>2</v>
      </c>
      <c r="W25">
        <v>8.5000000000000006E-3</v>
      </c>
      <c r="X25" s="9">
        <f t="shared" si="15"/>
        <v>8.4823001646924419E-3</v>
      </c>
      <c r="Y25" s="6">
        <f>36/60</f>
        <v>0.6</v>
      </c>
      <c r="Z25" s="3">
        <f t="shared" si="16"/>
        <v>0.59734508202059444</v>
      </c>
      <c r="AA25">
        <f>21.3/6</f>
        <v>3.5500000000000003</v>
      </c>
      <c r="AB25" s="6">
        <f>IFERROR(((X25*M25)/Y25), "NA")</f>
        <v>3.5342917352885173</v>
      </c>
      <c r="AC25" t="str">
        <f t="shared" si="4"/>
        <v>NA</v>
      </c>
      <c r="AD25" s="4">
        <f>AB25*T25*AI25</f>
        <v>21.205750411731103</v>
      </c>
      <c r="AE25" s="3">
        <f t="shared" si="17"/>
        <v>306.72000000000003</v>
      </c>
      <c r="AF25">
        <f>AI25*T25*O25*AA25</f>
        <v>85.2</v>
      </c>
      <c r="AG25" t="str">
        <f t="shared" si="19"/>
        <v>NA</v>
      </c>
      <c r="AH25" t="str">
        <f t="shared" si="20"/>
        <v>NA</v>
      </c>
      <c r="AI25">
        <v>1</v>
      </c>
      <c r="AJ25" t="s">
        <v>31</v>
      </c>
      <c r="AK25">
        <v>4000</v>
      </c>
      <c r="AL25" t="s">
        <v>416</v>
      </c>
      <c r="AM25" t="s">
        <v>103</v>
      </c>
      <c r="AN25" t="s">
        <v>130</v>
      </c>
      <c r="AO25" t="s">
        <v>795</v>
      </c>
      <c r="AP25" s="4">
        <v>5</v>
      </c>
      <c r="AQ25" t="s">
        <v>33</v>
      </c>
      <c r="AR25" t="s">
        <v>33</v>
      </c>
      <c r="AS25" s="3">
        <f>LOG(10^8)</f>
        <v>8</v>
      </c>
      <c r="AT25" s="3">
        <f t="shared" si="21"/>
        <v>1.4000000000000004</v>
      </c>
      <c r="AU25" s="6">
        <v>6.6</v>
      </c>
      <c r="AV25" t="b">
        <v>1</v>
      </c>
      <c r="AW25" t="s">
        <v>29</v>
      </c>
      <c r="AX25" t="s">
        <v>30</v>
      </c>
      <c r="AY25" t="s">
        <v>226</v>
      </c>
      <c r="AZ25" t="s">
        <v>33</v>
      </c>
      <c r="BA25" s="18" t="s">
        <v>798</v>
      </c>
      <c r="BB25" t="b">
        <v>0</v>
      </c>
      <c r="BC25" t="s">
        <v>81</v>
      </c>
      <c r="BD25">
        <v>14</v>
      </c>
      <c r="BE25" t="s">
        <v>80</v>
      </c>
      <c r="BF25" s="11">
        <v>48</v>
      </c>
      <c r="BG25" t="s">
        <v>139</v>
      </c>
      <c r="BH25" t="s">
        <v>31</v>
      </c>
      <c r="BI25" t="s">
        <v>32</v>
      </c>
      <c r="BJ25" s="3">
        <f t="shared" si="7"/>
        <v>6.6</v>
      </c>
      <c r="BK25" s="3">
        <f t="shared" si="8"/>
        <v>0.81954393554186866</v>
      </c>
      <c r="BL25">
        <v>2</v>
      </c>
      <c r="BM25" s="3">
        <f t="shared" si="9"/>
        <v>1.6671981599921188</v>
      </c>
      <c r="BN25" t="s">
        <v>33</v>
      </c>
      <c r="BO25" s="3">
        <f t="shared" si="10"/>
        <v>46.472727272727276</v>
      </c>
      <c r="BP25" t="s">
        <v>33</v>
      </c>
      <c r="BQ25" t="s">
        <v>33</v>
      </c>
      <c r="BR25" t="s">
        <v>33</v>
      </c>
      <c r="BS25" t="s">
        <v>33</v>
      </c>
      <c r="BT25" t="s">
        <v>31</v>
      </c>
      <c r="BU25" t="s">
        <v>227</v>
      </c>
      <c r="BV25">
        <v>2004</v>
      </c>
      <c r="BW25" t="s">
        <v>417</v>
      </c>
      <c r="BX25" t="s">
        <v>78</v>
      </c>
      <c r="BY25" t="s">
        <v>33</v>
      </c>
      <c r="BZ25" t="s">
        <v>33</v>
      </c>
      <c r="CA25" t="str">
        <f t="shared" si="11"/>
        <v>low acid</v>
      </c>
    </row>
    <row r="26" spans="1:79">
      <c r="A26" t="s">
        <v>581</v>
      </c>
      <c r="B26" t="s">
        <v>565</v>
      </c>
      <c r="C26" t="s">
        <v>563</v>
      </c>
      <c r="D26" t="s">
        <v>118</v>
      </c>
      <c r="E26" t="s">
        <v>77</v>
      </c>
      <c r="F26" t="s">
        <v>32</v>
      </c>
      <c r="G26">
        <v>5</v>
      </c>
      <c r="H26">
        <v>30.3</v>
      </c>
      <c r="I26" t="b">
        <v>0</v>
      </c>
      <c r="J26" t="s">
        <v>33</v>
      </c>
      <c r="K26" t="s">
        <v>33</v>
      </c>
      <c r="L26">
        <v>35</v>
      </c>
      <c r="M26" s="4">
        <v>250</v>
      </c>
      <c r="N26" t="e">
        <f>(#REF!*Y26)/(T26*X26*O26)</f>
        <v>#REF!</v>
      </c>
      <c r="O26">
        <v>4</v>
      </c>
      <c r="P26" t="s">
        <v>33</v>
      </c>
      <c r="Q26" s="1">
        <f t="shared" si="22"/>
        <v>6.25E-2</v>
      </c>
      <c r="R26" t="s">
        <v>183</v>
      </c>
      <c r="S26" t="s">
        <v>613</v>
      </c>
      <c r="T26">
        <v>8</v>
      </c>
      <c r="U26">
        <v>2.92</v>
      </c>
      <c r="V26">
        <v>2.2999999999999998</v>
      </c>
      <c r="W26">
        <v>1.21E-2</v>
      </c>
      <c r="X26">
        <f t="shared" ref="X26:X31" si="23">IFERROR(((PI())*(((V26*10^-1)/2)^2)*(U26*10^-1)), "NA")</f>
        <v>1.2131888350367701E-2</v>
      </c>
      <c r="Y26">
        <v>1.6666700000000001</v>
      </c>
      <c r="Z26" s="3">
        <f t="shared" si="16"/>
        <v>0.19411021360588321</v>
      </c>
      <c r="AA26" t="s">
        <v>33</v>
      </c>
      <c r="AB26">
        <f>IFERROR(((X26*M26)/Z26), "NA")</f>
        <v>15.625</v>
      </c>
      <c r="AC26" s="1" t="str">
        <f t="shared" si="4"/>
        <v>NA</v>
      </c>
      <c r="AE26" s="3">
        <f t="shared" si="17"/>
        <v>2241.75</v>
      </c>
      <c r="AF26">
        <v>500</v>
      </c>
      <c r="AG26" s="1" t="str">
        <f>IFERROR((N26*P26*Q26), "NA")</f>
        <v>NA</v>
      </c>
      <c r="AH26" s="1" t="str">
        <f>IFERROR((AG26*U26*AI26), "NA")</f>
        <v>NA</v>
      </c>
      <c r="AI26" s="1">
        <v>1</v>
      </c>
      <c r="AJ26" s="11" t="s">
        <v>31</v>
      </c>
      <c r="AK26">
        <v>3660</v>
      </c>
      <c r="AL26" t="s">
        <v>541</v>
      </c>
      <c r="AM26" t="s">
        <v>86</v>
      </c>
      <c r="AN26" t="s">
        <v>186</v>
      </c>
      <c r="AO26" t="s">
        <v>794</v>
      </c>
      <c r="AP26">
        <v>5.46</v>
      </c>
      <c r="AQ26" t="s">
        <v>33</v>
      </c>
      <c r="AR26" t="s">
        <v>33</v>
      </c>
      <c r="AS26">
        <v>7.5</v>
      </c>
      <c r="AT26">
        <f>AS26-AU26</f>
        <v>1.42</v>
      </c>
      <c r="AU26" s="6">
        <v>6.08</v>
      </c>
      <c r="AV26" t="b">
        <v>1</v>
      </c>
      <c r="AW26" t="s">
        <v>617</v>
      </c>
      <c r="AX26" t="s">
        <v>618</v>
      </c>
      <c r="AY26" t="s">
        <v>33</v>
      </c>
      <c r="AZ26" t="s">
        <v>619</v>
      </c>
      <c r="BA26" s="18" t="s">
        <v>802</v>
      </c>
      <c r="BB26" s="3" t="b">
        <v>0</v>
      </c>
      <c r="BC26" t="s">
        <v>81</v>
      </c>
      <c r="BD26">
        <v>15</v>
      </c>
      <c r="BE26" t="s">
        <v>80</v>
      </c>
      <c r="BF26">
        <v>15</v>
      </c>
      <c r="BG26" t="s">
        <v>697</v>
      </c>
      <c r="BH26" t="s">
        <v>32</v>
      </c>
      <c r="BI26" t="s">
        <v>32</v>
      </c>
      <c r="BJ26">
        <f t="shared" si="7"/>
        <v>6.08</v>
      </c>
      <c r="BK26" s="3">
        <f t="shared" si="8"/>
        <v>0.78390357927273491</v>
      </c>
      <c r="BL26">
        <v>2</v>
      </c>
      <c r="BM26" s="3">
        <f t="shared" si="9"/>
        <v>2.566683599158246</v>
      </c>
      <c r="BN26" t="s">
        <v>33</v>
      </c>
      <c r="BO26" s="3">
        <f t="shared" si="10"/>
        <v>368.70888157894734</v>
      </c>
      <c r="BP26" t="s">
        <v>33</v>
      </c>
      <c r="BQ26" t="s">
        <v>33</v>
      </c>
      <c r="BR26" t="s">
        <v>33</v>
      </c>
      <c r="BS26" t="s">
        <v>33</v>
      </c>
      <c r="BT26" t="s">
        <v>31</v>
      </c>
      <c r="BU26" t="s">
        <v>219</v>
      </c>
      <c r="BV26" s="14">
        <v>2007</v>
      </c>
      <c r="BW26" s="2" t="s">
        <v>648</v>
      </c>
      <c r="BX26" t="s">
        <v>78</v>
      </c>
      <c r="BY26" s="13" t="s">
        <v>671</v>
      </c>
      <c r="CA26" t="str">
        <f t="shared" si="11"/>
        <v>low acid</v>
      </c>
    </row>
    <row r="27" spans="1:79">
      <c r="A27" t="s">
        <v>429</v>
      </c>
      <c r="B27" t="s">
        <v>565</v>
      </c>
      <c r="C27" t="s">
        <v>563</v>
      </c>
      <c r="D27" t="s">
        <v>118</v>
      </c>
      <c r="E27" t="s">
        <v>77</v>
      </c>
      <c r="F27" t="s">
        <v>32</v>
      </c>
      <c r="G27">
        <v>4</v>
      </c>
      <c r="H27">
        <v>40</v>
      </c>
      <c r="I27" t="b">
        <v>0</v>
      </c>
      <c r="J27" t="s">
        <v>33</v>
      </c>
      <c r="K27" t="s">
        <v>33</v>
      </c>
      <c r="L27">
        <v>35</v>
      </c>
      <c r="M27" s="4">
        <v>200</v>
      </c>
      <c r="N27" s="3">
        <f>IFERROR(AF27/((T27*X27/Y27)*O27*AI27),"NA")</f>
        <v>5120.8447891375772</v>
      </c>
      <c r="O27">
        <v>4</v>
      </c>
      <c r="P27" t="s">
        <v>33</v>
      </c>
      <c r="Q27" s="8">
        <f t="shared" si="22"/>
        <v>0.30850000000000005</v>
      </c>
      <c r="R27" t="s">
        <v>183</v>
      </c>
      <c r="S27" t="s">
        <v>613</v>
      </c>
      <c r="T27" s="11">
        <v>8</v>
      </c>
      <c r="U27">
        <v>2.9</v>
      </c>
      <c r="V27">
        <v>2.2999999999999998</v>
      </c>
      <c r="W27" t="s">
        <v>33</v>
      </c>
      <c r="X27" s="9">
        <f t="shared" si="23"/>
        <v>1.204879322468025E-2</v>
      </c>
      <c r="Y27" s="6">
        <f>60/60</f>
        <v>1</v>
      </c>
      <c r="Z27" s="3">
        <f t="shared" si="16"/>
        <v>3.9056055833647484E-2</v>
      </c>
      <c r="AA27" t="s">
        <v>33</v>
      </c>
      <c r="AB27" s="6">
        <f>IFERROR(((X27*M27)/Y27), "NA")</f>
        <v>2.40975864493605</v>
      </c>
      <c r="AC27" t="str">
        <f t="shared" si="4"/>
        <v>NA</v>
      </c>
      <c r="AD27" s="4">
        <f>AB27*T27*AI27</f>
        <v>19.2780691594884</v>
      </c>
      <c r="AE27" s="3">
        <f t="shared" si="17"/>
        <v>3724.7056000000002</v>
      </c>
      <c r="AF27">
        <v>1974.4</v>
      </c>
      <c r="AG27" t="str">
        <f>IFERROR((M27*O27*P27), "NA")</f>
        <v>NA</v>
      </c>
      <c r="AH27" t="str">
        <f>IFERROR((AG27*T27*AI27), "NA")</f>
        <v>NA</v>
      </c>
      <c r="AI27" s="11">
        <v>1</v>
      </c>
      <c r="AJ27" t="s">
        <v>31</v>
      </c>
      <c r="AK27">
        <v>1540</v>
      </c>
      <c r="AL27" t="s">
        <v>424</v>
      </c>
      <c r="AM27" t="s">
        <v>86</v>
      </c>
      <c r="AN27" t="s">
        <v>205</v>
      </c>
      <c r="AO27" t="s">
        <v>789</v>
      </c>
      <c r="AP27" s="4">
        <v>3.67</v>
      </c>
      <c r="AQ27" t="s">
        <v>33</v>
      </c>
      <c r="AR27" t="s">
        <v>33</v>
      </c>
      <c r="AS27" s="3">
        <v>7.54</v>
      </c>
      <c r="AT27" s="3">
        <f>IFERROR(AS27-AU27,"NA")</f>
        <v>1.4379999999999997</v>
      </c>
      <c r="AU27" s="6">
        <v>6.1020000000000003</v>
      </c>
      <c r="AV27" t="b">
        <v>1</v>
      </c>
      <c r="AW27" t="s">
        <v>92</v>
      </c>
      <c r="AX27" t="s">
        <v>119</v>
      </c>
      <c r="AY27" t="s">
        <v>425</v>
      </c>
      <c r="AZ27" t="s">
        <v>33</v>
      </c>
      <c r="BA27" s="18" t="s">
        <v>801</v>
      </c>
      <c r="BB27" t="b">
        <v>0</v>
      </c>
      <c r="BC27" t="s">
        <v>81</v>
      </c>
      <c r="BD27">
        <v>15</v>
      </c>
      <c r="BE27" t="s">
        <v>80</v>
      </c>
      <c r="BF27" s="11">
        <v>36</v>
      </c>
      <c r="BG27" t="s">
        <v>573</v>
      </c>
      <c r="BH27" t="s">
        <v>31</v>
      </c>
      <c r="BI27" t="s">
        <v>32</v>
      </c>
      <c r="BJ27" s="3">
        <f t="shared" si="7"/>
        <v>6.1020000000000003</v>
      </c>
      <c r="BK27" s="3">
        <f t="shared" si="8"/>
        <v>0.78547220330638823</v>
      </c>
      <c r="BL27">
        <v>2</v>
      </c>
      <c r="BM27" s="3">
        <f t="shared" si="9"/>
        <v>2.7856197485837737</v>
      </c>
      <c r="BN27" t="s">
        <v>33</v>
      </c>
      <c r="BO27" s="3">
        <f t="shared" si="10"/>
        <v>610.40734185512952</v>
      </c>
      <c r="BP27" t="s">
        <v>33</v>
      </c>
      <c r="BQ27" t="s">
        <v>33</v>
      </c>
      <c r="BR27" t="s">
        <v>33</v>
      </c>
      <c r="BS27" t="s">
        <v>33</v>
      </c>
      <c r="BT27" t="s">
        <v>31</v>
      </c>
      <c r="BU27" t="s">
        <v>426</v>
      </c>
      <c r="BV27">
        <v>2017</v>
      </c>
      <c r="BW27" t="s">
        <v>427</v>
      </c>
      <c r="BX27" t="s">
        <v>78</v>
      </c>
      <c r="BY27" t="s">
        <v>428</v>
      </c>
      <c r="BZ27" t="s">
        <v>33</v>
      </c>
      <c r="CA27" t="str">
        <f t="shared" si="11"/>
        <v>high acid</v>
      </c>
    </row>
    <row r="28" spans="1:79">
      <c r="A28" t="s">
        <v>201</v>
      </c>
      <c r="B28" t="s">
        <v>565</v>
      </c>
      <c r="C28" t="s">
        <v>563</v>
      </c>
      <c r="D28" t="s">
        <v>118</v>
      </c>
      <c r="E28" t="s">
        <v>77</v>
      </c>
      <c r="F28" t="s">
        <v>32</v>
      </c>
      <c r="G28">
        <v>23</v>
      </c>
      <c r="H28">
        <v>56</v>
      </c>
      <c r="I28" t="b">
        <v>0</v>
      </c>
      <c r="J28" t="s">
        <v>33</v>
      </c>
      <c r="K28" t="s">
        <v>33</v>
      </c>
      <c r="L28">
        <v>25</v>
      </c>
      <c r="M28" s="4">
        <v>667</v>
      </c>
      <c r="N28" s="3">
        <f>IFERROR(AF28/((T28*X28/Y28)*O28*AI28),"NA")</f>
        <v>995.95036417586573</v>
      </c>
      <c r="O28">
        <v>3</v>
      </c>
      <c r="P28" t="s">
        <v>33</v>
      </c>
      <c r="Q28" s="8">
        <f t="shared" si="22"/>
        <v>1.7991004497751126E-2</v>
      </c>
      <c r="R28" t="s">
        <v>183</v>
      </c>
      <c r="S28" t="s">
        <v>613</v>
      </c>
      <c r="T28" s="11">
        <v>4</v>
      </c>
      <c r="U28">
        <v>2.9</v>
      </c>
      <c r="V28">
        <v>2.2999999999999998</v>
      </c>
      <c r="W28" t="s">
        <v>33</v>
      </c>
      <c r="X28" s="8">
        <f t="shared" si="23"/>
        <v>1.204879322468025E-2</v>
      </c>
      <c r="Y28">
        <v>1</v>
      </c>
      <c r="Z28" s="3">
        <f t="shared" si="16"/>
        <v>0.66971209007181054</v>
      </c>
      <c r="AA28" t="s">
        <v>33</v>
      </c>
      <c r="AB28" s="6">
        <f t="shared" ref="AB28:AB36" si="24">IFERROR(((X28*M28)/Z28), "NA")</f>
        <v>12</v>
      </c>
      <c r="AC28" t="str">
        <f t="shared" si="4"/>
        <v>NA</v>
      </c>
      <c r="AD28" s="4">
        <f>AB28*T28*AI28</f>
        <v>48</v>
      </c>
      <c r="AE28" s="3">
        <f t="shared" si="17"/>
        <v>414.00000000000006</v>
      </c>
      <c r="AF28">
        <v>144</v>
      </c>
      <c r="AG28" t="str">
        <f>IFERROR((M28*O28*P28), "NA")</f>
        <v>NA</v>
      </c>
      <c r="AH28" t="str">
        <f>IFERROR((AG28*T28*AI28), "NA")</f>
        <v>NA</v>
      </c>
      <c r="AI28">
        <v>1</v>
      </c>
      <c r="AJ28" t="s">
        <v>31</v>
      </c>
      <c r="AK28">
        <v>4600</v>
      </c>
      <c r="AL28" t="s">
        <v>203</v>
      </c>
      <c r="AM28" t="s">
        <v>785</v>
      </c>
      <c r="AN28" t="s">
        <v>205</v>
      </c>
      <c r="AO28" t="s">
        <v>791</v>
      </c>
      <c r="AP28">
        <v>4.2</v>
      </c>
      <c r="AQ28" t="s">
        <v>33</v>
      </c>
      <c r="AR28" t="s">
        <v>33</v>
      </c>
      <c r="AS28" s="6">
        <v>7.44</v>
      </c>
      <c r="AT28" s="3">
        <f>IFERROR(AS28-AU28,"NA")</f>
        <v>1.4410000000000007</v>
      </c>
      <c r="AU28" s="6">
        <v>5.9989999999999997</v>
      </c>
      <c r="AV28" t="b">
        <v>1</v>
      </c>
      <c r="AW28" t="s">
        <v>92</v>
      </c>
      <c r="AX28" t="s">
        <v>93</v>
      </c>
      <c r="AY28" t="s">
        <v>94</v>
      </c>
      <c r="AZ28" t="s">
        <v>33</v>
      </c>
      <c r="BA28" s="18" t="s">
        <v>801</v>
      </c>
      <c r="BB28" t="b">
        <v>0</v>
      </c>
      <c r="BC28" t="s">
        <v>81</v>
      </c>
      <c r="BD28">
        <v>18</v>
      </c>
      <c r="BE28" t="s">
        <v>80</v>
      </c>
      <c r="BF28" t="s">
        <v>33</v>
      </c>
      <c r="BG28" t="s">
        <v>568</v>
      </c>
      <c r="BH28" t="s">
        <v>31</v>
      </c>
      <c r="BI28" t="s">
        <v>32</v>
      </c>
      <c r="BJ28" s="3">
        <f t="shared" si="7"/>
        <v>5.9989999999999997</v>
      </c>
      <c r="BK28" s="3">
        <f t="shared" si="8"/>
        <v>0.77807886193745501</v>
      </c>
      <c r="BL28">
        <v>2</v>
      </c>
      <c r="BM28" s="3">
        <f t="shared" si="9"/>
        <v>1.8389214791834441</v>
      </c>
      <c r="BN28" t="s">
        <v>33</v>
      </c>
      <c r="BO28" s="3">
        <f t="shared" si="10"/>
        <v>69.011501916986177</v>
      </c>
      <c r="BP28" t="s">
        <v>33</v>
      </c>
      <c r="BQ28" t="s">
        <v>33</v>
      </c>
      <c r="BR28" t="s">
        <v>33</v>
      </c>
      <c r="BS28" t="s">
        <v>33</v>
      </c>
      <c r="BT28" t="s">
        <v>31</v>
      </c>
      <c r="BU28" t="s">
        <v>187</v>
      </c>
      <c r="BV28">
        <v>2003</v>
      </c>
      <c r="BW28" t="s">
        <v>192</v>
      </c>
      <c r="BX28" t="s">
        <v>78</v>
      </c>
      <c r="BY28" t="s">
        <v>33</v>
      </c>
      <c r="BZ28" t="s">
        <v>33</v>
      </c>
      <c r="CA28" t="str">
        <f t="shared" si="11"/>
        <v>high acid</v>
      </c>
    </row>
    <row r="29" spans="1:79">
      <c r="A29" t="s">
        <v>596</v>
      </c>
      <c r="B29" t="s">
        <v>565</v>
      </c>
      <c r="C29" t="s">
        <v>563</v>
      </c>
      <c r="D29" t="s">
        <v>610</v>
      </c>
      <c r="E29" t="s">
        <v>77</v>
      </c>
      <c r="F29" t="s">
        <v>33</v>
      </c>
      <c r="G29">
        <v>20</v>
      </c>
      <c r="H29" t="s">
        <v>33</v>
      </c>
      <c r="I29" t="b">
        <v>0</v>
      </c>
      <c r="J29">
        <v>14000</v>
      </c>
      <c r="K29" t="s">
        <v>33</v>
      </c>
      <c r="L29">
        <v>35</v>
      </c>
      <c r="M29" s="4">
        <v>31.831088090218493</v>
      </c>
      <c r="N29" t="e">
        <f>(#REF!*Y29)/(T29*X29*O29)</f>
        <v>#REF!</v>
      </c>
      <c r="O29">
        <v>5</v>
      </c>
      <c r="P29" t="s">
        <v>33</v>
      </c>
      <c r="Q29" s="1">
        <f t="shared" si="22"/>
        <v>0.4712374254215147</v>
      </c>
      <c r="R29" t="s">
        <v>183</v>
      </c>
      <c r="S29" t="s">
        <v>613</v>
      </c>
      <c r="T29">
        <v>1</v>
      </c>
      <c r="U29">
        <v>4</v>
      </c>
      <c r="V29">
        <v>4</v>
      </c>
      <c r="W29" t="s">
        <v>33</v>
      </c>
      <c r="X29">
        <f t="shared" si="23"/>
        <v>5.02654824574367E-2</v>
      </c>
      <c r="Y29">
        <v>0.106667</v>
      </c>
      <c r="Z29" s="3">
        <f t="shared" si="16"/>
        <v>0.10666699999999998</v>
      </c>
      <c r="AA29" t="s">
        <v>33</v>
      </c>
      <c r="AB29">
        <f t="shared" si="24"/>
        <v>15.000000000000002</v>
      </c>
      <c r="AC29" s="1" t="str">
        <f t="shared" si="4"/>
        <v>NA</v>
      </c>
      <c r="AE29" s="3">
        <f t="shared" si="17"/>
        <v>229.68749999999997</v>
      </c>
      <c r="AF29">
        <v>75</v>
      </c>
      <c r="AG29" s="1" t="str">
        <f>IFERROR((N29*P29*Q29), "NA")</f>
        <v>NA</v>
      </c>
      <c r="AH29" s="1" t="str">
        <f>IFERROR((AG29*U29*AI29), "NA")</f>
        <v>NA</v>
      </c>
      <c r="AI29" s="1">
        <v>1</v>
      </c>
      <c r="AJ29" s="11" t="s">
        <v>31</v>
      </c>
      <c r="AK29">
        <v>2500</v>
      </c>
      <c r="AL29" t="s">
        <v>149</v>
      </c>
      <c r="AM29" t="s">
        <v>86</v>
      </c>
      <c r="AN29" t="s">
        <v>205</v>
      </c>
      <c r="AO29" t="s">
        <v>789</v>
      </c>
      <c r="AP29" t="s">
        <v>33</v>
      </c>
      <c r="AQ29" t="s">
        <v>33</v>
      </c>
      <c r="AR29" t="s">
        <v>33</v>
      </c>
      <c r="AS29">
        <f>AVERAGE(6,8)</f>
        <v>7</v>
      </c>
      <c r="AT29">
        <f>AS29-AU29</f>
        <v>1.4900000000000002</v>
      </c>
      <c r="AU29" s="6">
        <v>5.51</v>
      </c>
      <c r="AV29" t="b">
        <v>1</v>
      </c>
      <c r="AW29" t="s">
        <v>626</v>
      </c>
      <c r="AX29" t="s">
        <v>627</v>
      </c>
      <c r="AY29" t="s">
        <v>634</v>
      </c>
      <c r="AZ29" t="s">
        <v>33</v>
      </c>
      <c r="BA29" s="18" t="s">
        <v>800</v>
      </c>
      <c r="BB29" s="3" t="b">
        <v>0</v>
      </c>
      <c r="BC29" t="s">
        <v>81</v>
      </c>
      <c r="BD29">
        <v>18</v>
      </c>
      <c r="BE29" t="s">
        <v>80</v>
      </c>
      <c r="BF29">
        <v>24</v>
      </c>
      <c r="BG29" t="s">
        <v>644</v>
      </c>
      <c r="BH29" t="s">
        <v>31</v>
      </c>
      <c r="BI29" t="s">
        <v>32</v>
      </c>
      <c r="BJ29">
        <f t="shared" si="7"/>
        <v>5.51</v>
      </c>
      <c r="BK29" s="3">
        <f t="shared" si="8"/>
        <v>0.74115159885178505</v>
      </c>
      <c r="BL29">
        <v>2</v>
      </c>
      <c r="BM29" s="3">
        <f t="shared" si="9"/>
        <v>1.6199857619125038</v>
      </c>
      <c r="BN29" t="s">
        <v>33</v>
      </c>
      <c r="BO29" s="3">
        <f t="shared" si="10"/>
        <v>41.685571687840287</v>
      </c>
      <c r="BP29" t="s">
        <v>33</v>
      </c>
      <c r="BQ29" t="s">
        <v>33</v>
      </c>
      <c r="BR29" t="s">
        <v>33</v>
      </c>
      <c r="BS29" t="s">
        <v>33</v>
      </c>
      <c r="BT29" t="s">
        <v>32</v>
      </c>
      <c r="BU29" t="s">
        <v>661</v>
      </c>
      <c r="BV29">
        <v>2013</v>
      </c>
      <c r="BW29" t="s">
        <v>662</v>
      </c>
      <c r="BX29" s="13" t="s">
        <v>663</v>
      </c>
      <c r="BY29" s="13" t="s">
        <v>684</v>
      </c>
      <c r="CA29" t="str">
        <f t="shared" si="11"/>
        <v>high acid</v>
      </c>
    </row>
    <row r="30" spans="1:79">
      <c r="A30" t="s">
        <v>384</v>
      </c>
      <c r="B30" t="s">
        <v>565</v>
      </c>
      <c r="C30" t="s">
        <v>563</v>
      </c>
      <c r="D30" t="s">
        <v>378</v>
      </c>
      <c r="E30" t="s">
        <v>77</v>
      </c>
      <c r="F30" t="s">
        <v>32</v>
      </c>
      <c r="G30">
        <v>30</v>
      </c>
      <c r="H30">
        <v>41</v>
      </c>
      <c r="I30" t="b">
        <v>1</v>
      </c>
      <c r="J30">
        <v>5438</v>
      </c>
      <c r="K30">
        <v>16.899999999999999</v>
      </c>
      <c r="L30">
        <v>20</v>
      </c>
      <c r="M30" s="4">
        <v>250</v>
      </c>
      <c r="N30" s="3">
        <f>IFERROR(AF30/((T30*X30/Y30)*O30*AI30),"NA")</f>
        <v>251.11113243387931</v>
      </c>
      <c r="O30">
        <v>4</v>
      </c>
      <c r="P30" t="s">
        <v>33</v>
      </c>
      <c r="Q30" s="8">
        <f t="shared" si="22"/>
        <v>1.4200000000000001E-2</v>
      </c>
      <c r="R30" t="s">
        <v>183</v>
      </c>
      <c r="S30" t="s">
        <v>612</v>
      </c>
      <c r="T30" s="11">
        <v>6</v>
      </c>
      <c r="U30">
        <v>2.7</v>
      </c>
      <c r="V30">
        <v>2</v>
      </c>
      <c r="W30">
        <v>8.5000000000000006E-3</v>
      </c>
      <c r="X30" s="8">
        <f t="shared" si="23"/>
        <v>8.4823001646924419E-3</v>
      </c>
      <c r="Y30">
        <f>36/60</f>
        <v>0.6</v>
      </c>
      <c r="Z30" s="3">
        <f t="shared" si="16"/>
        <v>0.59734508202059444</v>
      </c>
      <c r="AA30">
        <f>21.3/6</f>
        <v>3.5500000000000003</v>
      </c>
      <c r="AB30" s="6">
        <f t="shared" si="24"/>
        <v>3.5500000000000003</v>
      </c>
      <c r="AC30" t="str">
        <f t="shared" si="4"/>
        <v>NA</v>
      </c>
      <c r="AD30" s="4">
        <f>IFERROR(AB30*T30*AI30, "NA")</f>
        <v>21.3</v>
      </c>
      <c r="AE30" s="3">
        <f t="shared" si="17"/>
        <v>136.32000000000002</v>
      </c>
      <c r="AF30">
        <f>AA30*O30*T30*AI30</f>
        <v>85.2</v>
      </c>
      <c r="AG30" t="str">
        <f>IFERROR((M30*O30*P30), "NA")</f>
        <v>NA</v>
      </c>
      <c r="AH30" t="str">
        <f>IFERROR((AG30*T30*AI30), "NA")</f>
        <v>NA</v>
      </c>
      <c r="AI30" s="1">
        <v>1</v>
      </c>
      <c r="AJ30" t="s">
        <v>31</v>
      </c>
      <c r="AK30">
        <v>4000</v>
      </c>
      <c r="AL30" t="s">
        <v>545</v>
      </c>
      <c r="AM30" t="s">
        <v>103</v>
      </c>
      <c r="AN30" t="s">
        <v>130</v>
      </c>
      <c r="AO30" t="s">
        <v>795</v>
      </c>
      <c r="AP30">
        <v>7</v>
      </c>
      <c r="AQ30" t="s">
        <v>33</v>
      </c>
      <c r="AR30" t="s">
        <v>33</v>
      </c>
      <c r="AS30" s="6">
        <f>LOG(10^6)</f>
        <v>6</v>
      </c>
      <c r="AT30" s="3">
        <f>IFERROR(AS30-AU30,"NA")</f>
        <v>1.516</v>
      </c>
      <c r="AU30" s="6">
        <v>4.484</v>
      </c>
      <c r="AV30" t="b">
        <v>1</v>
      </c>
      <c r="AW30" t="s">
        <v>172</v>
      </c>
      <c r="AX30" t="s">
        <v>173</v>
      </c>
      <c r="AY30" t="s">
        <v>236</v>
      </c>
      <c r="AZ30" t="s">
        <v>33</v>
      </c>
      <c r="BA30" s="18" t="s">
        <v>799</v>
      </c>
      <c r="BB30" t="b">
        <v>0</v>
      </c>
      <c r="BC30" t="s">
        <v>81</v>
      </c>
      <c r="BD30">
        <v>24</v>
      </c>
      <c r="BE30" t="s">
        <v>80</v>
      </c>
      <c r="BF30" s="11">
        <v>48</v>
      </c>
      <c r="BG30" t="s">
        <v>522</v>
      </c>
      <c r="BH30" t="s">
        <v>31</v>
      </c>
      <c r="BI30" t="s">
        <v>31</v>
      </c>
      <c r="BJ30" s="3">
        <f t="shared" si="7"/>
        <v>4.484</v>
      </c>
      <c r="BK30" s="3">
        <f t="shared" si="8"/>
        <v>0.65166560392293549</v>
      </c>
      <c r="BL30">
        <v>2</v>
      </c>
      <c r="BM30" s="3">
        <f t="shared" si="9"/>
        <v>1.4828939734996893</v>
      </c>
      <c r="BN30" t="s">
        <v>33</v>
      </c>
      <c r="BO30" s="3">
        <f t="shared" si="10"/>
        <v>30.401427297056205</v>
      </c>
      <c r="BP30" t="s">
        <v>33</v>
      </c>
      <c r="BQ30" t="s">
        <v>33</v>
      </c>
      <c r="BR30" t="s">
        <v>33</v>
      </c>
      <c r="BS30" t="s">
        <v>33</v>
      </c>
      <c r="BT30" t="s">
        <v>32</v>
      </c>
      <c r="BU30" t="s">
        <v>227</v>
      </c>
      <c r="BV30">
        <v>2004</v>
      </c>
      <c r="BW30" t="s">
        <v>382</v>
      </c>
      <c r="BX30" t="s">
        <v>78</v>
      </c>
      <c r="BY30" t="s">
        <v>33</v>
      </c>
      <c r="BZ30" t="s">
        <v>385</v>
      </c>
      <c r="CA30" t="str">
        <f t="shared" si="11"/>
        <v>low acid</v>
      </c>
    </row>
    <row r="31" spans="1:79">
      <c r="A31" t="s">
        <v>596</v>
      </c>
      <c r="B31" t="s">
        <v>565</v>
      </c>
      <c r="C31" t="s">
        <v>563</v>
      </c>
      <c r="D31" t="s">
        <v>610</v>
      </c>
      <c r="E31" t="s">
        <v>77</v>
      </c>
      <c r="F31" t="s">
        <v>33</v>
      </c>
      <c r="G31">
        <v>20</v>
      </c>
      <c r="H31" t="s">
        <v>33</v>
      </c>
      <c r="I31" t="b">
        <v>0</v>
      </c>
      <c r="J31">
        <v>14000</v>
      </c>
      <c r="K31" t="s">
        <v>33</v>
      </c>
      <c r="L31">
        <v>35</v>
      </c>
      <c r="M31" s="4">
        <v>14</v>
      </c>
      <c r="N31" t="e">
        <f>(#REF!*Y31)/(T31*X31*O31)</f>
        <v>#REF!</v>
      </c>
      <c r="O31">
        <v>5</v>
      </c>
      <c r="P31" t="s">
        <v>33</v>
      </c>
      <c r="Q31" s="1">
        <f t="shared" si="22"/>
        <v>0.92857142857142849</v>
      </c>
      <c r="R31" t="s">
        <v>183</v>
      </c>
      <c r="S31" t="s">
        <v>613</v>
      </c>
      <c r="T31">
        <v>1</v>
      </c>
      <c r="U31">
        <v>4</v>
      </c>
      <c r="V31">
        <v>4</v>
      </c>
      <c r="W31" t="s">
        <v>33</v>
      </c>
      <c r="X31">
        <f t="shared" si="23"/>
        <v>5.02654824574367E-2</v>
      </c>
      <c r="Y31">
        <v>0.106667</v>
      </c>
      <c r="Z31" s="3">
        <f t="shared" si="16"/>
        <v>5.4132058031085679E-2</v>
      </c>
      <c r="AA31" t="s">
        <v>33</v>
      </c>
      <c r="AB31">
        <f t="shared" si="24"/>
        <v>13</v>
      </c>
      <c r="AC31" s="1" t="str">
        <f t="shared" si="4"/>
        <v>NA</v>
      </c>
      <c r="AE31" s="3">
        <f t="shared" si="17"/>
        <v>159.25</v>
      </c>
      <c r="AF31">
        <v>65</v>
      </c>
      <c r="AG31" s="1" t="str">
        <f>IFERROR((N31*P31*Q31), "NA")</f>
        <v>NA</v>
      </c>
      <c r="AH31" s="1" t="str">
        <f>IFERROR((AG31*U31*AI31), "NA")</f>
        <v>NA</v>
      </c>
      <c r="AI31" s="1">
        <v>1</v>
      </c>
      <c r="AJ31" s="11" t="s">
        <v>31</v>
      </c>
      <c r="AK31">
        <v>2000</v>
      </c>
      <c r="AL31" t="s">
        <v>149</v>
      </c>
      <c r="AM31" t="s">
        <v>86</v>
      </c>
      <c r="AN31" t="s">
        <v>205</v>
      </c>
      <c r="AO31" t="s">
        <v>789</v>
      </c>
      <c r="AP31" t="s">
        <v>33</v>
      </c>
      <c r="AQ31" t="s">
        <v>33</v>
      </c>
      <c r="AR31" t="s">
        <v>33</v>
      </c>
      <c r="AS31">
        <f>AVERAGE(6,8)</f>
        <v>7</v>
      </c>
      <c r="AT31">
        <f>AS31-AU31</f>
        <v>1.5199999999999996</v>
      </c>
      <c r="AU31" s="6">
        <v>5.48</v>
      </c>
      <c r="AV31" t="b">
        <v>1</v>
      </c>
      <c r="AW31" t="s">
        <v>626</v>
      </c>
      <c r="AX31" t="s">
        <v>627</v>
      </c>
      <c r="AY31" t="s">
        <v>634</v>
      </c>
      <c r="AZ31" t="s">
        <v>33</v>
      </c>
      <c r="BA31" s="18" t="s">
        <v>800</v>
      </c>
      <c r="BB31" s="3" t="b">
        <v>0</v>
      </c>
      <c r="BC31" t="s">
        <v>81</v>
      </c>
      <c r="BD31">
        <v>18</v>
      </c>
      <c r="BE31" t="s">
        <v>80</v>
      </c>
      <c r="BF31">
        <v>24</v>
      </c>
      <c r="BG31" t="s">
        <v>644</v>
      </c>
      <c r="BH31" t="s">
        <v>31</v>
      </c>
      <c r="BI31" t="s">
        <v>32</v>
      </c>
      <c r="BJ31">
        <f t="shared" si="7"/>
        <v>5.48</v>
      </c>
      <c r="BK31" s="3">
        <f t="shared" si="8"/>
        <v>0.73878055848436919</v>
      </c>
      <c r="BL31">
        <v>2</v>
      </c>
      <c r="BM31" s="3">
        <f t="shared" si="9"/>
        <v>1.4632988825230189</v>
      </c>
      <c r="BN31" t="s">
        <v>33</v>
      </c>
      <c r="BO31" s="3">
        <f t="shared" si="10"/>
        <v>29.060218978102188</v>
      </c>
      <c r="BP31" t="s">
        <v>33</v>
      </c>
      <c r="BQ31" t="s">
        <v>33</v>
      </c>
      <c r="BR31" t="s">
        <v>33</v>
      </c>
      <c r="BS31" t="s">
        <v>33</v>
      </c>
      <c r="BT31" t="s">
        <v>32</v>
      </c>
      <c r="BU31" t="s">
        <v>661</v>
      </c>
      <c r="BV31">
        <v>2013</v>
      </c>
      <c r="BW31" t="s">
        <v>662</v>
      </c>
      <c r="BX31" s="13" t="s">
        <v>663</v>
      </c>
      <c r="BY31" s="13" t="s">
        <v>684</v>
      </c>
      <c r="CA31" t="str">
        <f t="shared" si="11"/>
        <v>high acid</v>
      </c>
    </row>
    <row r="32" spans="1:79">
      <c r="A32" t="s">
        <v>602</v>
      </c>
      <c r="B32" t="s">
        <v>565</v>
      </c>
      <c r="C32" t="s">
        <v>563</v>
      </c>
      <c r="D32" t="s">
        <v>118</v>
      </c>
      <c r="E32" t="s">
        <v>77</v>
      </c>
      <c r="F32" t="s">
        <v>33</v>
      </c>
      <c r="G32">
        <v>35</v>
      </c>
      <c r="H32">
        <v>30</v>
      </c>
      <c r="I32" t="b">
        <v>1</v>
      </c>
      <c r="J32">
        <v>8790</v>
      </c>
      <c r="K32">
        <v>13.3</v>
      </c>
      <c r="L32">
        <v>30</v>
      </c>
      <c r="M32" s="4">
        <v>500</v>
      </c>
      <c r="N32" t="e">
        <f>(#REF!*Y32)/(T32*X32*O32)</f>
        <v>#REF!</v>
      </c>
      <c r="O32">
        <v>3</v>
      </c>
      <c r="P32" t="s">
        <v>33</v>
      </c>
      <c r="Q32" s="1">
        <f t="shared" si="22"/>
        <v>1.2044444444444444E-2</v>
      </c>
      <c r="R32" t="s">
        <v>183</v>
      </c>
      <c r="S32" t="s">
        <v>613</v>
      </c>
      <c r="T32">
        <v>6</v>
      </c>
      <c r="U32">
        <v>2.92</v>
      </c>
      <c r="V32">
        <v>2.2999999999999998</v>
      </c>
      <c r="W32" t="s">
        <v>33</v>
      </c>
      <c r="X32">
        <f t="shared" ref="X32:X40" si="25">IFERROR(((PI())*(((V32*10^-1)/2)^2)*(U32*10^-1)), "NA")</f>
        <v>1.2131888350367701E-2</v>
      </c>
      <c r="Y32">
        <v>1</v>
      </c>
      <c r="Z32" s="3">
        <f t="shared" si="16"/>
        <v>1.0072601028903072</v>
      </c>
      <c r="AA32" t="s">
        <v>33</v>
      </c>
      <c r="AB32">
        <f t="shared" si="24"/>
        <v>6.022222222222223</v>
      </c>
      <c r="AC32" s="1" t="str">
        <f t="shared" si="4"/>
        <v>NA</v>
      </c>
      <c r="AE32" s="3">
        <f t="shared" si="17"/>
        <v>505.36079999999998</v>
      </c>
      <c r="AF32">
        <v>108.4</v>
      </c>
      <c r="AG32" s="1" t="str">
        <f>IFERROR((N32*P32*Q32), "NA")</f>
        <v>NA</v>
      </c>
      <c r="AH32" s="1" t="str">
        <f>IFERROR((O32*Q32*R32), "NA")</f>
        <v>NA</v>
      </c>
      <c r="AI32" s="1">
        <v>1</v>
      </c>
      <c r="AJ32" s="11" t="s">
        <v>31</v>
      </c>
      <c r="AK32">
        <v>5180</v>
      </c>
      <c r="AL32" t="s">
        <v>265</v>
      </c>
      <c r="AM32" t="s">
        <v>86</v>
      </c>
      <c r="AN32" t="s">
        <v>205</v>
      </c>
      <c r="AO32" t="s">
        <v>789</v>
      </c>
      <c r="AP32">
        <v>3.27</v>
      </c>
      <c r="AQ32" t="s">
        <v>33</v>
      </c>
      <c r="AR32" t="s">
        <v>33</v>
      </c>
      <c r="AS32">
        <v>6.5</v>
      </c>
      <c r="AT32">
        <v>1.57</v>
      </c>
      <c r="AU32" s="6">
        <f>AS32-AT32</f>
        <v>4.93</v>
      </c>
      <c r="AV32" t="b">
        <v>1</v>
      </c>
      <c r="AW32" t="s">
        <v>626</v>
      </c>
      <c r="AX32" t="s">
        <v>627</v>
      </c>
      <c r="AY32">
        <v>95047</v>
      </c>
      <c r="AZ32" t="s">
        <v>33</v>
      </c>
      <c r="BA32" s="18" t="s">
        <v>800</v>
      </c>
      <c r="BB32" s="3" t="b">
        <v>0</v>
      </c>
      <c r="BC32" t="s">
        <v>81</v>
      </c>
      <c r="BD32">
        <v>24</v>
      </c>
      <c r="BE32" t="s">
        <v>80</v>
      </c>
      <c r="BF32">
        <v>48</v>
      </c>
      <c r="BG32" t="s">
        <v>697</v>
      </c>
      <c r="BH32" t="s">
        <v>32</v>
      </c>
      <c r="BI32" t="s">
        <v>31</v>
      </c>
      <c r="BJ32" s="3">
        <f t="shared" si="7"/>
        <v>4.93</v>
      </c>
      <c r="BK32" s="3">
        <f t="shared" si="8"/>
        <v>0.69284691927722997</v>
      </c>
      <c r="BL32">
        <v>2</v>
      </c>
      <c r="BM32" s="3">
        <f t="shared" si="9"/>
        <v>2.0107546321096961</v>
      </c>
      <c r="BN32" t="s">
        <v>33</v>
      </c>
      <c r="BO32" s="3">
        <f t="shared" si="10"/>
        <v>102.507261663286</v>
      </c>
      <c r="BP32" t="s">
        <v>33</v>
      </c>
      <c r="BQ32" t="s">
        <v>33</v>
      </c>
      <c r="BR32" t="s">
        <v>33</v>
      </c>
      <c r="BS32" t="s">
        <v>33</v>
      </c>
      <c r="BT32" t="s">
        <v>31</v>
      </c>
      <c r="BU32" s="13" t="s">
        <v>163</v>
      </c>
      <c r="BV32" s="14">
        <v>2017</v>
      </c>
      <c r="BW32" t="s">
        <v>266</v>
      </c>
      <c r="BX32" t="s">
        <v>78</v>
      </c>
      <c r="BY32" s="13" t="s">
        <v>690</v>
      </c>
      <c r="CA32" t="str">
        <f t="shared" si="11"/>
        <v>high acid</v>
      </c>
    </row>
    <row r="33" spans="1:79">
      <c r="A33" s="3" t="s">
        <v>303</v>
      </c>
      <c r="B33" t="s">
        <v>566</v>
      </c>
      <c r="C33" t="s">
        <v>563</v>
      </c>
      <c r="D33" s="3" t="s">
        <v>279</v>
      </c>
      <c r="E33" s="3" t="s">
        <v>77</v>
      </c>
      <c r="F33" t="s">
        <v>32</v>
      </c>
      <c r="G33" s="11">
        <v>10</v>
      </c>
      <c r="H33" s="11">
        <v>30</v>
      </c>
      <c r="I33" s="3" t="b">
        <v>0</v>
      </c>
      <c r="J33" s="3" t="s">
        <v>33</v>
      </c>
      <c r="K33" s="3" t="s">
        <v>33</v>
      </c>
      <c r="L33" s="11">
        <v>20</v>
      </c>
      <c r="M33" s="4">
        <v>1000</v>
      </c>
      <c r="N33" s="3">
        <f>IFERROR(AF33/((T33*X33/Y33)*O33*AI33),"NA")</f>
        <v>10105.075751866369</v>
      </c>
      <c r="O33" s="3">
        <v>16</v>
      </c>
      <c r="P33" s="3" t="s">
        <v>33</v>
      </c>
      <c r="Q33" s="3">
        <f t="shared" si="22"/>
        <v>0.30000000000000004</v>
      </c>
      <c r="R33" t="s">
        <v>183</v>
      </c>
      <c r="S33" t="s">
        <v>613</v>
      </c>
      <c r="T33" s="11">
        <v>1</v>
      </c>
      <c r="U33" s="3">
        <v>2.8</v>
      </c>
      <c r="V33" s="3">
        <v>3</v>
      </c>
      <c r="W33" s="3">
        <v>0.02</v>
      </c>
      <c r="X33" s="3">
        <f t="shared" si="25"/>
        <v>1.97920337176157E-2</v>
      </c>
      <c r="Y33" s="3">
        <f>40/60</f>
        <v>0.66666666666666663</v>
      </c>
      <c r="Z33" s="3">
        <f t="shared" si="16"/>
        <v>6.597344572538566E-2</v>
      </c>
      <c r="AA33" s="3" t="s">
        <v>33</v>
      </c>
      <c r="AB33" s="3">
        <f t="shared" si="24"/>
        <v>300</v>
      </c>
      <c r="AC33" s="3" t="str">
        <f t="shared" si="4"/>
        <v>NA</v>
      </c>
      <c r="AD33" s="4">
        <f>AB33*T33*AI33</f>
        <v>300</v>
      </c>
      <c r="AE33" s="3">
        <f t="shared" si="17"/>
        <v>384.00000000000006</v>
      </c>
      <c r="AF33" s="3">
        <v>4800</v>
      </c>
      <c r="AG33" s="3" t="str">
        <f>IFERROR((M33*O33*P33), "NA")</f>
        <v>NA</v>
      </c>
      <c r="AH33" s="3" t="str">
        <f>IFERROR((AG33*T33*AI33), "NA")</f>
        <v>NA</v>
      </c>
      <c r="AI33" s="3">
        <v>1</v>
      </c>
      <c r="AJ33" t="s">
        <v>31</v>
      </c>
      <c r="AK33" s="3">
        <v>200</v>
      </c>
      <c r="AL33" s="3" t="s">
        <v>281</v>
      </c>
      <c r="AM33" s="3" t="s">
        <v>103</v>
      </c>
      <c r="AN33" t="s">
        <v>130</v>
      </c>
      <c r="AO33" t="s">
        <v>795</v>
      </c>
      <c r="AP33" s="3" t="s">
        <v>33</v>
      </c>
      <c r="AQ33" s="3" t="s">
        <v>33</v>
      </c>
      <c r="AR33" s="3" t="s">
        <v>33</v>
      </c>
      <c r="AS33" s="3">
        <f>4.049</f>
        <v>4.0490000000000004</v>
      </c>
      <c r="AT33" s="3">
        <f>IFERROR(AS33-AU33,"NA")</f>
        <v>1.5970000000000004</v>
      </c>
      <c r="AU33" s="6">
        <v>2.452</v>
      </c>
      <c r="AV33" s="3" t="b">
        <v>1</v>
      </c>
      <c r="AW33" s="3" t="s">
        <v>172</v>
      </c>
      <c r="AX33" s="3" t="s">
        <v>173</v>
      </c>
      <c r="AY33" s="3" t="s">
        <v>283</v>
      </c>
      <c r="AZ33" s="3" t="s">
        <v>33</v>
      </c>
      <c r="BA33" s="18" t="s">
        <v>799</v>
      </c>
      <c r="BB33" s="3" t="b">
        <v>0</v>
      </c>
      <c r="BC33" t="s">
        <v>81</v>
      </c>
      <c r="BD33" s="3">
        <v>2</v>
      </c>
      <c r="BE33" s="3" t="s">
        <v>252</v>
      </c>
      <c r="BF33" s="11">
        <v>72</v>
      </c>
      <c r="BG33" s="3" t="s">
        <v>574</v>
      </c>
      <c r="BH33" s="3" t="s">
        <v>31</v>
      </c>
      <c r="BI33" s="3" t="s">
        <v>31</v>
      </c>
      <c r="BJ33" s="3">
        <f t="shared" si="7"/>
        <v>2.452</v>
      </c>
      <c r="BK33" s="3">
        <f t="shared" si="8"/>
        <v>0.3895204658463774</v>
      </c>
      <c r="BL33" s="3">
        <v>2</v>
      </c>
      <c r="BM33" s="3">
        <f t="shared" si="9"/>
        <v>2.1948107585211534</v>
      </c>
      <c r="BN33" s="3" t="s">
        <v>33</v>
      </c>
      <c r="BO33" s="3">
        <f t="shared" si="10"/>
        <v>156.60685154975533</v>
      </c>
      <c r="BP33" s="3" t="s">
        <v>33</v>
      </c>
      <c r="BQ33" s="3" t="s">
        <v>33</v>
      </c>
      <c r="BR33" s="3" t="s">
        <v>33</v>
      </c>
      <c r="BS33" s="3" t="s">
        <v>33</v>
      </c>
      <c r="BT33" t="s">
        <v>31</v>
      </c>
      <c r="BU33" s="3" t="s">
        <v>247</v>
      </c>
      <c r="BV33" s="11">
        <v>2016</v>
      </c>
      <c r="BW33" s="3" t="s">
        <v>284</v>
      </c>
      <c r="BX33" t="s">
        <v>78</v>
      </c>
      <c r="BY33" s="3" t="s">
        <v>33</v>
      </c>
      <c r="BZ33" s="3" t="s">
        <v>292</v>
      </c>
      <c r="CA33" t="str">
        <f t="shared" si="11"/>
        <v>low acid</v>
      </c>
    </row>
    <row r="34" spans="1:79">
      <c r="A34" t="s">
        <v>596</v>
      </c>
      <c r="B34" t="s">
        <v>565</v>
      </c>
      <c r="C34" t="s">
        <v>563</v>
      </c>
      <c r="D34" t="s">
        <v>610</v>
      </c>
      <c r="E34" t="s">
        <v>77</v>
      </c>
      <c r="F34" t="s">
        <v>33</v>
      </c>
      <c r="G34">
        <v>20</v>
      </c>
      <c r="H34" t="s">
        <v>33</v>
      </c>
      <c r="I34" t="b">
        <v>0</v>
      </c>
      <c r="J34">
        <v>14000</v>
      </c>
      <c r="K34" t="s">
        <v>33</v>
      </c>
      <c r="L34">
        <v>35</v>
      </c>
      <c r="M34" s="4">
        <v>16</v>
      </c>
      <c r="N34" t="e">
        <f>(#REF!*Y34)/(T34*X34*O34)</f>
        <v>#REF!</v>
      </c>
      <c r="O34">
        <v>5</v>
      </c>
      <c r="P34" t="s">
        <v>33</v>
      </c>
      <c r="Q34" s="1">
        <f t="shared" si="22"/>
        <v>0.93750000000000011</v>
      </c>
      <c r="R34" t="s">
        <v>183</v>
      </c>
      <c r="S34" t="s">
        <v>613</v>
      </c>
      <c r="T34">
        <v>1</v>
      </c>
      <c r="U34">
        <v>4</v>
      </c>
      <c r="V34">
        <v>4</v>
      </c>
      <c r="W34" t="s">
        <v>33</v>
      </c>
      <c r="X34">
        <f t="shared" si="25"/>
        <v>5.02654824574367E-2</v>
      </c>
      <c r="Y34">
        <v>0.106667</v>
      </c>
      <c r="Z34" s="3">
        <f t="shared" si="16"/>
        <v>5.3616514621265807E-2</v>
      </c>
      <c r="AA34" t="s">
        <v>33</v>
      </c>
      <c r="AB34">
        <f t="shared" si="24"/>
        <v>15.000000000000002</v>
      </c>
      <c r="AC34" s="1" t="str">
        <f t="shared" si="4"/>
        <v>NA</v>
      </c>
      <c r="AE34" s="3">
        <f t="shared" si="17"/>
        <v>183.75000000000003</v>
      </c>
      <c r="AF34">
        <v>75</v>
      </c>
      <c r="AG34" s="1" t="str">
        <f>IFERROR((N34*P34*Q34), "NA")</f>
        <v>NA</v>
      </c>
      <c r="AH34" s="1" t="str">
        <f>IFERROR((AG34*U34*AI34), "NA")</f>
        <v>NA</v>
      </c>
      <c r="AI34" s="1">
        <v>1</v>
      </c>
      <c r="AJ34" s="11" t="s">
        <v>31</v>
      </c>
      <c r="AK34">
        <v>2000</v>
      </c>
      <c r="AL34" t="s">
        <v>149</v>
      </c>
      <c r="AM34" t="s">
        <v>86</v>
      </c>
      <c r="AN34" t="s">
        <v>205</v>
      </c>
      <c r="AO34" t="s">
        <v>789</v>
      </c>
      <c r="AP34" t="s">
        <v>33</v>
      </c>
      <c r="AQ34" t="s">
        <v>33</v>
      </c>
      <c r="AR34" t="s">
        <v>33</v>
      </c>
      <c r="AS34">
        <f>AVERAGE(6,8)</f>
        <v>7</v>
      </c>
      <c r="AT34">
        <f>AS34-AU34</f>
        <v>1.5999999999999996</v>
      </c>
      <c r="AU34" s="6">
        <v>5.4</v>
      </c>
      <c r="AV34" t="b">
        <v>1</v>
      </c>
      <c r="AW34" t="s">
        <v>626</v>
      </c>
      <c r="AX34" t="s">
        <v>627</v>
      </c>
      <c r="AY34" t="s">
        <v>634</v>
      </c>
      <c r="AZ34" t="s">
        <v>33</v>
      </c>
      <c r="BA34" s="18" t="s">
        <v>800</v>
      </c>
      <c r="BB34" s="3" t="b">
        <v>0</v>
      </c>
      <c r="BC34" t="s">
        <v>81</v>
      </c>
      <c r="BD34">
        <v>18</v>
      </c>
      <c r="BE34" t="s">
        <v>80</v>
      </c>
      <c r="BF34">
        <v>24</v>
      </c>
      <c r="BG34" t="s">
        <v>644</v>
      </c>
      <c r="BH34" t="s">
        <v>31</v>
      </c>
      <c r="BI34" t="s">
        <v>32</v>
      </c>
      <c r="BJ34">
        <f t="shared" si="7"/>
        <v>5.4</v>
      </c>
      <c r="BK34" s="3">
        <f t="shared" si="8"/>
        <v>0.7323937598229685</v>
      </c>
      <c r="BL34">
        <v>2</v>
      </c>
      <c r="BM34" s="3">
        <f t="shared" si="9"/>
        <v>1.5318335879332641</v>
      </c>
      <c r="BN34" t="s">
        <v>33</v>
      </c>
      <c r="BO34" s="3">
        <f t="shared" si="10"/>
        <v>34.027777777777779</v>
      </c>
      <c r="BP34" t="s">
        <v>33</v>
      </c>
      <c r="BQ34" t="s">
        <v>33</v>
      </c>
      <c r="BR34" t="s">
        <v>33</v>
      </c>
      <c r="BS34" t="s">
        <v>33</v>
      </c>
      <c r="BT34" t="s">
        <v>32</v>
      </c>
      <c r="BU34" t="s">
        <v>661</v>
      </c>
      <c r="BV34">
        <v>2013</v>
      </c>
      <c r="BW34" t="s">
        <v>662</v>
      </c>
      <c r="BX34" s="13" t="s">
        <v>663</v>
      </c>
      <c r="BY34" s="13" t="s">
        <v>684</v>
      </c>
      <c r="CA34" t="str">
        <f t="shared" si="11"/>
        <v>high acid</v>
      </c>
    </row>
    <row r="35" spans="1:79">
      <c r="A35" t="s">
        <v>85</v>
      </c>
      <c r="B35" t="s">
        <v>565</v>
      </c>
      <c r="C35" t="s">
        <v>563</v>
      </c>
      <c r="D35" t="s">
        <v>118</v>
      </c>
      <c r="E35" t="s">
        <v>77</v>
      </c>
      <c r="F35" t="s">
        <v>32</v>
      </c>
      <c r="G35">
        <v>50</v>
      </c>
      <c r="H35">
        <f>(53+60)/2</f>
        <v>56.5</v>
      </c>
      <c r="I35" t="b">
        <v>0</v>
      </c>
      <c r="J35" t="s">
        <v>33</v>
      </c>
      <c r="K35" t="s">
        <v>33</v>
      </c>
      <c r="L35">
        <v>30</v>
      </c>
      <c r="M35" s="4">
        <v>548</v>
      </c>
      <c r="N35" s="3">
        <f>IFERROR(AF35/((T35*X35/Y35)*O35*AI35),"NA")</f>
        <v>307.39208770860051</v>
      </c>
      <c r="O35">
        <v>4.5</v>
      </c>
      <c r="P35" t="s">
        <v>33</v>
      </c>
      <c r="Q35" s="8">
        <f t="shared" si="22"/>
        <v>3.379291700459584E-3</v>
      </c>
      <c r="R35" t="s">
        <v>183</v>
      </c>
      <c r="S35" t="s">
        <v>612</v>
      </c>
      <c r="T35" s="11">
        <v>6</v>
      </c>
      <c r="U35">
        <v>2.9</v>
      </c>
      <c r="V35">
        <v>2.2999999999999998</v>
      </c>
      <c r="W35" t="s">
        <v>33</v>
      </c>
      <c r="X35" s="8">
        <f t="shared" si="25"/>
        <v>1.204879322468025E-2</v>
      </c>
      <c r="Y35">
        <f>120/60</f>
        <v>2</v>
      </c>
      <c r="Z35" s="9">
        <f t="shared" si="16"/>
        <v>3.5654788910473796</v>
      </c>
      <c r="AA35">
        <v>3.3</v>
      </c>
      <c r="AB35" s="6">
        <f t="shared" si="24"/>
        <v>1.8518518518518519</v>
      </c>
      <c r="AC35" t="str">
        <f t="shared" si="4"/>
        <v>NA</v>
      </c>
      <c r="AD35" s="4">
        <f>IFERROR(AB35*T35*AI35, "NA")</f>
        <v>11.111111111111111</v>
      </c>
      <c r="AE35">
        <f t="shared" si="17"/>
        <v>146.25</v>
      </c>
      <c r="AF35">
        <v>50</v>
      </c>
      <c r="AG35" t="str">
        <f>IFERROR((M35*O35*P35), "NA")</f>
        <v>NA</v>
      </c>
      <c r="AH35" t="str">
        <f>IFERROR((AG35*T35*AI35), "NA")</f>
        <v>NA</v>
      </c>
      <c r="AI35" s="11">
        <v>1</v>
      </c>
      <c r="AJ35" t="s">
        <v>31</v>
      </c>
      <c r="AK35">
        <v>3250</v>
      </c>
      <c r="AL35" t="s">
        <v>238</v>
      </c>
      <c r="AM35" t="s">
        <v>86</v>
      </c>
      <c r="AN35" t="s">
        <v>205</v>
      </c>
      <c r="AO35" t="s">
        <v>789</v>
      </c>
      <c r="AP35">
        <v>4.16</v>
      </c>
      <c r="AQ35" t="s">
        <v>33</v>
      </c>
      <c r="AR35" t="s">
        <v>33</v>
      </c>
      <c r="AS35">
        <f>5.98</f>
        <v>5.98</v>
      </c>
      <c r="AT35" s="3">
        <f>IFERROR(AS35-AU35,"NA")</f>
        <v>1.6000000000000005</v>
      </c>
      <c r="AU35" s="6">
        <v>4.38</v>
      </c>
      <c r="AV35" t="b">
        <v>1</v>
      </c>
      <c r="AW35" t="s">
        <v>29</v>
      </c>
      <c r="AX35" t="s">
        <v>30</v>
      </c>
      <c r="AY35" t="s">
        <v>270</v>
      </c>
      <c r="AZ35" t="s">
        <v>134</v>
      </c>
      <c r="BA35" s="18" t="s">
        <v>798</v>
      </c>
      <c r="BB35" t="b">
        <v>0</v>
      </c>
      <c r="BC35" t="s">
        <v>81</v>
      </c>
      <c r="BD35">
        <v>16</v>
      </c>
      <c r="BE35" t="s">
        <v>80</v>
      </c>
      <c r="BF35" s="11">
        <v>24</v>
      </c>
      <c r="BG35" t="s">
        <v>568</v>
      </c>
      <c r="BH35" t="s">
        <v>31</v>
      </c>
      <c r="BI35" t="s">
        <v>31</v>
      </c>
      <c r="BJ35" s="3">
        <f t="shared" si="7"/>
        <v>4.38</v>
      </c>
      <c r="BK35" s="3">
        <f t="shared" si="8"/>
        <v>0.64147411050409953</v>
      </c>
      <c r="BL35">
        <v>2</v>
      </c>
      <c r="BM35" s="3">
        <f>LOG(BO35)</f>
        <v>1.5236217642501186</v>
      </c>
      <c r="BN35" t="s">
        <v>33</v>
      </c>
      <c r="BO35" s="3">
        <f t="shared" si="10"/>
        <v>33.390410958904113</v>
      </c>
      <c r="BP35" t="s">
        <v>33</v>
      </c>
      <c r="BQ35" t="s">
        <v>33</v>
      </c>
      <c r="BR35" t="s">
        <v>33</v>
      </c>
      <c r="BS35" t="s">
        <v>33</v>
      </c>
      <c r="BT35" t="s">
        <v>32</v>
      </c>
      <c r="BU35" t="s">
        <v>84</v>
      </c>
      <c r="BV35">
        <v>2013</v>
      </c>
      <c r="BW35" t="s">
        <v>83</v>
      </c>
      <c r="BX35" t="s">
        <v>78</v>
      </c>
      <c r="BY35" t="s">
        <v>33</v>
      </c>
      <c r="BZ35" t="s">
        <v>33</v>
      </c>
      <c r="CA35" t="str">
        <f t="shared" si="11"/>
        <v>high acid</v>
      </c>
    </row>
    <row r="36" spans="1:79">
      <c r="A36" t="s">
        <v>604</v>
      </c>
      <c r="B36" t="s">
        <v>565</v>
      </c>
      <c r="C36" t="s">
        <v>563</v>
      </c>
      <c r="D36" t="s">
        <v>118</v>
      </c>
      <c r="E36" t="s">
        <v>77</v>
      </c>
      <c r="F36" t="s">
        <v>33</v>
      </c>
      <c r="G36">
        <v>20</v>
      </c>
      <c r="H36">
        <v>25</v>
      </c>
      <c r="I36" t="b">
        <v>0</v>
      </c>
      <c r="J36" t="s">
        <v>33</v>
      </c>
      <c r="K36" t="s">
        <v>33</v>
      </c>
      <c r="L36">
        <v>38.4</v>
      </c>
      <c r="M36" s="4">
        <v>667</v>
      </c>
      <c r="N36" t="e">
        <f>(#REF!*Y36)/(T36*X36*O36)</f>
        <v>#REF!</v>
      </c>
      <c r="O36">
        <v>2</v>
      </c>
      <c r="P36" t="s">
        <v>33</v>
      </c>
      <c r="Q36" s="1">
        <f t="shared" si="22"/>
        <v>2.4987506246876564E-2</v>
      </c>
      <c r="R36" t="s">
        <v>183</v>
      </c>
      <c r="S36" t="s">
        <v>613</v>
      </c>
      <c r="T36">
        <v>6</v>
      </c>
      <c r="U36">
        <v>2.92</v>
      </c>
      <c r="V36">
        <v>2.2999999999999998</v>
      </c>
      <c r="W36" t="s">
        <v>33</v>
      </c>
      <c r="X36">
        <f t="shared" si="25"/>
        <v>1.2131888350367701E-2</v>
      </c>
      <c r="Y36" t="s">
        <v>33</v>
      </c>
      <c r="Z36" s="3">
        <f t="shared" si="16"/>
        <v>0.4855181717817153</v>
      </c>
      <c r="AA36" t="s">
        <v>33</v>
      </c>
      <c r="AB36">
        <f t="shared" si="24"/>
        <v>16.666666666666668</v>
      </c>
      <c r="AC36" s="1" t="str">
        <f t="shared" si="4"/>
        <v>NA</v>
      </c>
      <c r="AE36" s="3">
        <f t="shared" si="17"/>
        <v>294.91200000000003</v>
      </c>
      <c r="AF36">
        <v>200</v>
      </c>
      <c r="AG36" s="1" t="str">
        <f>IFERROR((N36*P36*Q36), "NA")</f>
        <v>NA</v>
      </c>
      <c r="AH36" s="1" t="str">
        <f>IFERROR((O36*Q36*R36), "NA")</f>
        <v>NA</v>
      </c>
      <c r="AI36" s="1">
        <v>1</v>
      </c>
      <c r="AJ36" s="11" t="s">
        <v>31</v>
      </c>
      <c r="AK36">
        <v>1000</v>
      </c>
      <c r="AL36" t="s">
        <v>430</v>
      </c>
      <c r="AM36" t="s">
        <v>530</v>
      </c>
      <c r="AN36" t="s">
        <v>186</v>
      </c>
      <c r="AO36" t="s">
        <v>796</v>
      </c>
      <c r="AP36">
        <v>6</v>
      </c>
      <c r="AQ36" t="s">
        <v>33</v>
      </c>
      <c r="AR36" t="s">
        <v>33</v>
      </c>
      <c r="AS36">
        <v>6.5</v>
      </c>
      <c r="AT36">
        <f>AS36-AU36</f>
        <v>1.6100000000000003</v>
      </c>
      <c r="AU36" s="6">
        <v>4.8899999999999997</v>
      </c>
      <c r="AV36" t="b">
        <v>1</v>
      </c>
      <c r="AW36" t="s">
        <v>626</v>
      </c>
      <c r="AX36" t="s">
        <v>627</v>
      </c>
      <c r="AY36" t="s">
        <v>625</v>
      </c>
      <c r="AZ36" t="s">
        <v>33</v>
      </c>
      <c r="BA36" s="18" t="s">
        <v>800</v>
      </c>
      <c r="BB36" s="3" t="b">
        <v>0</v>
      </c>
      <c r="BC36" t="s">
        <v>81</v>
      </c>
      <c r="BD36">
        <v>15</v>
      </c>
      <c r="BE36" t="s">
        <v>80</v>
      </c>
      <c r="BF36">
        <v>48</v>
      </c>
      <c r="BG36" t="s">
        <v>568</v>
      </c>
      <c r="BH36" t="s">
        <v>31</v>
      </c>
      <c r="BI36" t="s">
        <v>31</v>
      </c>
      <c r="BJ36">
        <f t="shared" si="7"/>
        <v>4.8899999999999997</v>
      </c>
      <c r="BK36" s="3">
        <f t="shared" si="8"/>
        <v>0.68930885912362017</v>
      </c>
      <c r="BL36">
        <v>2</v>
      </c>
      <c r="BM36" s="3">
        <f t="shared" ref="BM36:BM65" si="26">IFERROR(LOG(BO36),"NA")</f>
        <v>1.7803835852754226</v>
      </c>
      <c r="BN36" t="s">
        <v>33</v>
      </c>
      <c r="BO36" s="3">
        <f t="shared" si="10"/>
        <v>60.309202453987744</v>
      </c>
      <c r="BP36" t="s">
        <v>33</v>
      </c>
      <c r="BQ36" t="s">
        <v>33</v>
      </c>
      <c r="BR36" t="s">
        <v>33</v>
      </c>
      <c r="BS36" t="s">
        <v>33</v>
      </c>
      <c r="BT36" t="s">
        <v>32</v>
      </c>
      <c r="BU36" s="15" t="s">
        <v>344</v>
      </c>
      <c r="BV36" s="14">
        <v>2008</v>
      </c>
      <c r="BW36" t="s">
        <v>432</v>
      </c>
      <c r="BX36" t="s">
        <v>78</v>
      </c>
      <c r="BY36" s="13" t="s">
        <v>691</v>
      </c>
      <c r="BZ36" s="13" t="s">
        <v>781</v>
      </c>
      <c r="CA36" t="str">
        <f t="shared" si="11"/>
        <v>low acid</v>
      </c>
    </row>
    <row r="37" spans="1:79">
      <c r="A37" t="s">
        <v>431</v>
      </c>
      <c r="B37" t="s">
        <v>565</v>
      </c>
      <c r="C37" t="s">
        <v>563</v>
      </c>
      <c r="D37" t="s">
        <v>118</v>
      </c>
      <c r="E37" t="s">
        <v>77</v>
      </c>
      <c r="F37" t="s">
        <v>32</v>
      </c>
      <c r="G37">
        <v>20</v>
      </c>
      <c r="H37">
        <v>25</v>
      </c>
      <c r="I37" t="b">
        <v>0</v>
      </c>
      <c r="J37" t="s">
        <v>33</v>
      </c>
      <c r="K37" t="s">
        <v>33</v>
      </c>
      <c r="L37">
        <v>38.4</v>
      </c>
      <c r="M37" s="4">
        <v>667</v>
      </c>
      <c r="N37" s="3" t="str">
        <f>IFERROR(AF37/((T37*X37/Y37)*O37*AI37),"NA")</f>
        <v>NA</v>
      </c>
      <c r="O37">
        <v>2</v>
      </c>
      <c r="P37" t="s">
        <v>33</v>
      </c>
      <c r="Q37" s="8">
        <f t="shared" si="22"/>
        <v>1.4992503748125939E-2</v>
      </c>
      <c r="R37" t="s">
        <v>183</v>
      </c>
      <c r="S37" t="s">
        <v>613</v>
      </c>
      <c r="T37" s="11">
        <v>6</v>
      </c>
      <c r="U37">
        <v>2.92</v>
      </c>
      <c r="V37">
        <v>2.2999999999999998</v>
      </c>
      <c r="W37" t="s">
        <v>33</v>
      </c>
      <c r="X37" s="9">
        <f t="shared" si="25"/>
        <v>1.2131888350367701E-2</v>
      </c>
      <c r="Y37" s="6" t="s">
        <v>33</v>
      </c>
      <c r="Z37" s="3">
        <f t="shared" si="16"/>
        <v>0.80919695296952554</v>
      </c>
      <c r="AA37" t="s">
        <v>33</v>
      </c>
      <c r="AB37" s="6" t="str">
        <f>IFERROR(((X37*M37)/Y37), "NA")</f>
        <v>NA</v>
      </c>
      <c r="AC37" t="str">
        <f t="shared" si="4"/>
        <v>NA</v>
      </c>
      <c r="AD37" s="4" t="str">
        <f>IFERROR(AB37*T37*AI37, "NA")</f>
        <v>NA</v>
      </c>
      <c r="AE37" s="3">
        <f t="shared" si="17"/>
        <v>176.94720000000001</v>
      </c>
      <c r="AF37">
        <v>120</v>
      </c>
      <c r="AG37" t="str">
        <f>IFERROR((M37*O37*P37), "NA")</f>
        <v>NA</v>
      </c>
      <c r="AH37" t="str">
        <f>IFERROR((AG37*T37*AI37), "NA")</f>
        <v>NA</v>
      </c>
      <c r="AI37" s="11">
        <v>1</v>
      </c>
      <c r="AJ37" t="s">
        <v>31</v>
      </c>
      <c r="AK37">
        <v>1000</v>
      </c>
      <c r="AL37" t="s">
        <v>430</v>
      </c>
      <c r="AM37" t="s">
        <v>530</v>
      </c>
      <c r="AN37" t="s">
        <v>186</v>
      </c>
      <c r="AO37" t="s">
        <v>796</v>
      </c>
      <c r="AP37" s="4">
        <v>6</v>
      </c>
      <c r="AQ37" t="s">
        <v>33</v>
      </c>
      <c r="AR37" t="s">
        <v>33</v>
      </c>
      <c r="AS37" s="3">
        <f>LOG((10^6+10^7)/2)</f>
        <v>6.7403626894942441</v>
      </c>
      <c r="AT37" s="3">
        <f>IFERROR(AS37-AU37,"NA")</f>
        <v>1.644362689494244</v>
      </c>
      <c r="AU37" s="6">
        <v>5.0960000000000001</v>
      </c>
      <c r="AV37" t="b">
        <v>1</v>
      </c>
      <c r="AW37" t="s">
        <v>29</v>
      </c>
      <c r="AX37" t="s">
        <v>30</v>
      </c>
      <c r="AY37" t="s">
        <v>216</v>
      </c>
      <c r="AZ37" t="s">
        <v>33</v>
      </c>
      <c r="BA37" s="18" t="s">
        <v>798</v>
      </c>
      <c r="BB37" s="3" t="b">
        <v>0</v>
      </c>
      <c r="BC37" t="s">
        <v>81</v>
      </c>
      <c r="BD37">
        <v>15</v>
      </c>
      <c r="BE37" t="s">
        <v>80</v>
      </c>
      <c r="BF37" s="11">
        <v>240</v>
      </c>
      <c r="BG37" t="s">
        <v>139</v>
      </c>
      <c r="BH37" t="s">
        <v>31</v>
      </c>
      <c r="BI37" t="s">
        <v>32</v>
      </c>
      <c r="BJ37" s="3">
        <f t="shared" si="7"/>
        <v>5.0960000000000001</v>
      </c>
      <c r="BK37" s="3">
        <f t="shared" si="8"/>
        <v>0.707229419327294</v>
      </c>
      <c r="BL37">
        <v>2</v>
      </c>
      <c r="BM37" s="3">
        <f t="shared" si="26"/>
        <v>1.5406142754553924</v>
      </c>
      <c r="BN37" t="s">
        <v>33</v>
      </c>
      <c r="BO37" s="3">
        <f t="shared" si="10"/>
        <v>34.722762951334381</v>
      </c>
      <c r="BP37" t="s">
        <v>33</v>
      </c>
      <c r="BQ37" t="s">
        <v>33</v>
      </c>
      <c r="BR37" t="s">
        <v>33</v>
      </c>
      <c r="BS37" t="s">
        <v>33</v>
      </c>
      <c r="BT37" t="s">
        <v>32</v>
      </c>
      <c r="BU37" t="s">
        <v>344</v>
      </c>
      <c r="BV37">
        <v>2008</v>
      </c>
      <c r="BW37" t="s">
        <v>432</v>
      </c>
      <c r="BX37" t="s">
        <v>78</v>
      </c>
      <c r="BY37" t="s">
        <v>33</v>
      </c>
      <c r="BZ37" t="s">
        <v>33</v>
      </c>
      <c r="CA37" t="str">
        <f t="shared" si="11"/>
        <v>low acid</v>
      </c>
    </row>
    <row r="38" spans="1:79">
      <c r="A38" t="s">
        <v>596</v>
      </c>
      <c r="B38" t="s">
        <v>565</v>
      </c>
      <c r="C38" t="s">
        <v>563</v>
      </c>
      <c r="D38" t="s">
        <v>610</v>
      </c>
      <c r="E38" t="s">
        <v>77</v>
      </c>
      <c r="F38" t="s">
        <v>33</v>
      </c>
      <c r="G38">
        <v>20</v>
      </c>
      <c r="H38" t="s">
        <v>33</v>
      </c>
      <c r="I38" t="b">
        <v>0</v>
      </c>
      <c r="J38">
        <v>14000</v>
      </c>
      <c r="K38" t="s">
        <v>33</v>
      </c>
      <c r="L38">
        <v>35</v>
      </c>
      <c r="M38" s="4">
        <v>31.831088090218493</v>
      </c>
      <c r="N38" t="e">
        <f>(#REF!*Y38)/(T38*X38*O38)</f>
        <v>#REF!</v>
      </c>
      <c r="O38">
        <v>5</v>
      </c>
      <c r="P38" t="s">
        <v>33</v>
      </c>
      <c r="Q38" s="1">
        <f t="shared" si="22"/>
        <v>0.4712374254215147</v>
      </c>
      <c r="R38" t="s">
        <v>183</v>
      </c>
      <c r="S38" t="s">
        <v>613</v>
      </c>
      <c r="T38">
        <v>1</v>
      </c>
      <c r="U38">
        <v>4</v>
      </c>
      <c r="V38">
        <v>4</v>
      </c>
      <c r="W38" t="s">
        <v>33</v>
      </c>
      <c r="X38">
        <f t="shared" si="25"/>
        <v>5.02654824574367E-2</v>
      </c>
      <c r="Y38">
        <v>0.106667</v>
      </c>
      <c r="Z38" s="3">
        <f t="shared" si="16"/>
        <v>0.10666699999999998</v>
      </c>
      <c r="AA38" t="s">
        <v>33</v>
      </c>
      <c r="AB38">
        <f>IFERROR(((X38*M38)/Z38), "NA")</f>
        <v>15.000000000000002</v>
      </c>
      <c r="AC38" s="1" t="str">
        <f t="shared" si="4"/>
        <v>NA</v>
      </c>
      <c r="AE38" s="3">
        <f t="shared" si="17"/>
        <v>137.8125</v>
      </c>
      <c r="AF38">
        <v>75</v>
      </c>
      <c r="AG38" s="1" t="str">
        <f>IFERROR((N38*P38*Q38), "NA")</f>
        <v>NA</v>
      </c>
      <c r="AH38" s="1" t="str">
        <f>IFERROR((AG38*U38*AI38), "NA")</f>
        <v>NA</v>
      </c>
      <c r="AI38" s="1">
        <v>1</v>
      </c>
      <c r="AJ38" s="11" t="s">
        <v>31</v>
      </c>
      <c r="AK38">
        <v>1500</v>
      </c>
      <c r="AL38" t="s">
        <v>149</v>
      </c>
      <c r="AM38" t="s">
        <v>86</v>
      </c>
      <c r="AN38" t="s">
        <v>205</v>
      </c>
      <c r="AO38" t="s">
        <v>789</v>
      </c>
      <c r="AP38" t="s">
        <v>33</v>
      </c>
      <c r="AQ38" t="s">
        <v>33</v>
      </c>
      <c r="AR38" t="s">
        <v>33</v>
      </c>
      <c r="AS38">
        <f>AVERAGE(6,8)</f>
        <v>7</v>
      </c>
      <c r="AT38">
        <f>AS38-AU38</f>
        <v>1.6600000000000001</v>
      </c>
      <c r="AU38" s="6">
        <v>5.34</v>
      </c>
      <c r="AV38" t="b">
        <v>1</v>
      </c>
      <c r="AW38" t="s">
        <v>626</v>
      </c>
      <c r="AX38" t="s">
        <v>627</v>
      </c>
      <c r="AY38" t="s">
        <v>634</v>
      </c>
      <c r="AZ38" t="s">
        <v>33</v>
      </c>
      <c r="BA38" s="18" t="s">
        <v>800</v>
      </c>
      <c r="BB38" s="3" t="b">
        <v>0</v>
      </c>
      <c r="BC38" t="s">
        <v>81</v>
      </c>
      <c r="BD38">
        <v>18</v>
      </c>
      <c r="BE38" t="s">
        <v>80</v>
      </c>
      <c r="BF38">
        <v>24</v>
      </c>
      <c r="BG38" t="s">
        <v>644</v>
      </c>
      <c r="BH38" t="s">
        <v>31</v>
      </c>
      <c r="BI38" t="s">
        <v>32</v>
      </c>
      <c r="BJ38">
        <f t="shared" si="7"/>
        <v>5.34</v>
      </c>
      <c r="BK38" s="3">
        <f t="shared" si="8"/>
        <v>0.72754125702855643</v>
      </c>
      <c r="BL38">
        <v>2</v>
      </c>
      <c r="BM38" s="3">
        <f t="shared" si="26"/>
        <v>1.4117473541193761</v>
      </c>
      <c r="BN38" t="s">
        <v>33</v>
      </c>
      <c r="BO38" s="3">
        <f t="shared" si="10"/>
        <v>25.807584269662922</v>
      </c>
      <c r="BP38" t="s">
        <v>33</v>
      </c>
      <c r="BQ38" t="s">
        <v>33</v>
      </c>
      <c r="BR38" t="s">
        <v>33</v>
      </c>
      <c r="BS38" t="s">
        <v>33</v>
      </c>
      <c r="BT38" t="s">
        <v>32</v>
      </c>
      <c r="BU38" t="s">
        <v>661</v>
      </c>
      <c r="BV38">
        <v>2013</v>
      </c>
      <c r="BW38" t="s">
        <v>662</v>
      </c>
      <c r="BX38" s="13" t="s">
        <v>663</v>
      </c>
      <c r="BY38" s="13" t="s">
        <v>684</v>
      </c>
      <c r="CA38" t="str">
        <f t="shared" si="11"/>
        <v>high acid</v>
      </c>
    </row>
    <row r="39" spans="1:79">
      <c r="A39" s="3" t="s">
        <v>303</v>
      </c>
      <c r="B39" t="s">
        <v>566</v>
      </c>
      <c r="C39" t="s">
        <v>563</v>
      </c>
      <c r="D39" s="3" t="s">
        <v>279</v>
      </c>
      <c r="E39" s="3" t="s">
        <v>77</v>
      </c>
      <c r="F39" t="s">
        <v>32</v>
      </c>
      <c r="G39" s="11">
        <v>10</v>
      </c>
      <c r="H39" s="11">
        <v>30</v>
      </c>
      <c r="I39" s="3" t="b">
        <v>0</v>
      </c>
      <c r="J39" s="3" t="s">
        <v>33</v>
      </c>
      <c r="K39" s="3" t="s">
        <v>33</v>
      </c>
      <c r="L39" s="11">
        <v>20</v>
      </c>
      <c r="M39" s="4">
        <v>1000</v>
      </c>
      <c r="N39" s="3">
        <f>IFERROR(AF39/((T39*X39/Y39)*O39*AI39),"NA")</f>
        <v>10105.075751866369</v>
      </c>
      <c r="O39" s="3">
        <v>16</v>
      </c>
      <c r="P39" s="3" t="s">
        <v>33</v>
      </c>
      <c r="Q39" s="3">
        <f t="shared" si="22"/>
        <v>0.30000000000000004</v>
      </c>
      <c r="R39" t="s">
        <v>183</v>
      </c>
      <c r="S39" t="s">
        <v>613</v>
      </c>
      <c r="T39" s="11">
        <v>1</v>
      </c>
      <c r="U39" s="3">
        <v>2.8</v>
      </c>
      <c r="V39" s="3">
        <v>3</v>
      </c>
      <c r="W39" s="3">
        <v>0.02</v>
      </c>
      <c r="X39" s="3">
        <f t="shared" si="25"/>
        <v>1.97920337176157E-2</v>
      </c>
      <c r="Y39" s="3">
        <f>40/60</f>
        <v>0.66666666666666663</v>
      </c>
      <c r="Z39" s="3">
        <f t="shared" si="16"/>
        <v>6.597344572538566E-2</v>
      </c>
      <c r="AA39" s="3" t="s">
        <v>33</v>
      </c>
      <c r="AB39" s="3">
        <f>IFERROR(((X39*M39)/Z39), "NA")</f>
        <v>300</v>
      </c>
      <c r="AC39" s="3" t="str">
        <f t="shared" si="4"/>
        <v>NA</v>
      </c>
      <c r="AD39" s="4">
        <f>AB39*T39*AI39</f>
        <v>300</v>
      </c>
      <c r="AE39" s="3">
        <f t="shared" si="17"/>
        <v>768.00000000000011</v>
      </c>
      <c r="AF39" s="3">
        <v>4800</v>
      </c>
      <c r="AG39" s="3" t="str">
        <f>IFERROR((M39*O39*P39), "NA")</f>
        <v>NA</v>
      </c>
      <c r="AH39" s="3" t="str">
        <f>IFERROR((AG39*T39*AI39), "NA")</f>
        <v>NA</v>
      </c>
      <c r="AI39" s="3">
        <v>1</v>
      </c>
      <c r="AJ39" t="s">
        <v>31</v>
      </c>
      <c r="AK39" s="3">
        <v>400</v>
      </c>
      <c r="AL39" s="3" t="s">
        <v>281</v>
      </c>
      <c r="AM39" s="3" t="s">
        <v>103</v>
      </c>
      <c r="AN39" t="s">
        <v>130</v>
      </c>
      <c r="AO39" t="s">
        <v>795</v>
      </c>
      <c r="AP39" s="3" t="s">
        <v>33</v>
      </c>
      <c r="AQ39" s="3" t="s">
        <v>33</v>
      </c>
      <c r="AR39" s="3" t="s">
        <v>33</v>
      </c>
      <c r="AS39" s="3">
        <f>4.049</f>
        <v>4.0490000000000004</v>
      </c>
      <c r="AT39" s="3">
        <f>IFERROR(AS39-AU39,"NA")</f>
        <v>1.6730000000000005</v>
      </c>
      <c r="AU39" s="6">
        <v>2.3759999999999999</v>
      </c>
      <c r="AV39" s="3" t="b">
        <v>1</v>
      </c>
      <c r="AW39" s="3" t="s">
        <v>172</v>
      </c>
      <c r="AX39" s="3" t="s">
        <v>173</v>
      </c>
      <c r="AY39" s="3" t="s">
        <v>283</v>
      </c>
      <c r="AZ39" s="3" t="s">
        <v>33</v>
      </c>
      <c r="BA39" s="18" t="s">
        <v>799</v>
      </c>
      <c r="BB39" s="3" t="b">
        <v>0</v>
      </c>
      <c r="BC39" t="s">
        <v>81</v>
      </c>
      <c r="BD39" s="3">
        <v>2</v>
      </c>
      <c r="BE39" s="3" t="s">
        <v>252</v>
      </c>
      <c r="BF39" s="11">
        <v>72</v>
      </c>
      <c r="BG39" s="3" t="s">
        <v>574</v>
      </c>
      <c r="BH39" s="3" t="s">
        <v>31</v>
      </c>
      <c r="BI39" s="3" t="s">
        <v>31</v>
      </c>
      <c r="BJ39" s="3">
        <f t="shared" si="7"/>
        <v>2.3759999999999999</v>
      </c>
      <c r="BK39" s="3">
        <f t="shared" si="8"/>
        <v>0.37584643630915593</v>
      </c>
      <c r="BL39" s="3">
        <v>2</v>
      </c>
      <c r="BM39" s="3">
        <f t="shared" si="26"/>
        <v>2.5095147837223561</v>
      </c>
      <c r="BN39" s="3" t="s">
        <v>33</v>
      </c>
      <c r="BO39" s="3">
        <f t="shared" si="10"/>
        <v>323.23232323232327</v>
      </c>
      <c r="BP39" s="3" t="s">
        <v>33</v>
      </c>
      <c r="BQ39" s="3" t="s">
        <v>33</v>
      </c>
      <c r="BR39" s="3" t="s">
        <v>33</v>
      </c>
      <c r="BS39" s="3" t="s">
        <v>33</v>
      </c>
      <c r="BT39" t="s">
        <v>31</v>
      </c>
      <c r="BU39" s="3" t="s">
        <v>247</v>
      </c>
      <c r="BV39" s="11">
        <v>2016</v>
      </c>
      <c r="BW39" s="3" t="s">
        <v>284</v>
      </c>
      <c r="BX39" t="s">
        <v>78</v>
      </c>
      <c r="BY39" s="3" t="s">
        <v>33</v>
      </c>
      <c r="BZ39" s="3" t="s">
        <v>298</v>
      </c>
      <c r="CA39" t="str">
        <f t="shared" si="11"/>
        <v>low acid</v>
      </c>
    </row>
    <row r="40" spans="1:79">
      <c r="A40" t="s">
        <v>429</v>
      </c>
      <c r="B40" t="s">
        <v>565</v>
      </c>
      <c r="C40" t="s">
        <v>563</v>
      </c>
      <c r="D40" t="s">
        <v>118</v>
      </c>
      <c r="E40" t="s">
        <v>77</v>
      </c>
      <c r="F40" t="s">
        <v>32</v>
      </c>
      <c r="G40">
        <v>4</v>
      </c>
      <c r="H40">
        <v>40</v>
      </c>
      <c r="I40" t="b">
        <v>0</v>
      </c>
      <c r="J40" t="s">
        <v>33</v>
      </c>
      <c r="K40" t="s">
        <v>33</v>
      </c>
      <c r="L40">
        <v>35</v>
      </c>
      <c r="M40" s="4">
        <v>200</v>
      </c>
      <c r="N40" s="3">
        <f>IFERROR(AF40/((T40*X40/Y40)*O40*AI40),"NA")</f>
        <v>4548.1733297364535</v>
      </c>
      <c r="O40">
        <v>4</v>
      </c>
      <c r="P40" t="s">
        <v>33</v>
      </c>
      <c r="Q40" s="8">
        <f t="shared" si="22"/>
        <v>0.27399999999999997</v>
      </c>
      <c r="R40" t="s">
        <v>183</v>
      </c>
      <c r="S40" t="s">
        <v>613</v>
      </c>
      <c r="T40" s="11">
        <v>8</v>
      </c>
      <c r="U40">
        <v>2.9</v>
      </c>
      <c r="V40">
        <v>2.2999999999999998</v>
      </c>
      <c r="W40" t="s">
        <v>33</v>
      </c>
      <c r="X40" s="9">
        <f t="shared" si="25"/>
        <v>1.204879322468025E-2</v>
      </c>
      <c r="Y40" s="6">
        <f>60/60</f>
        <v>1</v>
      </c>
      <c r="Z40" s="3">
        <f t="shared" si="16"/>
        <v>4.3973697900292888E-2</v>
      </c>
      <c r="AA40" t="s">
        <v>33</v>
      </c>
      <c r="AB40" s="6">
        <f>IFERROR(((X40*M40)/Y40), "NA")</f>
        <v>2.40975864493605</v>
      </c>
      <c r="AC40" t="str">
        <f t="shared" si="4"/>
        <v>NA</v>
      </c>
      <c r="AD40" s="4">
        <f>AB40*T40*AI40</f>
        <v>19.2780691594884</v>
      </c>
      <c r="AE40" s="3">
        <f t="shared" si="17"/>
        <v>3308.1663999999992</v>
      </c>
      <c r="AF40">
        <v>1753.6</v>
      </c>
      <c r="AG40" t="str">
        <f>IFERROR((M40*O40*P40), "NA")</f>
        <v>NA</v>
      </c>
      <c r="AH40" t="str">
        <f>IFERROR((AG40*T40*AI40), "NA")</f>
        <v>NA</v>
      </c>
      <c r="AI40" s="11">
        <v>1</v>
      </c>
      <c r="AJ40" t="s">
        <v>31</v>
      </c>
      <c r="AK40">
        <v>1540</v>
      </c>
      <c r="AL40" t="s">
        <v>424</v>
      </c>
      <c r="AM40" t="s">
        <v>86</v>
      </c>
      <c r="AN40" t="s">
        <v>205</v>
      </c>
      <c r="AO40" t="s">
        <v>789</v>
      </c>
      <c r="AP40" s="4">
        <v>3.67</v>
      </c>
      <c r="AQ40" t="s">
        <v>33</v>
      </c>
      <c r="AR40" t="s">
        <v>33</v>
      </c>
      <c r="AS40" s="3">
        <v>7.54</v>
      </c>
      <c r="AT40" s="3">
        <f>IFERROR(AS40-AU40,"NA")</f>
        <v>1.6760000000000002</v>
      </c>
      <c r="AU40" s="6">
        <v>5.8639999999999999</v>
      </c>
      <c r="AV40" t="b">
        <v>1</v>
      </c>
      <c r="AW40" t="s">
        <v>92</v>
      </c>
      <c r="AX40" t="s">
        <v>119</v>
      </c>
      <c r="AY40" t="s">
        <v>425</v>
      </c>
      <c r="AZ40" t="s">
        <v>33</v>
      </c>
      <c r="BA40" s="18" t="s">
        <v>801</v>
      </c>
      <c r="BB40" t="b">
        <v>0</v>
      </c>
      <c r="BC40" t="s">
        <v>81</v>
      </c>
      <c r="BD40">
        <v>15</v>
      </c>
      <c r="BE40" t="s">
        <v>80</v>
      </c>
      <c r="BF40" s="11">
        <v>36</v>
      </c>
      <c r="BG40" t="s">
        <v>573</v>
      </c>
      <c r="BH40" t="s">
        <v>31</v>
      </c>
      <c r="BI40" t="s">
        <v>32</v>
      </c>
      <c r="BJ40" s="3">
        <f t="shared" si="7"/>
        <v>5.8639999999999999</v>
      </c>
      <c r="BK40" s="3">
        <f t="shared" si="8"/>
        <v>0.76819396163307152</v>
      </c>
      <c r="BL40">
        <v>2</v>
      </c>
      <c r="BM40" s="3">
        <f t="shared" si="26"/>
        <v>2.7513933847082179</v>
      </c>
      <c r="BN40" t="s">
        <v>33</v>
      </c>
      <c r="BO40" s="3">
        <f t="shared" si="10"/>
        <v>564.14843110504762</v>
      </c>
      <c r="BP40" t="s">
        <v>33</v>
      </c>
      <c r="BQ40" t="s">
        <v>33</v>
      </c>
      <c r="BR40" t="s">
        <v>33</v>
      </c>
      <c r="BS40" t="s">
        <v>33</v>
      </c>
      <c r="BT40" t="s">
        <v>31</v>
      </c>
      <c r="BU40" t="s">
        <v>426</v>
      </c>
      <c r="BV40">
        <v>2017</v>
      </c>
      <c r="BW40" t="s">
        <v>427</v>
      </c>
      <c r="BX40" t="s">
        <v>78</v>
      </c>
      <c r="BY40" t="s">
        <v>428</v>
      </c>
      <c r="BZ40" t="s">
        <v>33</v>
      </c>
      <c r="CA40" t="str">
        <f t="shared" si="11"/>
        <v>high acid</v>
      </c>
    </row>
    <row r="41" spans="1:79">
      <c r="A41" t="s">
        <v>602</v>
      </c>
      <c r="B41" t="s">
        <v>565</v>
      </c>
      <c r="C41" t="s">
        <v>563</v>
      </c>
      <c r="D41" t="s">
        <v>118</v>
      </c>
      <c r="E41" t="s">
        <v>77</v>
      </c>
      <c r="F41" t="s">
        <v>33</v>
      </c>
      <c r="G41">
        <v>35</v>
      </c>
      <c r="H41">
        <v>40</v>
      </c>
      <c r="I41" t="b">
        <v>1</v>
      </c>
      <c r="J41">
        <v>6739</v>
      </c>
      <c r="K41">
        <v>10.55</v>
      </c>
      <c r="L41">
        <v>23</v>
      </c>
      <c r="M41" s="4">
        <v>500</v>
      </c>
      <c r="N41" t="e">
        <f>(#REF!*Y41)/(T41*X41*O41)</f>
        <v>#REF!</v>
      </c>
      <c r="O41">
        <v>3</v>
      </c>
      <c r="P41" t="s">
        <v>33</v>
      </c>
      <c r="Q41" s="1">
        <f t="shared" si="22"/>
        <v>1.2044444444444444E-2</v>
      </c>
      <c r="R41" t="s">
        <v>183</v>
      </c>
      <c r="S41" t="s">
        <v>613</v>
      </c>
      <c r="T41">
        <v>6</v>
      </c>
      <c r="U41">
        <v>2.92</v>
      </c>
      <c r="V41">
        <v>2.2999999999999998</v>
      </c>
      <c r="W41" t="s">
        <v>33</v>
      </c>
      <c r="X41">
        <f>IFERROR(((PI())*(((V41*10^-1)/2)^2)*(U41*10^-1)), "NA")</f>
        <v>1.2131888350367701E-2</v>
      </c>
      <c r="Y41">
        <v>1</v>
      </c>
      <c r="Z41" s="3">
        <f t="shared" si="16"/>
        <v>1.0072601028903072</v>
      </c>
      <c r="AA41" t="s">
        <v>33</v>
      </c>
      <c r="AB41">
        <f>IFERROR(((X41*M41)/Z41), "NA")</f>
        <v>6.022222222222223</v>
      </c>
      <c r="AC41" s="1" t="str">
        <f t="shared" si="4"/>
        <v>NA</v>
      </c>
      <c r="AE41" s="3">
        <f t="shared" si="17"/>
        <v>297.03984800000001</v>
      </c>
      <c r="AF41">
        <v>108.4</v>
      </c>
      <c r="AG41" s="1" t="str">
        <f>IFERROR((N41*P41*Q41), "NA")</f>
        <v>NA</v>
      </c>
      <c r="AH41" s="1" t="str">
        <f>IFERROR((O41*Q41*R41), "NA")</f>
        <v>NA</v>
      </c>
      <c r="AI41" s="1">
        <v>1</v>
      </c>
      <c r="AJ41" s="11" t="s">
        <v>31</v>
      </c>
      <c r="AK41">
        <v>5180</v>
      </c>
      <c r="AL41" t="s">
        <v>265</v>
      </c>
      <c r="AM41" t="s">
        <v>86</v>
      </c>
      <c r="AN41" t="s">
        <v>205</v>
      </c>
      <c r="AO41" t="s">
        <v>789</v>
      </c>
      <c r="AP41">
        <v>3.27</v>
      </c>
      <c r="AQ41" t="s">
        <v>33</v>
      </c>
      <c r="AR41" t="s">
        <v>33</v>
      </c>
      <c r="AS41">
        <v>6.5</v>
      </c>
      <c r="AT41">
        <v>1.71</v>
      </c>
      <c r="AU41" s="6">
        <f>AS41-AT41</f>
        <v>4.79</v>
      </c>
      <c r="AV41" t="b">
        <v>1</v>
      </c>
      <c r="AW41" t="s">
        <v>626</v>
      </c>
      <c r="AX41" t="s">
        <v>627</v>
      </c>
      <c r="AY41">
        <v>95047</v>
      </c>
      <c r="AZ41" t="s">
        <v>33</v>
      </c>
      <c r="BA41" s="18" t="s">
        <v>800</v>
      </c>
      <c r="BB41" s="3" t="b">
        <v>0</v>
      </c>
      <c r="BC41" t="s">
        <v>81</v>
      </c>
      <c r="BD41">
        <v>24</v>
      </c>
      <c r="BE41" t="s">
        <v>80</v>
      </c>
      <c r="BF41">
        <v>48</v>
      </c>
      <c r="BG41" t="s">
        <v>697</v>
      </c>
      <c r="BH41" t="s">
        <v>32</v>
      </c>
      <c r="BI41" t="s">
        <v>31</v>
      </c>
      <c r="BJ41" s="3">
        <f t="shared" si="7"/>
        <v>4.79</v>
      </c>
      <c r="BK41" s="3">
        <f t="shared" si="8"/>
        <v>0.68033551341456322</v>
      </c>
      <c r="BL41">
        <v>2</v>
      </c>
      <c r="BM41" s="3">
        <f t="shared" si="26"/>
        <v>1.7924792005682237</v>
      </c>
      <c r="BN41" t="s">
        <v>33</v>
      </c>
      <c r="BO41" s="3">
        <f t="shared" si="10"/>
        <v>62.012494363256785</v>
      </c>
      <c r="BP41" t="s">
        <v>33</v>
      </c>
      <c r="BQ41" t="s">
        <v>33</v>
      </c>
      <c r="BR41" t="s">
        <v>33</v>
      </c>
      <c r="BS41" t="s">
        <v>33</v>
      </c>
      <c r="BT41" t="s">
        <v>31</v>
      </c>
      <c r="BU41" s="13" t="s">
        <v>163</v>
      </c>
      <c r="BV41" s="14">
        <v>2017</v>
      </c>
      <c r="BW41" t="s">
        <v>266</v>
      </c>
      <c r="BX41" t="s">
        <v>78</v>
      </c>
      <c r="BY41" s="13" t="s">
        <v>690</v>
      </c>
      <c r="CA41" t="str">
        <f t="shared" si="11"/>
        <v>high acid</v>
      </c>
    </row>
    <row r="42" spans="1:79">
      <c r="A42" t="s">
        <v>311</v>
      </c>
      <c r="B42" t="s">
        <v>565</v>
      </c>
      <c r="C42" t="s">
        <v>563</v>
      </c>
      <c r="D42" t="s">
        <v>33</v>
      </c>
      <c r="E42" t="s">
        <v>77</v>
      </c>
      <c r="F42" t="s">
        <v>32</v>
      </c>
      <c r="G42">
        <v>5</v>
      </c>
      <c r="H42">
        <v>52</v>
      </c>
      <c r="I42" t="b">
        <v>0</v>
      </c>
      <c r="J42" t="s">
        <v>33</v>
      </c>
      <c r="K42" t="s">
        <v>33</v>
      </c>
      <c r="L42">
        <v>50</v>
      </c>
      <c r="M42" s="4">
        <v>60</v>
      </c>
      <c r="N42" s="3">
        <f>IFERROR(AF42/((T42*X42/Y42)*O42*AI42),"NA")</f>
        <v>59.788359788359799</v>
      </c>
      <c r="O42">
        <v>3.5</v>
      </c>
      <c r="P42" t="s">
        <v>33</v>
      </c>
      <c r="Q42" s="8">
        <f t="shared" si="22"/>
        <v>9.4166666666666676E-2</v>
      </c>
      <c r="R42" t="s">
        <v>278</v>
      </c>
      <c r="S42" t="s">
        <v>613</v>
      </c>
      <c r="T42" s="11">
        <v>2</v>
      </c>
      <c r="U42" t="s">
        <v>33</v>
      </c>
      <c r="V42" t="s">
        <v>33</v>
      </c>
      <c r="W42">
        <v>1.26E-2</v>
      </c>
      <c r="X42" s="8">
        <f>W42</f>
        <v>1.26E-2</v>
      </c>
      <c r="Y42" s="6">
        <f>8/60</f>
        <v>0.13333333333333333</v>
      </c>
      <c r="Z42" s="3">
        <f t="shared" si="16"/>
        <v>0.13380530973451327</v>
      </c>
      <c r="AA42">
        <f>11.3/2</f>
        <v>5.65</v>
      </c>
      <c r="AB42" s="6">
        <f>IFERROR(((X42*M42)/Y42), "NA")</f>
        <v>5.67</v>
      </c>
      <c r="AC42" t="str">
        <f t="shared" si="4"/>
        <v>NA</v>
      </c>
      <c r="AD42" s="4">
        <f>AB42*T42*AI42</f>
        <v>11.34</v>
      </c>
      <c r="AE42" s="3">
        <f t="shared" si="17"/>
        <v>233.34500000000003</v>
      </c>
      <c r="AF42">
        <f>AA42*O42*T42</f>
        <v>39.550000000000004</v>
      </c>
      <c r="AG42" t="str">
        <f>IFERROR((M42*O42*P42), "NA")</f>
        <v>NA</v>
      </c>
      <c r="AH42" t="str">
        <f>IFERROR((AG42*T42*AI42), "NA")</f>
        <v>NA</v>
      </c>
      <c r="AI42">
        <v>1</v>
      </c>
      <c r="AJ42" t="s">
        <v>31</v>
      </c>
      <c r="AK42">
        <v>2360</v>
      </c>
      <c r="AL42" t="s">
        <v>149</v>
      </c>
      <c r="AM42" t="s">
        <v>86</v>
      </c>
      <c r="AN42" t="s">
        <v>205</v>
      </c>
      <c r="AO42" t="s">
        <v>789</v>
      </c>
      <c r="AP42">
        <v>3.8</v>
      </c>
      <c r="AQ42" t="s">
        <v>33</v>
      </c>
      <c r="AR42" t="s">
        <v>33</v>
      </c>
      <c r="AS42" s="3">
        <f>LOG(10^6)</f>
        <v>6</v>
      </c>
      <c r="AT42" s="3">
        <f>IFERROR(AS42-AU42,"NA")</f>
        <v>1.7279999999999998</v>
      </c>
      <c r="AU42" s="6">
        <v>4.2720000000000002</v>
      </c>
      <c r="AV42" t="b">
        <v>1</v>
      </c>
      <c r="AW42" t="s">
        <v>29</v>
      </c>
      <c r="AX42" t="s">
        <v>30</v>
      </c>
      <c r="AY42" t="s">
        <v>307</v>
      </c>
      <c r="AZ42" t="s">
        <v>33</v>
      </c>
      <c r="BA42" s="18" t="s">
        <v>798</v>
      </c>
      <c r="BB42" t="b">
        <v>0</v>
      </c>
      <c r="BC42" t="s">
        <v>81</v>
      </c>
      <c r="BD42">
        <v>18</v>
      </c>
      <c r="BE42" t="s">
        <v>80</v>
      </c>
      <c r="BF42" s="11">
        <v>48</v>
      </c>
      <c r="BG42" t="s">
        <v>308</v>
      </c>
      <c r="BH42" t="s">
        <v>31</v>
      </c>
      <c r="BI42" t="s">
        <v>31</v>
      </c>
      <c r="BJ42" s="3">
        <f t="shared" si="7"/>
        <v>4.2720000000000002</v>
      </c>
      <c r="BK42" s="3">
        <f t="shared" si="8"/>
        <v>0.63063124402050008</v>
      </c>
      <c r="BL42">
        <v>2</v>
      </c>
      <c r="BM42" s="3">
        <f t="shared" si="26"/>
        <v>1.7373672554553397</v>
      </c>
      <c r="BN42" t="s">
        <v>33</v>
      </c>
      <c r="BO42" s="3">
        <f t="shared" si="10"/>
        <v>54.621956928838955</v>
      </c>
      <c r="BP42" t="s">
        <v>33</v>
      </c>
      <c r="BQ42" t="s">
        <v>33</v>
      </c>
      <c r="BR42" t="s">
        <v>33</v>
      </c>
      <c r="BS42" t="s">
        <v>33</v>
      </c>
      <c r="BT42" t="s">
        <v>31</v>
      </c>
      <c r="BU42" t="s">
        <v>309</v>
      </c>
      <c r="BV42">
        <v>2011</v>
      </c>
      <c r="BW42" s="2" t="s">
        <v>312</v>
      </c>
      <c r="BX42" t="s">
        <v>78</v>
      </c>
      <c r="BY42" t="s">
        <v>310</v>
      </c>
      <c r="BZ42" t="s">
        <v>33</v>
      </c>
      <c r="CA42" t="str">
        <f t="shared" si="11"/>
        <v>high acid</v>
      </c>
    </row>
    <row r="43" spans="1:79">
      <c r="A43" t="s">
        <v>586</v>
      </c>
      <c r="B43" t="s">
        <v>565</v>
      </c>
      <c r="C43" t="s">
        <v>563</v>
      </c>
      <c r="D43" t="s">
        <v>118</v>
      </c>
      <c r="E43" t="s">
        <v>77</v>
      </c>
      <c r="F43" t="s">
        <v>32</v>
      </c>
      <c r="G43">
        <v>40</v>
      </c>
      <c r="H43">
        <v>40</v>
      </c>
      <c r="I43" t="b">
        <v>1</v>
      </c>
      <c r="J43" t="s">
        <v>33</v>
      </c>
      <c r="K43" t="s">
        <v>33</v>
      </c>
      <c r="L43">
        <v>30</v>
      </c>
      <c r="M43" s="4">
        <v>100</v>
      </c>
      <c r="N43" t="e">
        <f>(#REF!*Y43)/(T43*X43*O43)</f>
        <v>#REF!</v>
      </c>
      <c r="O43">
        <v>2</v>
      </c>
      <c r="P43" t="s">
        <v>33</v>
      </c>
      <c r="Q43" s="1">
        <f t="shared" si="22"/>
        <v>0.66666666666666663</v>
      </c>
      <c r="R43" t="s">
        <v>183</v>
      </c>
      <c r="S43" t="s">
        <v>613</v>
      </c>
      <c r="T43">
        <v>6</v>
      </c>
      <c r="U43">
        <v>2.92</v>
      </c>
      <c r="V43">
        <v>2.2999999999999998</v>
      </c>
      <c r="W43" t="s">
        <v>33</v>
      </c>
      <c r="X43">
        <f t="shared" ref="X43:X52" si="27">IFERROR(((PI())*(((V43*10^-1)/2)^2)*(U43*10^-1)), "NA")</f>
        <v>1.2131888350367701E-2</v>
      </c>
      <c r="Y43">
        <v>1.4</v>
      </c>
      <c r="Z43" s="3">
        <f t="shared" si="16"/>
        <v>1.8197832525551551E-2</v>
      </c>
      <c r="AA43" t="s">
        <v>33</v>
      </c>
      <c r="AB43">
        <f t="shared" ref="AB43:AB50" si="28">IFERROR(((X43*M43)/Z43), "NA")</f>
        <v>66.666666666666671</v>
      </c>
      <c r="AC43" s="1" t="str">
        <f t="shared" si="4"/>
        <v>NA</v>
      </c>
      <c r="AE43" s="3">
        <f t="shared" si="17"/>
        <v>4464</v>
      </c>
      <c r="AF43">
        <v>800</v>
      </c>
      <c r="AG43" s="1" t="str">
        <f>IFERROR((N43*P43*Q43), "NA")</f>
        <v>NA</v>
      </c>
      <c r="AH43" s="1" t="str">
        <f>IFERROR((AG43*U43*AI43), "NA")</f>
        <v>NA</v>
      </c>
      <c r="AI43" s="1">
        <v>1</v>
      </c>
      <c r="AJ43" s="11" t="s">
        <v>31</v>
      </c>
      <c r="AK43">
        <v>6200</v>
      </c>
      <c r="AL43" t="s">
        <v>561</v>
      </c>
      <c r="AM43" s="3" t="s">
        <v>786</v>
      </c>
      <c r="AN43" t="s">
        <v>186</v>
      </c>
      <c r="AO43" t="s">
        <v>793</v>
      </c>
      <c r="AP43">
        <v>7.6</v>
      </c>
      <c r="AQ43" t="s">
        <v>33</v>
      </c>
      <c r="AR43" t="s">
        <v>33</v>
      </c>
      <c r="AS43">
        <v>8</v>
      </c>
      <c r="AT43">
        <f>AS43-AU43</f>
        <v>1.7400000000000002</v>
      </c>
      <c r="AU43" s="6">
        <v>6.26</v>
      </c>
      <c r="AV43" t="b">
        <v>1</v>
      </c>
      <c r="AW43" t="s">
        <v>617</v>
      </c>
      <c r="AX43" t="s">
        <v>624</v>
      </c>
      <c r="AY43" t="s">
        <v>625</v>
      </c>
      <c r="AZ43" t="s">
        <v>33</v>
      </c>
      <c r="BA43" s="18" t="s">
        <v>802</v>
      </c>
      <c r="BB43" s="3" t="b">
        <v>0</v>
      </c>
      <c r="BC43" t="s">
        <v>81</v>
      </c>
      <c r="BD43">
        <v>13</v>
      </c>
      <c r="BE43" t="s">
        <v>80</v>
      </c>
      <c r="BF43">
        <v>48</v>
      </c>
      <c r="BG43" t="s">
        <v>568</v>
      </c>
      <c r="BH43" t="s">
        <v>31</v>
      </c>
      <c r="BI43" t="s">
        <v>32</v>
      </c>
      <c r="BJ43">
        <f t="shared" si="7"/>
        <v>6.26</v>
      </c>
      <c r="BK43" s="3">
        <f t="shared" si="8"/>
        <v>0.7965743332104297</v>
      </c>
      <c r="BL43">
        <v>2</v>
      </c>
      <c r="BM43" s="3">
        <f t="shared" si="26"/>
        <v>2.8531498527190928</v>
      </c>
      <c r="BN43" t="s">
        <v>33</v>
      </c>
      <c r="BO43" s="3">
        <f t="shared" si="10"/>
        <v>713.09904153354637</v>
      </c>
      <c r="BP43" t="s">
        <v>33</v>
      </c>
      <c r="BQ43" t="s">
        <v>33</v>
      </c>
      <c r="BR43" t="s">
        <v>33</v>
      </c>
      <c r="BS43" t="s">
        <v>33</v>
      </c>
      <c r="BT43" t="s">
        <v>31</v>
      </c>
      <c r="BU43" t="s">
        <v>344</v>
      </c>
      <c r="BV43">
        <v>2007</v>
      </c>
      <c r="BW43" t="s">
        <v>345</v>
      </c>
      <c r="BX43" t="s">
        <v>78</v>
      </c>
      <c r="BY43" s="13" t="s">
        <v>676</v>
      </c>
      <c r="CA43" t="str">
        <f t="shared" si="11"/>
        <v>low acid</v>
      </c>
    </row>
    <row r="44" spans="1:79">
      <c r="A44" t="s">
        <v>581</v>
      </c>
      <c r="B44" t="s">
        <v>565</v>
      </c>
      <c r="C44" t="s">
        <v>563</v>
      </c>
      <c r="D44" t="s">
        <v>118</v>
      </c>
      <c r="E44" t="s">
        <v>77</v>
      </c>
      <c r="F44" t="s">
        <v>32</v>
      </c>
      <c r="G44">
        <v>5</v>
      </c>
      <c r="H44">
        <v>30.3</v>
      </c>
      <c r="I44" t="b">
        <v>0</v>
      </c>
      <c r="J44" t="s">
        <v>33</v>
      </c>
      <c r="K44" t="s">
        <v>33</v>
      </c>
      <c r="L44">
        <v>35</v>
      </c>
      <c r="M44" s="4">
        <v>100</v>
      </c>
      <c r="N44" t="e">
        <f>(#REF!*Y44)/(T44*X44*O44)</f>
        <v>#REF!</v>
      </c>
      <c r="O44">
        <v>4</v>
      </c>
      <c r="P44" t="s">
        <v>33</v>
      </c>
      <c r="Q44" s="1">
        <f t="shared" si="22"/>
        <v>0.15625</v>
      </c>
      <c r="R44" t="s">
        <v>183</v>
      </c>
      <c r="S44" t="s">
        <v>613</v>
      </c>
      <c r="T44">
        <v>8</v>
      </c>
      <c r="U44">
        <v>2.92</v>
      </c>
      <c r="V44">
        <v>2.2999999999999998</v>
      </c>
      <c r="W44">
        <v>1.21E-2</v>
      </c>
      <c r="X44">
        <f t="shared" si="27"/>
        <v>1.2131888350367701E-2</v>
      </c>
      <c r="Y44">
        <v>1.6666700000000001</v>
      </c>
      <c r="Z44" s="3">
        <f t="shared" si="16"/>
        <v>7.7644085442353281E-2</v>
      </c>
      <c r="AA44" t="s">
        <v>33</v>
      </c>
      <c r="AB44">
        <f t="shared" si="28"/>
        <v>15.625000000000002</v>
      </c>
      <c r="AC44" s="1" t="str">
        <f t="shared" si="4"/>
        <v>NA</v>
      </c>
      <c r="AE44" s="3">
        <f t="shared" si="17"/>
        <v>2241.75</v>
      </c>
      <c r="AF44">
        <v>500</v>
      </c>
      <c r="AG44" s="1" t="str">
        <f>IFERROR((N44*P44*Q44), "NA")</f>
        <v>NA</v>
      </c>
      <c r="AH44" s="1" t="str">
        <f>IFERROR((AG44*U44*AI44), "NA")</f>
        <v>NA</v>
      </c>
      <c r="AI44" s="1">
        <v>1</v>
      </c>
      <c r="AJ44" s="11" t="s">
        <v>31</v>
      </c>
      <c r="AK44">
        <v>3660</v>
      </c>
      <c r="AL44" t="s">
        <v>541</v>
      </c>
      <c r="AM44" t="s">
        <v>86</v>
      </c>
      <c r="AN44" t="s">
        <v>186</v>
      </c>
      <c r="AO44" t="s">
        <v>794</v>
      </c>
      <c r="AP44">
        <v>5.46</v>
      </c>
      <c r="AQ44" t="s">
        <v>33</v>
      </c>
      <c r="AR44" t="s">
        <v>33</v>
      </c>
      <c r="AS44">
        <v>7.5</v>
      </c>
      <c r="AT44">
        <f>AS44-AU44</f>
        <v>1.7699999999999996</v>
      </c>
      <c r="AU44" s="6">
        <v>5.73</v>
      </c>
      <c r="AV44" t="b">
        <v>1</v>
      </c>
      <c r="AW44" t="s">
        <v>617</v>
      </c>
      <c r="AX44" t="s">
        <v>618</v>
      </c>
      <c r="AY44" t="s">
        <v>33</v>
      </c>
      <c r="AZ44" t="s">
        <v>619</v>
      </c>
      <c r="BA44" s="18" t="s">
        <v>802</v>
      </c>
      <c r="BB44" s="3" t="b">
        <v>0</v>
      </c>
      <c r="BC44" t="s">
        <v>81</v>
      </c>
      <c r="BD44">
        <v>15</v>
      </c>
      <c r="BE44" t="s">
        <v>80</v>
      </c>
      <c r="BF44">
        <v>15</v>
      </c>
      <c r="BG44" t="s">
        <v>697</v>
      </c>
      <c r="BH44" t="s">
        <v>32</v>
      </c>
      <c r="BI44" t="s">
        <v>32</v>
      </c>
      <c r="BJ44">
        <f t="shared" si="7"/>
        <v>5.73</v>
      </c>
      <c r="BK44" s="3">
        <f t="shared" si="8"/>
        <v>0.75815462196739003</v>
      </c>
      <c r="BL44">
        <v>2</v>
      </c>
      <c r="BM44" s="3">
        <f t="shared" si="26"/>
        <v>2.5924325564635908</v>
      </c>
      <c r="BN44" t="s">
        <v>33</v>
      </c>
      <c r="BO44" s="3">
        <f t="shared" si="10"/>
        <v>391.23036649214657</v>
      </c>
      <c r="BP44" t="s">
        <v>33</v>
      </c>
      <c r="BQ44" t="s">
        <v>33</v>
      </c>
      <c r="BR44" t="s">
        <v>33</v>
      </c>
      <c r="BS44" t="s">
        <v>33</v>
      </c>
      <c r="BT44" t="s">
        <v>31</v>
      </c>
      <c r="BU44" t="s">
        <v>219</v>
      </c>
      <c r="BV44" s="14">
        <v>2007</v>
      </c>
      <c r="BW44" s="2" t="s">
        <v>648</v>
      </c>
      <c r="BX44" t="s">
        <v>78</v>
      </c>
      <c r="BY44" s="13" t="s">
        <v>671</v>
      </c>
      <c r="CA44" t="str">
        <f t="shared" si="11"/>
        <v>low acid</v>
      </c>
    </row>
    <row r="45" spans="1:79">
      <c r="A45" t="s">
        <v>85</v>
      </c>
      <c r="B45" t="s">
        <v>565</v>
      </c>
      <c r="C45" t="s">
        <v>563</v>
      </c>
      <c r="D45" t="s">
        <v>118</v>
      </c>
      <c r="E45" t="s">
        <v>77</v>
      </c>
      <c r="F45" t="s">
        <v>32</v>
      </c>
      <c r="G45">
        <v>40</v>
      </c>
      <c r="H45">
        <f>(42+47)/2</f>
        <v>44.5</v>
      </c>
      <c r="I45" t="b">
        <v>1</v>
      </c>
      <c r="J45" t="s">
        <v>33</v>
      </c>
      <c r="K45" t="s">
        <v>33</v>
      </c>
      <c r="L45">
        <v>30</v>
      </c>
      <c r="M45" s="4">
        <v>548</v>
      </c>
      <c r="N45" s="3">
        <f>IFERROR(AF45/((T45*X45/Y45)*O45*AI45),"NA")</f>
        <v>553.30575787548105</v>
      </c>
      <c r="O45">
        <v>2.5</v>
      </c>
      <c r="P45" t="s">
        <v>33</v>
      </c>
      <c r="Q45" s="8">
        <f t="shared" si="22"/>
        <v>6.0827250608272501E-3</v>
      </c>
      <c r="R45" t="s">
        <v>183</v>
      </c>
      <c r="S45" t="s">
        <v>612</v>
      </c>
      <c r="T45" s="11">
        <v>6</v>
      </c>
      <c r="U45">
        <v>2.9</v>
      </c>
      <c r="V45">
        <v>2.2999999999999998</v>
      </c>
      <c r="W45" t="s">
        <v>33</v>
      </c>
      <c r="X45" s="8">
        <f t="shared" si="27"/>
        <v>1.204879322468025E-2</v>
      </c>
      <c r="Y45" s="6">
        <f>120/60</f>
        <v>2</v>
      </c>
      <c r="Z45" s="3">
        <f t="shared" si="16"/>
        <v>1.9808216061374333</v>
      </c>
      <c r="AA45">
        <v>3.3</v>
      </c>
      <c r="AB45" s="6">
        <f t="shared" si="28"/>
        <v>3.333333333333333</v>
      </c>
      <c r="AC45" t="str">
        <f t="shared" si="4"/>
        <v>NA</v>
      </c>
      <c r="AD45" s="4">
        <f>IFERROR(AB45*T45*AI45, "NA")</f>
        <v>20</v>
      </c>
      <c r="AE45">
        <f t="shared" si="17"/>
        <v>96.749999999999972</v>
      </c>
      <c r="AF45">
        <v>50</v>
      </c>
      <c r="AG45" t="str">
        <f>IFERROR((M45*O45*P45), "NA")</f>
        <v>NA</v>
      </c>
      <c r="AH45" t="str">
        <f>IFERROR((AG45*T45*AI45), "NA")</f>
        <v>NA</v>
      </c>
      <c r="AI45" s="11">
        <v>1</v>
      </c>
      <c r="AJ45" t="s">
        <v>31</v>
      </c>
      <c r="AK45">
        <v>2150</v>
      </c>
      <c r="AL45" t="s">
        <v>238</v>
      </c>
      <c r="AM45" t="s">
        <v>86</v>
      </c>
      <c r="AN45" t="s">
        <v>205</v>
      </c>
      <c r="AO45" t="s">
        <v>789</v>
      </c>
      <c r="AP45">
        <v>4.16</v>
      </c>
      <c r="AQ45" t="s">
        <v>33</v>
      </c>
      <c r="AR45" t="s">
        <v>33</v>
      </c>
      <c r="AS45">
        <f>5.98</f>
        <v>5.98</v>
      </c>
      <c r="AT45" s="3">
        <f>IFERROR(AS45-AU45,"NA")</f>
        <v>1.7800000000000002</v>
      </c>
      <c r="AU45" s="6">
        <v>4.2</v>
      </c>
      <c r="AV45" t="b">
        <v>1</v>
      </c>
      <c r="AW45" t="s">
        <v>29</v>
      </c>
      <c r="AX45" t="s">
        <v>30</v>
      </c>
      <c r="AY45" t="s">
        <v>270</v>
      </c>
      <c r="AZ45" t="s">
        <v>134</v>
      </c>
      <c r="BA45" s="18" t="s">
        <v>798</v>
      </c>
      <c r="BB45" t="b">
        <v>0</v>
      </c>
      <c r="BC45" t="s">
        <v>81</v>
      </c>
      <c r="BD45">
        <v>16</v>
      </c>
      <c r="BE45" t="s">
        <v>80</v>
      </c>
      <c r="BF45" s="11">
        <v>24</v>
      </c>
      <c r="BG45" t="s">
        <v>568</v>
      </c>
      <c r="BH45" t="s">
        <v>31</v>
      </c>
      <c r="BI45" t="s">
        <v>31</v>
      </c>
      <c r="BJ45" s="3">
        <f t="shared" si="7"/>
        <v>4.2</v>
      </c>
      <c r="BK45" s="3">
        <f t="shared" si="8"/>
        <v>0.62324929039790045</v>
      </c>
      <c r="BL45">
        <v>2</v>
      </c>
      <c r="BM45" s="3">
        <f t="shared" si="26"/>
        <v>1.3624016832930483</v>
      </c>
      <c r="BN45" t="s">
        <v>33</v>
      </c>
      <c r="BO45" s="3">
        <f t="shared" si="10"/>
        <v>23.035714285714278</v>
      </c>
      <c r="BP45" t="s">
        <v>33</v>
      </c>
      <c r="BQ45" t="s">
        <v>33</v>
      </c>
      <c r="BR45" t="s">
        <v>33</v>
      </c>
      <c r="BS45" t="s">
        <v>33</v>
      </c>
      <c r="BT45" t="s">
        <v>32</v>
      </c>
      <c r="BU45" t="s">
        <v>84</v>
      </c>
      <c r="BV45">
        <v>2013</v>
      </c>
      <c r="BW45" s="1" t="s">
        <v>83</v>
      </c>
      <c r="BX45" t="s">
        <v>78</v>
      </c>
      <c r="BY45" t="s">
        <v>33</v>
      </c>
      <c r="BZ45" t="s">
        <v>33</v>
      </c>
      <c r="CA45" t="str">
        <f t="shared" si="11"/>
        <v>high acid</v>
      </c>
    </row>
    <row r="46" spans="1:79">
      <c r="A46" t="s">
        <v>536</v>
      </c>
      <c r="B46" t="s">
        <v>565</v>
      </c>
      <c r="C46" t="s">
        <v>563</v>
      </c>
      <c r="D46" t="s">
        <v>118</v>
      </c>
      <c r="E46" t="s">
        <v>77</v>
      </c>
      <c r="F46" t="s">
        <v>32</v>
      </c>
      <c r="G46">
        <v>20</v>
      </c>
      <c r="H46">
        <v>55</v>
      </c>
      <c r="I46" t="b">
        <v>0</v>
      </c>
      <c r="J46" t="s">
        <v>33</v>
      </c>
      <c r="K46" t="s">
        <v>33</v>
      </c>
      <c r="L46">
        <v>30</v>
      </c>
      <c r="M46" s="4">
        <v>500</v>
      </c>
      <c r="N46" s="3">
        <f>IFERROR(AF46/((T46*X46/Y46)*O46*AI46),"NA")</f>
        <v>497.97518208793286</v>
      </c>
      <c r="O46">
        <v>2</v>
      </c>
      <c r="P46" t="s">
        <v>33</v>
      </c>
      <c r="Q46">
        <f t="shared" si="22"/>
        <v>6.0000000000000001E-3</v>
      </c>
      <c r="R46" t="s">
        <v>183</v>
      </c>
      <c r="S46" t="s">
        <v>613</v>
      </c>
      <c r="T46" s="11">
        <v>6</v>
      </c>
      <c r="U46">
        <v>2.9</v>
      </c>
      <c r="V46">
        <v>2.2999999999999998</v>
      </c>
      <c r="W46" t="s">
        <v>33</v>
      </c>
      <c r="X46" s="8">
        <f t="shared" si="27"/>
        <v>1.204879322468025E-2</v>
      </c>
      <c r="Y46">
        <v>2</v>
      </c>
      <c r="Z46" s="3">
        <f t="shared" si="16"/>
        <v>2.0081322041133749</v>
      </c>
      <c r="AA46" t="s">
        <v>33</v>
      </c>
      <c r="AB46" s="6">
        <f t="shared" si="28"/>
        <v>3.0000000000000004</v>
      </c>
      <c r="AC46" t="str">
        <f t="shared" si="4"/>
        <v>NA</v>
      </c>
      <c r="AD46" s="4">
        <f>IFERROR(AB46*T46*AI46, "NA")</f>
        <v>18.000000000000004</v>
      </c>
      <c r="AE46" s="3">
        <f t="shared" si="17"/>
        <v>90.72</v>
      </c>
      <c r="AF46">
        <v>36</v>
      </c>
      <c r="AG46" t="str">
        <f>IFERROR((M46*O46*P46), "NA")</f>
        <v>NA</v>
      </c>
      <c r="AH46" t="str">
        <f>IFERROR((AG46*T46*AI46), "NA")</f>
        <v>NA</v>
      </c>
      <c r="AI46" s="11">
        <v>1</v>
      </c>
      <c r="AJ46" t="s">
        <v>31</v>
      </c>
      <c r="AK46">
        <v>2800</v>
      </c>
      <c r="AL46" t="s">
        <v>265</v>
      </c>
      <c r="AM46" t="s">
        <v>86</v>
      </c>
      <c r="AN46" t="s">
        <v>205</v>
      </c>
      <c r="AO46" t="s">
        <v>789</v>
      </c>
      <c r="AP46">
        <v>3.8</v>
      </c>
      <c r="AQ46" t="s">
        <v>33</v>
      </c>
      <c r="AR46" t="s">
        <v>33</v>
      </c>
      <c r="AS46" s="6">
        <f>LOG(10^7)</f>
        <v>7</v>
      </c>
      <c r="AT46" s="3">
        <f>IFERROR(AS46-AU46,"NA")</f>
        <v>1.7960000000000003</v>
      </c>
      <c r="AU46" s="6">
        <v>5.2039999999999997</v>
      </c>
      <c r="AV46" t="b">
        <v>1</v>
      </c>
      <c r="AW46" t="s">
        <v>29</v>
      </c>
      <c r="AX46" t="s">
        <v>30</v>
      </c>
      <c r="AY46" t="s">
        <v>270</v>
      </c>
      <c r="AZ46" t="s">
        <v>33</v>
      </c>
      <c r="BA46" s="18" t="s">
        <v>798</v>
      </c>
      <c r="BB46" t="b">
        <v>0</v>
      </c>
      <c r="BC46" t="s">
        <v>81</v>
      </c>
      <c r="BD46">
        <v>48</v>
      </c>
      <c r="BE46" t="s">
        <v>80</v>
      </c>
      <c r="BF46" s="11">
        <v>24</v>
      </c>
      <c r="BG46" t="s">
        <v>568</v>
      </c>
      <c r="BH46" t="s">
        <v>31</v>
      </c>
      <c r="BI46" t="s">
        <v>32</v>
      </c>
      <c r="BJ46" s="3">
        <f t="shared" si="7"/>
        <v>5.2039999999999997</v>
      </c>
      <c r="BK46" s="3">
        <f t="shared" si="8"/>
        <v>0.71633728788954865</v>
      </c>
      <c r="BL46">
        <v>2</v>
      </c>
      <c r="BM46" s="3">
        <f t="shared" si="26"/>
        <v>1.2413657536592826</v>
      </c>
      <c r="BN46" t="s">
        <v>33</v>
      </c>
      <c r="BO46" s="3">
        <f t="shared" si="10"/>
        <v>17.432744043043812</v>
      </c>
      <c r="BP46" t="s">
        <v>33</v>
      </c>
      <c r="BQ46" t="s">
        <v>33</v>
      </c>
      <c r="BR46" t="s">
        <v>33</v>
      </c>
      <c r="BS46" t="s">
        <v>33</v>
      </c>
      <c r="BT46" t="s">
        <v>32</v>
      </c>
      <c r="BU46" t="s">
        <v>263</v>
      </c>
      <c r="BV46">
        <v>2015</v>
      </c>
      <c r="BW46" s="2" t="s">
        <v>264</v>
      </c>
      <c r="BX46" t="s">
        <v>78</v>
      </c>
      <c r="BY46" t="s">
        <v>33</v>
      </c>
      <c r="BZ46" t="s">
        <v>33</v>
      </c>
      <c r="CA46" t="str">
        <f t="shared" si="11"/>
        <v>high acid</v>
      </c>
    </row>
    <row r="47" spans="1:79">
      <c r="A47" t="s">
        <v>596</v>
      </c>
      <c r="B47" t="s">
        <v>565</v>
      </c>
      <c r="C47" t="s">
        <v>563</v>
      </c>
      <c r="D47" t="s">
        <v>610</v>
      </c>
      <c r="E47" t="s">
        <v>77</v>
      </c>
      <c r="F47" t="s">
        <v>33</v>
      </c>
      <c r="G47">
        <v>20</v>
      </c>
      <c r="H47" t="s">
        <v>33</v>
      </c>
      <c r="I47" t="b">
        <v>0</v>
      </c>
      <c r="J47">
        <v>12000</v>
      </c>
      <c r="K47" t="s">
        <v>33</v>
      </c>
      <c r="L47">
        <v>30</v>
      </c>
      <c r="M47" s="4">
        <v>16</v>
      </c>
      <c r="N47" t="e">
        <f>(#REF!*Y47)/(T47*X47*O47)</f>
        <v>#REF!</v>
      </c>
      <c r="O47">
        <v>5</v>
      </c>
      <c r="P47" t="s">
        <v>33</v>
      </c>
      <c r="Q47" s="1">
        <f t="shared" si="22"/>
        <v>0.93750000000000011</v>
      </c>
      <c r="R47" t="s">
        <v>183</v>
      </c>
      <c r="S47" t="s">
        <v>613</v>
      </c>
      <c r="T47">
        <v>1</v>
      </c>
      <c r="U47">
        <v>4</v>
      </c>
      <c r="V47">
        <v>4</v>
      </c>
      <c r="W47" t="s">
        <v>33</v>
      </c>
      <c r="X47">
        <f t="shared" si="27"/>
        <v>5.02654824574367E-2</v>
      </c>
      <c r="Y47">
        <v>0.106667</v>
      </c>
      <c r="Z47" s="3">
        <f t="shared" si="16"/>
        <v>5.3616514621265807E-2</v>
      </c>
      <c r="AA47" t="s">
        <v>33</v>
      </c>
      <c r="AB47">
        <f t="shared" si="28"/>
        <v>15.000000000000002</v>
      </c>
      <c r="AC47" s="1" t="str">
        <f t="shared" si="4"/>
        <v>NA</v>
      </c>
      <c r="AE47" s="3">
        <f t="shared" si="17"/>
        <v>135.00000000000003</v>
      </c>
      <c r="AF47">
        <v>75</v>
      </c>
      <c r="AG47" s="1" t="str">
        <f>IFERROR((N47*P47*Q47), "NA")</f>
        <v>NA</v>
      </c>
      <c r="AH47" s="1" t="str">
        <f>IFERROR((AG47*U47*AI47), "NA")</f>
        <v>NA</v>
      </c>
      <c r="AI47" s="1">
        <v>1</v>
      </c>
      <c r="AJ47" s="11" t="s">
        <v>31</v>
      </c>
      <c r="AK47">
        <v>2000</v>
      </c>
      <c r="AL47" t="s">
        <v>149</v>
      </c>
      <c r="AM47" t="s">
        <v>86</v>
      </c>
      <c r="AN47" t="s">
        <v>205</v>
      </c>
      <c r="AO47" t="s">
        <v>789</v>
      </c>
      <c r="AP47" t="s">
        <v>33</v>
      </c>
      <c r="AQ47" t="s">
        <v>33</v>
      </c>
      <c r="AR47" t="s">
        <v>33</v>
      </c>
      <c r="AS47">
        <f>AVERAGE(6,8)</f>
        <v>7</v>
      </c>
      <c r="AT47">
        <f>AS47-AU47</f>
        <v>1.7999999999999998</v>
      </c>
      <c r="AU47" s="6">
        <v>5.2</v>
      </c>
      <c r="AV47" t="b">
        <v>1</v>
      </c>
      <c r="AW47" t="s">
        <v>626</v>
      </c>
      <c r="AX47" t="s">
        <v>627</v>
      </c>
      <c r="AY47" t="s">
        <v>634</v>
      </c>
      <c r="AZ47" t="s">
        <v>33</v>
      </c>
      <c r="BA47" s="18" t="s">
        <v>800</v>
      </c>
      <c r="BB47" s="3" t="b">
        <v>0</v>
      </c>
      <c r="BC47" t="s">
        <v>81</v>
      </c>
      <c r="BD47">
        <v>18</v>
      </c>
      <c r="BE47" t="s">
        <v>80</v>
      </c>
      <c r="BF47">
        <v>24</v>
      </c>
      <c r="BG47" t="s">
        <v>644</v>
      </c>
      <c r="BH47" t="s">
        <v>31</v>
      </c>
      <c r="BI47" t="s">
        <v>32</v>
      </c>
      <c r="BJ47">
        <f t="shared" si="7"/>
        <v>5.2</v>
      </c>
      <c r="BK47" s="3">
        <f t="shared" si="8"/>
        <v>0.71600334363479923</v>
      </c>
      <c r="BL47">
        <v>2</v>
      </c>
      <c r="BM47" s="3">
        <f t="shared" si="26"/>
        <v>1.4143304248602071</v>
      </c>
      <c r="BN47" t="s">
        <v>33</v>
      </c>
      <c r="BO47" s="3">
        <f t="shared" si="10"/>
        <v>25.961538461538467</v>
      </c>
      <c r="BP47" t="s">
        <v>33</v>
      </c>
      <c r="BQ47" t="s">
        <v>33</v>
      </c>
      <c r="BR47" t="s">
        <v>33</v>
      </c>
      <c r="BS47" t="s">
        <v>33</v>
      </c>
      <c r="BT47" t="s">
        <v>32</v>
      </c>
      <c r="BU47" t="s">
        <v>661</v>
      </c>
      <c r="BV47">
        <v>2013</v>
      </c>
      <c r="BW47" t="s">
        <v>662</v>
      </c>
      <c r="BX47" s="13" t="s">
        <v>663</v>
      </c>
      <c r="BY47" s="13" t="s">
        <v>684</v>
      </c>
      <c r="CA47" t="str">
        <f t="shared" si="11"/>
        <v>high acid</v>
      </c>
    </row>
    <row r="48" spans="1:79">
      <c r="A48" t="s">
        <v>225</v>
      </c>
      <c r="B48" t="s">
        <v>565</v>
      </c>
      <c r="C48" t="s">
        <v>563</v>
      </c>
      <c r="D48" t="s">
        <v>33</v>
      </c>
      <c r="E48" t="s">
        <v>77</v>
      </c>
      <c r="F48" t="s">
        <v>32</v>
      </c>
      <c r="G48">
        <v>30</v>
      </c>
      <c r="H48">
        <v>61</v>
      </c>
      <c r="I48" t="b">
        <v>1</v>
      </c>
      <c r="J48" t="s">
        <v>33</v>
      </c>
      <c r="K48" t="s">
        <v>33</v>
      </c>
      <c r="L48">
        <v>25</v>
      </c>
      <c r="M48" s="4">
        <v>500</v>
      </c>
      <c r="N48" s="3">
        <f>IFERROR(AF48/((T48*X48/Y48)*O48*AI48),"NA")</f>
        <v>521.04864189465479</v>
      </c>
      <c r="O48">
        <v>4</v>
      </c>
      <c r="P48" t="s">
        <v>33</v>
      </c>
      <c r="Q48" s="8">
        <f t="shared" si="22"/>
        <v>1.3333333333333332E-2</v>
      </c>
      <c r="R48" t="s">
        <v>183</v>
      </c>
      <c r="S48" t="s">
        <v>613</v>
      </c>
      <c r="T48" s="11">
        <v>6</v>
      </c>
      <c r="U48">
        <v>2.2999999999999998</v>
      </c>
      <c r="V48">
        <v>2.2000000000000002</v>
      </c>
      <c r="W48" t="s">
        <v>33</v>
      </c>
      <c r="X48" s="8">
        <f t="shared" si="27"/>
        <v>8.7430523549403959E-3</v>
      </c>
      <c r="Y48" s="6">
        <f>41/60</f>
        <v>0.68333333333333335</v>
      </c>
      <c r="Z48" s="3">
        <f t="shared" si="16"/>
        <v>0.65572892662052973</v>
      </c>
      <c r="AA48" s="3">
        <f>40/6</f>
        <v>6.666666666666667</v>
      </c>
      <c r="AB48" s="6">
        <f t="shared" si="28"/>
        <v>6.6666666666666661</v>
      </c>
      <c r="AC48" t="str">
        <f t="shared" si="4"/>
        <v>NA</v>
      </c>
      <c r="AD48" s="4">
        <f>AB48*T48*AI48</f>
        <v>40</v>
      </c>
      <c r="AE48" s="3">
        <f t="shared" si="17"/>
        <v>399.99999999999994</v>
      </c>
      <c r="AF48">
        <v>160</v>
      </c>
      <c r="AG48" t="str">
        <f>IFERROR((M48*O48*P48), "NA")</f>
        <v>NA</v>
      </c>
      <c r="AH48" t="str">
        <f>IFERROR((AG48*T48*AI48), "NA")</f>
        <v>NA</v>
      </c>
      <c r="AI48">
        <v>1</v>
      </c>
      <c r="AJ48" t="s">
        <v>31</v>
      </c>
      <c r="AK48">
        <v>4000</v>
      </c>
      <c r="AL48" t="s">
        <v>546</v>
      </c>
      <c r="AM48" t="s">
        <v>103</v>
      </c>
      <c r="AN48" t="s">
        <v>130</v>
      </c>
      <c r="AO48" t="s">
        <v>795</v>
      </c>
      <c r="AP48">
        <v>5</v>
      </c>
      <c r="AQ48" t="s">
        <v>33</v>
      </c>
      <c r="AR48" t="s">
        <v>33</v>
      </c>
      <c r="AS48" s="6">
        <v>8.1</v>
      </c>
      <c r="AT48" s="3">
        <f>IFERROR(AS48-AU48,"NA")</f>
        <v>1.7999999999999998</v>
      </c>
      <c r="AU48" s="6">
        <v>6.3</v>
      </c>
      <c r="AV48" t="b">
        <v>1</v>
      </c>
      <c r="AW48" t="s">
        <v>29</v>
      </c>
      <c r="AX48" t="s">
        <v>30</v>
      </c>
      <c r="AY48" t="s">
        <v>226</v>
      </c>
      <c r="AZ48" t="s">
        <v>33</v>
      </c>
      <c r="BA48" s="18" t="s">
        <v>798</v>
      </c>
      <c r="BB48" t="b">
        <v>0</v>
      </c>
      <c r="BC48" t="s">
        <v>81</v>
      </c>
      <c r="BD48">
        <v>14</v>
      </c>
      <c r="BE48" t="s">
        <v>80</v>
      </c>
      <c r="BF48" s="11">
        <v>120</v>
      </c>
      <c r="BG48" t="s">
        <v>139</v>
      </c>
      <c r="BH48" t="s">
        <v>31</v>
      </c>
      <c r="BI48" t="s">
        <v>32</v>
      </c>
      <c r="BJ48" s="3">
        <f t="shared" si="7"/>
        <v>6.3</v>
      </c>
      <c r="BK48" s="3">
        <f t="shared" si="8"/>
        <v>0.79934054945358168</v>
      </c>
      <c r="BL48">
        <v>2</v>
      </c>
      <c r="BM48" s="3">
        <f t="shared" si="26"/>
        <v>1.8027194418743806</v>
      </c>
      <c r="BN48" t="s">
        <v>33</v>
      </c>
      <c r="BO48" s="3">
        <f t="shared" si="10"/>
        <v>63.492063492063487</v>
      </c>
      <c r="BP48" t="s">
        <v>33</v>
      </c>
      <c r="BQ48" t="s">
        <v>33</v>
      </c>
      <c r="BR48" t="s">
        <v>33</v>
      </c>
      <c r="BS48" t="s">
        <v>33</v>
      </c>
      <c r="BT48" t="s">
        <v>31</v>
      </c>
      <c r="BU48" t="s">
        <v>227</v>
      </c>
      <c r="BV48">
        <v>2001</v>
      </c>
      <c r="BW48" t="s">
        <v>228</v>
      </c>
      <c r="BX48" t="s">
        <v>78</v>
      </c>
      <c r="BY48" t="s">
        <v>33</v>
      </c>
      <c r="BZ48" t="s">
        <v>33</v>
      </c>
      <c r="CA48" t="str">
        <f t="shared" si="11"/>
        <v>low acid</v>
      </c>
    </row>
    <row r="49" spans="1:79">
      <c r="A49" t="s">
        <v>588</v>
      </c>
      <c r="B49" t="s">
        <v>565</v>
      </c>
      <c r="C49" t="s">
        <v>563</v>
      </c>
      <c r="D49" t="s">
        <v>608</v>
      </c>
      <c r="E49" t="s">
        <v>77</v>
      </c>
      <c r="F49" t="s">
        <v>32</v>
      </c>
      <c r="G49" t="s">
        <v>33</v>
      </c>
      <c r="H49">
        <v>40</v>
      </c>
      <c r="I49" t="b">
        <v>0</v>
      </c>
      <c r="J49" t="s">
        <v>33</v>
      </c>
      <c r="K49" t="s">
        <v>33</v>
      </c>
      <c r="L49">
        <v>35</v>
      </c>
      <c r="M49" s="4">
        <v>250</v>
      </c>
      <c r="N49" t="e">
        <f>(#REF!*Y49)/(T49*X49*O49)</f>
        <v>#REF!</v>
      </c>
      <c r="O49">
        <v>3.7</v>
      </c>
      <c r="P49" t="s">
        <v>33</v>
      </c>
      <c r="Q49" s="1">
        <f t="shared" si="22"/>
        <v>8.1081081081081072E-2</v>
      </c>
      <c r="R49" t="s">
        <v>183</v>
      </c>
      <c r="S49" t="s">
        <v>613</v>
      </c>
      <c r="T49">
        <v>6</v>
      </c>
      <c r="U49">
        <v>1.9</v>
      </c>
      <c r="V49">
        <v>2.2999999999999998</v>
      </c>
      <c r="W49" t="s">
        <v>33</v>
      </c>
      <c r="X49">
        <f t="shared" si="27"/>
        <v>7.8940369403077502E-3</v>
      </c>
      <c r="Y49">
        <v>1</v>
      </c>
      <c r="Z49" s="3">
        <f t="shared" ref="Z49:Z68" si="29">IFERROR(X49*M49*O49*T49*AI49/AF49, "NA")</f>
        <v>9.7359788930462265E-2</v>
      </c>
      <c r="AA49" t="s">
        <v>33</v>
      </c>
      <c r="AB49">
        <f t="shared" si="28"/>
        <v>20.27027027027027</v>
      </c>
      <c r="AC49" s="1" t="str">
        <f t="shared" si="4"/>
        <v>NA</v>
      </c>
      <c r="AE49" s="3">
        <f t="shared" ref="AE49:AE68" si="30">IFERROR(((L49^2)*M49*O49*AK49*10^-6*Q49*T49*AI49), "NA")</f>
        <v>2645.9999999999995</v>
      </c>
      <c r="AF49">
        <v>450</v>
      </c>
      <c r="AG49" s="1" t="str">
        <f>IFERROR((N49*P49*Q49), "NA")</f>
        <v>NA</v>
      </c>
      <c r="AH49" s="1" t="str">
        <f>IFERROR((AG49*U49*AI49), "NA")</f>
        <v>NA</v>
      </c>
      <c r="AI49" s="1">
        <v>1</v>
      </c>
      <c r="AJ49" s="11" t="s">
        <v>31</v>
      </c>
      <c r="AK49">
        <v>4800</v>
      </c>
      <c r="AL49" t="s">
        <v>156</v>
      </c>
      <c r="AM49" t="s">
        <v>157</v>
      </c>
      <c r="AN49" t="s">
        <v>186</v>
      </c>
      <c r="AO49" t="s">
        <v>792</v>
      </c>
      <c r="AP49">
        <v>6.53</v>
      </c>
      <c r="AQ49" t="s">
        <v>33</v>
      </c>
      <c r="AR49" t="s">
        <v>33</v>
      </c>
      <c r="AS49">
        <v>6.5</v>
      </c>
      <c r="AT49">
        <v>1.83</v>
      </c>
      <c r="AU49" s="6">
        <f>AS49-AT49</f>
        <v>4.67</v>
      </c>
      <c r="AV49" t="b">
        <v>1</v>
      </c>
      <c r="AW49" t="s">
        <v>626</v>
      </c>
      <c r="AX49" t="s">
        <v>627</v>
      </c>
      <c r="AY49" t="s">
        <v>625</v>
      </c>
      <c r="AZ49" t="s">
        <v>33</v>
      </c>
      <c r="BA49" s="18" t="s">
        <v>800</v>
      </c>
      <c r="BB49" s="3" t="b">
        <v>0</v>
      </c>
      <c r="BC49" t="s">
        <v>81</v>
      </c>
      <c r="BD49">
        <v>12</v>
      </c>
      <c r="BE49" t="s">
        <v>80</v>
      </c>
      <c r="BF49">
        <v>48</v>
      </c>
      <c r="BG49" t="s">
        <v>568</v>
      </c>
      <c r="BH49" t="s">
        <v>31</v>
      </c>
      <c r="BI49" t="s">
        <v>31</v>
      </c>
      <c r="BJ49">
        <f t="shared" si="7"/>
        <v>4.67</v>
      </c>
      <c r="BK49" s="3">
        <f t="shared" si="8"/>
        <v>0.66931688056611216</v>
      </c>
      <c r="BL49">
        <v>2</v>
      </c>
      <c r="BM49" s="3">
        <f t="shared" si="26"/>
        <v>2.7532729592853697</v>
      </c>
      <c r="BN49" t="s">
        <v>33</v>
      </c>
      <c r="BO49" s="3">
        <f t="shared" si="10"/>
        <v>566.59528907922902</v>
      </c>
      <c r="BP49" t="s">
        <v>33</v>
      </c>
      <c r="BQ49" t="s">
        <v>33</v>
      </c>
      <c r="BR49" t="s">
        <v>33</v>
      </c>
      <c r="BS49" t="s">
        <v>33</v>
      </c>
      <c r="BT49" t="s">
        <v>31</v>
      </c>
      <c r="BU49" s="13" t="s">
        <v>163</v>
      </c>
      <c r="BV49">
        <v>2004</v>
      </c>
      <c r="BW49" t="s">
        <v>654</v>
      </c>
      <c r="BX49" t="s">
        <v>78</v>
      </c>
      <c r="BY49" s="13" t="s">
        <v>677</v>
      </c>
      <c r="CA49" t="str">
        <f t="shared" si="11"/>
        <v>low acid</v>
      </c>
    </row>
    <row r="50" spans="1:79">
      <c r="A50" t="s">
        <v>201</v>
      </c>
      <c r="B50" t="s">
        <v>565</v>
      </c>
      <c r="C50" t="s">
        <v>563</v>
      </c>
      <c r="D50" t="s">
        <v>118</v>
      </c>
      <c r="E50" t="s">
        <v>77</v>
      </c>
      <c r="F50" t="s">
        <v>32</v>
      </c>
      <c r="G50">
        <v>23</v>
      </c>
      <c r="H50">
        <v>56</v>
      </c>
      <c r="I50" t="b">
        <v>0</v>
      </c>
      <c r="J50" t="s">
        <v>33</v>
      </c>
      <c r="K50" t="s">
        <v>33</v>
      </c>
      <c r="L50">
        <v>25</v>
      </c>
      <c r="M50" s="4">
        <v>667</v>
      </c>
      <c r="N50" s="3">
        <f>IFERROR(AF50/((T50*X50/Y50)*O50*AI50),"NA")</f>
        <v>995.95036417586562</v>
      </c>
      <c r="O50">
        <v>3</v>
      </c>
      <c r="P50" t="s">
        <v>33</v>
      </c>
      <c r="Q50" s="8">
        <f t="shared" ref="Q50:Q58" si="31">IFERROR(X50/Z50, "NA")</f>
        <v>1.1994002998500751E-2</v>
      </c>
      <c r="R50" t="s">
        <v>183</v>
      </c>
      <c r="S50" t="s">
        <v>613</v>
      </c>
      <c r="T50" s="11">
        <v>4</v>
      </c>
      <c r="U50">
        <v>2.9</v>
      </c>
      <c r="V50">
        <v>2.2999999999999998</v>
      </c>
      <c r="W50" t="s">
        <v>33</v>
      </c>
      <c r="X50" s="8">
        <f t="shared" si="27"/>
        <v>1.204879322468025E-2</v>
      </c>
      <c r="Y50">
        <v>1.5</v>
      </c>
      <c r="Z50" s="3">
        <f t="shared" si="29"/>
        <v>1.0045681351077158</v>
      </c>
      <c r="AA50" t="s">
        <v>33</v>
      </c>
      <c r="AB50" s="6">
        <f t="shared" si="28"/>
        <v>8</v>
      </c>
      <c r="AC50" t="str">
        <f t="shared" ref="AC50:AC104" si="32">IFERROR(M50*P50,"NA")</f>
        <v>NA</v>
      </c>
      <c r="AD50" s="4">
        <f>AB50*T50*AI50</f>
        <v>32</v>
      </c>
      <c r="AE50" s="3">
        <f t="shared" si="30"/>
        <v>276.00000000000006</v>
      </c>
      <c r="AF50">
        <v>96</v>
      </c>
      <c r="AG50" t="str">
        <f>IFERROR((M50*O50*P50), "NA")</f>
        <v>NA</v>
      </c>
      <c r="AH50" t="str">
        <f>IFERROR((AG50*T50*AI50), "NA")</f>
        <v>NA</v>
      </c>
      <c r="AI50">
        <v>1</v>
      </c>
      <c r="AJ50" t="s">
        <v>31</v>
      </c>
      <c r="AK50">
        <v>4600</v>
      </c>
      <c r="AL50" t="s">
        <v>203</v>
      </c>
      <c r="AM50" t="s">
        <v>785</v>
      </c>
      <c r="AN50" t="s">
        <v>205</v>
      </c>
      <c r="AO50" t="s">
        <v>791</v>
      </c>
      <c r="AP50">
        <v>4.2</v>
      </c>
      <c r="AQ50" t="s">
        <v>33</v>
      </c>
      <c r="AR50" t="s">
        <v>33</v>
      </c>
      <c r="AS50" s="6">
        <v>7.44</v>
      </c>
      <c r="AT50" s="3">
        <f>IFERROR(AS50-AU50,"NA")</f>
        <v>1.8450000000000006</v>
      </c>
      <c r="AU50" s="6">
        <v>5.5949999999999998</v>
      </c>
      <c r="AV50" t="b">
        <v>1</v>
      </c>
      <c r="AW50" t="s">
        <v>92</v>
      </c>
      <c r="AX50" t="s">
        <v>93</v>
      </c>
      <c r="AY50" t="s">
        <v>94</v>
      </c>
      <c r="AZ50" t="s">
        <v>33</v>
      </c>
      <c r="BA50" s="18" t="s">
        <v>801</v>
      </c>
      <c r="BB50" t="b">
        <v>0</v>
      </c>
      <c r="BC50" t="s">
        <v>81</v>
      </c>
      <c r="BD50">
        <v>18</v>
      </c>
      <c r="BE50" t="s">
        <v>80</v>
      </c>
      <c r="BF50" t="s">
        <v>33</v>
      </c>
      <c r="BG50" t="s">
        <v>568</v>
      </c>
      <c r="BH50" t="s">
        <v>31</v>
      </c>
      <c r="BI50" t="s">
        <v>32</v>
      </c>
      <c r="BJ50" s="3">
        <f t="shared" ref="BJ50:BJ104" si="33">AU50</f>
        <v>5.5949999999999998</v>
      </c>
      <c r="BK50" s="3">
        <f t="shared" ref="BK50:BK104" si="34">LOG10(BJ50)</f>
        <v>0.74780009086436883</v>
      </c>
      <c r="BL50">
        <v>2</v>
      </c>
      <c r="BM50" s="3">
        <f t="shared" si="26"/>
        <v>1.693108991200849</v>
      </c>
      <c r="BN50" t="s">
        <v>33</v>
      </c>
      <c r="BO50" s="3">
        <f t="shared" si="10"/>
        <v>49.329758713136741</v>
      </c>
      <c r="BP50" t="s">
        <v>33</v>
      </c>
      <c r="BQ50" t="s">
        <v>33</v>
      </c>
      <c r="BR50" t="s">
        <v>33</v>
      </c>
      <c r="BS50" t="s">
        <v>33</v>
      </c>
      <c r="BT50" t="s">
        <v>31</v>
      </c>
      <c r="BU50" t="s">
        <v>187</v>
      </c>
      <c r="BV50">
        <v>2003</v>
      </c>
      <c r="BW50" t="s">
        <v>192</v>
      </c>
      <c r="BX50" t="s">
        <v>78</v>
      </c>
      <c r="BY50" t="s">
        <v>33</v>
      </c>
      <c r="BZ50" t="s">
        <v>33</v>
      </c>
      <c r="CA50" t="str">
        <f t="shared" si="11"/>
        <v>high acid</v>
      </c>
    </row>
    <row r="51" spans="1:79">
      <c r="A51" t="s">
        <v>429</v>
      </c>
      <c r="B51" t="s">
        <v>565</v>
      </c>
      <c r="C51" t="s">
        <v>563</v>
      </c>
      <c r="D51" t="s">
        <v>118</v>
      </c>
      <c r="E51" t="s">
        <v>77</v>
      </c>
      <c r="F51" t="s">
        <v>32</v>
      </c>
      <c r="G51">
        <v>4</v>
      </c>
      <c r="H51">
        <v>40</v>
      </c>
      <c r="I51" t="b">
        <v>0</v>
      </c>
      <c r="J51" t="s">
        <v>33</v>
      </c>
      <c r="K51" t="s">
        <v>33</v>
      </c>
      <c r="L51">
        <v>35</v>
      </c>
      <c r="M51" s="4">
        <v>200</v>
      </c>
      <c r="N51" s="3">
        <f>IFERROR(AF51/((T51*X51/Y51)*O51*AI51),"NA")</f>
        <v>2240.6289573216941</v>
      </c>
      <c r="O51">
        <v>4</v>
      </c>
      <c r="P51" t="s">
        <v>33</v>
      </c>
      <c r="Q51" s="8">
        <f t="shared" si="31"/>
        <v>0.13498437499999999</v>
      </c>
      <c r="R51" t="s">
        <v>183</v>
      </c>
      <c r="S51" t="s">
        <v>613</v>
      </c>
      <c r="T51" s="11">
        <v>8</v>
      </c>
      <c r="U51">
        <v>2.9</v>
      </c>
      <c r="V51">
        <v>2.2999999999999998</v>
      </c>
      <c r="W51" t="s">
        <v>33</v>
      </c>
      <c r="X51" s="9">
        <f t="shared" si="27"/>
        <v>1.204879322468025E-2</v>
      </c>
      <c r="Y51" s="6">
        <f>60/60</f>
        <v>1</v>
      </c>
      <c r="Z51" s="3">
        <f t="shared" si="29"/>
        <v>8.9260651276714439E-2</v>
      </c>
      <c r="AA51" t="s">
        <v>33</v>
      </c>
      <c r="AB51" s="6">
        <f>IFERROR(((X51*M51)/Y51), "NA")</f>
        <v>2.40975864493605</v>
      </c>
      <c r="AC51" t="str">
        <f t="shared" si="32"/>
        <v>NA</v>
      </c>
      <c r="AD51" s="4">
        <f>AB51*T51*AI51</f>
        <v>19.2780691594884</v>
      </c>
      <c r="AE51" s="3">
        <f t="shared" si="30"/>
        <v>1629.7473499999996</v>
      </c>
      <c r="AF51">
        <v>863.9</v>
      </c>
      <c r="AG51" t="str">
        <f>IFERROR((M51*O51*P51), "NA")</f>
        <v>NA</v>
      </c>
      <c r="AH51" t="str">
        <f>IFERROR((AG51*T51*AI51), "NA")</f>
        <v>NA</v>
      </c>
      <c r="AI51" s="11">
        <v>1</v>
      </c>
      <c r="AJ51" t="s">
        <v>31</v>
      </c>
      <c r="AK51">
        <v>1540</v>
      </c>
      <c r="AL51" t="s">
        <v>424</v>
      </c>
      <c r="AM51" t="s">
        <v>86</v>
      </c>
      <c r="AN51" t="s">
        <v>205</v>
      </c>
      <c r="AO51" t="s">
        <v>789</v>
      </c>
      <c r="AP51" s="4">
        <v>3.67</v>
      </c>
      <c r="AQ51" t="s">
        <v>33</v>
      </c>
      <c r="AR51" t="s">
        <v>33</v>
      </c>
      <c r="AS51" s="3">
        <v>7.54</v>
      </c>
      <c r="AT51" s="3">
        <f>IFERROR(AS51-AU51,"NA")</f>
        <v>1.8479999999999999</v>
      </c>
      <c r="AU51" s="6">
        <v>5.6920000000000002</v>
      </c>
      <c r="AV51" t="b">
        <v>1</v>
      </c>
      <c r="AW51" t="s">
        <v>92</v>
      </c>
      <c r="AX51" t="s">
        <v>119</v>
      </c>
      <c r="AY51" t="s">
        <v>425</v>
      </c>
      <c r="AZ51" t="s">
        <v>33</v>
      </c>
      <c r="BA51" s="18" t="s">
        <v>801</v>
      </c>
      <c r="BB51" t="b">
        <v>0</v>
      </c>
      <c r="BC51" t="s">
        <v>81</v>
      </c>
      <c r="BD51">
        <v>15</v>
      </c>
      <c r="BE51" t="s">
        <v>80</v>
      </c>
      <c r="BF51" s="11">
        <v>36</v>
      </c>
      <c r="BG51" t="s">
        <v>573</v>
      </c>
      <c r="BH51" t="s">
        <v>31</v>
      </c>
      <c r="BI51" t="s">
        <v>32</v>
      </c>
      <c r="BJ51" s="3">
        <f t="shared" si="33"/>
        <v>5.6920000000000002</v>
      </c>
      <c r="BK51" s="3">
        <f t="shared" si="34"/>
        <v>0.75526489141224673</v>
      </c>
      <c r="BL51">
        <v>2</v>
      </c>
      <c r="BM51" s="3">
        <f t="shared" si="26"/>
        <v>2.4568553921295142</v>
      </c>
      <c r="BN51" t="s">
        <v>33</v>
      </c>
      <c r="BO51" s="3">
        <f t="shared" si="10"/>
        <v>286.32244378074483</v>
      </c>
      <c r="BP51" t="s">
        <v>33</v>
      </c>
      <c r="BQ51" t="s">
        <v>33</v>
      </c>
      <c r="BR51" t="s">
        <v>33</v>
      </c>
      <c r="BS51" t="s">
        <v>33</v>
      </c>
      <c r="BT51" t="s">
        <v>31</v>
      </c>
      <c r="BU51" t="s">
        <v>426</v>
      </c>
      <c r="BV51">
        <v>2017</v>
      </c>
      <c r="BW51" t="s">
        <v>427</v>
      </c>
      <c r="BX51" t="s">
        <v>78</v>
      </c>
      <c r="BY51" t="s">
        <v>428</v>
      </c>
      <c r="BZ51" t="s">
        <v>33</v>
      </c>
      <c r="CA51" t="str">
        <f t="shared" si="11"/>
        <v>high acid</v>
      </c>
    </row>
    <row r="52" spans="1:79">
      <c r="A52" t="s">
        <v>596</v>
      </c>
      <c r="B52" t="s">
        <v>565</v>
      </c>
      <c r="C52" t="s">
        <v>563</v>
      </c>
      <c r="D52" t="s">
        <v>610</v>
      </c>
      <c r="E52" t="s">
        <v>77</v>
      </c>
      <c r="F52" t="s">
        <v>33</v>
      </c>
      <c r="G52">
        <v>20</v>
      </c>
      <c r="H52" t="s">
        <v>33</v>
      </c>
      <c r="I52" t="b">
        <v>0</v>
      </c>
      <c r="J52">
        <v>12000</v>
      </c>
      <c r="K52" t="s">
        <v>33</v>
      </c>
      <c r="L52">
        <v>30</v>
      </c>
      <c r="M52" s="4">
        <v>31.831088090218493</v>
      </c>
      <c r="N52" t="e">
        <f>(#REF!*Y52)/(T52*X52*O52)</f>
        <v>#REF!</v>
      </c>
      <c r="O52">
        <v>5</v>
      </c>
      <c r="P52" t="s">
        <v>33</v>
      </c>
      <c r="Q52" s="1">
        <f t="shared" si="31"/>
        <v>0.4712374254215147</v>
      </c>
      <c r="R52" t="s">
        <v>183</v>
      </c>
      <c r="S52" t="s">
        <v>613</v>
      </c>
      <c r="T52">
        <v>1</v>
      </c>
      <c r="U52">
        <v>4</v>
      </c>
      <c r="V52">
        <v>4</v>
      </c>
      <c r="W52" t="s">
        <v>33</v>
      </c>
      <c r="X52">
        <f t="shared" si="27"/>
        <v>5.02654824574367E-2</v>
      </c>
      <c r="Y52">
        <v>0.106667</v>
      </c>
      <c r="Z52" s="3">
        <f t="shared" si="29"/>
        <v>0.10666699999999998</v>
      </c>
      <c r="AA52" t="s">
        <v>33</v>
      </c>
      <c r="AB52">
        <f t="shared" ref="AB52:AB58" si="35">IFERROR(((X52*M52)/Z52), "NA")</f>
        <v>15.000000000000002</v>
      </c>
      <c r="AC52" s="1" t="str">
        <f t="shared" si="32"/>
        <v>NA</v>
      </c>
      <c r="AE52" s="3">
        <f t="shared" si="30"/>
        <v>135.00000000000003</v>
      </c>
      <c r="AF52">
        <v>75</v>
      </c>
      <c r="AG52" s="1" t="str">
        <f>IFERROR((N52*P52*Q52), "NA")</f>
        <v>NA</v>
      </c>
      <c r="AH52" s="1" t="str">
        <f>IFERROR((AG52*U52*AI52), "NA")</f>
        <v>NA</v>
      </c>
      <c r="AI52" s="1">
        <v>1</v>
      </c>
      <c r="AJ52" s="11" t="s">
        <v>31</v>
      </c>
      <c r="AK52">
        <v>2000</v>
      </c>
      <c r="AL52" t="s">
        <v>149</v>
      </c>
      <c r="AM52" t="s">
        <v>86</v>
      </c>
      <c r="AN52" t="s">
        <v>205</v>
      </c>
      <c r="AO52" t="s">
        <v>789</v>
      </c>
      <c r="AP52" t="s">
        <v>33</v>
      </c>
      <c r="AQ52" t="s">
        <v>33</v>
      </c>
      <c r="AR52" t="s">
        <v>33</v>
      </c>
      <c r="AS52">
        <f>AVERAGE(6,8)</f>
        <v>7</v>
      </c>
      <c r="AT52">
        <f>AS52-AU52</f>
        <v>1.8600000000000003</v>
      </c>
      <c r="AU52" s="6">
        <v>5.14</v>
      </c>
      <c r="AV52" t="b">
        <v>1</v>
      </c>
      <c r="AW52" t="s">
        <v>626</v>
      </c>
      <c r="AX52" t="s">
        <v>627</v>
      </c>
      <c r="AY52" t="s">
        <v>634</v>
      </c>
      <c r="AZ52" t="s">
        <v>33</v>
      </c>
      <c r="BA52" s="18" t="s">
        <v>800</v>
      </c>
      <c r="BB52" s="3" t="b">
        <v>0</v>
      </c>
      <c r="BC52" t="s">
        <v>81</v>
      </c>
      <c r="BD52">
        <v>18</v>
      </c>
      <c r="BE52" t="s">
        <v>80</v>
      </c>
      <c r="BF52">
        <v>24</v>
      </c>
      <c r="BG52" t="s">
        <v>644</v>
      </c>
      <c r="BH52" t="s">
        <v>31</v>
      </c>
      <c r="BI52" t="s">
        <v>32</v>
      </c>
      <c r="BJ52">
        <f t="shared" si="33"/>
        <v>5.14</v>
      </c>
      <c r="BK52" s="3">
        <f t="shared" si="34"/>
        <v>0.71096311899527576</v>
      </c>
      <c r="BL52">
        <v>2</v>
      </c>
      <c r="BM52" s="3">
        <f t="shared" si="26"/>
        <v>1.4193706494997305</v>
      </c>
      <c r="BN52" t="s">
        <v>33</v>
      </c>
      <c r="BO52" s="3">
        <f t="shared" si="10"/>
        <v>26.264591439688722</v>
      </c>
      <c r="BP52" t="s">
        <v>33</v>
      </c>
      <c r="BQ52" t="s">
        <v>33</v>
      </c>
      <c r="BR52" t="s">
        <v>33</v>
      </c>
      <c r="BS52" t="s">
        <v>33</v>
      </c>
      <c r="BT52" t="s">
        <v>32</v>
      </c>
      <c r="BU52" t="s">
        <v>661</v>
      </c>
      <c r="BV52">
        <v>2013</v>
      </c>
      <c r="BW52" t="s">
        <v>662</v>
      </c>
      <c r="BX52" s="13" t="s">
        <v>663</v>
      </c>
      <c r="BY52" s="13" t="s">
        <v>684</v>
      </c>
      <c r="CA52" t="str">
        <f t="shared" si="11"/>
        <v>high acid</v>
      </c>
    </row>
    <row r="53" spans="1:79">
      <c r="A53" t="s">
        <v>592</v>
      </c>
      <c r="B53" t="s">
        <v>566</v>
      </c>
      <c r="C53" t="s">
        <v>563</v>
      </c>
      <c r="D53" t="s">
        <v>607</v>
      </c>
      <c r="E53" t="s">
        <v>77</v>
      </c>
      <c r="F53" t="s">
        <v>32</v>
      </c>
      <c r="G53" t="s">
        <v>33</v>
      </c>
      <c r="H53">
        <v>35</v>
      </c>
      <c r="I53" t="b">
        <v>0</v>
      </c>
      <c r="J53">
        <v>30000</v>
      </c>
      <c r="K53">
        <v>200</v>
      </c>
      <c r="L53">
        <v>35</v>
      </c>
      <c r="M53" s="4">
        <v>1</v>
      </c>
      <c r="N53" t="e">
        <f>(#REF!*Y53)/(T53*X53*O53)</f>
        <v>#REF!</v>
      </c>
      <c r="O53">
        <v>3</v>
      </c>
      <c r="P53" t="s">
        <v>33</v>
      </c>
      <c r="Q53" s="1">
        <f t="shared" si="31"/>
        <v>167.29999999999998</v>
      </c>
      <c r="R53" t="s">
        <v>183</v>
      </c>
      <c r="S53" t="s">
        <v>33</v>
      </c>
      <c r="T53">
        <v>1</v>
      </c>
      <c r="U53">
        <v>2.5</v>
      </c>
      <c r="V53" t="s">
        <v>33</v>
      </c>
      <c r="W53">
        <v>0.50249999999999995</v>
      </c>
      <c r="X53">
        <f>W53</f>
        <v>0.50249999999999995</v>
      </c>
      <c r="Y53" t="s">
        <v>33</v>
      </c>
      <c r="Z53" s="3">
        <f t="shared" si="29"/>
        <v>3.0035863717872086E-3</v>
      </c>
      <c r="AA53" t="s">
        <v>33</v>
      </c>
      <c r="AB53">
        <f t="shared" si="35"/>
        <v>167.29999999999998</v>
      </c>
      <c r="AC53" s="1" t="str">
        <f t="shared" si="32"/>
        <v>NA</v>
      </c>
      <c r="AE53" s="3">
        <f t="shared" si="30"/>
        <v>614.82749999999987</v>
      </c>
      <c r="AF53">
        <v>501.9</v>
      </c>
      <c r="AG53" s="1" t="str">
        <f>IFERROR((N53*P53*Q53), "NA")</f>
        <v>NA</v>
      </c>
      <c r="AH53" s="1" t="str">
        <f>IFERROR((AG53*U53*AI53), "NA")</f>
        <v>NA</v>
      </c>
      <c r="AI53" s="1">
        <v>1</v>
      </c>
      <c r="AJ53" s="11" t="s">
        <v>31</v>
      </c>
      <c r="AK53">
        <v>1000</v>
      </c>
      <c r="AL53" t="s">
        <v>614</v>
      </c>
      <c r="AM53" s="3" t="s">
        <v>103</v>
      </c>
      <c r="AN53" t="s">
        <v>305</v>
      </c>
      <c r="AO53" t="s">
        <v>790</v>
      </c>
      <c r="AP53">
        <v>3.5</v>
      </c>
      <c r="AQ53" t="s">
        <v>33</v>
      </c>
      <c r="AR53" t="s">
        <v>33</v>
      </c>
      <c r="AS53">
        <v>8</v>
      </c>
      <c r="AT53">
        <f>AS53-AU53</f>
        <v>1.8600000000000003</v>
      </c>
      <c r="AU53" s="6">
        <v>6.14</v>
      </c>
      <c r="AV53" t="b">
        <v>1</v>
      </c>
      <c r="AW53" t="s">
        <v>626</v>
      </c>
      <c r="AX53" t="s">
        <v>627</v>
      </c>
      <c r="AY53" t="s">
        <v>633</v>
      </c>
      <c r="AZ53" t="s">
        <v>33</v>
      </c>
      <c r="BA53" s="18" t="s">
        <v>800</v>
      </c>
      <c r="BB53" s="3" t="b">
        <v>0</v>
      </c>
      <c r="BC53" t="s">
        <v>81</v>
      </c>
      <c r="BD53">
        <v>24</v>
      </c>
      <c r="BE53" t="s">
        <v>80</v>
      </c>
      <c r="BF53">
        <v>48</v>
      </c>
      <c r="BG53" t="s">
        <v>569</v>
      </c>
      <c r="BH53" t="s">
        <v>31</v>
      </c>
      <c r="BI53" t="s">
        <v>32</v>
      </c>
      <c r="BJ53">
        <f t="shared" si="33"/>
        <v>6.14</v>
      </c>
      <c r="BK53" s="3">
        <f t="shared" si="34"/>
        <v>0.78816837114116767</v>
      </c>
      <c r="BL53">
        <v>2</v>
      </c>
      <c r="BM53" s="3">
        <f t="shared" si="26"/>
        <v>2.0005849132414406</v>
      </c>
      <c r="BN53" t="s">
        <v>33</v>
      </c>
      <c r="BO53" s="3">
        <f t="shared" si="10"/>
        <v>100.13477198697066</v>
      </c>
      <c r="BP53" t="s">
        <v>33</v>
      </c>
      <c r="BQ53" t="s">
        <v>33</v>
      </c>
      <c r="BR53" t="s">
        <v>33</v>
      </c>
      <c r="BS53" t="s">
        <v>33</v>
      </c>
      <c r="BT53" t="s">
        <v>31</v>
      </c>
      <c r="BU53" s="15" t="s">
        <v>255</v>
      </c>
      <c r="BV53">
        <v>2010</v>
      </c>
      <c r="BW53" t="s">
        <v>659</v>
      </c>
      <c r="BX53" t="s">
        <v>78</v>
      </c>
      <c r="BY53" s="13" t="s">
        <v>680</v>
      </c>
      <c r="CA53" t="str">
        <f t="shared" si="11"/>
        <v>high acid</v>
      </c>
    </row>
    <row r="54" spans="1:79">
      <c r="A54" s="3" t="s">
        <v>303</v>
      </c>
      <c r="B54" t="s">
        <v>566</v>
      </c>
      <c r="C54" t="s">
        <v>563</v>
      </c>
      <c r="D54" s="3" t="s">
        <v>279</v>
      </c>
      <c r="E54" s="3" t="s">
        <v>77</v>
      </c>
      <c r="F54" t="s">
        <v>32</v>
      </c>
      <c r="G54" s="11">
        <v>10</v>
      </c>
      <c r="H54" s="11">
        <v>30</v>
      </c>
      <c r="I54" s="3" t="b">
        <v>0</v>
      </c>
      <c r="J54" s="3" t="s">
        <v>33</v>
      </c>
      <c r="K54" s="3" t="s">
        <v>33</v>
      </c>
      <c r="L54" s="11">
        <v>20</v>
      </c>
      <c r="M54" s="4">
        <v>1000</v>
      </c>
      <c r="N54" s="3">
        <f>IFERROR(AF54/((T54*X54/Y54)*O54*AI54),"NA")</f>
        <v>7578.806813899776</v>
      </c>
      <c r="O54" s="3">
        <v>16</v>
      </c>
      <c r="P54" s="3" t="s">
        <v>33</v>
      </c>
      <c r="Q54" s="3">
        <f t="shared" si="31"/>
        <v>0.22500000000000001</v>
      </c>
      <c r="R54" t="s">
        <v>183</v>
      </c>
      <c r="S54" t="s">
        <v>613</v>
      </c>
      <c r="T54" s="11">
        <v>1</v>
      </c>
      <c r="U54" s="3">
        <v>2.8</v>
      </c>
      <c r="V54" s="3">
        <v>3</v>
      </c>
      <c r="W54" s="3">
        <v>0.02</v>
      </c>
      <c r="X54" s="3">
        <f>IFERROR(((PI())*(((V54*10^-1)/2)^2)*(U54*10^-1)), "NA")</f>
        <v>1.97920337176157E-2</v>
      </c>
      <c r="Y54" s="3">
        <f>40/60</f>
        <v>0.66666666666666663</v>
      </c>
      <c r="Z54" s="3">
        <f t="shared" si="29"/>
        <v>8.7964594300514218E-2</v>
      </c>
      <c r="AA54" s="3" t="s">
        <v>33</v>
      </c>
      <c r="AB54" s="3">
        <f t="shared" si="35"/>
        <v>225</v>
      </c>
      <c r="AC54" s="3" t="str">
        <f t="shared" si="32"/>
        <v>NA</v>
      </c>
      <c r="AD54" s="4">
        <f>AB54*T54*AI54</f>
        <v>225</v>
      </c>
      <c r="AE54" s="3">
        <f t="shared" si="30"/>
        <v>720</v>
      </c>
      <c r="AF54" s="3">
        <v>3600</v>
      </c>
      <c r="AG54" s="3" t="str">
        <f>IFERROR((M54*O54*P54), "NA")</f>
        <v>NA</v>
      </c>
      <c r="AH54" s="3" t="str">
        <f>IFERROR((AG54*T54*AI54), "NA")</f>
        <v>NA</v>
      </c>
      <c r="AI54" s="3">
        <v>1</v>
      </c>
      <c r="AJ54" t="s">
        <v>31</v>
      </c>
      <c r="AK54" s="3">
        <v>500</v>
      </c>
      <c r="AL54" s="3" t="s">
        <v>281</v>
      </c>
      <c r="AM54" s="3" t="s">
        <v>103</v>
      </c>
      <c r="AN54" t="s">
        <v>130</v>
      </c>
      <c r="AO54" t="s">
        <v>795</v>
      </c>
      <c r="AP54" s="3" t="s">
        <v>33</v>
      </c>
      <c r="AQ54" s="3" t="s">
        <v>33</v>
      </c>
      <c r="AR54" s="3" t="s">
        <v>33</v>
      </c>
      <c r="AS54" s="3">
        <f>4.049</f>
        <v>4.0490000000000004</v>
      </c>
      <c r="AT54" s="3">
        <f t="shared" ref="AT54:AT57" si="36">IFERROR(AS54-AU54,"NA")</f>
        <v>1.8610000000000002</v>
      </c>
      <c r="AU54" s="6">
        <v>2.1880000000000002</v>
      </c>
      <c r="AV54" s="3" t="b">
        <v>1</v>
      </c>
      <c r="AW54" s="3" t="s">
        <v>172</v>
      </c>
      <c r="AX54" s="3" t="s">
        <v>173</v>
      </c>
      <c r="AY54" s="3" t="s">
        <v>283</v>
      </c>
      <c r="AZ54" s="3" t="s">
        <v>33</v>
      </c>
      <c r="BA54" s="18" t="s">
        <v>799</v>
      </c>
      <c r="BB54" s="3" t="b">
        <v>0</v>
      </c>
      <c r="BC54" t="s">
        <v>81</v>
      </c>
      <c r="BD54" s="3">
        <v>2</v>
      </c>
      <c r="BE54" s="3" t="s">
        <v>252</v>
      </c>
      <c r="BF54" s="11">
        <v>72</v>
      </c>
      <c r="BG54" s="3" t="s">
        <v>574</v>
      </c>
      <c r="BH54" s="3" t="s">
        <v>31</v>
      </c>
      <c r="BI54" s="3" t="s">
        <v>31</v>
      </c>
      <c r="BJ54" s="3">
        <f t="shared" si="33"/>
        <v>2.1880000000000002</v>
      </c>
      <c r="BK54" s="3">
        <f t="shared" si="34"/>
        <v>0.34004731766139318</v>
      </c>
      <c r="BL54" s="3">
        <v>2</v>
      </c>
      <c r="BM54" s="3">
        <f t="shared" si="26"/>
        <v>2.5172851787698751</v>
      </c>
      <c r="BN54" s="3" t="s">
        <v>33</v>
      </c>
      <c r="BO54" s="3">
        <f t="shared" si="10"/>
        <v>329.06764168190125</v>
      </c>
      <c r="BP54" s="3" t="s">
        <v>33</v>
      </c>
      <c r="BQ54" s="3" t="s">
        <v>33</v>
      </c>
      <c r="BR54" s="3" t="s">
        <v>33</v>
      </c>
      <c r="BS54" s="3" t="s">
        <v>33</v>
      </c>
      <c r="BT54" t="s">
        <v>31</v>
      </c>
      <c r="BU54" s="3" t="s">
        <v>247</v>
      </c>
      <c r="BV54" s="11">
        <v>2016</v>
      </c>
      <c r="BW54" s="3" t="s">
        <v>284</v>
      </c>
      <c r="BX54" t="s">
        <v>78</v>
      </c>
      <c r="BY54" s="3" t="s">
        <v>33</v>
      </c>
      <c r="BZ54" s="3" t="s">
        <v>301</v>
      </c>
      <c r="CA54" t="str">
        <f t="shared" si="11"/>
        <v>low acid</v>
      </c>
    </row>
    <row r="55" spans="1:79">
      <c r="A55" s="3" t="s">
        <v>280</v>
      </c>
      <c r="B55" t="s">
        <v>566</v>
      </c>
      <c r="C55" t="s">
        <v>563</v>
      </c>
      <c r="D55" s="3" t="s">
        <v>279</v>
      </c>
      <c r="E55" s="3" t="s">
        <v>77</v>
      </c>
      <c r="F55" t="s">
        <v>32</v>
      </c>
      <c r="G55" s="11">
        <v>10</v>
      </c>
      <c r="H55" s="11">
        <v>30</v>
      </c>
      <c r="I55" s="3" t="b">
        <v>0</v>
      </c>
      <c r="J55" s="3" t="s">
        <v>33</v>
      </c>
      <c r="K55" s="3" t="s">
        <v>33</v>
      </c>
      <c r="L55" s="11">
        <v>50</v>
      </c>
      <c r="M55" s="4">
        <v>1000</v>
      </c>
      <c r="N55" s="3">
        <f>IFERROR(AF55/((T55*X55/Y55)*O55*AI55),"NA")</f>
        <v>2526.2689379665921</v>
      </c>
      <c r="O55" s="3">
        <v>16</v>
      </c>
      <c r="P55" s="3" t="s">
        <v>33</v>
      </c>
      <c r="Q55" s="3">
        <f t="shared" si="31"/>
        <v>7.5000000000000011E-2</v>
      </c>
      <c r="R55" t="s">
        <v>183</v>
      </c>
      <c r="S55" t="s">
        <v>613</v>
      </c>
      <c r="T55" s="11">
        <v>1</v>
      </c>
      <c r="U55" s="3">
        <v>2.8</v>
      </c>
      <c r="V55" s="3">
        <v>3</v>
      </c>
      <c r="W55" s="3">
        <v>0.02</v>
      </c>
      <c r="X55" s="3">
        <f>IFERROR(((PI())*(((V55*10^-1)/2)^2)*(U55*10^-1)), "NA")</f>
        <v>1.97920337176157E-2</v>
      </c>
      <c r="Y55" s="3">
        <f>40/60</f>
        <v>0.66666666666666663</v>
      </c>
      <c r="Z55" s="3">
        <f t="shared" si="29"/>
        <v>0.26389378290154264</v>
      </c>
      <c r="AA55" s="3" t="s">
        <v>33</v>
      </c>
      <c r="AB55" s="3">
        <f t="shared" si="35"/>
        <v>75</v>
      </c>
      <c r="AC55" s="3" t="str">
        <f t="shared" si="32"/>
        <v>NA</v>
      </c>
      <c r="AD55" s="4">
        <f>AB55*T55*AI55</f>
        <v>75</v>
      </c>
      <c r="AE55" s="3">
        <f t="shared" si="30"/>
        <v>600.00000000000011</v>
      </c>
      <c r="AF55" s="3">
        <v>1200</v>
      </c>
      <c r="AG55" s="3" t="str">
        <f>IFERROR((M55*O55*P55), "NA")</f>
        <v>NA</v>
      </c>
      <c r="AH55" s="3" t="str">
        <f>IFERROR((AG55*T55*AI55), "NA")</f>
        <v>NA</v>
      </c>
      <c r="AI55" s="3">
        <v>1</v>
      </c>
      <c r="AJ55" t="s">
        <v>31</v>
      </c>
      <c r="AK55" s="3">
        <v>200</v>
      </c>
      <c r="AL55" s="3" t="s">
        <v>281</v>
      </c>
      <c r="AM55" s="3" t="s">
        <v>103</v>
      </c>
      <c r="AN55" t="s">
        <v>130</v>
      </c>
      <c r="AO55" t="s">
        <v>795</v>
      </c>
      <c r="AP55" s="3" t="s">
        <v>33</v>
      </c>
      <c r="AQ55" s="3" t="s">
        <v>33</v>
      </c>
      <c r="AR55" s="3" t="s">
        <v>33</v>
      </c>
      <c r="AS55" s="3">
        <v>4.0880000000000001</v>
      </c>
      <c r="AT55" s="3">
        <f t="shared" si="36"/>
        <v>1.87</v>
      </c>
      <c r="AU55" s="6">
        <v>2.218</v>
      </c>
      <c r="AV55" s="3" t="b">
        <v>1</v>
      </c>
      <c r="AW55" s="3" t="s">
        <v>172</v>
      </c>
      <c r="AX55" s="3" t="s">
        <v>173</v>
      </c>
      <c r="AY55" s="3" t="s">
        <v>283</v>
      </c>
      <c r="AZ55" s="3" t="s">
        <v>33</v>
      </c>
      <c r="BA55" s="18" t="s">
        <v>799</v>
      </c>
      <c r="BB55" s="3" t="b">
        <v>0</v>
      </c>
      <c r="BC55" t="s">
        <v>81</v>
      </c>
      <c r="BD55" s="3">
        <v>2</v>
      </c>
      <c r="BE55" s="3" t="s">
        <v>252</v>
      </c>
      <c r="BF55" s="11">
        <v>72</v>
      </c>
      <c r="BG55" s="3" t="s">
        <v>574</v>
      </c>
      <c r="BH55" s="3" t="s">
        <v>31</v>
      </c>
      <c r="BI55" s="3" t="s">
        <v>31</v>
      </c>
      <c r="BJ55" s="3">
        <f t="shared" si="33"/>
        <v>2.218</v>
      </c>
      <c r="BK55" s="3">
        <f t="shared" si="34"/>
        <v>0.34596154181314126</v>
      </c>
      <c r="BL55" s="3">
        <v>2</v>
      </c>
      <c r="BM55" s="3">
        <f t="shared" si="26"/>
        <v>2.4321897085705024</v>
      </c>
      <c r="BN55" s="3" t="s">
        <v>33</v>
      </c>
      <c r="BO55" s="3">
        <f t="shared" si="10"/>
        <v>270.51397655545543</v>
      </c>
      <c r="BP55" s="3" t="s">
        <v>33</v>
      </c>
      <c r="BQ55" s="3" t="s">
        <v>33</v>
      </c>
      <c r="BR55" s="3" t="s">
        <v>33</v>
      </c>
      <c r="BS55" s="3" t="s">
        <v>33</v>
      </c>
      <c r="BT55" t="s">
        <v>31</v>
      </c>
      <c r="BU55" s="3" t="s">
        <v>247</v>
      </c>
      <c r="BV55" s="11">
        <v>2016</v>
      </c>
      <c r="BW55" s="3" t="s">
        <v>284</v>
      </c>
      <c r="BX55" t="s">
        <v>78</v>
      </c>
      <c r="BY55" s="3" t="s">
        <v>33</v>
      </c>
      <c r="BZ55" s="3" t="s">
        <v>282</v>
      </c>
      <c r="CA55" t="str">
        <f t="shared" si="11"/>
        <v>low acid</v>
      </c>
    </row>
    <row r="56" spans="1:79">
      <c r="A56" t="s">
        <v>225</v>
      </c>
      <c r="B56" t="s">
        <v>565</v>
      </c>
      <c r="C56" t="s">
        <v>563</v>
      </c>
      <c r="D56" t="s">
        <v>33</v>
      </c>
      <c r="E56" t="s">
        <v>77</v>
      </c>
      <c r="F56" t="s">
        <v>32</v>
      </c>
      <c r="G56">
        <v>30</v>
      </c>
      <c r="H56">
        <v>61</v>
      </c>
      <c r="I56" t="b">
        <v>1</v>
      </c>
      <c r="J56" t="s">
        <v>33</v>
      </c>
      <c r="K56" t="s">
        <v>33</v>
      </c>
      <c r="L56">
        <v>35</v>
      </c>
      <c r="M56" s="4">
        <v>250</v>
      </c>
      <c r="N56" s="3">
        <f>IFERROR(AF56/((T56*X56/Y56)*O56*AI56),"NA")</f>
        <v>260.5243209473274</v>
      </c>
      <c r="O56">
        <v>4</v>
      </c>
      <c r="P56" t="s">
        <v>33</v>
      </c>
      <c r="Q56" s="8">
        <f t="shared" si="31"/>
        <v>1.3333333333333332E-2</v>
      </c>
      <c r="R56" t="s">
        <v>183</v>
      </c>
      <c r="S56" t="s">
        <v>613</v>
      </c>
      <c r="T56" s="11">
        <v>6</v>
      </c>
      <c r="U56">
        <v>2.2999999999999998</v>
      </c>
      <c r="V56">
        <v>2.2000000000000002</v>
      </c>
      <c r="W56" t="s">
        <v>33</v>
      </c>
      <c r="X56" s="8">
        <f>IFERROR(((PI())*(((V56*10^-1)/2)^2)*(U56*10^-1)), "NA")</f>
        <v>8.7430523549403959E-3</v>
      </c>
      <c r="Y56" s="6">
        <f>41/60</f>
        <v>0.68333333333333335</v>
      </c>
      <c r="Z56" s="3">
        <f t="shared" si="29"/>
        <v>0.65572892662052973</v>
      </c>
      <c r="AA56" s="3">
        <f>20/6</f>
        <v>3.3333333333333335</v>
      </c>
      <c r="AB56" s="6">
        <f t="shared" si="35"/>
        <v>3.333333333333333</v>
      </c>
      <c r="AC56" t="str">
        <f t="shared" si="32"/>
        <v>NA</v>
      </c>
      <c r="AD56" s="4">
        <f>AB56*T56*AI56</f>
        <v>20</v>
      </c>
      <c r="AE56" s="3">
        <f t="shared" si="30"/>
        <v>392</v>
      </c>
      <c r="AF56">
        <v>80</v>
      </c>
      <c r="AG56" t="str">
        <f>IFERROR((M56*O56*P56), "NA")</f>
        <v>NA</v>
      </c>
      <c r="AH56" t="str">
        <f>IFERROR((AG56*T56*AI56), "NA")</f>
        <v>NA</v>
      </c>
      <c r="AI56">
        <v>1</v>
      </c>
      <c r="AJ56" t="s">
        <v>31</v>
      </c>
      <c r="AK56">
        <v>4000</v>
      </c>
      <c r="AL56" t="s">
        <v>546</v>
      </c>
      <c r="AM56" t="s">
        <v>103</v>
      </c>
      <c r="AN56" t="s">
        <v>130</v>
      </c>
      <c r="AO56" t="s">
        <v>795</v>
      </c>
      <c r="AP56">
        <v>5</v>
      </c>
      <c r="AQ56" t="s">
        <v>33</v>
      </c>
      <c r="AR56" t="s">
        <v>33</v>
      </c>
      <c r="AS56" s="6">
        <v>8.1</v>
      </c>
      <c r="AT56" s="3">
        <f t="shared" si="36"/>
        <v>1.8999999999999995</v>
      </c>
      <c r="AU56" s="6">
        <v>6.2</v>
      </c>
      <c r="AV56" t="b">
        <v>1</v>
      </c>
      <c r="AW56" t="s">
        <v>29</v>
      </c>
      <c r="AX56" t="s">
        <v>30</v>
      </c>
      <c r="AY56" t="s">
        <v>226</v>
      </c>
      <c r="AZ56" t="s">
        <v>33</v>
      </c>
      <c r="BA56" s="18" t="s">
        <v>798</v>
      </c>
      <c r="BB56" t="b">
        <v>0</v>
      </c>
      <c r="BC56" t="s">
        <v>81</v>
      </c>
      <c r="BD56">
        <v>14</v>
      </c>
      <c r="BE56" t="s">
        <v>80</v>
      </c>
      <c r="BF56" s="11">
        <v>120</v>
      </c>
      <c r="BG56" t="s">
        <v>139</v>
      </c>
      <c r="BH56" t="s">
        <v>31</v>
      </c>
      <c r="BI56" t="s">
        <v>32</v>
      </c>
      <c r="BJ56" s="3">
        <f t="shared" si="33"/>
        <v>6.2</v>
      </c>
      <c r="BK56" s="3">
        <f t="shared" si="34"/>
        <v>0.79239168949825389</v>
      </c>
      <c r="BL56">
        <v>2</v>
      </c>
      <c r="BM56" s="3">
        <f t="shared" si="26"/>
        <v>1.8008943775222033</v>
      </c>
      <c r="BN56" t="s">
        <v>33</v>
      </c>
      <c r="BO56" s="3">
        <f t="shared" si="10"/>
        <v>63.225806451612904</v>
      </c>
      <c r="BP56" t="s">
        <v>33</v>
      </c>
      <c r="BQ56" t="s">
        <v>33</v>
      </c>
      <c r="BR56" t="s">
        <v>33</v>
      </c>
      <c r="BS56" t="s">
        <v>33</v>
      </c>
      <c r="BT56" t="s">
        <v>31</v>
      </c>
      <c r="BU56" t="s">
        <v>227</v>
      </c>
      <c r="BV56">
        <v>2001</v>
      </c>
      <c r="BW56" t="s">
        <v>228</v>
      </c>
      <c r="BX56" t="s">
        <v>78</v>
      </c>
      <c r="BY56" t="s">
        <v>33</v>
      </c>
      <c r="BZ56" t="s">
        <v>33</v>
      </c>
      <c r="CA56" t="str">
        <f t="shared" si="11"/>
        <v>low acid</v>
      </c>
    </row>
    <row r="57" spans="1:79">
      <c r="A57" t="s">
        <v>231</v>
      </c>
      <c r="B57" t="s">
        <v>565</v>
      </c>
      <c r="C57" t="s">
        <v>563</v>
      </c>
      <c r="D57" t="s">
        <v>33</v>
      </c>
      <c r="E57" t="s">
        <v>77</v>
      </c>
      <c r="F57" t="s">
        <v>32</v>
      </c>
      <c r="G57">
        <v>30</v>
      </c>
      <c r="H57">
        <v>61</v>
      </c>
      <c r="I57" t="b">
        <v>1</v>
      </c>
      <c r="J57" t="s">
        <v>33</v>
      </c>
      <c r="K57" t="s">
        <v>33</v>
      </c>
      <c r="L57">
        <v>30</v>
      </c>
      <c r="M57" s="4">
        <v>500</v>
      </c>
      <c r="N57" s="3">
        <f>IFERROR(AF57/((T57*X57/Y57)*O57*AI57),"NA")</f>
        <v>521.04864189465479</v>
      </c>
      <c r="O57">
        <v>2</v>
      </c>
      <c r="P57" t="s">
        <v>33</v>
      </c>
      <c r="Q57" s="9">
        <f t="shared" si="31"/>
        <v>1.3333333333333332E-2</v>
      </c>
      <c r="R57" t="s">
        <v>183</v>
      </c>
      <c r="S57" t="s">
        <v>613</v>
      </c>
      <c r="T57" s="11">
        <v>6</v>
      </c>
      <c r="U57">
        <v>2.2999999999999998</v>
      </c>
      <c r="V57">
        <v>2.2000000000000002</v>
      </c>
      <c r="W57" t="s">
        <v>33</v>
      </c>
      <c r="X57" s="8">
        <f>IFERROR(((PI())*(((V57*10^-1)/2)^2)*(U57*10^-1)), "NA")</f>
        <v>8.7430523549403959E-3</v>
      </c>
      <c r="Y57" s="6">
        <f>41/60</f>
        <v>0.68333333333333335</v>
      </c>
      <c r="Z57" s="3">
        <f t="shared" si="29"/>
        <v>0.65572892662052973</v>
      </c>
      <c r="AA57" s="3">
        <f>40/6</f>
        <v>6.666666666666667</v>
      </c>
      <c r="AB57" s="6">
        <f t="shared" si="35"/>
        <v>6.6666666666666661</v>
      </c>
      <c r="AC57" t="str">
        <f t="shared" si="32"/>
        <v>NA</v>
      </c>
      <c r="AD57" s="4">
        <f>AB57*T57*AI57</f>
        <v>40</v>
      </c>
      <c r="AE57" s="3">
        <f t="shared" si="30"/>
        <v>288</v>
      </c>
      <c r="AF57">
        <v>80</v>
      </c>
      <c r="AG57" t="str">
        <f>IFERROR((M57*O57*P57), "NA")</f>
        <v>NA</v>
      </c>
      <c r="AH57" t="str">
        <f>IFERROR((AG57*T57*AI57), "NA")</f>
        <v>NA</v>
      </c>
      <c r="AI57">
        <v>1</v>
      </c>
      <c r="AJ57" t="s">
        <v>31</v>
      </c>
      <c r="AK57">
        <v>4000</v>
      </c>
      <c r="AL57" t="s">
        <v>546</v>
      </c>
      <c r="AM57" t="s">
        <v>103</v>
      </c>
      <c r="AN57" t="s">
        <v>130</v>
      </c>
      <c r="AO57" t="s">
        <v>795</v>
      </c>
      <c r="AP57">
        <v>5</v>
      </c>
      <c r="AQ57" t="s">
        <v>33</v>
      </c>
      <c r="AR57" t="s">
        <v>33</v>
      </c>
      <c r="AS57" s="6">
        <v>6.5</v>
      </c>
      <c r="AT57" s="3">
        <f t="shared" si="36"/>
        <v>1.9000000000000004</v>
      </c>
      <c r="AU57" s="6">
        <v>4.5999999999999996</v>
      </c>
      <c r="AV57" t="b">
        <v>1</v>
      </c>
      <c r="AW57" t="s">
        <v>172</v>
      </c>
      <c r="AX57" t="s">
        <v>173</v>
      </c>
      <c r="AY57" t="s">
        <v>236</v>
      </c>
      <c r="AZ57" t="s">
        <v>33</v>
      </c>
      <c r="BA57" s="18" t="s">
        <v>799</v>
      </c>
      <c r="BB57" t="b">
        <v>0</v>
      </c>
      <c r="BC57" t="s">
        <v>81</v>
      </c>
      <c r="BD57">
        <v>24</v>
      </c>
      <c r="BE57" t="s">
        <v>80</v>
      </c>
      <c r="BF57" s="11">
        <v>120</v>
      </c>
      <c r="BG57" t="s">
        <v>522</v>
      </c>
      <c r="BH57" t="s">
        <v>31</v>
      </c>
      <c r="BI57" t="s">
        <v>31</v>
      </c>
      <c r="BJ57" s="3">
        <f t="shared" si="33"/>
        <v>4.5999999999999996</v>
      </c>
      <c r="BK57" s="3">
        <f t="shared" si="34"/>
        <v>0.66275783168157409</v>
      </c>
      <c r="BL57">
        <v>2</v>
      </c>
      <c r="BM57" s="3">
        <f t="shared" si="26"/>
        <v>1.7966346560776569</v>
      </c>
      <c r="BN57" t="s">
        <v>33</v>
      </c>
      <c r="BO57" s="3">
        <f t="shared" si="10"/>
        <v>62.608695652173921</v>
      </c>
      <c r="BP57" t="s">
        <v>33</v>
      </c>
      <c r="BQ57" t="s">
        <v>33</v>
      </c>
      <c r="BR57" t="s">
        <v>33</v>
      </c>
      <c r="BS57" t="s">
        <v>33</v>
      </c>
      <c r="BT57" t="s">
        <v>31</v>
      </c>
      <c r="BU57" t="s">
        <v>227</v>
      </c>
      <c r="BV57">
        <v>2001</v>
      </c>
      <c r="BW57" t="s">
        <v>228</v>
      </c>
      <c r="BX57" t="s">
        <v>78</v>
      </c>
      <c r="BY57" t="s">
        <v>33</v>
      </c>
      <c r="BZ57" t="s">
        <v>33</v>
      </c>
      <c r="CA57" t="str">
        <f t="shared" si="11"/>
        <v>low acid</v>
      </c>
    </row>
    <row r="58" spans="1:79">
      <c r="A58" t="s">
        <v>588</v>
      </c>
      <c r="B58" t="s">
        <v>565</v>
      </c>
      <c r="C58" t="s">
        <v>563</v>
      </c>
      <c r="D58" t="s">
        <v>608</v>
      </c>
      <c r="E58" t="s">
        <v>77</v>
      </c>
      <c r="F58" t="s">
        <v>32</v>
      </c>
      <c r="G58" t="s">
        <v>33</v>
      </c>
      <c r="H58">
        <v>40</v>
      </c>
      <c r="I58" t="b">
        <v>0</v>
      </c>
      <c r="J58" t="s">
        <v>33</v>
      </c>
      <c r="K58" t="s">
        <v>33</v>
      </c>
      <c r="L58">
        <v>35</v>
      </c>
      <c r="M58" s="4">
        <v>250</v>
      </c>
      <c r="N58" t="e">
        <f>(#REF!*Y58)/(T58*X58*O58)</f>
        <v>#REF!</v>
      </c>
      <c r="O58">
        <v>3.7</v>
      </c>
      <c r="P58" t="s">
        <v>33</v>
      </c>
      <c r="Q58" s="1">
        <f t="shared" si="31"/>
        <v>8.1081081081081072E-2</v>
      </c>
      <c r="R58" t="s">
        <v>183</v>
      </c>
      <c r="S58" t="s">
        <v>613</v>
      </c>
      <c r="T58">
        <v>6</v>
      </c>
      <c r="U58">
        <v>1.9</v>
      </c>
      <c r="V58">
        <v>2.2999999999999998</v>
      </c>
      <c r="W58" t="s">
        <v>33</v>
      </c>
      <c r="X58">
        <f>IFERROR(((PI())*(((V58*10^-1)/2)^2)*(U58*10^-1)), "NA")</f>
        <v>7.8940369403077502E-3</v>
      </c>
      <c r="Y58">
        <v>1</v>
      </c>
      <c r="Z58" s="3">
        <f t="shared" si="29"/>
        <v>9.7359788930462265E-2</v>
      </c>
      <c r="AA58" t="s">
        <v>33</v>
      </c>
      <c r="AB58">
        <f t="shared" si="35"/>
        <v>20.27027027027027</v>
      </c>
      <c r="AC58" s="1" t="str">
        <f t="shared" si="32"/>
        <v>NA</v>
      </c>
      <c r="AE58" s="3">
        <f t="shared" si="30"/>
        <v>2645.9999999999995</v>
      </c>
      <c r="AF58">
        <v>450</v>
      </c>
      <c r="AG58" s="1" t="str">
        <f>IFERROR((N58*P58*Q58), "NA")</f>
        <v>NA</v>
      </c>
      <c r="AH58" s="1" t="str">
        <f>IFERROR((AG58*U58*AI58), "NA")</f>
        <v>NA</v>
      </c>
      <c r="AI58" s="1">
        <v>1</v>
      </c>
      <c r="AJ58" s="11" t="s">
        <v>31</v>
      </c>
      <c r="AK58">
        <v>4800</v>
      </c>
      <c r="AL58" t="s">
        <v>156</v>
      </c>
      <c r="AM58" t="s">
        <v>157</v>
      </c>
      <c r="AN58" t="s">
        <v>186</v>
      </c>
      <c r="AO58" t="s">
        <v>792</v>
      </c>
      <c r="AP58">
        <v>6.53</v>
      </c>
      <c r="AQ58" t="s">
        <v>33</v>
      </c>
      <c r="AR58" t="s">
        <v>33</v>
      </c>
      <c r="AS58">
        <v>6.5</v>
      </c>
      <c r="AT58">
        <v>2</v>
      </c>
      <c r="AU58" s="6">
        <f>AS58-AT58</f>
        <v>4.5</v>
      </c>
      <c r="AV58" t="b">
        <v>1</v>
      </c>
      <c r="AW58" t="s">
        <v>626</v>
      </c>
      <c r="AX58" t="s">
        <v>627</v>
      </c>
      <c r="AY58" t="s">
        <v>625</v>
      </c>
      <c r="AZ58" t="s">
        <v>33</v>
      </c>
      <c r="BA58" s="18" t="s">
        <v>800</v>
      </c>
      <c r="BB58" s="3" t="b">
        <v>0</v>
      </c>
      <c r="BC58" t="s">
        <v>81</v>
      </c>
      <c r="BD58">
        <v>12</v>
      </c>
      <c r="BE58" t="s">
        <v>80</v>
      </c>
      <c r="BF58">
        <v>48</v>
      </c>
      <c r="BG58" t="s">
        <v>568</v>
      </c>
      <c r="BH58" t="s">
        <v>31</v>
      </c>
      <c r="BI58" t="s">
        <v>31</v>
      </c>
      <c r="BJ58">
        <f t="shared" si="33"/>
        <v>4.5</v>
      </c>
      <c r="BK58" s="3">
        <f t="shared" si="34"/>
        <v>0.65321251377534373</v>
      </c>
      <c r="BL58">
        <v>2</v>
      </c>
      <c r="BM58" s="3">
        <f t="shared" si="26"/>
        <v>2.7693773260761385</v>
      </c>
      <c r="BN58" t="s">
        <v>33</v>
      </c>
      <c r="BO58" s="3">
        <f t="shared" si="10"/>
        <v>587.99999999999989</v>
      </c>
      <c r="BP58" t="s">
        <v>33</v>
      </c>
      <c r="BQ58" t="s">
        <v>33</v>
      </c>
      <c r="BR58" t="s">
        <v>33</v>
      </c>
      <c r="BS58" t="s">
        <v>33</v>
      </c>
      <c r="BT58" t="s">
        <v>31</v>
      </c>
      <c r="BU58" s="13" t="s">
        <v>163</v>
      </c>
      <c r="BV58">
        <v>2004</v>
      </c>
      <c r="BW58" t="s">
        <v>654</v>
      </c>
      <c r="BX58" t="s">
        <v>78</v>
      </c>
      <c r="BY58" s="13" t="s">
        <v>677</v>
      </c>
      <c r="CA58" t="str">
        <f t="shared" si="11"/>
        <v>low acid</v>
      </c>
    </row>
    <row r="59" spans="1:79">
      <c r="A59" t="s">
        <v>752</v>
      </c>
      <c r="B59" t="s">
        <v>565</v>
      </c>
      <c r="C59" t="s">
        <v>563</v>
      </c>
      <c r="D59" t="s">
        <v>118</v>
      </c>
      <c r="E59" t="s">
        <v>77</v>
      </c>
      <c r="F59" t="s">
        <v>32</v>
      </c>
      <c r="G59">
        <v>4</v>
      </c>
      <c r="H59" t="s">
        <v>33</v>
      </c>
      <c r="I59" t="b">
        <v>0</v>
      </c>
      <c r="J59" t="s">
        <v>33</v>
      </c>
      <c r="K59" t="s">
        <v>33</v>
      </c>
      <c r="L59">
        <v>41</v>
      </c>
      <c r="M59" s="4">
        <v>600</v>
      </c>
      <c r="N59" s="3" t="str">
        <f>IFERROR(AF59/((T59*X59/Y59)*O59*AI59),"NA")</f>
        <v>NA</v>
      </c>
      <c r="O59">
        <v>4</v>
      </c>
      <c r="P59" s="8">
        <f>Q59</f>
        <v>1.5402223470901606E-2</v>
      </c>
      <c r="Q59" s="8">
        <f>IFERROR(X59/Y59, "NA")</f>
        <v>1.5402223470901606E-2</v>
      </c>
      <c r="R59" t="s">
        <v>183</v>
      </c>
      <c r="S59" t="s">
        <v>613</v>
      </c>
      <c r="T59" s="11">
        <v>6</v>
      </c>
      <c r="U59">
        <v>2.2999999999999998</v>
      </c>
      <c r="V59">
        <v>2.92</v>
      </c>
      <c r="W59" t="s">
        <v>33</v>
      </c>
      <c r="X59">
        <f t="shared" ref="X59:X77" si="37">IFERROR(((PI())*(((V59*10^-1)/2)^2)*(U59*10^-1)), "NA")</f>
        <v>1.5402223470901606E-2</v>
      </c>
      <c r="Y59">
        <v>1</v>
      </c>
      <c r="Z59" s="3" t="str">
        <f t="shared" si="29"/>
        <v>NA</v>
      </c>
      <c r="AA59" t="s">
        <v>33</v>
      </c>
      <c r="AB59" s="4">
        <f>IFERROR(((X59*M59)/Y59), "NA")</f>
        <v>9.2413340825409627</v>
      </c>
      <c r="AC59" s="4">
        <f t="shared" si="32"/>
        <v>9.2413340825409627</v>
      </c>
      <c r="AD59" s="4">
        <f>AB59*T59*AI59</f>
        <v>55.448004495245776</v>
      </c>
      <c r="AE59" s="3">
        <f t="shared" si="30"/>
        <v>589.07516391713159</v>
      </c>
      <c r="AF59" t="s">
        <v>33</v>
      </c>
      <c r="AG59" s="4">
        <f>IFERROR((M59*O59*P59), "NA")</f>
        <v>36.965336330163851</v>
      </c>
      <c r="AH59" s="4">
        <f>IFERROR((AG59*T59*AI59), "NA")</f>
        <v>221.7920179809831</v>
      </c>
      <c r="AI59">
        <v>1</v>
      </c>
      <c r="AJ59" s="11" t="s">
        <v>31</v>
      </c>
      <c r="AK59">
        <v>1580</v>
      </c>
      <c r="AL59" t="s">
        <v>753</v>
      </c>
      <c r="AM59" t="s">
        <v>515</v>
      </c>
      <c r="AN59" t="s">
        <v>205</v>
      </c>
      <c r="AO59" t="s">
        <v>788</v>
      </c>
      <c r="AP59" t="s">
        <v>33</v>
      </c>
      <c r="AQ59" t="s">
        <v>33</v>
      </c>
      <c r="AR59" t="s">
        <v>33</v>
      </c>
      <c r="AS59">
        <v>7.915</v>
      </c>
      <c r="AT59" s="3">
        <f>IFERROR(AS59-AU59,"NA")</f>
        <v>2.0010000000000003</v>
      </c>
      <c r="AU59" s="6">
        <v>5.9139999999999997</v>
      </c>
      <c r="AV59" t="b">
        <v>1</v>
      </c>
      <c r="AW59" t="s">
        <v>480</v>
      </c>
      <c r="AX59" t="s">
        <v>754</v>
      </c>
      <c r="AY59" t="s">
        <v>33</v>
      </c>
      <c r="AZ59" t="s">
        <v>33</v>
      </c>
      <c r="BA59" s="18" t="s">
        <v>579</v>
      </c>
      <c r="BB59" s="3" t="b">
        <v>1</v>
      </c>
      <c r="BC59" t="s">
        <v>81</v>
      </c>
      <c r="BD59">
        <v>24</v>
      </c>
      <c r="BE59" t="s">
        <v>80</v>
      </c>
      <c r="BF59">
        <v>96</v>
      </c>
      <c r="BG59" t="s">
        <v>755</v>
      </c>
      <c r="BH59" t="s">
        <v>31</v>
      </c>
      <c r="BI59" t="s">
        <v>32</v>
      </c>
      <c r="BJ59" s="3">
        <f t="shared" si="33"/>
        <v>5.9139999999999997</v>
      </c>
      <c r="BK59" s="3">
        <f t="shared" si="34"/>
        <v>0.77188132019009881</v>
      </c>
      <c r="BL59">
        <v>2</v>
      </c>
      <c r="BM59" s="3">
        <f t="shared" si="26"/>
        <v>1.9982893925796454</v>
      </c>
      <c r="BN59" t="s">
        <v>33</v>
      </c>
      <c r="BO59" s="3">
        <f t="shared" si="10"/>
        <v>99.606892782741227</v>
      </c>
      <c r="BP59" t="s">
        <v>33</v>
      </c>
      <c r="BQ59" t="s">
        <v>33</v>
      </c>
      <c r="BR59" t="s">
        <v>33</v>
      </c>
      <c r="BS59" t="s">
        <v>33</v>
      </c>
      <c r="BT59" t="s">
        <v>31</v>
      </c>
      <c r="BU59" t="s">
        <v>163</v>
      </c>
      <c r="BV59">
        <v>2004</v>
      </c>
      <c r="BW59" t="s">
        <v>756</v>
      </c>
      <c r="BX59" t="s">
        <v>78</v>
      </c>
      <c r="BY59" t="s">
        <v>757</v>
      </c>
      <c r="CA59" t="str">
        <f t="shared" si="11"/>
        <v>high acid</v>
      </c>
    </row>
    <row r="60" spans="1:79">
      <c r="A60" t="s">
        <v>527</v>
      </c>
      <c r="B60" t="s">
        <v>565</v>
      </c>
      <c r="C60" t="s">
        <v>564</v>
      </c>
      <c r="D60" t="s">
        <v>215</v>
      </c>
      <c r="E60" t="s">
        <v>77</v>
      </c>
      <c r="F60" t="s">
        <v>32</v>
      </c>
      <c r="G60">
        <v>22.7</v>
      </c>
      <c r="H60">
        <v>46</v>
      </c>
      <c r="I60" t="b">
        <v>0</v>
      </c>
      <c r="J60" t="s">
        <v>33</v>
      </c>
      <c r="K60" t="s">
        <v>33</v>
      </c>
      <c r="L60">
        <v>35</v>
      </c>
      <c r="M60" s="4">
        <v>155</v>
      </c>
      <c r="N60" s="3">
        <f>IFERROR(AF60/((T60*X60/Y60)*O60*AI60),"NA")</f>
        <v>182.82413975684386</v>
      </c>
      <c r="O60">
        <v>2</v>
      </c>
      <c r="P60" t="s">
        <v>33</v>
      </c>
      <c r="Q60" s="8">
        <f t="shared" ref="Q60:Q88" si="38">IFERROR(X60/Z60, "NA")</f>
        <v>2.5806451612903229E-2</v>
      </c>
      <c r="R60" t="s">
        <v>183</v>
      </c>
      <c r="S60" t="s">
        <v>612</v>
      </c>
      <c r="T60" s="11">
        <v>2</v>
      </c>
      <c r="U60">
        <v>6.5</v>
      </c>
      <c r="V60">
        <v>5</v>
      </c>
      <c r="W60" t="s">
        <v>33</v>
      </c>
      <c r="X60" s="8">
        <f t="shared" si="37"/>
        <v>0.12762720155208535</v>
      </c>
      <c r="Y60" s="6">
        <f>350/60</f>
        <v>5.833333333333333</v>
      </c>
      <c r="Z60" s="3">
        <f t="shared" si="29"/>
        <v>4.9455540601433068</v>
      </c>
      <c r="AA60">
        <f>8/2</f>
        <v>4</v>
      </c>
      <c r="AB60" s="6">
        <f t="shared" ref="AB60:AB68" si="39">IFERROR(((X60*M60)/Z60), "NA")</f>
        <v>4</v>
      </c>
      <c r="AC60" t="str">
        <f t="shared" si="32"/>
        <v>NA</v>
      </c>
      <c r="AD60" s="4">
        <f>IFERROR(AB60*T60*AI60, "NA")</f>
        <v>8</v>
      </c>
      <c r="AE60" s="3">
        <f t="shared" si="30"/>
        <v>76.44</v>
      </c>
      <c r="AF60">
        <v>16</v>
      </c>
      <c r="AG60" t="str">
        <f>IFERROR((M60*O60*P60), "NA")</f>
        <v>NA</v>
      </c>
      <c r="AH60" t="str">
        <f>IFERROR((AG60*T60*AI60), "NA")</f>
        <v>NA</v>
      </c>
      <c r="AI60" s="11">
        <v>1</v>
      </c>
      <c r="AJ60" t="s">
        <v>31</v>
      </c>
      <c r="AK60">
        <v>3900</v>
      </c>
      <c r="AL60" t="s">
        <v>528</v>
      </c>
      <c r="AM60" s="3" t="s">
        <v>86</v>
      </c>
      <c r="AN60" t="s">
        <v>205</v>
      </c>
      <c r="AO60" t="s">
        <v>789</v>
      </c>
      <c r="AP60">
        <v>3.4</v>
      </c>
      <c r="AQ60" t="s">
        <v>33</v>
      </c>
      <c r="AR60">
        <v>3750</v>
      </c>
      <c r="AS60" s="6">
        <f>LOG(10^6)</f>
        <v>6</v>
      </c>
      <c r="AT60" s="3">
        <f>IFERROR(AS60-AU60,"NA")</f>
        <v>2.0099999999999998</v>
      </c>
      <c r="AU60" s="6">
        <f>(3.75+4.23)/2</f>
        <v>3.99</v>
      </c>
      <c r="AV60" t="b">
        <v>1</v>
      </c>
      <c r="AW60" t="s">
        <v>29</v>
      </c>
      <c r="AX60" t="s">
        <v>30</v>
      </c>
      <c r="AY60" t="s">
        <v>33</v>
      </c>
      <c r="AZ60" t="s">
        <v>134</v>
      </c>
      <c r="BA60" s="18" t="s">
        <v>798</v>
      </c>
      <c r="BB60" s="3" t="b">
        <v>0</v>
      </c>
      <c r="BC60" t="s">
        <v>81</v>
      </c>
      <c r="BD60">
        <v>18</v>
      </c>
      <c r="BE60" t="s">
        <v>80</v>
      </c>
      <c r="BF60" s="11">
        <v>24</v>
      </c>
      <c r="BG60" t="s">
        <v>87</v>
      </c>
      <c r="BH60" t="s">
        <v>31</v>
      </c>
      <c r="BI60" t="s">
        <v>31</v>
      </c>
      <c r="BJ60" s="3">
        <f t="shared" si="33"/>
        <v>3.99</v>
      </c>
      <c r="BK60" s="3">
        <f t="shared" si="34"/>
        <v>0.60097289568674828</v>
      </c>
      <c r="BL60">
        <v>2</v>
      </c>
      <c r="BM60" s="3">
        <f t="shared" si="26"/>
        <v>1.2823477826962271</v>
      </c>
      <c r="BN60" t="s">
        <v>33</v>
      </c>
      <c r="BO60" s="3">
        <f t="shared" si="10"/>
        <v>19.157894736842103</v>
      </c>
      <c r="BP60" t="s">
        <v>33</v>
      </c>
      <c r="BQ60" t="s">
        <v>33</v>
      </c>
      <c r="BR60" t="s">
        <v>33</v>
      </c>
      <c r="BS60" t="s">
        <v>33</v>
      </c>
      <c r="BT60" t="s">
        <v>32</v>
      </c>
      <c r="BU60" t="s">
        <v>34</v>
      </c>
      <c r="BV60">
        <v>2019</v>
      </c>
      <c r="BW60" t="s">
        <v>35</v>
      </c>
      <c r="BX60" t="s">
        <v>78</v>
      </c>
      <c r="BY60" t="s">
        <v>33</v>
      </c>
      <c r="BZ60" t="s">
        <v>33</v>
      </c>
      <c r="CA60" t="str">
        <f t="shared" si="11"/>
        <v>high acid</v>
      </c>
    </row>
    <row r="61" spans="1:79">
      <c r="A61" t="s">
        <v>596</v>
      </c>
      <c r="B61" t="s">
        <v>565</v>
      </c>
      <c r="C61" t="s">
        <v>563</v>
      </c>
      <c r="D61" t="s">
        <v>610</v>
      </c>
      <c r="E61" t="s">
        <v>77</v>
      </c>
      <c r="F61" t="s">
        <v>33</v>
      </c>
      <c r="G61">
        <v>20</v>
      </c>
      <c r="H61" t="s">
        <v>33</v>
      </c>
      <c r="I61" t="b">
        <v>0</v>
      </c>
      <c r="J61">
        <v>14000</v>
      </c>
      <c r="K61" t="s">
        <v>33</v>
      </c>
      <c r="L61">
        <v>35</v>
      </c>
      <c r="M61" s="4">
        <v>31.831088090218493</v>
      </c>
      <c r="N61" t="e">
        <f>(#REF!*Y61)/(T61*X61*O61)</f>
        <v>#REF!</v>
      </c>
      <c r="O61">
        <v>5</v>
      </c>
      <c r="P61" t="s">
        <v>33</v>
      </c>
      <c r="Q61" s="1">
        <f t="shared" si="38"/>
        <v>0.4712374254215147</v>
      </c>
      <c r="R61" t="s">
        <v>183</v>
      </c>
      <c r="S61" t="s">
        <v>613</v>
      </c>
      <c r="T61">
        <v>1</v>
      </c>
      <c r="U61">
        <v>4</v>
      </c>
      <c r="V61">
        <v>4</v>
      </c>
      <c r="W61" t="s">
        <v>33</v>
      </c>
      <c r="X61">
        <f t="shared" si="37"/>
        <v>5.02654824574367E-2</v>
      </c>
      <c r="Y61">
        <v>0.106667</v>
      </c>
      <c r="Z61" s="3">
        <f t="shared" si="29"/>
        <v>0.10666699999999998</v>
      </c>
      <c r="AA61" t="s">
        <v>33</v>
      </c>
      <c r="AB61">
        <f t="shared" si="39"/>
        <v>15.000000000000002</v>
      </c>
      <c r="AC61" s="1" t="str">
        <f t="shared" si="32"/>
        <v>NA</v>
      </c>
      <c r="AE61" s="3">
        <f t="shared" si="30"/>
        <v>229.68749999999997</v>
      </c>
      <c r="AF61">
        <v>75</v>
      </c>
      <c r="AG61" s="1" t="str">
        <f>IFERROR((N61*P61*Q61), "NA")</f>
        <v>NA</v>
      </c>
      <c r="AH61" s="1" t="str">
        <f>IFERROR((AG61*U61*AI61), "NA")</f>
        <v>NA</v>
      </c>
      <c r="AI61" s="1">
        <v>1</v>
      </c>
      <c r="AJ61" s="11" t="s">
        <v>31</v>
      </c>
      <c r="AK61">
        <v>2500</v>
      </c>
      <c r="AL61" t="s">
        <v>149</v>
      </c>
      <c r="AM61" t="s">
        <v>86</v>
      </c>
      <c r="AN61" t="s">
        <v>205</v>
      </c>
      <c r="AO61" t="s">
        <v>789</v>
      </c>
      <c r="AP61" t="s">
        <v>33</v>
      </c>
      <c r="AQ61" t="s">
        <v>33</v>
      </c>
      <c r="AR61" t="s">
        <v>33</v>
      </c>
      <c r="AS61">
        <f>AVERAGE(6,8)</f>
        <v>7</v>
      </c>
      <c r="AT61">
        <f>AS61-AU61</f>
        <v>2.0300000000000002</v>
      </c>
      <c r="AU61" s="6">
        <v>4.97</v>
      </c>
      <c r="AV61" t="b">
        <v>1</v>
      </c>
      <c r="AW61" t="s">
        <v>626</v>
      </c>
      <c r="AX61" t="s">
        <v>627</v>
      </c>
      <c r="AY61" t="s">
        <v>634</v>
      </c>
      <c r="AZ61" t="s">
        <v>33</v>
      </c>
      <c r="BA61" s="18" t="s">
        <v>800</v>
      </c>
      <c r="BB61" s="3" t="b">
        <v>0</v>
      </c>
      <c r="BC61" t="s">
        <v>81</v>
      </c>
      <c r="BD61">
        <v>18</v>
      </c>
      <c r="BE61" t="s">
        <v>80</v>
      </c>
      <c r="BF61">
        <v>24</v>
      </c>
      <c r="BG61" t="s">
        <v>644</v>
      </c>
      <c r="BH61" t="s">
        <v>31</v>
      </c>
      <c r="BI61" t="s">
        <v>31</v>
      </c>
      <c r="BJ61">
        <f t="shared" si="33"/>
        <v>4.97</v>
      </c>
      <c r="BK61" s="3">
        <f t="shared" si="34"/>
        <v>0.69635638873333205</v>
      </c>
      <c r="BL61">
        <v>2</v>
      </c>
      <c r="BM61" s="3">
        <f t="shared" si="26"/>
        <v>1.6647809720309568</v>
      </c>
      <c r="BN61" t="s">
        <v>33</v>
      </c>
      <c r="BO61" s="3">
        <f t="shared" si="10"/>
        <v>46.214788732394361</v>
      </c>
      <c r="BP61" t="s">
        <v>33</v>
      </c>
      <c r="BQ61" t="s">
        <v>33</v>
      </c>
      <c r="BR61" t="s">
        <v>33</v>
      </c>
      <c r="BS61" t="s">
        <v>33</v>
      </c>
      <c r="BT61" t="s">
        <v>32</v>
      </c>
      <c r="BU61" t="s">
        <v>661</v>
      </c>
      <c r="BV61">
        <v>2013</v>
      </c>
      <c r="BW61" t="s">
        <v>662</v>
      </c>
      <c r="BX61" s="13" t="s">
        <v>663</v>
      </c>
      <c r="BY61" s="13" t="s">
        <v>684</v>
      </c>
      <c r="CA61" t="str">
        <f t="shared" si="11"/>
        <v>high acid</v>
      </c>
    </row>
    <row r="62" spans="1:79">
      <c r="A62" t="s">
        <v>535</v>
      </c>
      <c r="B62" t="s">
        <v>565</v>
      </c>
      <c r="C62" t="s">
        <v>564</v>
      </c>
      <c r="D62" t="s">
        <v>243</v>
      </c>
      <c r="E62" t="s">
        <v>77</v>
      </c>
      <c r="F62" t="s">
        <v>32</v>
      </c>
      <c r="G62">
        <v>40</v>
      </c>
      <c r="H62">
        <v>43</v>
      </c>
      <c r="I62" t="b">
        <v>0</v>
      </c>
      <c r="J62" t="s">
        <v>33</v>
      </c>
      <c r="K62" t="s">
        <v>33</v>
      </c>
      <c r="L62">
        <v>18</v>
      </c>
      <c r="M62" s="4">
        <v>120</v>
      </c>
      <c r="N62" s="3">
        <f t="shared" ref="N62:N69" si="40">IFERROR(AF62/((T62*X62/Y62)*O62*AI62),"NA")</f>
        <v>119.89811897400615</v>
      </c>
      <c r="O62">
        <v>3</v>
      </c>
      <c r="P62" t="s">
        <v>33</v>
      </c>
      <c r="Q62" s="9">
        <f t="shared" si="38"/>
        <v>3.8194444444444441E-2</v>
      </c>
      <c r="R62" t="s">
        <v>183</v>
      </c>
      <c r="S62" t="s">
        <v>612</v>
      </c>
      <c r="T62" s="11">
        <v>4</v>
      </c>
      <c r="U62">
        <v>3</v>
      </c>
      <c r="V62">
        <v>2.6</v>
      </c>
      <c r="W62">
        <v>1.5900000000000001E-2</v>
      </c>
      <c r="X62" s="8">
        <f t="shared" si="37"/>
        <v>1.5927874753700257E-2</v>
      </c>
      <c r="Y62" s="6">
        <f>25/60</f>
        <v>0.41666666666666669</v>
      </c>
      <c r="Z62" s="3">
        <f t="shared" si="29"/>
        <v>0.4170207208241522</v>
      </c>
      <c r="AA62" t="s">
        <v>33</v>
      </c>
      <c r="AB62" s="6">
        <f t="shared" si="39"/>
        <v>4.583333333333333</v>
      </c>
      <c r="AC62" t="str">
        <f t="shared" si="32"/>
        <v>NA</v>
      </c>
      <c r="AD62" s="4">
        <f>IFERROR(AB62*T62*AI62, "NA")</f>
        <v>18.333333333333332</v>
      </c>
      <c r="AE62" s="3">
        <f t="shared" si="30"/>
        <v>16.394399999999997</v>
      </c>
      <c r="AF62">
        <v>55</v>
      </c>
      <c r="AG62" t="str">
        <f t="shared" ref="AG62:AG69" si="41">IFERROR((M62*O62*P62), "NA")</f>
        <v>NA</v>
      </c>
      <c r="AH62" t="str">
        <f t="shared" ref="AH62:AH69" si="42">IFERROR((AG62*T62*AI62), "NA")</f>
        <v>NA</v>
      </c>
      <c r="AI62" s="11">
        <v>1</v>
      </c>
      <c r="AJ62" t="s">
        <v>31</v>
      </c>
      <c r="AK62">
        <v>920</v>
      </c>
      <c r="AL62" t="s">
        <v>551</v>
      </c>
      <c r="AM62" t="s">
        <v>86</v>
      </c>
      <c r="AN62" t="s">
        <v>186</v>
      </c>
      <c r="AO62" t="s">
        <v>794</v>
      </c>
      <c r="AP62">
        <v>5.92</v>
      </c>
      <c r="AQ62" t="s">
        <v>33</v>
      </c>
      <c r="AR62" t="s">
        <v>33</v>
      </c>
      <c r="AS62" s="6">
        <f>LOG(1.1*10^7)</f>
        <v>7.0413926851582254</v>
      </c>
      <c r="AT62" s="3">
        <f t="shared" ref="AT62:AT69" si="43">IFERROR(AS62-AU62,"NA")</f>
        <v>2.0313926851582256</v>
      </c>
      <c r="AU62" s="6">
        <v>5.01</v>
      </c>
      <c r="AV62" t="b">
        <v>1</v>
      </c>
      <c r="AW62" t="s">
        <v>172</v>
      </c>
      <c r="AX62" t="s">
        <v>173</v>
      </c>
      <c r="AY62" t="s">
        <v>246</v>
      </c>
      <c r="AZ62" t="s">
        <v>33</v>
      </c>
      <c r="BA62" s="18" t="s">
        <v>799</v>
      </c>
      <c r="BB62" t="b">
        <v>0</v>
      </c>
      <c r="BC62" t="s">
        <v>81</v>
      </c>
      <c r="BD62">
        <v>72</v>
      </c>
      <c r="BE62" t="s">
        <v>80</v>
      </c>
      <c r="BF62" s="11">
        <v>72</v>
      </c>
      <c r="BG62" t="s">
        <v>522</v>
      </c>
      <c r="BH62" t="s">
        <v>31</v>
      </c>
      <c r="BI62" t="s">
        <v>32</v>
      </c>
      <c r="BJ62" s="3">
        <f t="shared" si="33"/>
        <v>5.01</v>
      </c>
      <c r="BK62" s="3">
        <f t="shared" si="34"/>
        <v>0.69983772586724569</v>
      </c>
      <c r="BL62">
        <v>2</v>
      </c>
      <c r="BM62" s="3">
        <f t="shared" si="26"/>
        <v>0.51485780117916546</v>
      </c>
      <c r="BN62" t="s">
        <v>33</v>
      </c>
      <c r="BO62" s="3">
        <f t="shared" si="10"/>
        <v>3.2723353293413169</v>
      </c>
      <c r="BP62" t="s">
        <v>33</v>
      </c>
      <c r="BQ62" t="s">
        <v>33</v>
      </c>
      <c r="BR62" t="s">
        <v>33</v>
      </c>
      <c r="BS62" t="s">
        <v>33</v>
      </c>
      <c r="BT62" t="s">
        <v>32</v>
      </c>
      <c r="BU62" t="s">
        <v>207</v>
      </c>
      <c r="BV62">
        <v>2014</v>
      </c>
      <c r="BW62" s="2" t="s">
        <v>242</v>
      </c>
      <c r="BX62" t="s">
        <v>78</v>
      </c>
      <c r="BY62" t="s">
        <v>33</v>
      </c>
      <c r="BZ62" t="s">
        <v>33</v>
      </c>
      <c r="CA62" t="str">
        <f t="shared" si="11"/>
        <v>low acid</v>
      </c>
    </row>
    <row r="63" spans="1:79">
      <c r="A63" t="s">
        <v>355</v>
      </c>
      <c r="B63" t="s">
        <v>565</v>
      </c>
      <c r="C63" t="s">
        <v>563</v>
      </c>
      <c r="D63" t="s">
        <v>118</v>
      </c>
      <c r="E63" t="s">
        <v>77</v>
      </c>
      <c r="F63" t="s">
        <v>32</v>
      </c>
      <c r="G63">
        <v>4</v>
      </c>
      <c r="H63">
        <v>55</v>
      </c>
      <c r="I63" t="b">
        <v>1</v>
      </c>
      <c r="J63" t="s">
        <v>33</v>
      </c>
      <c r="K63" t="s">
        <v>33</v>
      </c>
      <c r="L63">
        <v>35</v>
      </c>
      <c r="M63" s="4">
        <v>2000</v>
      </c>
      <c r="N63" s="3">
        <f t="shared" si="40"/>
        <v>1991.9007283517315</v>
      </c>
      <c r="O63">
        <v>1</v>
      </c>
      <c r="P63" t="s">
        <v>33</v>
      </c>
      <c r="Q63" s="8">
        <f t="shared" si="38"/>
        <v>6.0000000000000001E-3</v>
      </c>
      <c r="R63" t="s">
        <v>183</v>
      </c>
      <c r="S63" t="s">
        <v>613</v>
      </c>
      <c r="T63" s="11">
        <v>6</v>
      </c>
      <c r="U63">
        <v>2.9</v>
      </c>
      <c r="V63">
        <v>2.2999999999999998</v>
      </c>
      <c r="W63" t="s">
        <v>33</v>
      </c>
      <c r="X63" s="8">
        <f t="shared" si="37"/>
        <v>1.204879322468025E-2</v>
      </c>
      <c r="Y63" s="9">
        <f>7200/3600</f>
        <v>2</v>
      </c>
      <c r="Z63" s="3">
        <f t="shared" si="29"/>
        <v>2.0081322041133749</v>
      </c>
      <c r="AA63" t="s">
        <v>33</v>
      </c>
      <c r="AB63" s="6">
        <f t="shared" si="39"/>
        <v>12.000000000000002</v>
      </c>
      <c r="AC63" t="str">
        <f t="shared" si="32"/>
        <v>NA</v>
      </c>
      <c r="AD63" s="4">
        <f>AB63*T63*AI63</f>
        <v>72.000000000000014</v>
      </c>
      <c r="AE63" s="3">
        <f t="shared" si="30"/>
        <v>315.75599999999997</v>
      </c>
      <c r="AF63" s="3">
        <v>72</v>
      </c>
      <c r="AG63" t="str">
        <f t="shared" si="41"/>
        <v>NA</v>
      </c>
      <c r="AH63" t="str">
        <f t="shared" si="42"/>
        <v>NA</v>
      </c>
      <c r="AI63">
        <v>1</v>
      </c>
      <c r="AJ63" t="s">
        <v>31</v>
      </c>
      <c r="AK63">
        <v>3580</v>
      </c>
      <c r="AL63" t="s">
        <v>265</v>
      </c>
      <c r="AM63" t="s">
        <v>86</v>
      </c>
      <c r="AN63" t="s">
        <v>205</v>
      </c>
      <c r="AO63" t="s">
        <v>789</v>
      </c>
      <c r="AP63">
        <v>3.85</v>
      </c>
      <c r="AQ63" t="s">
        <v>33</v>
      </c>
      <c r="AR63" t="s">
        <v>33</v>
      </c>
      <c r="AS63" s="6">
        <v>6.95</v>
      </c>
      <c r="AT63" s="3">
        <f t="shared" si="43"/>
        <v>2.04</v>
      </c>
      <c r="AU63" s="6">
        <v>4.91</v>
      </c>
      <c r="AV63" t="b">
        <v>1</v>
      </c>
      <c r="AW63" t="s">
        <v>29</v>
      </c>
      <c r="AX63" t="s">
        <v>30</v>
      </c>
      <c r="AY63">
        <v>35218</v>
      </c>
      <c r="AZ63" t="s">
        <v>33</v>
      </c>
      <c r="BA63" s="18" t="s">
        <v>798</v>
      </c>
      <c r="BB63" t="b">
        <v>0</v>
      </c>
      <c r="BC63" t="s">
        <v>81</v>
      </c>
      <c r="BD63" t="s">
        <v>33</v>
      </c>
      <c r="BE63" t="s">
        <v>33</v>
      </c>
      <c r="BF63" s="11">
        <v>24</v>
      </c>
      <c r="BG63" t="s">
        <v>568</v>
      </c>
      <c r="BH63" t="s">
        <v>31</v>
      </c>
      <c r="BI63" t="s">
        <v>31</v>
      </c>
      <c r="BJ63" s="3">
        <f t="shared" si="33"/>
        <v>4.91</v>
      </c>
      <c r="BK63" s="3">
        <f t="shared" si="34"/>
        <v>0.69108149212296843</v>
      </c>
      <c r="BL63">
        <v>2</v>
      </c>
      <c r="BM63" s="3">
        <f t="shared" si="26"/>
        <v>1.8082701196527255</v>
      </c>
      <c r="BN63" t="s">
        <v>33</v>
      </c>
      <c r="BO63" s="3">
        <f t="shared" si="10"/>
        <v>64.308757637474528</v>
      </c>
      <c r="BP63" t="s">
        <v>33</v>
      </c>
      <c r="BQ63" t="s">
        <v>33</v>
      </c>
      <c r="BR63" t="s">
        <v>33</v>
      </c>
      <c r="BS63" t="s">
        <v>33</v>
      </c>
      <c r="BT63" t="s">
        <v>31</v>
      </c>
      <c r="BU63" t="s">
        <v>263</v>
      </c>
      <c r="BV63">
        <v>2014</v>
      </c>
      <c r="BW63" t="s">
        <v>356</v>
      </c>
      <c r="BX63" t="s">
        <v>78</v>
      </c>
      <c r="BY63" t="s">
        <v>33</v>
      </c>
      <c r="BZ63" t="s">
        <v>357</v>
      </c>
      <c r="CA63" t="str">
        <f t="shared" si="11"/>
        <v>high acid</v>
      </c>
    </row>
    <row r="64" spans="1:79">
      <c r="A64" s="3" t="s">
        <v>280</v>
      </c>
      <c r="B64" t="s">
        <v>566</v>
      </c>
      <c r="C64" t="s">
        <v>563</v>
      </c>
      <c r="D64" s="3" t="s">
        <v>279</v>
      </c>
      <c r="E64" s="3" t="s">
        <v>77</v>
      </c>
      <c r="F64" t="s">
        <v>32</v>
      </c>
      <c r="G64" s="11">
        <v>10</v>
      </c>
      <c r="H64" s="11">
        <v>30</v>
      </c>
      <c r="I64" s="3" t="b">
        <v>0</v>
      </c>
      <c r="J64" s="3" t="s">
        <v>33</v>
      </c>
      <c r="K64" s="3" t="s">
        <v>33</v>
      </c>
      <c r="L64" s="11">
        <v>40</v>
      </c>
      <c r="M64" s="4">
        <v>1000</v>
      </c>
      <c r="N64" s="3">
        <f t="shared" si="40"/>
        <v>2526.2689379665921</v>
      </c>
      <c r="O64" s="3">
        <v>16</v>
      </c>
      <c r="P64" s="3" t="s">
        <v>33</v>
      </c>
      <c r="Q64" s="3">
        <f t="shared" si="38"/>
        <v>7.5000000000000011E-2</v>
      </c>
      <c r="R64" t="s">
        <v>183</v>
      </c>
      <c r="S64" t="s">
        <v>613</v>
      </c>
      <c r="T64" s="11">
        <v>1</v>
      </c>
      <c r="U64" s="3">
        <v>2.8</v>
      </c>
      <c r="V64" s="3">
        <v>3</v>
      </c>
      <c r="W64" s="3">
        <v>0.02</v>
      </c>
      <c r="X64" s="3">
        <f t="shared" si="37"/>
        <v>1.97920337176157E-2</v>
      </c>
      <c r="Y64" s="3">
        <f>40/60</f>
        <v>0.66666666666666663</v>
      </c>
      <c r="Z64" s="3">
        <f t="shared" si="29"/>
        <v>0.26389378290154264</v>
      </c>
      <c r="AA64" s="3" t="s">
        <v>33</v>
      </c>
      <c r="AB64" s="3">
        <f t="shared" si="39"/>
        <v>75</v>
      </c>
      <c r="AC64" s="3" t="str">
        <f t="shared" si="32"/>
        <v>NA</v>
      </c>
      <c r="AD64" s="4">
        <f>AB64*T64*AI64</f>
        <v>75</v>
      </c>
      <c r="AE64" s="3">
        <f t="shared" si="30"/>
        <v>960.00000000000011</v>
      </c>
      <c r="AF64" s="3">
        <v>1200</v>
      </c>
      <c r="AG64" s="3" t="str">
        <f t="shared" si="41"/>
        <v>NA</v>
      </c>
      <c r="AH64" s="3" t="str">
        <f t="shared" si="42"/>
        <v>NA</v>
      </c>
      <c r="AI64" s="3">
        <v>1</v>
      </c>
      <c r="AJ64" t="s">
        <v>31</v>
      </c>
      <c r="AK64" s="3">
        <v>500</v>
      </c>
      <c r="AL64" s="3" t="s">
        <v>281</v>
      </c>
      <c r="AM64" s="3" t="s">
        <v>103</v>
      </c>
      <c r="AN64" t="s">
        <v>130</v>
      </c>
      <c r="AO64" t="s">
        <v>795</v>
      </c>
      <c r="AP64" s="3" t="s">
        <v>33</v>
      </c>
      <c r="AQ64" s="3" t="s">
        <v>33</v>
      </c>
      <c r="AR64" s="3" t="s">
        <v>33</v>
      </c>
      <c r="AS64" s="3">
        <v>4.0880000000000001</v>
      </c>
      <c r="AT64" s="3">
        <f t="shared" si="43"/>
        <v>2.04</v>
      </c>
      <c r="AU64" s="6">
        <v>2.048</v>
      </c>
      <c r="AV64" s="3" t="b">
        <v>1</v>
      </c>
      <c r="AW64" s="3" t="s">
        <v>172</v>
      </c>
      <c r="AX64" s="3" t="s">
        <v>173</v>
      </c>
      <c r="AY64" s="3" t="s">
        <v>283</v>
      </c>
      <c r="AZ64" s="3" t="s">
        <v>33</v>
      </c>
      <c r="BA64" s="18" t="s">
        <v>799</v>
      </c>
      <c r="BB64" s="3" t="b">
        <v>0</v>
      </c>
      <c r="BC64" t="s">
        <v>81</v>
      </c>
      <c r="BD64" s="3">
        <v>2</v>
      </c>
      <c r="BE64" s="3" t="s">
        <v>252</v>
      </c>
      <c r="BF64" s="11">
        <v>72</v>
      </c>
      <c r="BG64" s="3" t="s">
        <v>574</v>
      </c>
      <c r="BH64" s="3" t="s">
        <v>31</v>
      </c>
      <c r="BI64" s="3" t="s">
        <v>31</v>
      </c>
      <c r="BJ64" s="3">
        <f t="shared" si="33"/>
        <v>2.048</v>
      </c>
      <c r="BK64" s="3">
        <f t="shared" si="34"/>
        <v>0.31132995230379318</v>
      </c>
      <c r="BL64" s="3">
        <v>2</v>
      </c>
      <c r="BM64" s="3">
        <f t="shared" si="26"/>
        <v>2.6709412807357755</v>
      </c>
      <c r="BN64" s="3" t="s">
        <v>33</v>
      </c>
      <c r="BO64" s="3">
        <f t="shared" si="10"/>
        <v>468.75000000000006</v>
      </c>
      <c r="BP64" s="3" t="s">
        <v>33</v>
      </c>
      <c r="BQ64" s="3" t="s">
        <v>33</v>
      </c>
      <c r="BR64" s="3" t="s">
        <v>33</v>
      </c>
      <c r="BS64" s="3" t="s">
        <v>33</v>
      </c>
      <c r="BT64" t="s">
        <v>31</v>
      </c>
      <c r="BU64" s="3" t="s">
        <v>247</v>
      </c>
      <c r="BV64" s="11">
        <v>2016</v>
      </c>
      <c r="BW64" s="3" t="s">
        <v>284</v>
      </c>
      <c r="BX64" t="s">
        <v>78</v>
      </c>
      <c r="BY64" s="3" t="s">
        <v>33</v>
      </c>
      <c r="BZ64" s="3" t="s">
        <v>282</v>
      </c>
      <c r="CA64" t="str">
        <f t="shared" si="11"/>
        <v>low acid</v>
      </c>
    </row>
    <row r="65" spans="1:79">
      <c r="A65" s="3" t="s">
        <v>280</v>
      </c>
      <c r="B65" t="s">
        <v>566</v>
      </c>
      <c r="C65" t="s">
        <v>563</v>
      </c>
      <c r="D65" s="3" t="s">
        <v>279</v>
      </c>
      <c r="E65" s="3" t="s">
        <v>77</v>
      </c>
      <c r="F65" t="s">
        <v>32</v>
      </c>
      <c r="G65" s="11">
        <v>10</v>
      </c>
      <c r="H65" s="11">
        <v>30</v>
      </c>
      <c r="I65" s="3" t="b">
        <v>0</v>
      </c>
      <c r="J65" s="3" t="s">
        <v>33</v>
      </c>
      <c r="K65" s="3" t="s">
        <v>33</v>
      </c>
      <c r="L65" s="11">
        <v>50</v>
      </c>
      <c r="M65" s="4">
        <v>1000</v>
      </c>
      <c r="N65" s="3">
        <f t="shared" si="40"/>
        <v>2526.2689379665921</v>
      </c>
      <c r="O65" s="3">
        <v>16</v>
      </c>
      <c r="P65" s="3" t="s">
        <v>33</v>
      </c>
      <c r="Q65" s="3">
        <f t="shared" si="38"/>
        <v>7.5000000000000011E-2</v>
      </c>
      <c r="R65" t="s">
        <v>183</v>
      </c>
      <c r="S65" t="s">
        <v>613</v>
      </c>
      <c r="T65" s="11">
        <v>1</v>
      </c>
      <c r="U65" s="3">
        <v>2.8</v>
      </c>
      <c r="V65" s="3">
        <v>3</v>
      </c>
      <c r="W65" s="3">
        <v>0.02</v>
      </c>
      <c r="X65" s="3">
        <f t="shared" si="37"/>
        <v>1.97920337176157E-2</v>
      </c>
      <c r="Y65" s="3">
        <f>40/60</f>
        <v>0.66666666666666663</v>
      </c>
      <c r="Z65" s="3">
        <f t="shared" si="29"/>
        <v>0.26389378290154264</v>
      </c>
      <c r="AA65" s="3" t="s">
        <v>33</v>
      </c>
      <c r="AB65" s="3">
        <f t="shared" si="39"/>
        <v>75</v>
      </c>
      <c r="AC65" s="3" t="str">
        <f t="shared" si="32"/>
        <v>NA</v>
      </c>
      <c r="AD65" s="4">
        <f>AB65*T65*AI65</f>
        <v>75</v>
      </c>
      <c r="AE65" s="3">
        <f t="shared" si="30"/>
        <v>300.00000000000006</v>
      </c>
      <c r="AF65" s="3">
        <v>1200</v>
      </c>
      <c r="AG65" s="3" t="str">
        <f t="shared" si="41"/>
        <v>NA</v>
      </c>
      <c r="AH65" s="3" t="str">
        <f t="shared" si="42"/>
        <v>NA</v>
      </c>
      <c r="AI65" s="3">
        <v>1</v>
      </c>
      <c r="AJ65" t="s">
        <v>31</v>
      </c>
      <c r="AK65" s="3">
        <v>100</v>
      </c>
      <c r="AL65" s="3" t="s">
        <v>281</v>
      </c>
      <c r="AM65" s="3" t="s">
        <v>103</v>
      </c>
      <c r="AN65" t="s">
        <v>130</v>
      </c>
      <c r="AO65" t="s">
        <v>795</v>
      </c>
      <c r="AP65" s="3" t="s">
        <v>33</v>
      </c>
      <c r="AQ65" s="3" t="s">
        <v>33</v>
      </c>
      <c r="AR65" s="3" t="s">
        <v>33</v>
      </c>
      <c r="AS65" s="3">
        <v>4.0880000000000001</v>
      </c>
      <c r="AT65" s="3">
        <f t="shared" si="43"/>
        <v>2.0500000000000003</v>
      </c>
      <c r="AU65" s="6">
        <v>2.0379999999999998</v>
      </c>
      <c r="AV65" s="3" t="b">
        <v>1</v>
      </c>
      <c r="AW65" s="3" t="s">
        <v>172</v>
      </c>
      <c r="AX65" s="3" t="s">
        <v>173</v>
      </c>
      <c r="AY65" s="3" t="s">
        <v>283</v>
      </c>
      <c r="AZ65" s="3" t="s">
        <v>33</v>
      </c>
      <c r="BA65" s="18" t="s">
        <v>799</v>
      </c>
      <c r="BB65" s="3" t="b">
        <v>0</v>
      </c>
      <c r="BC65" t="s">
        <v>81</v>
      </c>
      <c r="BD65" s="3">
        <v>2</v>
      </c>
      <c r="BE65" s="3" t="s">
        <v>252</v>
      </c>
      <c r="BF65" s="11">
        <v>72</v>
      </c>
      <c r="BG65" s="3" t="s">
        <v>574</v>
      </c>
      <c r="BH65" s="3" t="s">
        <v>31</v>
      </c>
      <c r="BI65" s="3" t="s">
        <v>31</v>
      </c>
      <c r="BJ65" s="3">
        <f t="shared" si="33"/>
        <v>2.0379999999999998</v>
      </c>
      <c r="BK65" s="3">
        <f t="shared" si="34"/>
        <v>0.30920417967040753</v>
      </c>
      <c r="BL65" s="3">
        <v>2</v>
      </c>
      <c r="BM65" s="3">
        <f t="shared" si="26"/>
        <v>2.1679170750492549</v>
      </c>
      <c r="BN65" s="3" t="s">
        <v>33</v>
      </c>
      <c r="BO65" s="3">
        <f t="shared" si="10"/>
        <v>147.20314033366049</v>
      </c>
      <c r="BP65" s="3" t="s">
        <v>33</v>
      </c>
      <c r="BQ65" s="3" t="s">
        <v>33</v>
      </c>
      <c r="BR65" s="3" t="s">
        <v>33</v>
      </c>
      <c r="BS65" s="3" t="s">
        <v>33</v>
      </c>
      <c r="BT65" t="s">
        <v>31</v>
      </c>
      <c r="BU65" s="3" t="s">
        <v>247</v>
      </c>
      <c r="BV65" s="11">
        <v>2016</v>
      </c>
      <c r="BW65" s="3" t="s">
        <v>284</v>
      </c>
      <c r="BX65" t="s">
        <v>78</v>
      </c>
      <c r="BY65" s="3" t="s">
        <v>33</v>
      </c>
      <c r="BZ65" s="3" t="s">
        <v>282</v>
      </c>
      <c r="CA65" t="str">
        <f t="shared" si="11"/>
        <v>low acid</v>
      </c>
    </row>
    <row r="66" spans="1:79">
      <c r="A66" t="s">
        <v>85</v>
      </c>
      <c r="B66" t="s">
        <v>565</v>
      </c>
      <c r="C66" t="s">
        <v>563</v>
      </c>
      <c r="D66" t="s">
        <v>118</v>
      </c>
      <c r="E66" t="s">
        <v>77</v>
      </c>
      <c r="F66" t="s">
        <v>32</v>
      </c>
      <c r="G66">
        <v>50</v>
      </c>
      <c r="H66">
        <f>(53+60)/2</f>
        <v>56.5</v>
      </c>
      <c r="I66" t="b">
        <v>0</v>
      </c>
      <c r="J66" t="s">
        <v>33</v>
      </c>
      <c r="K66" t="s">
        <v>33</v>
      </c>
      <c r="L66">
        <v>26</v>
      </c>
      <c r="M66" s="4">
        <v>548</v>
      </c>
      <c r="N66" s="3">
        <f t="shared" si="40"/>
        <v>395.21839848248646</v>
      </c>
      <c r="O66">
        <v>3.5</v>
      </c>
      <c r="P66" t="s">
        <v>33</v>
      </c>
      <c r="Q66" s="8">
        <f t="shared" si="38"/>
        <v>4.3448036148766075E-3</v>
      </c>
      <c r="R66" t="s">
        <v>183</v>
      </c>
      <c r="S66" t="s">
        <v>612</v>
      </c>
      <c r="T66" s="11">
        <v>6</v>
      </c>
      <c r="U66">
        <v>2.9</v>
      </c>
      <c r="V66">
        <v>2.2999999999999998</v>
      </c>
      <c r="W66" t="s">
        <v>33</v>
      </c>
      <c r="X66" s="8">
        <f t="shared" si="37"/>
        <v>1.204879322468025E-2</v>
      </c>
      <c r="Y66">
        <f>120/60</f>
        <v>2</v>
      </c>
      <c r="Z66" s="9">
        <f t="shared" si="29"/>
        <v>2.7731502485924064</v>
      </c>
      <c r="AA66">
        <v>3.3</v>
      </c>
      <c r="AB66" s="6">
        <f t="shared" si="39"/>
        <v>2.3809523809523809</v>
      </c>
      <c r="AC66" t="str">
        <f t="shared" si="32"/>
        <v>NA</v>
      </c>
      <c r="AD66" s="4">
        <f>IFERROR(AB66*T66*AI66, "NA")</f>
        <v>14.285714285714285</v>
      </c>
      <c r="AE66">
        <f t="shared" si="30"/>
        <v>109.84999999999998</v>
      </c>
      <c r="AF66">
        <v>50</v>
      </c>
      <c r="AG66" t="str">
        <f t="shared" si="41"/>
        <v>NA</v>
      </c>
      <c r="AH66" t="str">
        <f t="shared" si="42"/>
        <v>NA</v>
      </c>
      <c r="AI66" s="11">
        <v>1</v>
      </c>
      <c r="AJ66" t="s">
        <v>31</v>
      </c>
      <c r="AK66">
        <v>3250</v>
      </c>
      <c r="AL66" t="s">
        <v>238</v>
      </c>
      <c r="AM66" t="s">
        <v>86</v>
      </c>
      <c r="AN66" t="s">
        <v>205</v>
      </c>
      <c r="AO66" t="s">
        <v>789</v>
      </c>
      <c r="AP66">
        <v>4.16</v>
      </c>
      <c r="AQ66" t="s">
        <v>33</v>
      </c>
      <c r="AR66" t="s">
        <v>33</v>
      </c>
      <c r="AS66">
        <f>5.98</f>
        <v>5.98</v>
      </c>
      <c r="AT66" s="3">
        <f t="shared" si="43"/>
        <v>2.0700000000000003</v>
      </c>
      <c r="AU66" s="6">
        <v>3.91</v>
      </c>
      <c r="AV66" t="b">
        <v>1</v>
      </c>
      <c r="AW66" t="s">
        <v>29</v>
      </c>
      <c r="AX66" t="s">
        <v>30</v>
      </c>
      <c r="AY66" t="s">
        <v>270</v>
      </c>
      <c r="AZ66" t="s">
        <v>134</v>
      </c>
      <c r="BA66" s="18" t="s">
        <v>798</v>
      </c>
      <c r="BB66" t="b">
        <v>0</v>
      </c>
      <c r="BC66" t="s">
        <v>81</v>
      </c>
      <c r="BD66">
        <v>16</v>
      </c>
      <c r="BE66" t="s">
        <v>80</v>
      </c>
      <c r="BF66" s="11">
        <v>24</v>
      </c>
      <c r="BG66" t="s">
        <v>568</v>
      </c>
      <c r="BH66" t="s">
        <v>31</v>
      </c>
      <c r="BI66" t="s">
        <v>31</v>
      </c>
      <c r="BJ66" s="3">
        <f t="shared" si="33"/>
        <v>3.91</v>
      </c>
      <c r="BK66" s="3">
        <f t="shared" si="34"/>
        <v>0.59217675739586684</v>
      </c>
      <c r="BL66">
        <v>2</v>
      </c>
      <c r="BM66" s="3">
        <f>LOG(BO66)</f>
        <v>1.4486233038606622</v>
      </c>
      <c r="BN66" t="s">
        <v>33</v>
      </c>
      <c r="BO66" s="3">
        <f t="shared" ref="BO66:BO129" si="44">IFERROR((AE66/BJ66),"NA")</f>
        <v>28.094629156010225</v>
      </c>
      <c r="BP66" t="s">
        <v>33</v>
      </c>
      <c r="BQ66" t="s">
        <v>33</v>
      </c>
      <c r="BR66" t="s">
        <v>33</v>
      </c>
      <c r="BS66" t="s">
        <v>33</v>
      </c>
      <c r="BT66" t="s">
        <v>32</v>
      </c>
      <c r="BU66" t="s">
        <v>84</v>
      </c>
      <c r="BV66">
        <v>2013</v>
      </c>
      <c r="BW66" t="s">
        <v>83</v>
      </c>
      <c r="BX66" t="s">
        <v>78</v>
      </c>
      <c r="BY66" t="s">
        <v>33</v>
      </c>
      <c r="BZ66" t="s">
        <v>33</v>
      </c>
      <c r="CA66" t="str">
        <f t="shared" si="11"/>
        <v>high acid</v>
      </c>
    </row>
    <row r="67" spans="1:79">
      <c r="A67" t="s">
        <v>535</v>
      </c>
      <c r="B67" t="s">
        <v>565</v>
      </c>
      <c r="C67" t="s">
        <v>564</v>
      </c>
      <c r="D67" t="s">
        <v>243</v>
      </c>
      <c r="E67" t="s">
        <v>77</v>
      </c>
      <c r="F67" t="s">
        <v>32</v>
      </c>
      <c r="G67">
        <v>40</v>
      </c>
      <c r="H67">
        <v>43</v>
      </c>
      <c r="I67" t="b">
        <v>0</v>
      </c>
      <c r="J67" t="s">
        <v>33</v>
      </c>
      <c r="K67" t="s">
        <v>33</v>
      </c>
      <c r="L67">
        <v>21</v>
      </c>
      <c r="M67" s="4">
        <v>120</v>
      </c>
      <c r="N67" s="3">
        <f t="shared" si="40"/>
        <v>100.27842677825969</v>
      </c>
      <c r="O67">
        <v>3</v>
      </c>
      <c r="P67" t="s">
        <v>33</v>
      </c>
      <c r="Q67" s="9">
        <f t="shared" si="38"/>
        <v>3.1944444444444442E-2</v>
      </c>
      <c r="R67" t="s">
        <v>183</v>
      </c>
      <c r="S67" t="s">
        <v>612</v>
      </c>
      <c r="T67" s="11">
        <v>4</v>
      </c>
      <c r="U67">
        <v>3</v>
      </c>
      <c r="V67">
        <v>2.6</v>
      </c>
      <c r="W67">
        <v>1.5900000000000001E-2</v>
      </c>
      <c r="X67" s="8">
        <f t="shared" si="37"/>
        <v>1.5927874753700257E-2</v>
      </c>
      <c r="Y67" s="6">
        <f>25/60</f>
        <v>0.41666666666666669</v>
      </c>
      <c r="Z67" s="3">
        <f t="shared" si="29"/>
        <v>0.498611731420182</v>
      </c>
      <c r="AA67" t="s">
        <v>33</v>
      </c>
      <c r="AB67" s="6">
        <f t="shared" si="39"/>
        <v>3.833333333333333</v>
      </c>
      <c r="AC67" t="str">
        <f t="shared" si="32"/>
        <v>NA</v>
      </c>
      <c r="AD67" s="4">
        <f>IFERROR(AB67*T67*AI67, "NA")</f>
        <v>15.333333333333332</v>
      </c>
      <c r="AE67" s="3">
        <f t="shared" si="30"/>
        <v>18.663119999999999</v>
      </c>
      <c r="AF67">
        <v>46</v>
      </c>
      <c r="AG67" t="str">
        <f t="shared" si="41"/>
        <v>NA</v>
      </c>
      <c r="AH67" t="str">
        <f t="shared" si="42"/>
        <v>NA</v>
      </c>
      <c r="AI67" s="11">
        <v>1</v>
      </c>
      <c r="AJ67" t="s">
        <v>31</v>
      </c>
      <c r="AK67">
        <v>920</v>
      </c>
      <c r="AL67" t="s">
        <v>551</v>
      </c>
      <c r="AM67" t="s">
        <v>86</v>
      </c>
      <c r="AN67" t="s">
        <v>186</v>
      </c>
      <c r="AO67" t="s">
        <v>794</v>
      </c>
      <c r="AP67">
        <v>5.92</v>
      </c>
      <c r="AQ67" t="s">
        <v>33</v>
      </c>
      <c r="AR67" t="s">
        <v>33</v>
      </c>
      <c r="AS67" s="6">
        <f>LOG(1.1*10^7)</f>
        <v>7.0413926851582254</v>
      </c>
      <c r="AT67" s="3">
        <f t="shared" si="43"/>
        <v>2.1083926851582255</v>
      </c>
      <c r="AU67" s="6">
        <v>4.9329999999999998</v>
      </c>
      <c r="AV67" t="b">
        <v>1</v>
      </c>
      <c r="AW67" t="s">
        <v>172</v>
      </c>
      <c r="AX67" t="s">
        <v>173</v>
      </c>
      <c r="AY67" t="s">
        <v>246</v>
      </c>
      <c r="AZ67" t="s">
        <v>33</v>
      </c>
      <c r="BA67" s="18" t="s">
        <v>799</v>
      </c>
      <c r="BB67" t="b">
        <v>0</v>
      </c>
      <c r="BC67" t="s">
        <v>81</v>
      </c>
      <c r="BD67">
        <v>72</v>
      </c>
      <c r="BE67" t="s">
        <v>80</v>
      </c>
      <c r="BF67" s="11">
        <v>72</v>
      </c>
      <c r="BG67" t="s">
        <v>522</v>
      </c>
      <c r="BH67" t="s">
        <v>31</v>
      </c>
      <c r="BI67" t="s">
        <v>31</v>
      </c>
      <c r="BJ67" s="3">
        <f t="shared" si="33"/>
        <v>4.9329999999999998</v>
      </c>
      <c r="BK67" s="3">
        <f t="shared" si="34"/>
        <v>0.69311111546214121</v>
      </c>
      <c r="BL67">
        <v>2</v>
      </c>
      <c r="BM67" s="3">
        <f t="shared" ref="BM67:BM72" si="45">IFERROR(LOG(BO67),"NA")</f>
        <v>0.57787313303282661</v>
      </c>
      <c r="BN67" t="s">
        <v>33</v>
      </c>
      <c r="BO67" s="3">
        <f t="shared" si="44"/>
        <v>3.7833204946280152</v>
      </c>
      <c r="BP67" t="s">
        <v>33</v>
      </c>
      <c r="BQ67" t="s">
        <v>33</v>
      </c>
      <c r="BR67" t="s">
        <v>33</v>
      </c>
      <c r="BS67" t="s">
        <v>33</v>
      </c>
      <c r="BT67" t="s">
        <v>32</v>
      </c>
      <c r="BU67" t="s">
        <v>207</v>
      </c>
      <c r="BV67">
        <v>2014</v>
      </c>
      <c r="BW67" s="2" t="s">
        <v>242</v>
      </c>
      <c r="BX67" t="s">
        <v>78</v>
      </c>
      <c r="BY67" t="s">
        <v>33</v>
      </c>
      <c r="BZ67" t="s">
        <v>33</v>
      </c>
      <c r="CA67" t="str">
        <f t="shared" ref="CA67:CA130" si="46">IF(OR(AN67="low acidic liquid medium", AN67="low acidic food product"), "low acid",
    IF(OR(AN67="high acidic food product", AN67="high acidic liquid medium"), "high acid", "NA"))</f>
        <v>low acid</v>
      </c>
    </row>
    <row r="68" spans="1:79">
      <c r="A68" t="s">
        <v>527</v>
      </c>
      <c r="B68" t="s">
        <v>565</v>
      </c>
      <c r="C68" t="s">
        <v>564</v>
      </c>
      <c r="D68" t="s">
        <v>215</v>
      </c>
      <c r="E68" t="s">
        <v>77</v>
      </c>
      <c r="F68" t="s">
        <v>32</v>
      </c>
      <c r="G68">
        <v>22.7</v>
      </c>
      <c r="H68">
        <v>46</v>
      </c>
      <c r="I68" t="b">
        <v>0</v>
      </c>
      <c r="J68" t="s">
        <v>33</v>
      </c>
      <c r="K68" t="s">
        <v>33</v>
      </c>
      <c r="L68">
        <v>30</v>
      </c>
      <c r="M68" s="4">
        <v>155</v>
      </c>
      <c r="N68" s="3">
        <f t="shared" si="40"/>
        <v>308.51573583967405</v>
      </c>
      <c r="O68">
        <v>2</v>
      </c>
      <c r="P68" t="s">
        <v>33</v>
      </c>
      <c r="Q68" s="8">
        <f t="shared" si="38"/>
        <v>4.3548387096774194E-2</v>
      </c>
      <c r="R68" t="s">
        <v>183</v>
      </c>
      <c r="S68" t="s">
        <v>612</v>
      </c>
      <c r="T68" s="11">
        <v>2</v>
      </c>
      <c r="U68">
        <v>6.5</v>
      </c>
      <c r="V68">
        <v>5</v>
      </c>
      <c r="W68" t="s">
        <v>33</v>
      </c>
      <c r="X68" s="8">
        <f t="shared" si="37"/>
        <v>0.12762720155208535</v>
      </c>
      <c r="Y68" s="6">
        <f>350/60</f>
        <v>5.833333333333333</v>
      </c>
      <c r="Z68" s="3">
        <f t="shared" si="29"/>
        <v>2.9306987023071449</v>
      </c>
      <c r="AA68">
        <f>14/2</f>
        <v>7</v>
      </c>
      <c r="AB68" s="6">
        <f t="shared" si="39"/>
        <v>6.75</v>
      </c>
      <c r="AC68" t="str">
        <f t="shared" si="32"/>
        <v>NA</v>
      </c>
      <c r="AD68" s="4">
        <f>IFERROR(AB68*T68*AI68, "NA")</f>
        <v>13.5</v>
      </c>
      <c r="AE68" s="3">
        <f t="shared" si="30"/>
        <v>94.77</v>
      </c>
      <c r="AF68">
        <v>27</v>
      </c>
      <c r="AG68" t="str">
        <f t="shared" si="41"/>
        <v>NA</v>
      </c>
      <c r="AH68" t="str">
        <f t="shared" si="42"/>
        <v>NA</v>
      </c>
      <c r="AI68" s="11">
        <v>1</v>
      </c>
      <c r="AJ68" t="s">
        <v>31</v>
      </c>
      <c r="AK68">
        <v>3900</v>
      </c>
      <c r="AL68" t="s">
        <v>528</v>
      </c>
      <c r="AM68" s="3" t="s">
        <v>86</v>
      </c>
      <c r="AN68" t="s">
        <v>205</v>
      </c>
      <c r="AO68" t="s">
        <v>789</v>
      </c>
      <c r="AP68">
        <v>3.4</v>
      </c>
      <c r="AQ68" t="s">
        <v>33</v>
      </c>
      <c r="AR68">
        <v>3750</v>
      </c>
      <c r="AS68" s="6">
        <f>LOG(10^6)</f>
        <v>6</v>
      </c>
      <c r="AT68" s="3">
        <f t="shared" si="43"/>
        <v>2.12</v>
      </c>
      <c r="AU68" s="6">
        <f>(3.83+3.93)/2</f>
        <v>3.88</v>
      </c>
      <c r="AV68" t="b">
        <v>1</v>
      </c>
      <c r="AW68" t="s">
        <v>29</v>
      </c>
      <c r="AX68" t="s">
        <v>30</v>
      </c>
      <c r="AY68" t="s">
        <v>33</v>
      </c>
      <c r="AZ68" t="s">
        <v>134</v>
      </c>
      <c r="BA68" s="18" t="s">
        <v>798</v>
      </c>
      <c r="BB68" s="3" t="b">
        <v>0</v>
      </c>
      <c r="BC68" t="s">
        <v>81</v>
      </c>
      <c r="BD68">
        <v>18</v>
      </c>
      <c r="BE68" t="s">
        <v>80</v>
      </c>
      <c r="BF68" s="11">
        <v>24</v>
      </c>
      <c r="BG68" t="s">
        <v>87</v>
      </c>
      <c r="BH68" t="s">
        <v>31</v>
      </c>
      <c r="BI68" t="s">
        <v>31</v>
      </c>
      <c r="BJ68" s="3">
        <f t="shared" si="33"/>
        <v>3.88</v>
      </c>
      <c r="BK68" s="3">
        <f t="shared" si="34"/>
        <v>0.58883172559420727</v>
      </c>
      <c r="BL68">
        <v>2</v>
      </c>
      <c r="BM68" s="3">
        <f t="shared" si="45"/>
        <v>1.3878391550306042</v>
      </c>
      <c r="BN68" t="s">
        <v>33</v>
      </c>
      <c r="BO68" s="3">
        <f t="shared" si="44"/>
        <v>24.425257731958762</v>
      </c>
      <c r="BP68" t="s">
        <v>33</v>
      </c>
      <c r="BQ68" t="s">
        <v>33</v>
      </c>
      <c r="BR68" t="s">
        <v>33</v>
      </c>
      <c r="BS68" t="s">
        <v>33</v>
      </c>
      <c r="BT68" t="s">
        <v>32</v>
      </c>
      <c r="BU68" t="s">
        <v>34</v>
      </c>
      <c r="BV68">
        <v>2019</v>
      </c>
      <c r="BW68" t="s">
        <v>35</v>
      </c>
      <c r="BX68" t="s">
        <v>78</v>
      </c>
      <c r="BY68" t="s">
        <v>33</v>
      </c>
      <c r="BZ68" t="s">
        <v>33</v>
      </c>
      <c r="CA68" t="str">
        <f t="shared" si="46"/>
        <v>high acid</v>
      </c>
    </row>
    <row r="69" spans="1:79">
      <c r="A69" t="s">
        <v>273</v>
      </c>
      <c r="B69" t="s">
        <v>565</v>
      </c>
      <c r="C69" t="s">
        <v>563</v>
      </c>
      <c r="D69" t="s">
        <v>118</v>
      </c>
      <c r="E69" t="s">
        <v>77</v>
      </c>
      <c r="F69" t="s">
        <v>32</v>
      </c>
      <c r="G69">
        <v>20</v>
      </c>
      <c r="H69">
        <v>55</v>
      </c>
      <c r="I69" t="b">
        <v>0</v>
      </c>
      <c r="J69" t="s">
        <v>33</v>
      </c>
      <c r="K69" t="s">
        <v>33</v>
      </c>
      <c r="L69">
        <v>15</v>
      </c>
      <c r="M69" s="4" t="s">
        <v>33</v>
      </c>
      <c r="N69" s="3">
        <f t="shared" si="40"/>
        <v>3838.959983566775</v>
      </c>
      <c r="O69">
        <v>2.5</v>
      </c>
      <c r="P69" t="s">
        <v>33</v>
      </c>
      <c r="Q69" s="8">
        <f t="shared" si="38"/>
        <v>1.2173435913211428E-2</v>
      </c>
      <c r="R69" t="s">
        <v>183</v>
      </c>
      <c r="S69" t="s">
        <v>613</v>
      </c>
      <c r="T69" s="11">
        <v>6</v>
      </c>
      <c r="U69">
        <v>2.93</v>
      </c>
      <c r="V69">
        <v>2.2999999999999998</v>
      </c>
      <c r="W69" t="s">
        <v>33</v>
      </c>
      <c r="X69" s="8">
        <f t="shared" si="37"/>
        <v>1.2173435913211428E-2</v>
      </c>
      <c r="Y69">
        <f>60/60</f>
        <v>1</v>
      </c>
      <c r="Z69" s="3">
        <f>IFERROR(X69*N69*O69*T69*AI69/AF69, "NA")</f>
        <v>1</v>
      </c>
      <c r="AA69" t="s">
        <v>33</v>
      </c>
      <c r="AB69" s="6">
        <f>IFERROR(((X69*N69)/Y69), "NA")</f>
        <v>46.733333333333334</v>
      </c>
      <c r="AC69" t="str">
        <f t="shared" si="32"/>
        <v>NA</v>
      </c>
      <c r="AD69" s="4">
        <f>AB69*T69*AI69</f>
        <v>280.39999999999998</v>
      </c>
      <c r="AE69" s="3">
        <f>IFERROR(((L69^2)*N69*O69*AK69*10^-6*Q69*T69*AI69), "NA")</f>
        <v>458.97975000000008</v>
      </c>
      <c r="AF69">
        <v>701</v>
      </c>
      <c r="AG69" t="str">
        <f t="shared" si="41"/>
        <v>NA</v>
      </c>
      <c r="AH69" t="str">
        <f t="shared" si="42"/>
        <v>NA</v>
      </c>
      <c r="AI69">
        <v>1</v>
      </c>
      <c r="AJ69" t="s">
        <v>31</v>
      </c>
      <c r="AK69">
        <v>2910</v>
      </c>
      <c r="AL69" t="s">
        <v>543</v>
      </c>
      <c r="AM69" t="s">
        <v>86</v>
      </c>
      <c r="AN69" t="s">
        <v>205</v>
      </c>
      <c r="AO69" t="s">
        <v>789</v>
      </c>
      <c r="AP69">
        <v>4.05</v>
      </c>
      <c r="AQ69" t="s">
        <v>33</v>
      </c>
      <c r="AR69" t="s">
        <v>33</v>
      </c>
      <c r="AS69">
        <f>LOG(10^6)</f>
        <v>6</v>
      </c>
      <c r="AT69" s="3">
        <f t="shared" si="43"/>
        <v>2.1349999999999998</v>
      </c>
      <c r="AU69" s="6">
        <v>3.8650000000000002</v>
      </c>
      <c r="AV69" t="b">
        <v>1</v>
      </c>
      <c r="AW69" t="s">
        <v>29</v>
      </c>
      <c r="AX69" t="s">
        <v>30</v>
      </c>
      <c r="AY69" t="s">
        <v>216</v>
      </c>
      <c r="AZ69" t="s">
        <v>33</v>
      </c>
      <c r="BA69" s="18" t="s">
        <v>798</v>
      </c>
      <c r="BB69" t="b">
        <v>0</v>
      </c>
      <c r="BC69" t="s">
        <v>81</v>
      </c>
      <c r="BD69">
        <v>4</v>
      </c>
      <c r="BE69" t="s">
        <v>159</v>
      </c>
      <c r="BF69" s="11">
        <v>24</v>
      </c>
      <c r="BG69" t="s">
        <v>572</v>
      </c>
      <c r="BH69" t="s">
        <v>31</v>
      </c>
      <c r="BI69" t="s">
        <v>31</v>
      </c>
      <c r="BJ69" s="3">
        <f t="shared" si="33"/>
        <v>3.8650000000000002</v>
      </c>
      <c r="BK69" s="3">
        <f t="shared" si="34"/>
        <v>0.5871494982543437</v>
      </c>
      <c r="BL69">
        <v>2</v>
      </c>
      <c r="BM69" s="3">
        <f t="shared" si="45"/>
        <v>2.0746440268095849</v>
      </c>
      <c r="BN69" t="s">
        <v>33</v>
      </c>
      <c r="BO69" s="3">
        <f t="shared" si="44"/>
        <v>118.75284605433377</v>
      </c>
      <c r="BP69" t="s">
        <v>33</v>
      </c>
      <c r="BQ69" t="s">
        <v>33</v>
      </c>
      <c r="BR69" t="s">
        <v>33</v>
      </c>
      <c r="BS69" t="s">
        <v>33</v>
      </c>
      <c r="BT69" t="s">
        <v>31</v>
      </c>
      <c r="BU69" t="s">
        <v>274</v>
      </c>
      <c r="BV69">
        <v>2006</v>
      </c>
      <c r="BW69" t="s">
        <v>275</v>
      </c>
      <c r="BX69" t="s">
        <v>78</v>
      </c>
      <c r="BY69" t="s">
        <v>277</v>
      </c>
      <c r="BZ69" t="s">
        <v>33</v>
      </c>
      <c r="CA69" t="str">
        <f t="shared" si="46"/>
        <v>high acid</v>
      </c>
    </row>
    <row r="70" spans="1:79">
      <c r="A70" t="s">
        <v>602</v>
      </c>
      <c r="B70" t="s">
        <v>565</v>
      </c>
      <c r="C70" t="s">
        <v>563</v>
      </c>
      <c r="D70" t="s">
        <v>118</v>
      </c>
      <c r="E70" t="s">
        <v>77</v>
      </c>
      <c r="F70" t="s">
        <v>33</v>
      </c>
      <c r="G70">
        <v>35</v>
      </c>
      <c r="H70">
        <v>30</v>
      </c>
      <c r="I70" t="b">
        <v>1</v>
      </c>
      <c r="J70">
        <v>6739</v>
      </c>
      <c r="K70">
        <v>10.55</v>
      </c>
      <c r="L70">
        <v>23</v>
      </c>
      <c r="M70" s="4">
        <v>500</v>
      </c>
      <c r="N70" t="e">
        <f>(#REF!*Y70)/(T70*X70*O70)</f>
        <v>#REF!</v>
      </c>
      <c r="O70">
        <v>3</v>
      </c>
      <c r="P70" t="s">
        <v>33</v>
      </c>
      <c r="Q70" s="1">
        <f t="shared" si="38"/>
        <v>1.2044444444444444E-2</v>
      </c>
      <c r="R70" t="s">
        <v>183</v>
      </c>
      <c r="S70" t="s">
        <v>613</v>
      </c>
      <c r="T70">
        <v>6</v>
      </c>
      <c r="U70">
        <v>2.92</v>
      </c>
      <c r="V70">
        <v>2.2999999999999998</v>
      </c>
      <c r="W70" t="s">
        <v>33</v>
      </c>
      <c r="X70">
        <f t="shared" si="37"/>
        <v>1.2131888350367701E-2</v>
      </c>
      <c r="Y70">
        <v>1</v>
      </c>
      <c r="Z70" s="3">
        <f t="shared" ref="Z70:Z101" si="47">IFERROR(X70*M70*O70*T70*AI70/AF70, "NA")</f>
        <v>1.0072601028903072</v>
      </c>
      <c r="AA70" t="s">
        <v>33</v>
      </c>
      <c r="AB70">
        <f t="shared" ref="AB70:AB92" si="48">IFERROR(((X70*M70)/Z70), "NA")</f>
        <v>6.022222222222223</v>
      </c>
      <c r="AC70" s="1" t="str">
        <f t="shared" si="32"/>
        <v>NA</v>
      </c>
      <c r="AE70" s="3">
        <f t="shared" ref="AE70:AE101" si="49">IFERROR(((L70^2)*M70*O70*AK70*10^-6*Q70*T70*AI70), "NA")</f>
        <v>297.03984800000001</v>
      </c>
      <c r="AF70">
        <v>108.4</v>
      </c>
      <c r="AG70" s="1" t="str">
        <f>IFERROR((N70*P70*Q70), "NA")</f>
        <v>NA</v>
      </c>
      <c r="AH70" s="1" t="str">
        <f>IFERROR((O70*Q70*R70), "NA")</f>
        <v>NA</v>
      </c>
      <c r="AI70" s="1">
        <v>1</v>
      </c>
      <c r="AJ70" s="11" t="s">
        <v>31</v>
      </c>
      <c r="AK70">
        <v>5180</v>
      </c>
      <c r="AL70" t="s">
        <v>265</v>
      </c>
      <c r="AM70" t="s">
        <v>86</v>
      </c>
      <c r="AN70" t="s">
        <v>205</v>
      </c>
      <c r="AO70" t="s">
        <v>789</v>
      </c>
      <c r="AP70">
        <v>3.27</v>
      </c>
      <c r="AQ70" t="s">
        <v>33</v>
      </c>
      <c r="AR70" t="s">
        <v>33</v>
      </c>
      <c r="AS70">
        <v>6.5</v>
      </c>
      <c r="AT70">
        <v>2.14</v>
      </c>
      <c r="AU70" s="6">
        <f>AS70-AT70</f>
        <v>4.3599999999999994</v>
      </c>
      <c r="AV70" t="b">
        <v>1</v>
      </c>
      <c r="AW70" t="s">
        <v>626</v>
      </c>
      <c r="AX70" t="s">
        <v>627</v>
      </c>
      <c r="AY70">
        <v>95047</v>
      </c>
      <c r="AZ70" t="s">
        <v>33</v>
      </c>
      <c r="BA70" s="18" t="s">
        <v>800</v>
      </c>
      <c r="BB70" s="3" t="b">
        <v>0</v>
      </c>
      <c r="BC70" t="s">
        <v>81</v>
      </c>
      <c r="BD70">
        <v>24</v>
      </c>
      <c r="BE70" t="s">
        <v>80</v>
      </c>
      <c r="BF70">
        <v>48</v>
      </c>
      <c r="BG70" t="s">
        <v>697</v>
      </c>
      <c r="BH70" t="s">
        <v>32</v>
      </c>
      <c r="BI70" t="s">
        <v>31</v>
      </c>
      <c r="BJ70" s="3">
        <f t="shared" si="33"/>
        <v>4.3599999999999994</v>
      </c>
      <c r="BK70" s="3">
        <f t="shared" si="34"/>
        <v>0.63948648926858598</v>
      </c>
      <c r="BL70">
        <v>2</v>
      </c>
      <c r="BM70" s="3">
        <f t="shared" si="45"/>
        <v>1.8333282247142009</v>
      </c>
      <c r="BN70" t="s">
        <v>33</v>
      </c>
      <c r="BO70" s="3">
        <f t="shared" si="44"/>
        <v>68.128405504587164</v>
      </c>
      <c r="BP70" t="s">
        <v>33</v>
      </c>
      <c r="BQ70" t="s">
        <v>33</v>
      </c>
      <c r="BR70" t="s">
        <v>33</v>
      </c>
      <c r="BS70" t="s">
        <v>33</v>
      </c>
      <c r="BT70" t="s">
        <v>31</v>
      </c>
      <c r="BU70" s="13" t="s">
        <v>163</v>
      </c>
      <c r="BV70" s="14">
        <v>2017</v>
      </c>
      <c r="BW70" t="s">
        <v>266</v>
      </c>
      <c r="BX70" t="s">
        <v>78</v>
      </c>
      <c r="BY70" s="13" t="s">
        <v>690</v>
      </c>
      <c r="CA70" t="str">
        <f t="shared" si="46"/>
        <v>high acid</v>
      </c>
    </row>
    <row r="71" spans="1:79">
      <c r="A71" t="s">
        <v>535</v>
      </c>
      <c r="B71" t="s">
        <v>565</v>
      </c>
      <c r="C71" t="s">
        <v>564</v>
      </c>
      <c r="D71" t="s">
        <v>243</v>
      </c>
      <c r="E71" t="s">
        <v>77</v>
      </c>
      <c r="F71" t="s">
        <v>32</v>
      </c>
      <c r="G71">
        <v>40</v>
      </c>
      <c r="H71">
        <v>43</v>
      </c>
      <c r="I71" t="b">
        <v>0</v>
      </c>
      <c r="J71" t="s">
        <v>33</v>
      </c>
      <c r="K71" t="s">
        <v>33</v>
      </c>
      <c r="L71">
        <v>24</v>
      </c>
      <c r="M71" s="4">
        <v>120</v>
      </c>
      <c r="N71" s="3">
        <f t="shared" ref="N71:N77" si="50">IFERROR(AF71/((T71*X71/Y71)*O71*AI71),"NA")</f>
        <v>85.018666181567994</v>
      </c>
      <c r="O71">
        <v>3</v>
      </c>
      <c r="P71" t="s">
        <v>33</v>
      </c>
      <c r="Q71" s="9">
        <f t="shared" si="38"/>
        <v>2.7083333333333331E-2</v>
      </c>
      <c r="R71" t="s">
        <v>183</v>
      </c>
      <c r="S71" t="s">
        <v>612</v>
      </c>
      <c r="T71" s="11">
        <v>4</v>
      </c>
      <c r="U71">
        <v>3</v>
      </c>
      <c r="V71">
        <v>2.6</v>
      </c>
      <c r="W71">
        <v>1.5900000000000001E-2</v>
      </c>
      <c r="X71" s="8">
        <f t="shared" si="37"/>
        <v>1.5927874753700257E-2</v>
      </c>
      <c r="Y71" s="6">
        <f>25/60</f>
        <v>0.41666666666666669</v>
      </c>
      <c r="Z71" s="3">
        <f t="shared" si="47"/>
        <v>0.58810614475200951</v>
      </c>
      <c r="AA71" t="s">
        <v>33</v>
      </c>
      <c r="AB71" s="6">
        <f t="shared" si="48"/>
        <v>3.25</v>
      </c>
      <c r="AC71" t="str">
        <f t="shared" si="32"/>
        <v>NA</v>
      </c>
      <c r="AD71" s="4">
        <f>IFERROR(AB71*T71*AI71, "NA")</f>
        <v>13</v>
      </c>
      <c r="AE71" s="3">
        <f t="shared" si="49"/>
        <v>20.666879999999999</v>
      </c>
      <c r="AF71">
        <v>39</v>
      </c>
      <c r="AG71" t="str">
        <f t="shared" ref="AG71:AG77" si="51">IFERROR((M71*O71*P71), "NA")</f>
        <v>NA</v>
      </c>
      <c r="AH71" t="str">
        <f t="shared" ref="AH71:AH77" si="52">IFERROR((AG71*T71*AI71), "NA")</f>
        <v>NA</v>
      </c>
      <c r="AI71" s="11">
        <v>1</v>
      </c>
      <c r="AJ71" t="s">
        <v>31</v>
      </c>
      <c r="AK71">
        <v>920</v>
      </c>
      <c r="AL71" t="s">
        <v>551</v>
      </c>
      <c r="AM71" t="s">
        <v>86</v>
      </c>
      <c r="AN71" t="s">
        <v>186</v>
      </c>
      <c r="AO71" t="s">
        <v>794</v>
      </c>
      <c r="AP71">
        <v>5.92</v>
      </c>
      <c r="AQ71" t="s">
        <v>33</v>
      </c>
      <c r="AR71" t="s">
        <v>33</v>
      </c>
      <c r="AS71" s="6">
        <f>LOG(1.1*10^7)</f>
        <v>7.0413926851582254</v>
      </c>
      <c r="AT71" s="3">
        <f t="shared" ref="AT71:AT77" si="53">IFERROR(AS71-AU71,"NA")</f>
        <v>2.1543926851582258</v>
      </c>
      <c r="AU71" s="6">
        <v>4.8869999999999996</v>
      </c>
      <c r="AV71" t="b">
        <v>1</v>
      </c>
      <c r="AW71" t="s">
        <v>172</v>
      </c>
      <c r="AX71" t="s">
        <v>173</v>
      </c>
      <c r="AY71" t="s">
        <v>246</v>
      </c>
      <c r="AZ71" t="s">
        <v>33</v>
      </c>
      <c r="BA71" s="18" t="s">
        <v>799</v>
      </c>
      <c r="BB71" t="b">
        <v>0</v>
      </c>
      <c r="BC71" t="s">
        <v>81</v>
      </c>
      <c r="BD71">
        <v>72</v>
      </c>
      <c r="BE71" t="s">
        <v>80</v>
      </c>
      <c r="BF71" s="11">
        <v>72</v>
      </c>
      <c r="BG71" t="s">
        <v>522</v>
      </c>
      <c r="BH71" t="s">
        <v>31</v>
      </c>
      <c r="BI71" t="s">
        <v>31</v>
      </c>
      <c r="BJ71" s="3">
        <f t="shared" si="33"/>
        <v>4.8869999999999996</v>
      </c>
      <c r="BK71" s="3">
        <f t="shared" si="34"/>
        <v>0.6890423390281718</v>
      </c>
      <c r="BL71">
        <v>2</v>
      </c>
      <c r="BM71" s="3">
        <f t="shared" si="45"/>
        <v>0.62623257876709471</v>
      </c>
      <c r="BN71" t="s">
        <v>33</v>
      </c>
      <c r="BO71" s="3">
        <f t="shared" si="44"/>
        <v>4.2289502762430944</v>
      </c>
      <c r="BP71" t="s">
        <v>33</v>
      </c>
      <c r="BQ71" t="s">
        <v>33</v>
      </c>
      <c r="BR71" t="s">
        <v>33</v>
      </c>
      <c r="BS71" t="s">
        <v>33</v>
      </c>
      <c r="BT71" t="s">
        <v>32</v>
      </c>
      <c r="BU71" t="s">
        <v>207</v>
      </c>
      <c r="BV71">
        <v>2014</v>
      </c>
      <c r="BW71" s="2" t="s">
        <v>242</v>
      </c>
      <c r="BX71" t="s">
        <v>78</v>
      </c>
      <c r="BY71" t="s">
        <v>33</v>
      </c>
      <c r="BZ71" t="s">
        <v>33</v>
      </c>
      <c r="CA71" t="str">
        <f t="shared" si="46"/>
        <v>low acid</v>
      </c>
    </row>
    <row r="72" spans="1:79">
      <c r="A72" t="s">
        <v>354</v>
      </c>
      <c r="B72" t="s">
        <v>565</v>
      </c>
      <c r="C72" t="s">
        <v>563</v>
      </c>
      <c r="D72" t="s">
        <v>118</v>
      </c>
      <c r="E72" t="s">
        <v>77</v>
      </c>
      <c r="F72" t="s">
        <v>32</v>
      </c>
      <c r="G72">
        <v>20</v>
      </c>
      <c r="H72">
        <v>38</v>
      </c>
      <c r="I72" t="b">
        <v>0</v>
      </c>
      <c r="J72" t="s">
        <v>33</v>
      </c>
      <c r="K72" t="s">
        <v>33</v>
      </c>
      <c r="L72">
        <v>34</v>
      </c>
      <c r="M72" s="4">
        <v>800</v>
      </c>
      <c r="N72" s="3">
        <f t="shared" si="50"/>
        <v>798.65912581555494</v>
      </c>
      <c r="O72">
        <v>4</v>
      </c>
      <c r="P72">
        <v>1.4999999999999999E-2</v>
      </c>
      <c r="Q72" s="8">
        <f t="shared" si="38"/>
        <v>8.6458333333333352E-3</v>
      </c>
      <c r="R72" t="s">
        <v>183</v>
      </c>
      <c r="S72" t="s">
        <v>613</v>
      </c>
      <c r="T72" s="11">
        <v>6</v>
      </c>
      <c r="U72">
        <v>2.92</v>
      </c>
      <c r="V72">
        <v>2.38</v>
      </c>
      <c r="W72" t="s">
        <v>33</v>
      </c>
      <c r="X72" s="8">
        <f t="shared" si="37"/>
        <v>1.2990523321705635E-2</v>
      </c>
      <c r="Y72">
        <v>1.5</v>
      </c>
      <c r="Z72" s="3">
        <f t="shared" si="47"/>
        <v>1.5025183601008925</v>
      </c>
      <c r="AA72" t="s">
        <v>33</v>
      </c>
      <c r="AB72" s="6">
        <f t="shared" si="48"/>
        <v>6.916666666666667</v>
      </c>
      <c r="AC72">
        <f t="shared" si="32"/>
        <v>12</v>
      </c>
      <c r="AD72" s="4">
        <f>AB72*T72*AI72</f>
        <v>41.5</v>
      </c>
      <c r="AE72" s="3">
        <f t="shared" si="49"/>
        <v>498.92960000000005</v>
      </c>
      <c r="AF72" s="3">
        <v>166</v>
      </c>
      <c r="AG72">
        <f t="shared" si="51"/>
        <v>48</v>
      </c>
      <c r="AH72">
        <f t="shared" si="52"/>
        <v>288</v>
      </c>
      <c r="AI72">
        <v>1</v>
      </c>
      <c r="AJ72" t="s">
        <v>31</v>
      </c>
      <c r="AK72">
        <v>2600</v>
      </c>
      <c r="AL72" t="s">
        <v>351</v>
      </c>
      <c r="AM72" t="s">
        <v>86</v>
      </c>
      <c r="AN72" t="s">
        <v>205</v>
      </c>
      <c r="AO72" t="s">
        <v>789</v>
      </c>
      <c r="AP72">
        <v>3.7</v>
      </c>
      <c r="AQ72" t="s">
        <v>33</v>
      </c>
      <c r="AR72" t="s">
        <v>33</v>
      </c>
      <c r="AS72" s="6">
        <v>6.5</v>
      </c>
      <c r="AT72" s="3">
        <f t="shared" si="53"/>
        <v>2.1580000000000004</v>
      </c>
      <c r="AU72" s="6">
        <v>4.3419999999999996</v>
      </c>
      <c r="AV72" t="b">
        <v>1</v>
      </c>
      <c r="AW72" t="s">
        <v>29</v>
      </c>
      <c r="AX72" t="s">
        <v>30</v>
      </c>
      <c r="AY72" t="s">
        <v>33</v>
      </c>
      <c r="AZ72" t="s">
        <v>134</v>
      </c>
      <c r="BA72" s="18" t="s">
        <v>798</v>
      </c>
      <c r="BB72" t="b">
        <v>0</v>
      </c>
      <c r="BC72" t="s">
        <v>81</v>
      </c>
      <c r="BD72">
        <v>12</v>
      </c>
      <c r="BE72" t="s">
        <v>80</v>
      </c>
      <c r="BF72" s="11">
        <v>24</v>
      </c>
      <c r="BG72" t="s">
        <v>352</v>
      </c>
      <c r="BH72" t="s">
        <v>31</v>
      </c>
      <c r="BI72" t="s">
        <v>31</v>
      </c>
      <c r="BJ72" s="3">
        <f t="shared" si="33"/>
        <v>4.3419999999999996</v>
      </c>
      <c r="BK72" s="3">
        <f t="shared" si="34"/>
        <v>0.63768981911840117</v>
      </c>
      <c r="BL72">
        <v>2</v>
      </c>
      <c r="BM72" s="3">
        <f t="shared" si="45"/>
        <v>2.060349450976982</v>
      </c>
      <c r="BN72" t="s">
        <v>33</v>
      </c>
      <c r="BO72" s="3">
        <f t="shared" si="44"/>
        <v>114.90778443113774</v>
      </c>
      <c r="BP72" t="s">
        <v>33</v>
      </c>
      <c r="BQ72" t="s">
        <v>33</v>
      </c>
      <c r="BR72" t="s">
        <v>33</v>
      </c>
      <c r="BS72" t="s">
        <v>33</v>
      </c>
      <c r="BT72" t="s">
        <v>31</v>
      </c>
      <c r="BU72" t="s">
        <v>163</v>
      </c>
      <c r="BV72">
        <v>2000</v>
      </c>
      <c r="BW72" t="s">
        <v>353</v>
      </c>
      <c r="BX72" t="s">
        <v>78</v>
      </c>
      <c r="BY72" t="s">
        <v>33</v>
      </c>
      <c r="BZ72" t="s">
        <v>529</v>
      </c>
      <c r="CA72" t="str">
        <f t="shared" si="46"/>
        <v>high acid</v>
      </c>
    </row>
    <row r="73" spans="1:79">
      <c r="A73" t="s">
        <v>89</v>
      </c>
      <c r="B73" t="s">
        <v>565</v>
      </c>
      <c r="C73" t="s">
        <v>563</v>
      </c>
      <c r="D73" t="s">
        <v>118</v>
      </c>
      <c r="E73" t="s">
        <v>77</v>
      </c>
      <c r="F73" t="s">
        <v>32</v>
      </c>
      <c r="G73">
        <v>50</v>
      </c>
      <c r="H73">
        <f>(53+60)/2</f>
        <v>56.5</v>
      </c>
      <c r="I73" t="b">
        <v>0</v>
      </c>
      <c r="J73" t="s">
        <v>33</v>
      </c>
      <c r="K73" t="s">
        <v>33</v>
      </c>
      <c r="L73">
        <v>34</v>
      </c>
      <c r="M73" s="4">
        <v>548</v>
      </c>
      <c r="N73" s="3">
        <f t="shared" si="50"/>
        <v>553.30575787548105</v>
      </c>
      <c r="O73">
        <v>2.5</v>
      </c>
      <c r="P73" t="s">
        <v>33</v>
      </c>
      <c r="Q73" s="8">
        <f t="shared" si="38"/>
        <v>6.0827250608272501E-3</v>
      </c>
      <c r="R73" t="s">
        <v>183</v>
      </c>
      <c r="S73" t="s">
        <v>612</v>
      </c>
      <c r="T73" s="11">
        <v>6</v>
      </c>
      <c r="U73">
        <v>2.9</v>
      </c>
      <c r="V73">
        <v>2.2999999999999998</v>
      </c>
      <c r="W73" t="s">
        <v>33</v>
      </c>
      <c r="X73" s="8">
        <f t="shared" si="37"/>
        <v>1.204879322468025E-2</v>
      </c>
      <c r="Y73">
        <f>120/60</f>
        <v>2</v>
      </c>
      <c r="Z73" s="9">
        <f t="shared" si="47"/>
        <v>1.9808216061374333</v>
      </c>
      <c r="AA73">
        <v>3.3</v>
      </c>
      <c r="AB73" s="6">
        <f t="shared" si="48"/>
        <v>3.333333333333333</v>
      </c>
      <c r="AC73" t="str">
        <f t="shared" si="32"/>
        <v>NA</v>
      </c>
      <c r="AD73" s="4">
        <f>IFERROR(AB73*T73*AI73, "NA")</f>
        <v>20</v>
      </c>
      <c r="AE73">
        <f t="shared" si="49"/>
        <v>187.84999999999997</v>
      </c>
      <c r="AF73">
        <v>50</v>
      </c>
      <c r="AG73" t="str">
        <f t="shared" si="51"/>
        <v>NA</v>
      </c>
      <c r="AH73" t="str">
        <f t="shared" si="52"/>
        <v>NA</v>
      </c>
      <c r="AI73" s="11">
        <v>1</v>
      </c>
      <c r="AJ73" t="s">
        <v>31</v>
      </c>
      <c r="AK73">
        <v>3250</v>
      </c>
      <c r="AL73" t="s">
        <v>238</v>
      </c>
      <c r="AM73" t="s">
        <v>86</v>
      </c>
      <c r="AN73" t="s">
        <v>205</v>
      </c>
      <c r="AO73" t="s">
        <v>789</v>
      </c>
      <c r="AP73">
        <v>4.16</v>
      </c>
      <c r="AQ73" t="s">
        <v>33</v>
      </c>
      <c r="AR73" t="s">
        <v>33</v>
      </c>
      <c r="AS73" s="3">
        <f>LOG(3.8*10^6)</f>
        <v>6.5797835966168101</v>
      </c>
      <c r="AT73" s="3">
        <f t="shared" si="53"/>
        <v>2.16978359661681</v>
      </c>
      <c r="AU73" s="6">
        <v>4.41</v>
      </c>
      <c r="AV73" t="b">
        <v>1</v>
      </c>
      <c r="AW73" t="s">
        <v>123</v>
      </c>
      <c r="AX73" t="s">
        <v>88</v>
      </c>
      <c r="AY73" t="s">
        <v>518</v>
      </c>
      <c r="AZ73" t="s">
        <v>33</v>
      </c>
      <c r="BA73" s="18" t="s">
        <v>579</v>
      </c>
      <c r="BB73" t="b">
        <v>1</v>
      </c>
      <c r="BC73" t="s">
        <v>81</v>
      </c>
      <c r="BD73">
        <v>24</v>
      </c>
      <c r="BE73" t="s">
        <v>80</v>
      </c>
      <c r="BF73" s="11">
        <v>72</v>
      </c>
      <c r="BG73" t="s">
        <v>395</v>
      </c>
      <c r="BH73" t="s">
        <v>31</v>
      </c>
      <c r="BI73" t="s">
        <v>31</v>
      </c>
      <c r="BJ73">
        <f t="shared" si="33"/>
        <v>4.41</v>
      </c>
      <c r="BK73" s="3">
        <f t="shared" si="34"/>
        <v>0.6444385894678385</v>
      </c>
      <c r="BL73">
        <v>2</v>
      </c>
      <c r="BM73" s="3">
        <f>LOG(BO73)</f>
        <v>1.6293726099315649</v>
      </c>
      <c r="BN73" t="s">
        <v>33</v>
      </c>
      <c r="BO73" s="3">
        <f t="shared" si="44"/>
        <v>42.59637188208616</v>
      </c>
      <c r="BP73" t="s">
        <v>33</v>
      </c>
      <c r="BQ73" t="s">
        <v>33</v>
      </c>
      <c r="BR73" t="s">
        <v>33</v>
      </c>
      <c r="BS73" t="s">
        <v>33</v>
      </c>
      <c r="BT73" t="s">
        <v>32</v>
      </c>
      <c r="BU73" t="s">
        <v>84</v>
      </c>
      <c r="BV73">
        <v>2013</v>
      </c>
      <c r="BW73" t="s">
        <v>83</v>
      </c>
      <c r="BX73" t="s">
        <v>78</v>
      </c>
      <c r="BY73" t="s">
        <v>33</v>
      </c>
      <c r="BZ73" t="s">
        <v>33</v>
      </c>
      <c r="CA73" t="str">
        <f t="shared" si="46"/>
        <v>high acid</v>
      </c>
    </row>
    <row r="74" spans="1:79">
      <c r="A74" s="3" t="s">
        <v>303</v>
      </c>
      <c r="B74" t="s">
        <v>566</v>
      </c>
      <c r="C74" t="s">
        <v>563</v>
      </c>
      <c r="D74" s="3" t="s">
        <v>279</v>
      </c>
      <c r="E74" s="3" t="s">
        <v>77</v>
      </c>
      <c r="F74" t="s">
        <v>32</v>
      </c>
      <c r="G74" s="11">
        <v>10</v>
      </c>
      <c r="H74" s="11">
        <v>30</v>
      </c>
      <c r="I74" s="3" t="b">
        <v>0</v>
      </c>
      <c r="J74" s="3" t="s">
        <v>33</v>
      </c>
      <c r="K74" s="3" t="s">
        <v>33</v>
      </c>
      <c r="L74" s="11">
        <v>20</v>
      </c>
      <c r="M74" s="4">
        <v>1000</v>
      </c>
      <c r="N74" s="3">
        <f t="shared" si="50"/>
        <v>7578.806813899776</v>
      </c>
      <c r="O74" s="3">
        <v>16</v>
      </c>
      <c r="P74" s="3" t="s">
        <v>33</v>
      </c>
      <c r="Q74" s="3">
        <f t="shared" si="38"/>
        <v>0.22500000000000001</v>
      </c>
      <c r="R74" t="s">
        <v>183</v>
      </c>
      <c r="S74" t="s">
        <v>613</v>
      </c>
      <c r="T74" s="11">
        <v>1</v>
      </c>
      <c r="U74" s="3">
        <v>2.8</v>
      </c>
      <c r="V74" s="3">
        <v>3</v>
      </c>
      <c r="W74" s="3">
        <v>0.02</v>
      </c>
      <c r="X74" s="3">
        <f t="shared" si="37"/>
        <v>1.97920337176157E-2</v>
      </c>
      <c r="Y74" s="3">
        <f>40/60</f>
        <v>0.66666666666666663</v>
      </c>
      <c r="Z74" s="3">
        <f t="shared" si="47"/>
        <v>8.7964594300514218E-2</v>
      </c>
      <c r="AA74" s="3" t="s">
        <v>33</v>
      </c>
      <c r="AB74" s="3">
        <f t="shared" si="48"/>
        <v>225</v>
      </c>
      <c r="AC74" s="3" t="str">
        <f t="shared" si="32"/>
        <v>NA</v>
      </c>
      <c r="AD74" s="4">
        <f>AB74*T74*AI74</f>
        <v>225</v>
      </c>
      <c r="AE74" s="3">
        <f t="shared" si="49"/>
        <v>576</v>
      </c>
      <c r="AF74" s="3">
        <v>3600</v>
      </c>
      <c r="AG74" s="3" t="str">
        <f t="shared" si="51"/>
        <v>NA</v>
      </c>
      <c r="AH74" s="3" t="str">
        <f t="shared" si="52"/>
        <v>NA</v>
      </c>
      <c r="AI74" s="3">
        <v>1</v>
      </c>
      <c r="AJ74" t="s">
        <v>31</v>
      </c>
      <c r="AK74" s="3">
        <v>400</v>
      </c>
      <c r="AL74" s="3" t="s">
        <v>281</v>
      </c>
      <c r="AM74" s="3" t="s">
        <v>103</v>
      </c>
      <c r="AN74" t="s">
        <v>130</v>
      </c>
      <c r="AO74" t="s">
        <v>795</v>
      </c>
      <c r="AP74" s="3" t="s">
        <v>33</v>
      </c>
      <c r="AQ74" s="3" t="s">
        <v>33</v>
      </c>
      <c r="AR74" s="3" t="s">
        <v>33</v>
      </c>
      <c r="AS74" s="3">
        <f>4.049</f>
        <v>4.0490000000000004</v>
      </c>
      <c r="AT74" s="3">
        <f t="shared" si="53"/>
        <v>2.1740000000000004</v>
      </c>
      <c r="AU74" s="6">
        <v>1.875</v>
      </c>
      <c r="AV74" s="3" t="b">
        <v>1</v>
      </c>
      <c r="AW74" s="3" t="s">
        <v>172</v>
      </c>
      <c r="AX74" s="3" t="s">
        <v>173</v>
      </c>
      <c r="AY74" s="3" t="s">
        <v>283</v>
      </c>
      <c r="AZ74" s="3" t="s">
        <v>33</v>
      </c>
      <c r="BA74" s="18" t="s">
        <v>799</v>
      </c>
      <c r="BB74" s="3" t="b">
        <v>0</v>
      </c>
      <c r="BC74" t="s">
        <v>81</v>
      </c>
      <c r="BD74" s="3">
        <v>2</v>
      </c>
      <c r="BE74" s="3" t="s">
        <v>252</v>
      </c>
      <c r="BF74" s="11">
        <v>72</v>
      </c>
      <c r="BG74" s="3" t="s">
        <v>574</v>
      </c>
      <c r="BH74" s="3" t="s">
        <v>31</v>
      </c>
      <c r="BI74" s="3" t="s">
        <v>31</v>
      </c>
      <c r="BJ74" s="3">
        <f t="shared" si="33"/>
        <v>1.875</v>
      </c>
      <c r="BK74" s="3">
        <f t="shared" si="34"/>
        <v>0.27300127206373764</v>
      </c>
      <c r="BL74" s="3">
        <v>2</v>
      </c>
      <c r="BM74" s="3">
        <f t="shared" ref="BM74:BM100" si="54">IFERROR(LOG(BO74),"NA")</f>
        <v>2.4874212113594742</v>
      </c>
      <c r="BN74" s="3" t="s">
        <v>33</v>
      </c>
      <c r="BO74" s="3">
        <f t="shared" si="44"/>
        <v>307.2</v>
      </c>
      <c r="BP74" s="3" t="s">
        <v>33</v>
      </c>
      <c r="BQ74" s="3" t="s">
        <v>33</v>
      </c>
      <c r="BR74" s="3" t="s">
        <v>33</v>
      </c>
      <c r="BS74" s="3" t="s">
        <v>33</v>
      </c>
      <c r="BT74" t="s">
        <v>31</v>
      </c>
      <c r="BU74" s="3" t="s">
        <v>247</v>
      </c>
      <c r="BV74" s="11">
        <v>2016</v>
      </c>
      <c r="BW74" s="3" t="s">
        <v>284</v>
      </c>
      <c r="BX74" t="s">
        <v>78</v>
      </c>
      <c r="BY74" s="3" t="s">
        <v>33</v>
      </c>
      <c r="BZ74" s="3" t="s">
        <v>297</v>
      </c>
      <c r="CA74" t="str">
        <f t="shared" si="46"/>
        <v>low acid</v>
      </c>
    </row>
    <row r="75" spans="1:79">
      <c r="A75" t="s">
        <v>392</v>
      </c>
      <c r="B75" t="s">
        <v>565</v>
      </c>
      <c r="C75" t="s">
        <v>563</v>
      </c>
      <c r="D75" t="s">
        <v>118</v>
      </c>
      <c r="E75" t="s">
        <v>77</v>
      </c>
      <c r="F75" t="s">
        <v>32</v>
      </c>
      <c r="G75">
        <v>25</v>
      </c>
      <c r="H75">
        <v>36</v>
      </c>
      <c r="I75" t="b">
        <v>0</v>
      </c>
      <c r="J75" t="s">
        <v>33</v>
      </c>
      <c r="K75" t="s">
        <v>33</v>
      </c>
      <c r="L75">
        <v>35</v>
      </c>
      <c r="M75" s="4">
        <v>200</v>
      </c>
      <c r="N75" s="3" t="str">
        <f t="shared" si="50"/>
        <v>NA</v>
      </c>
      <c r="O75">
        <v>4</v>
      </c>
      <c r="P75" t="s">
        <v>33</v>
      </c>
      <c r="Q75" s="8">
        <f t="shared" si="38"/>
        <v>0.15625</v>
      </c>
      <c r="R75" t="s">
        <v>183</v>
      </c>
      <c r="S75" t="s">
        <v>613</v>
      </c>
      <c r="T75" s="11">
        <v>8</v>
      </c>
      <c r="U75">
        <v>2.9</v>
      </c>
      <c r="V75">
        <v>2.2999999999999998</v>
      </c>
      <c r="W75">
        <v>1.2E-2</v>
      </c>
      <c r="X75" s="8">
        <f t="shared" si="37"/>
        <v>1.204879322468025E-2</v>
      </c>
      <c r="Y75" t="s">
        <v>33</v>
      </c>
      <c r="Z75" s="3">
        <f t="shared" si="47"/>
        <v>7.71122766379536E-2</v>
      </c>
      <c r="AA75" t="s">
        <v>33</v>
      </c>
      <c r="AB75" s="6">
        <f t="shared" si="48"/>
        <v>31.25</v>
      </c>
      <c r="AC75" t="str">
        <f t="shared" si="32"/>
        <v>NA</v>
      </c>
      <c r="AD75" s="4">
        <f>AB75*T75*AI75</f>
        <v>250</v>
      </c>
      <c r="AE75" s="3">
        <f t="shared" si="49"/>
        <v>5194</v>
      </c>
      <c r="AF75">
        <v>1000</v>
      </c>
      <c r="AG75" t="str">
        <f t="shared" si="51"/>
        <v>NA</v>
      </c>
      <c r="AH75" t="str">
        <f t="shared" si="52"/>
        <v>NA</v>
      </c>
      <c r="AI75">
        <v>1</v>
      </c>
      <c r="AJ75" t="s">
        <v>31</v>
      </c>
      <c r="AK75">
        <v>4240</v>
      </c>
      <c r="AL75" t="s">
        <v>238</v>
      </c>
      <c r="AM75" t="s">
        <v>86</v>
      </c>
      <c r="AN75" t="s">
        <v>205</v>
      </c>
      <c r="AO75" t="s">
        <v>789</v>
      </c>
      <c r="AP75">
        <v>3.56</v>
      </c>
      <c r="AQ75" t="s">
        <v>33</v>
      </c>
      <c r="AR75" t="s">
        <v>33</v>
      </c>
      <c r="AS75" s="6">
        <f>LOG(10^8)</f>
        <v>8</v>
      </c>
      <c r="AT75" s="3">
        <f t="shared" si="53"/>
        <v>2.1829999999999998</v>
      </c>
      <c r="AU75" s="6">
        <v>5.8170000000000002</v>
      </c>
      <c r="AV75" t="b">
        <v>1</v>
      </c>
      <c r="AW75" t="s">
        <v>123</v>
      </c>
      <c r="AX75" t="s">
        <v>393</v>
      </c>
      <c r="AY75" t="s">
        <v>394</v>
      </c>
      <c r="AZ75" t="s">
        <v>33</v>
      </c>
      <c r="BA75" s="18" t="s">
        <v>579</v>
      </c>
      <c r="BB75" t="b">
        <v>1</v>
      </c>
      <c r="BC75" t="s">
        <v>81</v>
      </c>
      <c r="BD75">
        <v>72</v>
      </c>
      <c r="BE75" t="s">
        <v>80</v>
      </c>
      <c r="BF75" s="11">
        <v>72</v>
      </c>
      <c r="BG75" t="s">
        <v>395</v>
      </c>
      <c r="BH75" t="s">
        <v>31</v>
      </c>
      <c r="BI75" t="s">
        <v>32</v>
      </c>
      <c r="BJ75" s="3">
        <f t="shared" si="33"/>
        <v>5.8170000000000002</v>
      </c>
      <c r="BK75" s="3">
        <f t="shared" si="34"/>
        <v>0.76469906379836783</v>
      </c>
      <c r="BL75">
        <v>2</v>
      </c>
      <c r="BM75" s="3">
        <f t="shared" si="54"/>
        <v>2.9508028814949161</v>
      </c>
      <c r="BN75" t="s">
        <v>33</v>
      </c>
      <c r="BO75" s="3">
        <f t="shared" si="44"/>
        <v>892.90012033694336</v>
      </c>
      <c r="BP75" t="s">
        <v>33</v>
      </c>
      <c r="BQ75" t="s">
        <v>33</v>
      </c>
      <c r="BR75" t="s">
        <v>33</v>
      </c>
      <c r="BS75" t="s">
        <v>33</v>
      </c>
      <c r="BT75" t="s">
        <v>31</v>
      </c>
      <c r="BU75" t="s">
        <v>240</v>
      </c>
      <c r="BV75">
        <v>2005</v>
      </c>
      <c r="BW75" t="s">
        <v>396</v>
      </c>
      <c r="BX75" t="s">
        <v>78</v>
      </c>
      <c r="BY75" t="s">
        <v>33</v>
      </c>
      <c r="BZ75" t="s">
        <v>33</v>
      </c>
      <c r="CA75" t="str">
        <f t="shared" si="46"/>
        <v>high acid</v>
      </c>
    </row>
    <row r="76" spans="1:79">
      <c r="A76" s="3" t="s">
        <v>280</v>
      </c>
      <c r="B76" t="s">
        <v>566</v>
      </c>
      <c r="C76" t="s">
        <v>563</v>
      </c>
      <c r="D76" s="3" t="s">
        <v>279</v>
      </c>
      <c r="E76" s="3" t="s">
        <v>77</v>
      </c>
      <c r="F76" t="s">
        <v>32</v>
      </c>
      <c r="G76" s="11">
        <v>10</v>
      </c>
      <c r="H76" s="11">
        <v>30</v>
      </c>
      <c r="I76" s="3" t="b">
        <v>0</v>
      </c>
      <c r="J76" s="3" t="s">
        <v>33</v>
      </c>
      <c r="K76" s="3" t="s">
        <v>33</v>
      </c>
      <c r="L76" s="11">
        <v>40</v>
      </c>
      <c r="M76" s="4">
        <v>1000</v>
      </c>
      <c r="N76" s="3">
        <f t="shared" si="50"/>
        <v>2526.2689379665921</v>
      </c>
      <c r="O76" s="3">
        <v>16</v>
      </c>
      <c r="P76" s="3" t="s">
        <v>33</v>
      </c>
      <c r="Q76" s="3">
        <f t="shared" si="38"/>
        <v>7.5000000000000011E-2</v>
      </c>
      <c r="R76" t="s">
        <v>183</v>
      </c>
      <c r="S76" t="s">
        <v>613</v>
      </c>
      <c r="T76" s="11">
        <v>1</v>
      </c>
      <c r="U76" s="3">
        <v>2.8</v>
      </c>
      <c r="V76" s="3">
        <v>3</v>
      </c>
      <c r="W76" s="3">
        <v>0.02</v>
      </c>
      <c r="X76" s="3">
        <f t="shared" si="37"/>
        <v>1.97920337176157E-2</v>
      </c>
      <c r="Y76" s="3">
        <f>40/60</f>
        <v>0.66666666666666663</v>
      </c>
      <c r="Z76" s="3">
        <f t="shared" si="47"/>
        <v>0.26389378290154264</v>
      </c>
      <c r="AA76" s="3" t="s">
        <v>33</v>
      </c>
      <c r="AB76" s="3">
        <f t="shared" si="48"/>
        <v>75</v>
      </c>
      <c r="AC76" s="3" t="str">
        <f t="shared" si="32"/>
        <v>NA</v>
      </c>
      <c r="AD76" s="4">
        <f>AB76*T76*AI76</f>
        <v>75</v>
      </c>
      <c r="AE76" s="3">
        <f t="shared" si="49"/>
        <v>768.00000000000011</v>
      </c>
      <c r="AF76" s="3">
        <v>1200</v>
      </c>
      <c r="AG76" s="3" t="str">
        <f t="shared" si="51"/>
        <v>NA</v>
      </c>
      <c r="AH76" s="3" t="str">
        <f t="shared" si="52"/>
        <v>NA</v>
      </c>
      <c r="AI76" s="3">
        <v>1</v>
      </c>
      <c r="AJ76" t="s">
        <v>31</v>
      </c>
      <c r="AK76" s="3">
        <v>400</v>
      </c>
      <c r="AL76" s="3" t="s">
        <v>281</v>
      </c>
      <c r="AM76" s="3" t="s">
        <v>103</v>
      </c>
      <c r="AN76" t="s">
        <v>130</v>
      </c>
      <c r="AO76" t="s">
        <v>795</v>
      </c>
      <c r="AP76" s="3" t="s">
        <v>33</v>
      </c>
      <c r="AQ76" s="3" t="s">
        <v>33</v>
      </c>
      <c r="AR76" s="3" t="s">
        <v>33</v>
      </c>
      <c r="AS76" s="3">
        <v>4.0880000000000001</v>
      </c>
      <c r="AT76" s="3">
        <f t="shared" si="53"/>
        <v>2.2199999999999998</v>
      </c>
      <c r="AU76" s="6">
        <v>1.8680000000000001</v>
      </c>
      <c r="AV76" s="3" t="b">
        <v>1</v>
      </c>
      <c r="AW76" s="3" t="s">
        <v>172</v>
      </c>
      <c r="AX76" s="3" t="s">
        <v>173</v>
      </c>
      <c r="AY76" s="3" t="s">
        <v>283</v>
      </c>
      <c r="AZ76" s="3" t="s">
        <v>33</v>
      </c>
      <c r="BA76" s="18" t="s">
        <v>799</v>
      </c>
      <c r="BB76" s="3" t="b">
        <v>0</v>
      </c>
      <c r="BC76" t="s">
        <v>81</v>
      </c>
      <c r="BD76" s="3">
        <v>2</v>
      </c>
      <c r="BE76" s="3" t="s">
        <v>252</v>
      </c>
      <c r="BF76" s="11">
        <v>72</v>
      </c>
      <c r="BG76" s="3" t="s">
        <v>574</v>
      </c>
      <c r="BH76" s="3" t="s">
        <v>31</v>
      </c>
      <c r="BI76" s="3" t="s">
        <v>31</v>
      </c>
      <c r="BJ76" s="3">
        <f t="shared" si="33"/>
        <v>1.8680000000000001</v>
      </c>
      <c r="BK76" s="3">
        <f t="shared" si="34"/>
        <v>0.27137687189407456</v>
      </c>
      <c r="BL76" s="3">
        <v>2</v>
      </c>
      <c r="BM76" s="3">
        <f t="shared" si="54"/>
        <v>2.6139843481374374</v>
      </c>
      <c r="BN76" s="3" t="s">
        <v>33</v>
      </c>
      <c r="BO76" s="3">
        <f t="shared" si="44"/>
        <v>411.13490364025699</v>
      </c>
      <c r="BP76" s="3" t="s">
        <v>33</v>
      </c>
      <c r="BQ76" s="3" t="s">
        <v>33</v>
      </c>
      <c r="BR76" s="3" t="s">
        <v>33</v>
      </c>
      <c r="BS76" s="3" t="s">
        <v>33</v>
      </c>
      <c r="BT76" t="s">
        <v>31</v>
      </c>
      <c r="BU76" s="3" t="s">
        <v>247</v>
      </c>
      <c r="BV76" s="11">
        <v>2016</v>
      </c>
      <c r="BW76" s="3" t="s">
        <v>284</v>
      </c>
      <c r="BX76" t="s">
        <v>78</v>
      </c>
      <c r="BY76" s="3" t="s">
        <v>33</v>
      </c>
      <c r="BZ76" s="3" t="s">
        <v>282</v>
      </c>
      <c r="CA76" t="str">
        <f t="shared" si="46"/>
        <v>low acid</v>
      </c>
    </row>
    <row r="77" spans="1:79">
      <c r="A77" t="s">
        <v>85</v>
      </c>
      <c r="B77" t="s">
        <v>565</v>
      </c>
      <c r="C77" t="s">
        <v>563</v>
      </c>
      <c r="D77" t="s">
        <v>118</v>
      </c>
      <c r="E77" t="s">
        <v>77</v>
      </c>
      <c r="F77" t="s">
        <v>32</v>
      </c>
      <c r="G77">
        <v>40</v>
      </c>
      <c r="H77">
        <f>(42+47)/2</f>
        <v>44.5</v>
      </c>
      <c r="I77" t="b">
        <v>1</v>
      </c>
      <c r="J77" t="s">
        <v>33</v>
      </c>
      <c r="K77" t="s">
        <v>33</v>
      </c>
      <c r="L77">
        <v>26</v>
      </c>
      <c r="M77" s="4">
        <v>548</v>
      </c>
      <c r="N77" s="3">
        <f t="shared" si="50"/>
        <v>553.30575787548105</v>
      </c>
      <c r="O77">
        <v>2.5</v>
      </c>
      <c r="P77" t="s">
        <v>33</v>
      </c>
      <c r="Q77" s="8">
        <f t="shared" si="38"/>
        <v>6.0827250608272501E-3</v>
      </c>
      <c r="R77" t="s">
        <v>183</v>
      </c>
      <c r="S77" t="s">
        <v>612</v>
      </c>
      <c r="T77" s="11">
        <v>6</v>
      </c>
      <c r="U77">
        <v>2.9</v>
      </c>
      <c r="V77">
        <v>2.2999999999999998</v>
      </c>
      <c r="W77" t="s">
        <v>33</v>
      </c>
      <c r="X77" s="8">
        <f t="shared" si="37"/>
        <v>1.204879322468025E-2</v>
      </c>
      <c r="Y77" s="6">
        <f>120/60</f>
        <v>2</v>
      </c>
      <c r="Z77" s="3">
        <f t="shared" si="47"/>
        <v>1.9808216061374333</v>
      </c>
      <c r="AA77">
        <v>3.3</v>
      </c>
      <c r="AB77" s="6">
        <f t="shared" si="48"/>
        <v>3.333333333333333</v>
      </c>
      <c r="AC77" t="str">
        <f t="shared" si="32"/>
        <v>NA</v>
      </c>
      <c r="AD77" s="4">
        <f>IFERROR(AB77*T77*AI77, "NA")</f>
        <v>20</v>
      </c>
      <c r="AE77">
        <f t="shared" si="49"/>
        <v>72.669999999999987</v>
      </c>
      <c r="AF77">
        <v>50</v>
      </c>
      <c r="AG77" t="str">
        <f t="shared" si="51"/>
        <v>NA</v>
      </c>
      <c r="AH77" t="str">
        <f t="shared" si="52"/>
        <v>NA</v>
      </c>
      <c r="AI77" s="11">
        <v>1</v>
      </c>
      <c r="AJ77" t="s">
        <v>31</v>
      </c>
      <c r="AK77">
        <v>2150</v>
      </c>
      <c r="AL77" t="s">
        <v>238</v>
      </c>
      <c r="AM77" t="s">
        <v>86</v>
      </c>
      <c r="AN77" t="s">
        <v>205</v>
      </c>
      <c r="AO77" t="s">
        <v>789</v>
      </c>
      <c r="AP77">
        <v>4.16</v>
      </c>
      <c r="AQ77" t="s">
        <v>33</v>
      </c>
      <c r="AR77" t="s">
        <v>33</v>
      </c>
      <c r="AS77">
        <f>5.98</f>
        <v>5.98</v>
      </c>
      <c r="AT77" s="3">
        <f t="shared" si="53"/>
        <v>2.2200000000000006</v>
      </c>
      <c r="AU77" s="6">
        <v>3.76</v>
      </c>
      <c r="AV77" t="b">
        <v>1</v>
      </c>
      <c r="AW77" t="s">
        <v>29</v>
      </c>
      <c r="AX77" t="s">
        <v>30</v>
      </c>
      <c r="AY77" t="s">
        <v>270</v>
      </c>
      <c r="AZ77" t="s">
        <v>134</v>
      </c>
      <c r="BA77" s="18" t="s">
        <v>798</v>
      </c>
      <c r="BB77" t="b">
        <v>0</v>
      </c>
      <c r="BC77" t="s">
        <v>81</v>
      </c>
      <c r="BD77">
        <v>16</v>
      </c>
      <c r="BE77" t="s">
        <v>80</v>
      </c>
      <c r="BF77" s="11">
        <v>24</v>
      </c>
      <c r="BG77" t="s">
        <v>568</v>
      </c>
      <c r="BH77" t="s">
        <v>31</v>
      </c>
      <c r="BI77" t="s">
        <v>31</v>
      </c>
      <c r="BJ77" s="3">
        <f t="shared" si="33"/>
        <v>3.76</v>
      </c>
      <c r="BK77" s="3">
        <f t="shared" si="34"/>
        <v>0.57518784492766106</v>
      </c>
      <c r="BL77">
        <v>2</v>
      </c>
      <c r="BM77" s="3">
        <f t="shared" si="54"/>
        <v>1.286167315265599</v>
      </c>
      <c r="BN77" t="s">
        <v>33</v>
      </c>
      <c r="BO77" s="3">
        <f t="shared" si="44"/>
        <v>19.327127659574465</v>
      </c>
      <c r="BP77" t="s">
        <v>33</v>
      </c>
      <c r="BQ77" t="s">
        <v>33</v>
      </c>
      <c r="BR77" t="s">
        <v>33</v>
      </c>
      <c r="BS77" t="s">
        <v>33</v>
      </c>
      <c r="BT77" t="s">
        <v>32</v>
      </c>
      <c r="BU77" t="s">
        <v>84</v>
      </c>
      <c r="BV77">
        <v>2013</v>
      </c>
      <c r="BW77" s="1" t="s">
        <v>83</v>
      </c>
      <c r="BX77" t="s">
        <v>78</v>
      </c>
      <c r="BY77" t="s">
        <v>33</v>
      </c>
      <c r="BZ77" t="s">
        <v>33</v>
      </c>
      <c r="CA77" t="str">
        <f t="shared" si="46"/>
        <v>high acid</v>
      </c>
    </row>
    <row r="78" spans="1:79">
      <c r="A78" t="s">
        <v>589</v>
      </c>
      <c r="B78" t="s">
        <v>566</v>
      </c>
      <c r="C78" t="s">
        <v>563</v>
      </c>
      <c r="D78" t="s">
        <v>33</v>
      </c>
      <c r="E78" t="s">
        <v>77</v>
      </c>
      <c r="F78" t="s">
        <v>33</v>
      </c>
      <c r="G78" t="s">
        <v>33</v>
      </c>
      <c r="H78">
        <v>35</v>
      </c>
      <c r="I78" t="b">
        <v>0</v>
      </c>
      <c r="J78" t="s">
        <v>33</v>
      </c>
      <c r="K78" t="s">
        <v>33</v>
      </c>
      <c r="L78">
        <v>28</v>
      </c>
      <c r="M78" s="4">
        <v>1</v>
      </c>
      <c r="N78" t="e">
        <f>(#REF!*Y78)/(T78*X78*O78)</f>
        <v>#REF!</v>
      </c>
      <c r="O78">
        <v>2</v>
      </c>
      <c r="P78" t="s">
        <v>33</v>
      </c>
      <c r="Q78" s="1">
        <f t="shared" si="38"/>
        <v>396</v>
      </c>
      <c r="R78" t="s">
        <v>183</v>
      </c>
      <c r="S78" t="s">
        <v>613</v>
      </c>
      <c r="T78">
        <v>1</v>
      </c>
      <c r="U78">
        <v>2.5</v>
      </c>
      <c r="V78" t="s">
        <v>33</v>
      </c>
      <c r="W78">
        <v>0.50249999999999995</v>
      </c>
      <c r="X78">
        <f>W78</f>
        <v>0.50249999999999995</v>
      </c>
      <c r="Y78" t="s">
        <v>33</v>
      </c>
      <c r="Z78" s="3">
        <f t="shared" si="47"/>
        <v>1.2689393939393939E-3</v>
      </c>
      <c r="AA78" t="s">
        <v>33</v>
      </c>
      <c r="AB78">
        <f t="shared" si="48"/>
        <v>396</v>
      </c>
      <c r="AC78" s="1" t="str">
        <f t="shared" si="32"/>
        <v>NA</v>
      </c>
      <c r="AE78" s="3">
        <f t="shared" si="49"/>
        <v>1241.8559999999998</v>
      </c>
      <c r="AF78">
        <v>792</v>
      </c>
      <c r="AG78" s="1" t="str">
        <f>IFERROR((N78*P78*Q78), "NA")</f>
        <v>NA</v>
      </c>
      <c r="AH78" s="1" t="str">
        <f>IFERROR((AG78*U78*AI78), "NA")</f>
        <v>NA</v>
      </c>
      <c r="AI78" s="1">
        <v>1</v>
      </c>
      <c r="AJ78" s="11" t="s">
        <v>31</v>
      </c>
      <c r="AK78">
        <v>2000</v>
      </c>
      <c r="AL78" t="s">
        <v>616</v>
      </c>
      <c r="AM78" s="3" t="s">
        <v>103</v>
      </c>
      <c r="AN78" t="s">
        <v>130</v>
      </c>
      <c r="AO78" t="s">
        <v>795</v>
      </c>
      <c r="AP78">
        <v>7</v>
      </c>
      <c r="AQ78" t="s">
        <v>33</v>
      </c>
      <c r="AR78" t="s">
        <v>33</v>
      </c>
      <c r="AS78">
        <v>9</v>
      </c>
      <c r="AT78">
        <f>AS78-AU78</f>
        <v>2.2300000000000004</v>
      </c>
      <c r="AU78" s="6">
        <v>6.77</v>
      </c>
      <c r="AV78" t="b">
        <v>1</v>
      </c>
      <c r="AW78" t="s">
        <v>617</v>
      </c>
      <c r="AX78" t="s">
        <v>33</v>
      </c>
      <c r="AY78" t="s">
        <v>628</v>
      </c>
      <c r="AZ78" t="s">
        <v>619</v>
      </c>
      <c r="BA78" s="18" t="s">
        <v>802</v>
      </c>
      <c r="BB78" s="3" t="b">
        <v>0</v>
      </c>
      <c r="BC78" t="s">
        <v>81</v>
      </c>
      <c r="BD78">
        <v>24</v>
      </c>
      <c r="BE78" t="s">
        <v>80</v>
      </c>
      <c r="BF78">
        <v>24</v>
      </c>
      <c r="BG78" t="s">
        <v>644</v>
      </c>
      <c r="BH78" t="s">
        <v>31</v>
      </c>
      <c r="BI78" t="s">
        <v>32</v>
      </c>
      <c r="BJ78">
        <f t="shared" si="33"/>
        <v>6.77</v>
      </c>
      <c r="BK78" s="3">
        <f t="shared" si="34"/>
        <v>0.83058866868514425</v>
      </c>
      <c r="BL78">
        <v>2</v>
      </c>
      <c r="BM78" s="3">
        <f t="shared" si="54"/>
        <v>2.2634825712527689</v>
      </c>
      <c r="BN78" t="s">
        <v>33</v>
      </c>
      <c r="BO78" s="3">
        <f t="shared" si="44"/>
        <v>183.43515509601178</v>
      </c>
      <c r="BP78" t="s">
        <v>33</v>
      </c>
      <c r="BQ78" t="s">
        <v>33</v>
      </c>
      <c r="BR78" t="s">
        <v>33</v>
      </c>
      <c r="BS78" t="s">
        <v>33</v>
      </c>
      <c r="BT78" t="s">
        <v>31</v>
      </c>
      <c r="BU78" s="15" t="s">
        <v>655</v>
      </c>
      <c r="BV78">
        <v>2003</v>
      </c>
      <c r="BW78" t="s">
        <v>656</v>
      </c>
      <c r="BX78" t="s">
        <v>78</v>
      </c>
      <c r="BY78" s="13" t="s">
        <v>677</v>
      </c>
      <c r="CA78" t="str">
        <f t="shared" si="46"/>
        <v>low acid</v>
      </c>
    </row>
    <row r="79" spans="1:79">
      <c r="A79" t="s">
        <v>588</v>
      </c>
      <c r="B79" t="s">
        <v>565</v>
      </c>
      <c r="C79" t="s">
        <v>563</v>
      </c>
      <c r="D79" t="s">
        <v>608</v>
      </c>
      <c r="E79" t="s">
        <v>77</v>
      </c>
      <c r="F79" t="s">
        <v>32</v>
      </c>
      <c r="G79" t="s">
        <v>33</v>
      </c>
      <c r="H79">
        <v>40</v>
      </c>
      <c r="I79" t="b">
        <v>0</v>
      </c>
      <c r="J79" t="s">
        <v>33</v>
      </c>
      <c r="K79" t="s">
        <v>33</v>
      </c>
      <c r="L79">
        <v>35</v>
      </c>
      <c r="M79" s="4">
        <v>250</v>
      </c>
      <c r="N79" t="e">
        <f>(#REF!*Y79)/(T79*X79*O79)</f>
        <v>#REF!</v>
      </c>
      <c r="O79">
        <v>3.7</v>
      </c>
      <c r="P79" t="s">
        <v>33</v>
      </c>
      <c r="Q79" s="1">
        <f t="shared" si="38"/>
        <v>8.1081081081081072E-2</v>
      </c>
      <c r="R79" t="s">
        <v>183</v>
      </c>
      <c r="S79" t="s">
        <v>613</v>
      </c>
      <c r="T79">
        <v>6</v>
      </c>
      <c r="U79">
        <v>1.9</v>
      </c>
      <c r="V79">
        <v>2.2999999999999998</v>
      </c>
      <c r="W79" t="s">
        <v>33</v>
      </c>
      <c r="X79">
        <f t="shared" ref="X79:X84" si="55">IFERROR(((PI())*(((V79*10^-1)/2)^2)*(U79*10^-1)), "NA")</f>
        <v>7.8940369403077502E-3</v>
      </c>
      <c r="Y79">
        <v>1</v>
      </c>
      <c r="Z79" s="3">
        <f t="shared" si="47"/>
        <v>9.7359788930462265E-2</v>
      </c>
      <c r="AA79" t="s">
        <v>33</v>
      </c>
      <c r="AB79">
        <f t="shared" si="48"/>
        <v>20.27027027027027</v>
      </c>
      <c r="AC79" s="1" t="str">
        <f t="shared" si="32"/>
        <v>NA</v>
      </c>
      <c r="AE79" s="3">
        <f t="shared" si="49"/>
        <v>2645.9999999999995</v>
      </c>
      <c r="AF79">
        <v>450</v>
      </c>
      <c r="AG79" s="1" t="str">
        <f>IFERROR((N79*P79*Q79), "NA")</f>
        <v>NA</v>
      </c>
      <c r="AH79" s="1" t="str">
        <f>IFERROR((AG79*U79*AI79), "NA")</f>
        <v>NA</v>
      </c>
      <c r="AI79" s="1">
        <v>1</v>
      </c>
      <c r="AJ79" s="11" t="s">
        <v>31</v>
      </c>
      <c r="AK79">
        <v>4800</v>
      </c>
      <c r="AL79" t="s">
        <v>156</v>
      </c>
      <c r="AM79" t="s">
        <v>157</v>
      </c>
      <c r="AN79" t="s">
        <v>186</v>
      </c>
      <c r="AO79" t="s">
        <v>792</v>
      </c>
      <c r="AP79">
        <v>6.53</v>
      </c>
      <c r="AQ79" t="s">
        <v>33</v>
      </c>
      <c r="AR79" t="s">
        <v>33</v>
      </c>
      <c r="AS79">
        <v>6.5</v>
      </c>
      <c r="AT79">
        <v>2.2400000000000002</v>
      </c>
      <c r="AU79" s="6">
        <f>AS79-AT79</f>
        <v>4.26</v>
      </c>
      <c r="AV79" t="b">
        <v>1</v>
      </c>
      <c r="AW79" t="s">
        <v>626</v>
      </c>
      <c r="AX79" t="s">
        <v>627</v>
      </c>
      <c r="AY79" t="s">
        <v>625</v>
      </c>
      <c r="AZ79" t="s">
        <v>33</v>
      </c>
      <c r="BA79" s="18" t="s">
        <v>800</v>
      </c>
      <c r="BB79" s="3" t="b">
        <v>0</v>
      </c>
      <c r="BC79" t="s">
        <v>81</v>
      </c>
      <c r="BD79">
        <v>12</v>
      </c>
      <c r="BE79" t="s">
        <v>80</v>
      </c>
      <c r="BF79">
        <v>48</v>
      </c>
      <c r="BG79" t="s">
        <v>568</v>
      </c>
      <c r="BH79" t="s">
        <v>31</v>
      </c>
      <c r="BI79" t="s">
        <v>31</v>
      </c>
      <c r="BJ79">
        <f t="shared" si="33"/>
        <v>4.26</v>
      </c>
      <c r="BK79" s="3">
        <f t="shared" si="34"/>
        <v>0.62940959910271888</v>
      </c>
      <c r="BL79">
        <v>2</v>
      </c>
      <c r="BM79" s="3">
        <f t="shared" si="54"/>
        <v>2.7931802407487631</v>
      </c>
      <c r="BN79" t="s">
        <v>33</v>
      </c>
      <c r="BO79" s="3">
        <f t="shared" si="44"/>
        <v>621.12676056338023</v>
      </c>
      <c r="BP79" t="s">
        <v>33</v>
      </c>
      <c r="BQ79" t="s">
        <v>33</v>
      </c>
      <c r="BR79" t="s">
        <v>33</v>
      </c>
      <c r="BS79" t="s">
        <v>33</v>
      </c>
      <c r="BT79" t="s">
        <v>31</v>
      </c>
      <c r="BU79" s="13" t="s">
        <v>163</v>
      </c>
      <c r="BV79">
        <v>2004</v>
      </c>
      <c r="BW79" t="s">
        <v>654</v>
      </c>
      <c r="BX79" t="s">
        <v>78</v>
      </c>
      <c r="BY79" s="13" t="s">
        <v>677</v>
      </c>
      <c r="CA79" t="str">
        <f t="shared" si="46"/>
        <v>low acid</v>
      </c>
    </row>
    <row r="80" spans="1:79">
      <c r="A80" s="3" t="s">
        <v>303</v>
      </c>
      <c r="B80" t="s">
        <v>566</v>
      </c>
      <c r="C80" t="s">
        <v>563</v>
      </c>
      <c r="D80" s="3" t="s">
        <v>279</v>
      </c>
      <c r="E80" s="3" t="s">
        <v>77</v>
      </c>
      <c r="F80" t="s">
        <v>32</v>
      </c>
      <c r="G80" s="11">
        <v>10</v>
      </c>
      <c r="H80" s="11">
        <v>30</v>
      </c>
      <c r="I80" s="3" t="b">
        <v>0</v>
      </c>
      <c r="J80" s="3" t="s">
        <v>33</v>
      </c>
      <c r="K80" s="3" t="s">
        <v>33</v>
      </c>
      <c r="L80" s="11">
        <v>20</v>
      </c>
      <c r="M80" s="4">
        <v>1000</v>
      </c>
      <c r="N80" s="3">
        <f>IFERROR(AF80/((T80*X80/Y80)*O80*AI80),"NA")</f>
        <v>7578.806813899776</v>
      </c>
      <c r="O80" s="3">
        <v>16</v>
      </c>
      <c r="P80" s="3" t="s">
        <v>33</v>
      </c>
      <c r="Q80" s="3">
        <f t="shared" si="38"/>
        <v>0.22500000000000001</v>
      </c>
      <c r="R80" t="s">
        <v>183</v>
      </c>
      <c r="S80" t="s">
        <v>613</v>
      </c>
      <c r="T80" s="11">
        <v>1</v>
      </c>
      <c r="U80" s="3">
        <v>2.8</v>
      </c>
      <c r="V80" s="3">
        <v>3</v>
      </c>
      <c r="W80" s="3">
        <v>0.02</v>
      </c>
      <c r="X80" s="3">
        <f t="shared" si="55"/>
        <v>1.97920337176157E-2</v>
      </c>
      <c r="Y80" s="3">
        <f>40/60</f>
        <v>0.66666666666666663</v>
      </c>
      <c r="Z80" s="3">
        <f t="shared" si="47"/>
        <v>8.7964594300514218E-2</v>
      </c>
      <c r="AA80" s="3" t="s">
        <v>33</v>
      </c>
      <c r="AB80" s="3">
        <f t="shared" si="48"/>
        <v>225</v>
      </c>
      <c r="AC80" s="3" t="str">
        <f t="shared" si="32"/>
        <v>NA</v>
      </c>
      <c r="AD80" s="4">
        <f>AB80*T80*AI80</f>
        <v>225</v>
      </c>
      <c r="AE80" s="3">
        <f t="shared" si="49"/>
        <v>288</v>
      </c>
      <c r="AF80" s="3">
        <v>3600</v>
      </c>
      <c r="AG80" s="3" t="str">
        <f>IFERROR((M80*O80*P80), "NA")</f>
        <v>NA</v>
      </c>
      <c r="AH80" s="3" t="str">
        <f>IFERROR((AG80*T80*AI80), "NA")</f>
        <v>NA</v>
      </c>
      <c r="AI80" s="3">
        <v>1</v>
      </c>
      <c r="AJ80" t="s">
        <v>31</v>
      </c>
      <c r="AK80" s="3">
        <v>200</v>
      </c>
      <c r="AL80" s="3" t="s">
        <v>281</v>
      </c>
      <c r="AM80" s="3" t="s">
        <v>103</v>
      </c>
      <c r="AN80" t="s">
        <v>130</v>
      </c>
      <c r="AO80" t="s">
        <v>795</v>
      </c>
      <c r="AP80" s="3" t="s">
        <v>33</v>
      </c>
      <c r="AQ80" s="3" t="s">
        <v>33</v>
      </c>
      <c r="AR80" s="3" t="s">
        <v>33</v>
      </c>
      <c r="AS80" s="3">
        <f>4.049</f>
        <v>4.0490000000000004</v>
      </c>
      <c r="AT80" s="3">
        <f>IFERROR(AS80-AU80,"NA")</f>
        <v>2.2470000000000003</v>
      </c>
      <c r="AU80" s="6">
        <v>1.802</v>
      </c>
      <c r="AV80" s="3" t="b">
        <v>1</v>
      </c>
      <c r="AW80" s="3" t="s">
        <v>172</v>
      </c>
      <c r="AX80" s="3" t="s">
        <v>173</v>
      </c>
      <c r="AY80" s="3" t="s">
        <v>283</v>
      </c>
      <c r="AZ80" s="3" t="s">
        <v>33</v>
      </c>
      <c r="BA80" s="18" t="s">
        <v>799</v>
      </c>
      <c r="BB80" s="3" t="b">
        <v>0</v>
      </c>
      <c r="BC80" t="s">
        <v>81</v>
      </c>
      <c r="BD80" s="3">
        <v>2</v>
      </c>
      <c r="BE80" s="3" t="s">
        <v>252</v>
      </c>
      <c r="BF80" s="11">
        <v>72</v>
      </c>
      <c r="BG80" s="3" t="s">
        <v>574</v>
      </c>
      <c r="BH80" s="3" t="s">
        <v>31</v>
      </c>
      <c r="BI80" s="3" t="s">
        <v>31</v>
      </c>
      <c r="BJ80" s="3">
        <f t="shared" si="33"/>
        <v>1.802</v>
      </c>
      <c r="BK80" s="3">
        <f t="shared" si="34"/>
        <v>0.25575478664304419</v>
      </c>
      <c r="BL80" s="3">
        <v>2</v>
      </c>
      <c r="BM80" s="3">
        <f t="shared" si="54"/>
        <v>2.2036377011161865</v>
      </c>
      <c r="BN80" s="3" t="s">
        <v>33</v>
      </c>
      <c r="BO80" s="3">
        <f t="shared" si="44"/>
        <v>159.82241953385127</v>
      </c>
      <c r="BP80" s="3" t="s">
        <v>33</v>
      </c>
      <c r="BQ80" s="3" t="s">
        <v>33</v>
      </c>
      <c r="BR80" s="3" t="s">
        <v>33</v>
      </c>
      <c r="BS80" s="3" t="s">
        <v>33</v>
      </c>
      <c r="BT80" t="s">
        <v>31</v>
      </c>
      <c r="BU80" s="3" t="s">
        <v>247</v>
      </c>
      <c r="BV80" s="11">
        <v>2016</v>
      </c>
      <c r="BW80" s="3" t="s">
        <v>284</v>
      </c>
      <c r="BX80" t="s">
        <v>78</v>
      </c>
      <c r="BY80" s="3" t="s">
        <v>33</v>
      </c>
      <c r="BZ80" s="3" t="s">
        <v>291</v>
      </c>
      <c r="CA80" t="str">
        <f t="shared" si="46"/>
        <v>low acid</v>
      </c>
    </row>
    <row r="81" spans="1:79">
      <c r="A81" t="s">
        <v>602</v>
      </c>
      <c r="B81" t="s">
        <v>565</v>
      </c>
      <c r="C81" t="s">
        <v>563</v>
      </c>
      <c r="D81" t="s">
        <v>118</v>
      </c>
      <c r="E81" t="s">
        <v>77</v>
      </c>
      <c r="F81" t="s">
        <v>33</v>
      </c>
      <c r="G81">
        <v>35</v>
      </c>
      <c r="H81">
        <v>40</v>
      </c>
      <c r="I81" t="b">
        <v>1</v>
      </c>
      <c r="J81">
        <v>4981</v>
      </c>
      <c r="K81">
        <v>5.8</v>
      </c>
      <c r="L81">
        <v>17</v>
      </c>
      <c r="M81" s="4">
        <v>500</v>
      </c>
      <c r="N81" t="e">
        <f>(#REF!*Y81)/(T81*X81*O81)</f>
        <v>#REF!</v>
      </c>
      <c r="O81">
        <v>3</v>
      </c>
      <c r="P81" t="s">
        <v>33</v>
      </c>
      <c r="Q81" s="1">
        <f t="shared" si="38"/>
        <v>1.2044444444444444E-2</v>
      </c>
      <c r="R81" t="s">
        <v>183</v>
      </c>
      <c r="S81" t="s">
        <v>613</v>
      </c>
      <c r="T81">
        <v>6</v>
      </c>
      <c r="U81">
        <v>2.92</v>
      </c>
      <c r="V81">
        <v>2.2999999999999998</v>
      </c>
      <c r="W81" t="s">
        <v>33</v>
      </c>
      <c r="X81">
        <f t="shared" si="55"/>
        <v>1.2131888350367701E-2</v>
      </c>
      <c r="Y81">
        <v>1</v>
      </c>
      <c r="Z81" s="3">
        <f t="shared" si="47"/>
        <v>1.0072601028903072</v>
      </c>
      <c r="AA81" t="s">
        <v>33</v>
      </c>
      <c r="AB81">
        <f t="shared" si="48"/>
        <v>6.022222222222223</v>
      </c>
      <c r="AC81" s="1" t="str">
        <f t="shared" si="32"/>
        <v>NA</v>
      </c>
      <c r="AE81" s="3">
        <f t="shared" si="49"/>
        <v>162.27696799999998</v>
      </c>
      <c r="AF81">
        <v>108.4</v>
      </c>
      <c r="AG81" s="1" t="str">
        <f>IFERROR((N81*P81*Q81), "NA")</f>
        <v>NA</v>
      </c>
      <c r="AH81" s="1" t="str">
        <f>IFERROR((O81*Q81*R81), "NA")</f>
        <v>NA</v>
      </c>
      <c r="AI81" s="1">
        <v>1</v>
      </c>
      <c r="AJ81" s="11" t="s">
        <v>31</v>
      </c>
      <c r="AK81">
        <v>5180</v>
      </c>
      <c r="AL81" t="s">
        <v>265</v>
      </c>
      <c r="AM81" t="s">
        <v>86</v>
      </c>
      <c r="AN81" t="s">
        <v>205</v>
      </c>
      <c r="AO81" t="s">
        <v>789</v>
      </c>
      <c r="AP81">
        <v>3.27</v>
      </c>
      <c r="AQ81" t="s">
        <v>33</v>
      </c>
      <c r="AR81" t="s">
        <v>33</v>
      </c>
      <c r="AS81">
        <v>6.5</v>
      </c>
      <c r="AT81">
        <v>2.25</v>
      </c>
      <c r="AU81" s="6">
        <f>AS81-AT81</f>
        <v>4.25</v>
      </c>
      <c r="AV81" t="b">
        <v>1</v>
      </c>
      <c r="AW81" t="s">
        <v>626</v>
      </c>
      <c r="AX81" t="s">
        <v>627</v>
      </c>
      <c r="AY81">
        <v>95047</v>
      </c>
      <c r="AZ81" t="s">
        <v>33</v>
      </c>
      <c r="BA81" s="18" t="s">
        <v>800</v>
      </c>
      <c r="BB81" s="3" t="b">
        <v>0</v>
      </c>
      <c r="BC81" t="s">
        <v>81</v>
      </c>
      <c r="BD81">
        <v>24</v>
      </c>
      <c r="BE81" t="s">
        <v>80</v>
      </c>
      <c r="BF81">
        <v>48</v>
      </c>
      <c r="BG81" t="s">
        <v>697</v>
      </c>
      <c r="BH81" t="s">
        <v>32</v>
      </c>
      <c r="BI81" t="s">
        <v>31</v>
      </c>
      <c r="BJ81" s="3">
        <f t="shared" si="33"/>
        <v>4.25</v>
      </c>
      <c r="BK81" s="3">
        <f t="shared" si="34"/>
        <v>0.62838893005031149</v>
      </c>
      <c r="BL81">
        <v>2</v>
      </c>
      <c r="BM81" s="3">
        <f t="shared" si="54"/>
        <v>1.5818679546538374</v>
      </c>
      <c r="BN81" t="s">
        <v>33</v>
      </c>
      <c r="BO81" s="3">
        <f t="shared" si="44"/>
        <v>38.182815999999995</v>
      </c>
      <c r="BP81" t="s">
        <v>33</v>
      </c>
      <c r="BQ81" t="s">
        <v>33</v>
      </c>
      <c r="BR81" t="s">
        <v>33</v>
      </c>
      <c r="BS81" t="s">
        <v>33</v>
      </c>
      <c r="BT81" t="s">
        <v>31</v>
      </c>
      <c r="BU81" s="13" t="s">
        <v>163</v>
      </c>
      <c r="BV81" s="14">
        <v>2017</v>
      </c>
      <c r="BW81" t="s">
        <v>266</v>
      </c>
      <c r="BX81" t="s">
        <v>78</v>
      </c>
      <c r="BY81" s="13" t="s">
        <v>690</v>
      </c>
      <c r="CA81" t="str">
        <f t="shared" si="46"/>
        <v>high acid</v>
      </c>
    </row>
    <row r="82" spans="1:79">
      <c r="A82" t="s">
        <v>596</v>
      </c>
      <c r="B82" t="s">
        <v>565</v>
      </c>
      <c r="C82" t="s">
        <v>563</v>
      </c>
      <c r="D82" t="s">
        <v>610</v>
      </c>
      <c r="E82" t="s">
        <v>77</v>
      </c>
      <c r="F82" t="s">
        <v>33</v>
      </c>
      <c r="G82">
        <v>20</v>
      </c>
      <c r="H82" t="s">
        <v>33</v>
      </c>
      <c r="I82" t="b">
        <v>0</v>
      </c>
      <c r="J82">
        <v>14000</v>
      </c>
      <c r="K82" t="s">
        <v>33</v>
      </c>
      <c r="L82">
        <v>35</v>
      </c>
      <c r="M82" s="4">
        <v>14</v>
      </c>
      <c r="N82" t="e">
        <f>(#REF!*Y82)/(T82*X82*O82)</f>
        <v>#REF!</v>
      </c>
      <c r="O82">
        <v>5</v>
      </c>
      <c r="P82" t="s">
        <v>33</v>
      </c>
      <c r="Q82" s="1">
        <f t="shared" si="38"/>
        <v>0.92857142857142849</v>
      </c>
      <c r="R82" t="s">
        <v>183</v>
      </c>
      <c r="S82" t="s">
        <v>613</v>
      </c>
      <c r="T82">
        <v>1</v>
      </c>
      <c r="U82">
        <v>4</v>
      </c>
      <c r="V82">
        <v>4</v>
      </c>
      <c r="W82" t="s">
        <v>33</v>
      </c>
      <c r="X82">
        <f t="shared" si="55"/>
        <v>5.02654824574367E-2</v>
      </c>
      <c r="Y82">
        <v>0.106667</v>
      </c>
      <c r="Z82" s="3">
        <f t="shared" si="47"/>
        <v>5.4132058031085679E-2</v>
      </c>
      <c r="AA82" t="s">
        <v>33</v>
      </c>
      <c r="AB82">
        <f t="shared" si="48"/>
        <v>13</v>
      </c>
      <c r="AC82" s="1" t="str">
        <f t="shared" si="32"/>
        <v>NA</v>
      </c>
      <c r="AE82" s="3">
        <f t="shared" si="49"/>
        <v>159.25</v>
      </c>
      <c r="AF82">
        <v>65</v>
      </c>
      <c r="AG82" s="1" t="str">
        <f>IFERROR((N82*P82*Q82), "NA")</f>
        <v>NA</v>
      </c>
      <c r="AH82" s="1" t="str">
        <f>IFERROR((AG82*U82*AI82), "NA")</f>
        <v>NA</v>
      </c>
      <c r="AI82" s="1">
        <v>1</v>
      </c>
      <c r="AJ82" s="11" t="s">
        <v>31</v>
      </c>
      <c r="AK82">
        <v>2000</v>
      </c>
      <c r="AL82" t="s">
        <v>149</v>
      </c>
      <c r="AM82" t="s">
        <v>86</v>
      </c>
      <c r="AN82" t="s">
        <v>205</v>
      </c>
      <c r="AO82" t="s">
        <v>789</v>
      </c>
      <c r="AP82" t="s">
        <v>33</v>
      </c>
      <c r="AQ82" t="s">
        <v>33</v>
      </c>
      <c r="AR82" t="s">
        <v>33</v>
      </c>
      <c r="AS82">
        <f>AVERAGE(6,8)</f>
        <v>7</v>
      </c>
      <c r="AT82">
        <f>AS82-AU82</f>
        <v>2.25</v>
      </c>
      <c r="AU82" s="6">
        <v>4.75</v>
      </c>
      <c r="AV82" t="b">
        <v>1</v>
      </c>
      <c r="AW82" t="s">
        <v>626</v>
      </c>
      <c r="AX82" t="s">
        <v>627</v>
      </c>
      <c r="AY82" t="s">
        <v>634</v>
      </c>
      <c r="AZ82" t="s">
        <v>33</v>
      </c>
      <c r="BA82" s="18" t="s">
        <v>800</v>
      </c>
      <c r="BB82" s="3" t="b">
        <v>0</v>
      </c>
      <c r="BC82" t="s">
        <v>81</v>
      </c>
      <c r="BD82">
        <v>18</v>
      </c>
      <c r="BE82" t="s">
        <v>80</v>
      </c>
      <c r="BF82">
        <v>24</v>
      </c>
      <c r="BG82" t="s">
        <v>644</v>
      </c>
      <c r="BH82" t="s">
        <v>31</v>
      </c>
      <c r="BI82" t="s">
        <v>31</v>
      </c>
      <c r="BJ82">
        <f t="shared" si="33"/>
        <v>4.75</v>
      </c>
      <c r="BK82" s="3">
        <f t="shared" si="34"/>
        <v>0.67669360962486658</v>
      </c>
      <c r="BL82">
        <v>2</v>
      </c>
      <c r="BM82" s="3">
        <f t="shared" si="54"/>
        <v>1.5253858313825215</v>
      </c>
      <c r="BN82" t="s">
        <v>33</v>
      </c>
      <c r="BO82" s="3">
        <f t="shared" si="44"/>
        <v>33.526315789473685</v>
      </c>
      <c r="BP82" t="s">
        <v>33</v>
      </c>
      <c r="BQ82" t="s">
        <v>33</v>
      </c>
      <c r="BR82" t="s">
        <v>33</v>
      </c>
      <c r="BS82" t="s">
        <v>33</v>
      </c>
      <c r="BT82" t="s">
        <v>32</v>
      </c>
      <c r="BU82" t="s">
        <v>661</v>
      </c>
      <c r="BV82">
        <v>2013</v>
      </c>
      <c r="BW82" t="s">
        <v>662</v>
      </c>
      <c r="BX82" s="13" t="s">
        <v>663</v>
      </c>
      <c r="BY82" s="13" t="s">
        <v>684</v>
      </c>
      <c r="CA82" t="str">
        <f t="shared" si="46"/>
        <v>high acid</v>
      </c>
    </row>
    <row r="83" spans="1:79">
      <c r="A83" t="s">
        <v>581</v>
      </c>
      <c r="B83" t="s">
        <v>565</v>
      </c>
      <c r="C83" t="s">
        <v>563</v>
      </c>
      <c r="D83" t="s">
        <v>118</v>
      </c>
      <c r="E83" t="s">
        <v>77</v>
      </c>
      <c r="F83" t="s">
        <v>32</v>
      </c>
      <c r="G83">
        <v>5</v>
      </c>
      <c r="H83">
        <v>30.3</v>
      </c>
      <c r="I83" t="b">
        <v>0</v>
      </c>
      <c r="J83" t="s">
        <v>33</v>
      </c>
      <c r="K83" t="s">
        <v>33</v>
      </c>
      <c r="L83">
        <v>35</v>
      </c>
      <c r="M83" s="4">
        <v>250</v>
      </c>
      <c r="N83" t="e">
        <f>(#REF!*Y83)/(T83*X83*O83)</f>
        <v>#REF!</v>
      </c>
      <c r="O83">
        <v>4</v>
      </c>
      <c r="P83" t="s">
        <v>33</v>
      </c>
      <c r="Q83" s="1">
        <f t="shared" si="38"/>
        <v>0.15625</v>
      </c>
      <c r="R83" t="s">
        <v>183</v>
      </c>
      <c r="S83" t="s">
        <v>613</v>
      </c>
      <c r="T83">
        <v>8</v>
      </c>
      <c r="U83">
        <v>2.92</v>
      </c>
      <c r="V83">
        <v>2.2999999999999998</v>
      </c>
      <c r="W83">
        <v>1.21E-2</v>
      </c>
      <c r="X83">
        <f t="shared" si="55"/>
        <v>1.2131888350367701E-2</v>
      </c>
      <c r="Y83">
        <v>1.6666700000000001</v>
      </c>
      <c r="Z83" s="3">
        <f t="shared" si="47"/>
        <v>7.7644085442353281E-2</v>
      </c>
      <c r="AA83" t="s">
        <v>33</v>
      </c>
      <c r="AB83">
        <f t="shared" si="48"/>
        <v>39.0625</v>
      </c>
      <c r="AC83" s="1" t="str">
        <f t="shared" si="32"/>
        <v>NA</v>
      </c>
      <c r="AE83" s="3">
        <f t="shared" si="49"/>
        <v>5604.375</v>
      </c>
      <c r="AF83">
        <v>1250</v>
      </c>
      <c r="AG83" s="1" t="str">
        <f>IFERROR((N83*P83*Q83), "NA")</f>
        <v>NA</v>
      </c>
      <c r="AH83" s="1" t="str">
        <f>IFERROR((AG83*U83*AI83), "NA")</f>
        <v>NA</v>
      </c>
      <c r="AI83" s="1">
        <v>1</v>
      </c>
      <c r="AJ83" s="11" t="s">
        <v>31</v>
      </c>
      <c r="AK83">
        <v>3660</v>
      </c>
      <c r="AL83" t="s">
        <v>541</v>
      </c>
      <c r="AM83" t="s">
        <v>86</v>
      </c>
      <c r="AN83" t="s">
        <v>186</v>
      </c>
      <c r="AO83" t="s">
        <v>794</v>
      </c>
      <c r="AP83">
        <v>5.46</v>
      </c>
      <c r="AQ83" t="s">
        <v>33</v>
      </c>
      <c r="AR83" t="s">
        <v>33</v>
      </c>
      <c r="AS83">
        <v>7.5</v>
      </c>
      <c r="AT83">
        <f>AS83-AU83</f>
        <v>2.2599999999999998</v>
      </c>
      <c r="AU83" s="6">
        <v>5.24</v>
      </c>
      <c r="AV83" t="b">
        <v>1</v>
      </c>
      <c r="AW83" t="s">
        <v>617</v>
      </c>
      <c r="AX83" t="s">
        <v>618</v>
      </c>
      <c r="AY83" t="s">
        <v>33</v>
      </c>
      <c r="AZ83" t="s">
        <v>619</v>
      </c>
      <c r="BA83" s="18" t="s">
        <v>802</v>
      </c>
      <c r="BB83" s="3" t="b">
        <v>0</v>
      </c>
      <c r="BC83" t="s">
        <v>81</v>
      </c>
      <c r="BD83">
        <v>15</v>
      </c>
      <c r="BE83" t="s">
        <v>80</v>
      </c>
      <c r="BF83">
        <v>15</v>
      </c>
      <c r="BG83" t="s">
        <v>697</v>
      </c>
      <c r="BH83" t="s">
        <v>32</v>
      </c>
      <c r="BI83" t="s">
        <v>32</v>
      </c>
      <c r="BJ83">
        <f t="shared" si="33"/>
        <v>5.24</v>
      </c>
      <c r="BK83" s="3">
        <f t="shared" si="34"/>
        <v>0.71933128698372661</v>
      </c>
      <c r="BL83">
        <v>2</v>
      </c>
      <c r="BM83" s="3">
        <f t="shared" si="54"/>
        <v>3.0291959001192916</v>
      </c>
      <c r="BN83" t="s">
        <v>33</v>
      </c>
      <c r="BO83" s="3">
        <f t="shared" si="44"/>
        <v>1069.5372137404579</v>
      </c>
      <c r="BP83" t="s">
        <v>33</v>
      </c>
      <c r="BQ83" t="s">
        <v>33</v>
      </c>
      <c r="BR83" t="s">
        <v>33</v>
      </c>
      <c r="BS83" t="s">
        <v>33</v>
      </c>
      <c r="BT83" t="s">
        <v>31</v>
      </c>
      <c r="BU83" t="s">
        <v>219</v>
      </c>
      <c r="BV83" s="14">
        <v>2007</v>
      </c>
      <c r="BW83" s="2" t="s">
        <v>648</v>
      </c>
      <c r="BX83" t="s">
        <v>78</v>
      </c>
      <c r="BY83" s="13" t="s">
        <v>671</v>
      </c>
      <c r="CA83" t="str">
        <f t="shared" si="46"/>
        <v>low acid</v>
      </c>
    </row>
    <row r="84" spans="1:79">
      <c r="A84" t="s">
        <v>532</v>
      </c>
      <c r="B84" t="s">
        <v>565</v>
      </c>
      <c r="C84" t="s">
        <v>564</v>
      </c>
      <c r="D84" t="s">
        <v>209</v>
      </c>
      <c r="E84" t="s">
        <v>77</v>
      </c>
      <c r="F84" t="s">
        <v>32</v>
      </c>
      <c r="G84">
        <v>30</v>
      </c>
      <c r="H84">
        <v>38.200000000000003</v>
      </c>
      <c r="I84" t="b">
        <v>0</v>
      </c>
      <c r="J84" t="s">
        <v>33</v>
      </c>
      <c r="K84" t="s">
        <v>33</v>
      </c>
      <c r="L84">
        <v>24</v>
      </c>
      <c r="M84" s="4">
        <v>120</v>
      </c>
      <c r="N84" s="3">
        <f>IFERROR(AF84/((T84*X84/Y84)*O84*AI84),"NA")</f>
        <v>39.762576183379494</v>
      </c>
      <c r="O84">
        <v>3</v>
      </c>
      <c r="P84" t="s">
        <v>33</v>
      </c>
      <c r="Q84" s="9">
        <f t="shared" si="38"/>
        <v>4.1666666666666664E-2</v>
      </c>
      <c r="R84" t="s">
        <v>183</v>
      </c>
      <c r="S84" t="s">
        <v>612</v>
      </c>
      <c r="T84" s="11">
        <v>4</v>
      </c>
      <c r="U84">
        <v>3</v>
      </c>
      <c r="V84">
        <v>2.6</v>
      </c>
      <c r="W84" t="s">
        <v>33</v>
      </c>
      <c r="X84" s="8">
        <f t="shared" si="55"/>
        <v>1.5927874753700257E-2</v>
      </c>
      <c r="Y84" s="6">
        <f>7.6/60</f>
        <v>0.12666666666666665</v>
      </c>
      <c r="Z84" s="3">
        <f t="shared" si="47"/>
        <v>0.38226899408880616</v>
      </c>
      <c r="AA84" t="s">
        <v>33</v>
      </c>
      <c r="AB84" s="6">
        <f t="shared" si="48"/>
        <v>5</v>
      </c>
      <c r="AC84" t="str">
        <f t="shared" si="32"/>
        <v>NA</v>
      </c>
      <c r="AD84" s="4">
        <f>IFERROR(AB84*T84*AI84, "NA")</f>
        <v>20</v>
      </c>
      <c r="AE84" s="3">
        <f t="shared" si="49"/>
        <v>33.868799999999993</v>
      </c>
      <c r="AF84">
        <v>60</v>
      </c>
      <c r="AG84" t="str">
        <f>IFERROR((M84*O84*P84), "NA")</f>
        <v>NA</v>
      </c>
      <c r="AH84" t="str">
        <f>IFERROR((AG84*T84*AI84), "NA")</f>
        <v>NA</v>
      </c>
      <c r="AI84" s="11">
        <v>1</v>
      </c>
      <c r="AJ84" t="s">
        <v>31</v>
      </c>
      <c r="AK84">
        <v>980</v>
      </c>
      <c r="AL84" t="s">
        <v>551</v>
      </c>
      <c r="AM84" t="s">
        <v>86</v>
      </c>
      <c r="AN84" t="s">
        <v>186</v>
      </c>
      <c r="AO84" t="s">
        <v>794</v>
      </c>
      <c r="AP84">
        <v>5.98</v>
      </c>
      <c r="AQ84" t="s">
        <v>33</v>
      </c>
      <c r="AR84" t="s">
        <v>33</v>
      </c>
      <c r="AS84" s="6">
        <v>6.5</v>
      </c>
      <c r="AT84" s="3">
        <f>IFERROR(AS84-AU84,"NA")</f>
        <v>2.2770000000000001</v>
      </c>
      <c r="AU84" s="6">
        <v>4.2229999999999999</v>
      </c>
      <c r="AV84" t="b">
        <v>1</v>
      </c>
      <c r="AW84" t="s">
        <v>172</v>
      </c>
      <c r="AX84" t="s">
        <v>173</v>
      </c>
      <c r="AY84" t="s">
        <v>246</v>
      </c>
      <c r="AZ84" t="s">
        <v>33</v>
      </c>
      <c r="BA84" s="18" t="s">
        <v>799</v>
      </c>
      <c r="BB84" t="b">
        <v>0</v>
      </c>
      <c r="BC84" t="s">
        <v>81</v>
      </c>
      <c r="BD84">
        <v>72</v>
      </c>
      <c r="BE84" t="s">
        <v>80</v>
      </c>
      <c r="BF84" s="11">
        <v>72</v>
      </c>
      <c r="BG84" t="s">
        <v>522</v>
      </c>
      <c r="BH84" t="s">
        <v>31</v>
      </c>
      <c r="BI84" t="s">
        <v>31</v>
      </c>
      <c r="BJ84" s="3">
        <f t="shared" si="33"/>
        <v>4.2229999999999999</v>
      </c>
      <c r="BK84" s="3">
        <f t="shared" si="34"/>
        <v>0.62562108142490769</v>
      </c>
      <c r="BL84">
        <v>2</v>
      </c>
      <c r="BM84" s="3">
        <f t="shared" si="54"/>
        <v>0.90417872807444277</v>
      </c>
      <c r="BN84" t="s">
        <v>33</v>
      </c>
      <c r="BO84" s="3">
        <f t="shared" si="44"/>
        <v>8.0200805114847249</v>
      </c>
      <c r="BP84" t="s">
        <v>33</v>
      </c>
      <c r="BQ84" t="s">
        <v>33</v>
      </c>
      <c r="BR84" t="s">
        <v>33</v>
      </c>
      <c r="BS84" t="s">
        <v>33</v>
      </c>
      <c r="BT84" t="s">
        <v>32</v>
      </c>
      <c r="BU84" t="s">
        <v>207</v>
      </c>
      <c r="BV84">
        <v>2014</v>
      </c>
      <c r="BW84" t="s">
        <v>208</v>
      </c>
      <c r="BX84" t="s">
        <v>78</v>
      </c>
      <c r="BY84" t="s">
        <v>33</v>
      </c>
      <c r="BZ84" t="s">
        <v>33</v>
      </c>
      <c r="CA84" t="str">
        <f t="shared" si="46"/>
        <v>low acid</v>
      </c>
    </row>
    <row r="85" spans="1:79" ht="13.9" customHeight="1">
      <c r="A85" t="s">
        <v>592</v>
      </c>
      <c r="B85" t="s">
        <v>566</v>
      </c>
      <c r="C85" t="s">
        <v>563</v>
      </c>
      <c r="D85" t="s">
        <v>607</v>
      </c>
      <c r="E85" t="s">
        <v>77</v>
      </c>
      <c r="F85" t="s">
        <v>32</v>
      </c>
      <c r="G85" t="s">
        <v>33</v>
      </c>
      <c r="H85">
        <v>35</v>
      </c>
      <c r="I85" t="b">
        <v>0</v>
      </c>
      <c r="J85">
        <v>30000</v>
      </c>
      <c r="K85">
        <v>200</v>
      </c>
      <c r="L85">
        <v>35</v>
      </c>
      <c r="M85" s="4">
        <v>1</v>
      </c>
      <c r="N85" t="e">
        <f>(#REF!*Y85)/(T85*X85*O85)</f>
        <v>#REF!</v>
      </c>
      <c r="O85">
        <v>3</v>
      </c>
      <c r="P85" t="s">
        <v>33</v>
      </c>
      <c r="Q85" s="1">
        <f t="shared" si="38"/>
        <v>99.983333333333334</v>
      </c>
      <c r="R85" t="s">
        <v>183</v>
      </c>
      <c r="S85" t="s">
        <v>33</v>
      </c>
      <c r="T85">
        <v>1</v>
      </c>
      <c r="U85">
        <v>2.5</v>
      </c>
      <c r="V85" t="s">
        <v>33</v>
      </c>
      <c r="W85">
        <v>0.50249999999999995</v>
      </c>
      <c r="X85">
        <f>W85</f>
        <v>0.50249999999999995</v>
      </c>
      <c r="Y85" t="s">
        <v>33</v>
      </c>
      <c r="Z85" s="3">
        <f t="shared" si="47"/>
        <v>5.0258376396066003E-3</v>
      </c>
      <c r="AA85" t="s">
        <v>33</v>
      </c>
      <c r="AB85">
        <f t="shared" si="48"/>
        <v>99.983333333333334</v>
      </c>
      <c r="AC85" s="1" t="str">
        <f t="shared" si="32"/>
        <v>NA</v>
      </c>
      <c r="AE85" s="3">
        <f t="shared" si="49"/>
        <v>367.43874999999997</v>
      </c>
      <c r="AF85">
        <v>299.95</v>
      </c>
      <c r="AG85" s="1" t="str">
        <f>IFERROR((N85*P85*Q85), "NA")</f>
        <v>NA</v>
      </c>
      <c r="AH85" s="1" t="str">
        <f>IFERROR((AG85*U85*AI85), "NA")</f>
        <v>NA</v>
      </c>
      <c r="AI85" s="1">
        <v>1</v>
      </c>
      <c r="AJ85" s="11" t="s">
        <v>31</v>
      </c>
      <c r="AK85">
        <v>1000</v>
      </c>
      <c r="AL85" t="s">
        <v>614</v>
      </c>
      <c r="AM85" s="3" t="s">
        <v>103</v>
      </c>
      <c r="AN85" t="s">
        <v>305</v>
      </c>
      <c r="AO85" t="s">
        <v>790</v>
      </c>
      <c r="AP85">
        <v>3.5</v>
      </c>
      <c r="AQ85" t="s">
        <v>33</v>
      </c>
      <c r="AR85" t="s">
        <v>33</v>
      </c>
      <c r="AS85">
        <v>8</v>
      </c>
      <c r="AT85">
        <f>AS85-AU85</f>
        <v>2.2999999999999998</v>
      </c>
      <c r="AU85" s="6">
        <v>5.7</v>
      </c>
      <c r="AV85" t="b">
        <v>1</v>
      </c>
      <c r="AW85" t="s">
        <v>626</v>
      </c>
      <c r="AX85" t="s">
        <v>627</v>
      </c>
      <c r="AY85" t="s">
        <v>633</v>
      </c>
      <c r="AZ85" t="s">
        <v>33</v>
      </c>
      <c r="BA85" s="18" t="s">
        <v>800</v>
      </c>
      <c r="BB85" s="3" t="b">
        <v>0</v>
      </c>
      <c r="BC85" t="s">
        <v>81</v>
      </c>
      <c r="BD85">
        <v>24</v>
      </c>
      <c r="BE85" t="s">
        <v>80</v>
      </c>
      <c r="BF85">
        <v>48</v>
      </c>
      <c r="BG85" t="s">
        <v>569</v>
      </c>
      <c r="BH85" t="s">
        <v>31</v>
      </c>
      <c r="BI85" t="s">
        <v>32</v>
      </c>
      <c r="BJ85">
        <f t="shared" si="33"/>
        <v>5.7</v>
      </c>
      <c r="BK85" s="3">
        <f t="shared" si="34"/>
        <v>0.75587485567249146</v>
      </c>
      <c r="BL85">
        <v>2</v>
      </c>
      <c r="BM85" s="3">
        <f t="shared" si="54"/>
        <v>1.8093100993015336</v>
      </c>
      <c r="BN85" t="s">
        <v>33</v>
      </c>
      <c r="BO85" s="3">
        <f t="shared" si="44"/>
        <v>64.462938596491227</v>
      </c>
      <c r="BP85" t="s">
        <v>33</v>
      </c>
      <c r="BQ85" t="s">
        <v>33</v>
      </c>
      <c r="BR85" t="s">
        <v>33</v>
      </c>
      <c r="BS85" t="s">
        <v>33</v>
      </c>
      <c r="BT85" t="s">
        <v>31</v>
      </c>
      <c r="BU85" s="15" t="s">
        <v>255</v>
      </c>
      <c r="BV85">
        <v>2010</v>
      </c>
      <c r="BW85" t="s">
        <v>659</v>
      </c>
      <c r="BX85" t="s">
        <v>78</v>
      </c>
      <c r="BY85" s="13" t="s">
        <v>680</v>
      </c>
      <c r="CA85" t="str">
        <f t="shared" si="46"/>
        <v>high acid</v>
      </c>
    </row>
    <row r="86" spans="1:79">
      <c r="A86" t="s">
        <v>85</v>
      </c>
      <c r="B86" t="s">
        <v>565</v>
      </c>
      <c r="C86" t="s">
        <v>563</v>
      </c>
      <c r="D86" t="s">
        <v>118</v>
      </c>
      <c r="E86" t="s">
        <v>77</v>
      </c>
      <c r="F86" t="s">
        <v>32</v>
      </c>
      <c r="G86">
        <v>50</v>
      </c>
      <c r="H86">
        <f>(53+60)/2</f>
        <v>56.5</v>
      </c>
      <c r="I86" t="b">
        <v>1</v>
      </c>
      <c r="J86" t="s">
        <v>33</v>
      </c>
      <c r="K86" t="s">
        <v>33</v>
      </c>
      <c r="L86">
        <v>18</v>
      </c>
      <c r="M86" s="4">
        <v>548</v>
      </c>
      <c r="N86" s="3">
        <f>IFERROR(AF86/((T86*X86/Y86)*O86*AI86),"NA")</f>
        <v>553.30575787548105</v>
      </c>
      <c r="O86">
        <v>2.5</v>
      </c>
      <c r="P86" t="s">
        <v>33</v>
      </c>
      <c r="Q86" s="8">
        <f t="shared" si="38"/>
        <v>6.0827250608272501E-3</v>
      </c>
      <c r="R86" t="s">
        <v>183</v>
      </c>
      <c r="S86" t="s">
        <v>612</v>
      </c>
      <c r="T86" s="11">
        <v>6</v>
      </c>
      <c r="U86">
        <v>2.9</v>
      </c>
      <c r="V86">
        <v>2.2999999999999998</v>
      </c>
      <c r="W86" t="s">
        <v>33</v>
      </c>
      <c r="X86" s="8">
        <f>IFERROR(((PI())*(((V86*10^-1)/2)^2)*(U86*10^-1)), "NA")</f>
        <v>1.204879322468025E-2</v>
      </c>
      <c r="Y86" s="6">
        <f>120/60</f>
        <v>2</v>
      </c>
      <c r="Z86" s="3">
        <f t="shared" si="47"/>
        <v>1.9808216061374333</v>
      </c>
      <c r="AA86">
        <v>3.3</v>
      </c>
      <c r="AB86" s="6">
        <f t="shared" si="48"/>
        <v>3.333333333333333</v>
      </c>
      <c r="AC86" t="str">
        <f t="shared" si="32"/>
        <v>NA</v>
      </c>
      <c r="AD86" s="4">
        <f>IFERROR(AB86*T86*AI86, "NA")</f>
        <v>20</v>
      </c>
      <c r="AE86">
        <f t="shared" si="49"/>
        <v>52.649999999999991</v>
      </c>
      <c r="AF86">
        <v>50</v>
      </c>
      <c r="AG86" t="str">
        <f>IFERROR((M86*O86*P86), "NA")</f>
        <v>NA</v>
      </c>
      <c r="AH86" t="str">
        <f>IFERROR((AG86*T86*AI86), "NA")</f>
        <v>NA</v>
      </c>
      <c r="AI86" s="11">
        <v>1</v>
      </c>
      <c r="AJ86" t="s">
        <v>31</v>
      </c>
      <c r="AK86">
        <v>3250</v>
      </c>
      <c r="AL86" t="s">
        <v>238</v>
      </c>
      <c r="AM86" t="s">
        <v>86</v>
      </c>
      <c r="AN86" t="s">
        <v>205</v>
      </c>
      <c r="AO86" t="s">
        <v>789</v>
      </c>
      <c r="AP86">
        <v>4.16</v>
      </c>
      <c r="AQ86" t="s">
        <v>33</v>
      </c>
      <c r="AR86" t="s">
        <v>33</v>
      </c>
      <c r="AS86">
        <f>5.98</f>
        <v>5.98</v>
      </c>
      <c r="AT86" s="3">
        <f>IFERROR(AS86-AU86,"NA")</f>
        <v>2.3000000000000003</v>
      </c>
      <c r="AU86" s="6">
        <v>3.68</v>
      </c>
      <c r="AV86" t="b">
        <v>1</v>
      </c>
      <c r="AW86" t="s">
        <v>29</v>
      </c>
      <c r="AX86" t="s">
        <v>30</v>
      </c>
      <c r="AY86" t="s">
        <v>270</v>
      </c>
      <c r="AZ86" t="s">
        <v>134</v>
      </c>
      <c r="BA86" s="18" t="s">
        <v>798</v>
      </c>
      <c r="BB86" t="b">
        <v>0</v>
      </c>
      <c r="BC86" t="s">
        <v>81</v>
      </c>
      <c r="BD86">
        <v>16</v>
      </c>
      <c r="BE86" t="s">
        <v>80</v>
      </c>
      <c r="BF86" s="11">
        <v>24</v>
      </c>
      <c r="BG86" t="s">
        <v>568</v>
      </c>
      <c r="BH86" t="s">
        <v>31</v>
      </c>
      <c r="BI86" t="s">
        <v>31</v>
      </c>
      <c r="BJ86" s="3">
        <f t="shared" si="33"/>
        <v>3.68</v>
      </c>
      <c r="BK86" s="3">
        <f t="shared" si="34"/>
        <v>0.56584781867351763</v>
      </c>
      <c r="BL86">
        <v>2</v>
      </c>
      <c r="BM86" s="3">
        <f t="shared" si="54"/>
        <v>1.1555505568479876</v>
      </c>
      <c r="BN86" t="s">
        <v>33</v>
      </c>
      <c r="BO86" s="3">
        <f t="shared" si="44"/>
        <v>14.307065217391301</v>
      </c>
      <c r="BP86" t="s">
        <v>33</v>
      </c>
      <c r="BQ86" t="s">
        <v>33</v>
      </c>
      <c r="BR86" t="s">
        <v>33</v>
      </c>
      <c r="BS86" t="s">
        <v>33</v>
      </c>
      <c r="BT86" t="s">
        <v>32</v>
      </c>
      <c r="BU86" t="s">
        <v>84</v>
      </c>
      <c r="BV86">
        <v>2013</v>
      </c>
      <c r="BW86" s="1" t="s">
        <v>83</v>
      </c>
      <c r="BX86" t="s">
        <v>78</v>
      </c>
      <c r="BY86" t="s">
        <v>33</v>
      </c>
      <c r="BZ86" t="s">
        <v>33</v>
      </c>
      <c r="CA86" t="str">
        <f t="shared" si="46"/>
        <v>high acid</v>
      </c>
    </row>
    <row r="87" spans="1:79">
      <c r="A87" t="s">
        <v>598</v>
      </c>
      <c r="B87" t="s">
        <v>565</v>
      </c>
      <c r="C87" t="s">
        <v>563</v>
      </c>
      <c r="D87" t="s">
        <v>118</v>
      </c>
      <c r="E87" t="s">
        <v>77</v>
      </c>
      <c r="F87" t="s">
        <v>32</v>
      </c>
      <c r="G87">
        <v>50</v>
      </c>
      <c r="H87">
        <f>50+AVERAGE(3,10)</f>
        <v>56.5</v>
      </c>
      <c r="I87" t="b">
        <v>1</v>
      </c>
      <c r="J87" t="s">
        <v>33</v>
      </c>
      <c r="K87" t="s">
        <v>33</v>
      </c>
      <c r="L87">
        <v>30</v>
      </c>
      <c r="M87" s="4">
        <v>548</v>
      </c>
      <c r="N87" t="e">
        <f>(#REF!*Y87)/(T87*X87*O87)</f>
        <v>#REF!</v>
      </c>
      <c r="O87">
        <v>2.5</v>
      </c>
      <c r="P87" t="s">
        <v>33</v>
      </c>
      <c r="Q87" s="1">
        <f t="shared" si="38"/>
        <v>6.0827250608272501E-3</v>
      </c>
      <c r="R87" t="s">
        <v>183</v>
      </c>
      <c r="S87" t="s">
        <v>612</v>
      </c>
      <c r="T87">
        <v>6</v>
      </c>
      <c r="U87">
        <v>2.9</v>
      </c>
      <c r="V87">
        <v>2.2999999999999998</v>
      </c>
      <c r="W87" t="s">
        <v>33</v>
      </c>
      <c r="X87">
        <f>IFERROR(((PI())*(((V87*10^-1)/2)^2)*(U87*10^-1)), "NA")</f>
        <v>1.204879322468025E-2</v>
      </c>
      <c r="Y87">
        <v>2</v>
      </c>
      <c r="Z87" s="3">
        <f t="shared" si="47"/>
        <v>1.9808216061374333</v>
      </c>
      <c r="AA87">
        <v>3.3</v>
      </c>
      <c r="AB87">
        <f t="shared" si="48"/>
        <v>3.333333333333333</v>
      </c>
      <c r="AC87" s="1" t="str">
        <f t="shared" si="32"/>
        <v>NA</v>
      </c>
      <c r="AE87" s="3">
        <f t="shared" si="49"/>
        <v>146.24999999999997</v>
      </c>
      <c r="AF87">
        <v>50</v>
      </c>
      <c r="AG87" s="1" t="str">
        <f>IFERROR((N87*P87*Q87), "NA")</f>
        <v>NA</v>
      </c>
      <c r="AH87" s="1" t="str">
        <f>IFERROR((AG87*U87*AI87), "NA")</f>
        <v>NA</v>
      </c>
      <c r="AI87" s="1">
        <v>1</v>
      </c>
      <c r="AJ87" s="11" t="s">
        <v>31</v>
      </c>
      <c r="AK87">
        <f>3.25*10^3</f>
        <v>3250</v>
      </c>
      <c r="AL87" t="s">
        <v>238</v>
      </c>
      <c r="AM87" t="s">
        <v>86</v>
      </c>
      <c r="AN87" t="s">
        <v>205</v>
      </c>
      <c r="AO87" t="s">
        <v>789</v>
      </c>
      <c r="AP87">
        <v>4.16</v>
      </c>
      <c r="AQ87" t="s">
        <v>33</v>
      </c>
      <c r="AR87" t="s">
        <v>33</v>
      </c>
      <c r="AS87">
        <f>AVERAGE(6.63, 6.39)</f>
        <v>6.51</v>
      </c>
      <c r="AT87">
        <f>AS87-AU87</f>
        <v>2.3099999999999996</v>
      </c>
      <c r="AU87" s="6">
        <v>4.2</v>
      </c>
      <c r="AV87" t="b">
        <v>1</v>
      </c>
      <c r="AW87" t="s">
        <v>617</v>
      </c>
      <c r="AX87" t="s">
        <v>638</v>
      </c>
      <c r="AY87" t="s">
        <v>637</v>
      </c>
      <c r="AZ87" t="s">
        <v>33</v>
      </c>
      <c r="BA87" s="18" t="s">
        <v>802</v>
      </c>
      <c r="BB87" s="3" t="b">
        <v>0</v>
      </c>
      <c r="BC87" t="s">
        <v>81</v>
      </c>
      <c r="BD87">
        <v>16</v>
      </c>
      <c r="BE87" t="s">
        <v>80</v>
      </c>
      <c r="BF87">
        <v>24</v>
      </c>
      <c r="BG87" t="s">
        <v>646</v>
      </c>
      <c r="BH87" t="s">
        <v>31</v>
      </c>
      <c r="BI87" t="s">
        <v>31</v>
      </c>
      <c r="BJ87">
        <f t="shared" si="33"/>
        <v>4.2</v>
      </c>
      <c r="BK87" s="3">
        <f t="shared" si="34"/>
        <v>0.62324929039790045</v>
      </c>
      <c r="BL87">
        <v>2</v>
      </c>
      <c r="BM87" s="3">
        <f t="shared" si="54"/>
        <v>1.5418465843563174</v>
      </c>
      <c r="BN87" t="s">
        <v>33</v>
      </c>
      <c r="BO87" s="3">
        <f t="shared" si="44"/>
        <v>34.821428571428562</v>
      </c>
      <c r="BP87" t="s">
        <v>33</v>
      </c>
      <c r="BQ87" t="s">
        <v>33</v>
      </c>
      <c r="BR87" t="s">
        <v>33</v>
      </c>
      <c r="BS87" t="s">
        <v>33</v>
      </c>
      <c r="BT87" t="s">
        <v>32</v>
      </c>
      <c r="BU87" s="13" t="s">
        <v>84</v>
      </c>
      <c r="BV87" s="14">
        <v>2012</v>
      </c>
      <c r="BW87" s="13" t="s">
        <v>83</v>
      </c>
      <c r="BX87" t="s">
        <v>78</v>
      </c>
      <c r="BY87" s="13" t="s">
        <v>686</v>
      </c>
      <c r="CA87" t="str">
        <f t="shared" si="46"/>
        <v>high acid</v>
      </c>
    </row>
    <row r="88" spans="1:79">
      <c r="A88" t="s">
        <v>580</v>
      </c>
      <c r="B88" t="s">
        <v>565</v>
      </c>
      <c r="C88" t="s">
        <v>563</v>
      </c>
      <c r="D88" t="s">
        <v>118</v>
      </c>
      <c r="E88" t="s">
        <v>77</v>
      </c>
      <c r="F88" t="s">
        <v>32</v>
      </c>
      <c r="G88">
        <v>22</v>
      </c>
      <c r="H88">
        <v>40</v>
      </c>
      <c r="I88" t="b">
        <v>0</v>
      </c>
      <c r="J88">
        <v>10220</v>
      </c>
      <c r="K88">
        <v>62.82</v>
      </c>
      <c r="L88">
        <v>35</v>
      </c>
      <c r="M88" s="4">
        <v>250</v>
      </c>
      <c r="N88" t="e">
        <f>(#REF!*Y88)/(T88*X88*O88)</f>
        <v>#REF!</v>
      </c>
      <c r="O88">
        <v>4</v>
      </c>
      <c r="P88">
        <f>AVERAGE(0.0066, 0.0091)</f>
        <v>7.8499999999999993E-3</v>
      </c>
      <c r="Q88" s="1">
        <f t="shared" si="38"/>
        <v>0.25</v>
      </c>
      <c r="R88" t="s">
        <v>183</v>
      </c>
      <c r="S88" t="s">
        <v>613</v>
      </c>
      <c r="T88">
        <v>8</v>
      </c>
      <c r="U88">
        <v>2.92</v>
      </c>
      <c r="V88">
        <v>2.2999999999999998</v>
      </c>
      <c r="W88">
        <v>1.21E-2</v>
      </c>
      <c r="X88">
        <f>IFERROR(((PI())*(((V88*10^-1)/2)^2)*(U88*10^-1)), "NA")</f>
        <v>1.2131888350367701E-2</v>
      </c>
      <c r="Y88">
        <v>1.8333299999999999</v>
      </c>
      <c r="Z88" s="3">
        <f t="shared" si="47"/>
        <v>4.8527553401470802E-2</v>
      </c>
      <c r="AA88" t="s">
        <v>33</v>
      </c>
      <c r="AB88">
        <f t="shared" si="48"/>
        <v>62.5</v>
      </c>
      <c r="AC88" s="1">
        <f t="shared" si="32"/>
        <v>1.9624999999999999</v>
      </c>
      <c r="AE88" s="3">
        <f t="shared" si="49"/>
        <v>13230</v>
      </c>
      <c r="AF88">
        <v>2000</v>
      </c>
      <c r="AG88" s="1" t="str">
        <f>IFERROR((N88*P88*Q88), "NA")</f>
        <v>NA</v>
      </c>
      <c r="AH88" s="1" t="str">
        <f>IFERROR((AG88*U88*AI88), "NA")</f>
        <v>NA</v>
      </c>
      <c r="AI88" s="1">
        <v>1</v>
      </c>
      <c r="AJ88" s="11" t="s">
        <v>31</v>
      </c>
      <c r="AK88">
        <v>5400</v>
      </c>
      <c r="AL88" t="s">
        <v>238</v>
      </c>
      <c r="AM88" t="s">
        <v>86</v>
      </c>
      <c r="AN88" t="s">
        <v>205</v>
      </c>
      <c r="AO88" t="s">
        <v>789</v>
      </c>
      <c r="AP88">
        <v>3.44</v>
      </c>
      <c r="AQ88" t="s">
        <v>33</v>
      </c>
      <c r="AR88" t="s">
        <v>33</v>
      </c>
      <c r="AS88">
        <v>7.5</v>
      </c>
      <c r="AT88">
        <f>AS88-AU88</f>
        <v>2.3099999999999996</v>
      </c>
      <c r="AU88" s="6">
        <v>5.19</v>
      </c>
      <c r="AV88" t="b">
        <v>1</v>
      </c>
      <c r="AW88" t="s">
        <v>617</v>
      </c>
      <c r="AX88" t="s">
        <v>33</v>
      </c>
      <c r="AY88" t="s">
        <v>33</v>
      </c>
      <c r="AZ88" t="s">
        <v>619</v>
      </c>
      <c r="BA88" s="18" t="s">
        <v>802</v>
      </c>
      <c r="BB88" s="3" t="b">
        <v>0</v>
      </c>
      <c r="BC88" t="s">
        <v>81</v>
      </c>
      <c r="BD88">
        <v>15</v>
      </c>
      <c r="BE88" t="s">
        <v>80</v>
      </c>
      <c r="BF88">
        <v>24</v>
      </c>
      <c r="BG88" t="s">
        <v>697</v>
      </c>
      <c r="BH88" t="s">
        <v>32</v>
      </c>
      <c r="BI88" t="s">
        <v>32</v>
      </c>
      <c r="BJ88">
        <f t="shared" si="33"/>
        <v>5.19</v>
      </c>
      <c r="BK88" s="3">
        <f t="shared" si="34"/>
        <v>0.71516735784845786</v>
      </c>
      <c r="BL88">
        <v>2</v>
      </c>
      <c r="BM88" s="3">
        <f t="shared" si="54"/>
        <v>3.4063924863390431</v>
      </c>
      <c r="BN88" t="s">
        <v>33</v>
      </c>
      <c r="BO88" s="3">
        <f t="shared" si="44"/>
        <v>2549.1329479768783</v>
      </c>
      <c r="BP88" t="s">
        <v>33</v>
      </c>
      <c r="BQ88" t="s">
        <v>33</v>
      </c>
      <c r="BR88" t="s">
        <v>33</v>
      </c>
      <c r="BS88" t="s">
        <v>33</v>
      </c>
      <c r="BT88" t="s">
        <v>31</v>
      </c>
      <c r="BU88" t="s">
        <v>219</v>
      </c>
      <c r="BV88" s="14">
        <v>2008</v>
      </c>
      <c r="BW88" t="s">
        <v>257</v>
      </c>
      <c r="BX88" t="s">
        <v>78</v>
      </c>
      <c r="BY88" s="13" t="s">
        <v>670</v>
      </c>
      <c r="CA88" t="str">
        <f t="shared" si="46"/>
        <v>high acid</v>
      </c>
    </row>
    <row r="89" spans="1:79">
      <c r="A89" t="s">
        <v>596</v>
      </c>
      <c r="B89" t="s">
        <v>565</v>
      </c>
      <c r="C89" t="s">
        <v>563</v>
      </c>
      <c r="D89" t="s">
        <v>610</v>
      </c>
      <c r="E89" t="s">
        <v>77</v>
      </c>
      <c r="F89" t="s">
        <v>33</v>
      </c>
      <c r="G89">
        <v>20</v>
      </c>
      <c r="H89" t="s">
        <v>33</v>
      </c>
      <c r="I89" t="b">
        <v>0</v>
      </c>
      <c r="J89">
        <v>12000</v>
      </c>
      <c r="K89" t="s">
        <v>33</v>
      </c>
      <c r="L89">
        <v>30</v>
      </c>
      <c r="M89" s="4">
        <v>31.831088090218493</v>
      </c>
      <c r="N89" t="e">
        <f>(#REF!*Y89)/(T89*X89*O89)</f>
        <v>#REF!</v>
      </c>
      <c r="O89">
        <v>5</v>
      </c>
      <c r="P89" t="s">
        <v>33</v>
      </c>
      <c r="Q89" s="1">
        <f t="shared" ref="Q89:Q114" si="56">IFERROR(X89/Z89, "NA")</f>
        <v>0.4712374254215147</v>
      </c>
      <c r="R89" t="s">
        <v>183</v>
      </c>
      <c r="S89" t="s">
        <v>613</v>
      </c>
      <c r="T89">
        <v>1</v>
      </c>
      <c r="U89">
        <v>4</v>
      </c>
      <c r="V89">
        <v>4</v>
      </c>
      <c r="W89" t="s">
        <v>33</v>
      </c>
      <c r="X89">
        <f>IFERROR(((PI())*(((V89*10^-1)/2)^2)*(U89*10^-1)), "NA")</f>
        <v>5.02654824574367E-2</v>
      </c>
      <c r="Y89">
        <v>0.106667</v>
      </c>
      <c r="Z89" s="3">
        <f t="shared" si="47"/>
        <v>0.10666699999999998</v>
      </c>
      <c r="AA89" t="s">
        <v>33</v>
      </c>
      <c r="AB89">
        <f t="shared" si="48"/>
        <v>15.000000000000002</v>
      </c>
      <c r="AC89" s="1" t="str">
        <f t="shared" si="32"/>
        <v>NA</v>
      </c>
      <c r="AE89" s="3">
        <f t="shared" si="49"/>
        <v>135.00000000000003</v>
      </c>
      <c r="AF89">
        <v>75</v>
      </c>
      <c r="AG89" s="1" t="str">
        <f>IFERROR((N89*P89*Q89), "NA")</f>
        <v>NA</v>
      </c>
      <c r="AH89" s="1" t="str">
        <f>IFERROR((AG89*U89*AI89), "NA")</f>
        <v>NA</v>
      </c>
      <c r="AI89" s="1">
        <v>1</v>
      </c>
      <c r="AJ89" s="11" t="s">
        <v>31</v>
      </c>
      <c r="AK89">
        <v>2000</v>
      </c>
      <c r="AL89" t="s">
        <v>149</v>
      </c>
      <c r="AM89" t="s">
        <v>86</v>
      </c>
      <c r="AN89" t="s">
        <v>205</v>
      </c>
      <c r="AO89" t="s">
        <v>789</v>
      </c>
      <c r="AP89" t="s">
        <v>33</v>
      </c>
      <c r="AQ89" t="s">
        <v>33</v>
      </c>
      <c r="AR89" t="s">
        <v>33</v>
      </c>
      <c r="AS89">
        <f>AVERAGE(6,8)</f>
        <v>7</v>
      </c>
      <c r="AT89">
        <f>AS89-AU89</f>
        <v>2.33</v>
      </c>
      <c r="AU89" s="6">
        <v>4.67</v>
      </c>
      <c r="AV89" t="b">
        <v>1</v>
      </c>
      <c r="AW89" t="s">
        <v>626</v>
      </c>
      <c r="AX89" t="s">
        <v>627</v>
      </c>
      <c r="AY89" t="s">
        <v>634</v>
      </c>
      <c r="AZ89" t="s">
        <v>33</v>
      </c>
      <c r="BA89" s="18" t="s">
        <v>800</v>
      </c>
      <c r="BB89" s="3" t="b">
        <v>0</v>
      </c>
      <c r="BC89" t="s">
        <v>81</v>
      </c>
      <c r="BD89">
        <v>18</v>
      </c>
      <c r="BE89" t="s">
        <v>80</v>
      </c>
      <c r="BF89">
        <v>24</v>
      </c>
      <c r="BG89" t="s">
        <v>644</v>
      </c>
      <c r="BH89" t="s">
        <v>31</v>
      </c>
      <c r="BI89" t="s">
        <v>31</v>
      </c>
      <c r="BJ89">
        <f t="shared" si="33"/>
        <v>4.67</v>
      </c>
      <c r="BK89" s="3">
        <f t="shared" si="34"/>
        <v>0.66931688056611216</v>
      </c>
      <c r="BL89">
        <v>2</v>
      </c>
      <c r="BM89" s="3">
        <f t="shared" si="54"/>
        <v>1.4610168879288941</v>
      </c>
      <c r="BN89" t="s">
        <v>33</v>
      </c>
      <c r="BO89" s="3">
        <f t="shared" si="44"/>
        <v>28.907922912205574</v>
      </c>
      <c r="BP89" t="s">
        <v>33</v>
      </c>
      <c r="BQ89" t="s">
        <v>33</v>
      </c>
      <c r="BR89" t="s">
        <v>33</v>
      </c>
      <c r="BS89" t="s">
        <v>33</v>
      </c>
      <c r="BT89" t="s">
        <v>32</v>
      </c>
      <c r="BU89" t="s">
        <v>661</v>
      </c>
      <c r="BV89">
        <v>2013</v>
      </c>
      <c r="BW89" t="s">
        <v>662</v>
      </c>
      <c r="BX89" s="13" t="s">
        <v>663</v>
      </c>
      <c r="BY89" s="13" t="s">
        <v>684</v>
      </c>
      <c r="CA89" t="str">
        <f t="shared" si="46"/>
        <v>high acid</v>
      </c>
    </row>
    <row r="90" spans="1:79">
      <c r="A90" s="3" t="s">
        <v>303</v>
      </c>
      <c r="B90" t="s">
        <v>566</v>
      </c>
      <c r="C90" t="s">
        <v>563</v>
      </c>
      <c r="D90" s="3" t="s">
        <v>279</v>
      </c>
      <c r="E90" s="3" t="s">
        <v>77</v>
      </c>
      <c r="F90" t="s">
        <v>32</v>
      </c>
      <c r="G90" s="11">
        <v>10</v>
      </c>
      <c r="H90" s="11">
        <v>30</v>
      </c>
      <c r="I90" s="3" t="b">
        <v>0</v>
      </c>
      <c r="J90" s="3" t="s">
        <v>33</v>
      </c>
      <c r="K90" s="3" t="s">
        <v>33</v>
      </c>
      <c r="L90" s="11">
        <v>20</v>
      </c>
      <c r="M90" s="4">
        <v>1000</v>
      </c>
      <c r="N90" s="3">
        <f>IFERROR(AF90/((T90*X90/Y90)*O90*AI90),"NA")</f>
        <v>5052.5378759331843</v>
      </c>
      <c r="O90" s="3">
        <v>16</v>
      </c>
      <c r="P90" s="3" t="s">
        <v>33</v>
      </c>
      <c r="Q90" s="3">
        <f t="shared" si="56"/>
        <v>0.15000000000000002</v>
      </c>
      <c r="R90" t="s">
        <v>183</v>
      </c>
      <c r="S90" t="s">
        <v>613</v>
      </c>
      <c r="T90" s="11">
        <v>1</v>
      </c>
      <c r="U90" s="3">
        <v>2.8</v>
      </c>
      <c r="V90" s="3">
        <v>3</v>
      </c>
      <c r="W90" s="3">
        <v>0.02</v>
      </c>
      <c r="X90" s="3">
        <f t="shared" ref="X90:X95" si="57">IFERROR(((PI())*(((V90*10^-1)/2)^2)*(U90*10^-1)), "NA")</f>
        <v>1.97920337176157E-2</v>
      </c>
      <c r="Y90" s="3">
        <f>40/60</f>
        <v>0.66666666666666663</v>
      </c>
      <c r="Z90" s="3">
        <f t="shared" si="47"/>
        <v>0.13194689145077132</v>
      </c>
      <c r="AA90" s="3" t="s">
        <v>33</v>
      </c>
      <c r="AB90" s="3">
        <f t="shared" si="48"/>
        <v>150</v>
      </c>
      <c r="AC90" s="3" t="str">
        <f t="shared" si="32"/>
        <v>NA</v>
      </c>
      <c r="AD90" s="4">
        <f>AB90*T90*AI90</f>
        <v>150</v>
      </c>
      <c r="AE90" s="3">
        <f t="shared" si="49"/>
        <v>480.00000000000006</v>
      </c>
      <c r="AF90" s="3">
        <v>2400</v>
      </c>
      <c r="AG90" s="3" t="str">
        <f>IFERROR((M90*O90*P90), "NA")</f>
        <v>NA</v>
      </c>
      <c r="AH90" s="3" t="str">
        <f>IFERROR((AG90*T90*AI90), "NA")</f>
        <v>NA</v>
      </c>
      <c r="AI90" s="3">
        <v>1</v>
      </c>
      <c r="AJ90" t="s">
        <v>31</v>
      </c>
      <c r="AK90" s="3">
        <v>500</v>
      </c>
      <c r="AL90" s="3" t="s">
        <v>281</v>
      </c>
      <c r="AM90" s="3" t="s">
        <v>103</v>
      </c>
      <c r="AN90" t="s">
        <v>130</v>
      </c>
      <c r="AO90" t="s">
        <v>795</v>
      </c>
      <c r="AP90" s="3" t="s">
        <v>33</v>
      </c>
      <c r="AQ90" s="3" t="s">
        <v>33</v>
      </c>
      <c r="AR90" s="3" t="s">
        <v>33</v>
      </c>
      <c r="AS90" s="3">
        <f>4.049</f>
        <v>4.0490000000000004</v>
      </c>
      <c r="AT90" s="3">
        <f>IFERROR(AS90-AU90,"NA")</f>
        <v>2.3480000000000003</v>
      </c>
      <c r="AU90" s="6">
        <v>1.7010000000000001</v>
      </c>
      <c r="AV90" s="3" t="b">
        <v>1</v>
      </c>
      <c r="AW90" s="3" t="s">
        <v>172</v>
      </c>
      <c r="AX90" s="3" t="s">
        <v>173</v>
      </c>
      <c r="AY90" s="3" t="s">
        <v>283</v>
      </c>
      <c r="AZ90" s="3" t="s">
        <v>33</v>
      </c>
      <c r="BA90" s="18" t="s">
        <v>799</v>
      </c>
      <c r="BB90" s="3" t="b">
        <v>0</v>
      </c>
      <c r="BC90" t="s">
        <v>81</v>
      </c>
      <c r="BD90" s="3">
        <v>2</v>
      </c>
      <c r="BE90" s="3" t="s">
        <v>252</v>
      </c>
      <c r="BF90" s="11">
        <v>72</v>
      </c>
      <c r="BG90" s="3" t="s">
        <v>574</v>
      </c>
      <c r="BH90" s="3" t="s">
        <v>31</v>
      </c>
      <c r="BI90" s="3" t="s">
        <v>31</v>
      </c>
      <c r="BJ90" s="3">
        <f t="shared" si="33"/>
        <v>1.7010000000000001</v>
      </c>
      <c r="BK90" s="3">
        <f t="shared" si="34"/>
        <v>0.23070431361256905</v>
      </c>
      <c r="BL90" s="3">
        <v>2</v>
      </c>
      <c r="BM90" s="3">
        <f t="shared" si="54"/>
        <v>2.4505369237630181</v>
      </c>
      <c r="BN90" s="3" t="s">
        <v>33</v>
      </c>
      <c r="BO90" s="3">
        <f t="shared" si="44"/>
        <v>282.18694885361555</v>
      </c>
      <c r="BP90" s="3" t="s">
        <v>33</v>
      </c>
      <c r="BQ90" s="3" t="s">
        <v>33</v>
      </c>
      <c r="BR90" s="3" t="s">
        <v>33</v>
      </c>
      <c r="BS90" s="3" t="s">
        <v>33</v>
      </c>
      <c r="BT90" t="s">
        <v>31</v>
      </c>
      <c r="BU90" s="3" t="s">
        <v>247</v>
      </c>
      <c r="BV90" s="11">
        <v>2016</v>
      </c>
      <c r="BW90" s="3" t="s">
        <v>284</v>
      </c>
      <c r="BX90" t="s">
        <v>78</v>
      </c>
      <c r="BY90" s="3" t="s">
        <v>33</v>
      </c>
      <c r="BZ90" s="3" t="s">
        <v>300</v>
      </c>
      <c r="CA90" t="str">
        <f t="shared" si="46"/>
        <v>low acid</v>
      </c>
    </row>
    <row r="91" spans="1:79">
      <c r="A91" t="s">
        <v>588</v>
      </c>
      <c r="B91" t="s">
        <v>565</v>
      </c>
      <c r="C91" t="s">
        <v>563</v>
      </c>
      <c r="D91" t="s">
        <v>608</v>
      </c>
      <c r="E91" t="s">
        <v>77</v>
      </c>
      <c r="F91" t="s">
        <v>32</v>
      </c>
      <c r="G91" t="s">
        <v>33</v>
      </c>
      <c r="H91">
        <v>40</v>
      </c>
      <c r="I91" t="b">
        <v>0</v>
      </c>
      <c r="J91" t="s">
        <v>33</v>
      </c>
      <c r="K91" t="s">
        <v>33</v>
      </c>
      <c r="L91">
        <v>35</v>
      </c>
      <c r="M91" s="4">
        <v>250</v>
      </c>
      <c r="N91" t="e">
        <f>(#REF!*Y91)/(T91*X91*O91)</f>
        <v>#REF!</v>
      </c>
      <c r="O91">
        <v>3.7</v>
      </c>
      <c r="P91" t="s">
        <v>33</v>
      </c>
      <c r="Q91" s="1">
        <f t="shared" si="56"/>
        <v>8.1081081081081072E-2</v>
      </c>
      <c r="R91" t="s">
        <v>183</v>
      </c>
      <c r="S91" t="s">
        <v>613</v>
      </c>
      <c r="T91">
        <v>6</v>
      </c>
      <c r="U91">
        <v>1.9</v>
      </c>
      <c r="V91">
        <v>2.2999999999999998</v>
      </c>
      <c r="W91" t="s">
        <v>33</v>
      </c>
      <c r="X91">
        <f t="shared" si="57"/>
        <v>7.8940369403077502E-3</v>
      </c>
      <c r="Y91">
        <v>1</v>
      </c>
      <c r="Z91" s="3">
        <f t="shared" si="47"/>
        <v>9.7359788930462265E-2</v>
      </c>
      <c r="AA91" t="s">
        <v>33</v>
      </c>
      <c r="AB91">
        <f t="shared" si="48"/>
        <v>20.27027027027027</v>
      </c>
      <c r="AC91" s="1" t="str">
        <f t="shared" si="32"/>
        <v>NA</v>
      </c>
      <c r="AE91" s="3">
        <f t="shared" si="49"/>
        <v>2645.9999999999995</v>
      </c>
      <c r="AF91">
        <v>450</v>
      </c>
      <c r="AG91" s="1" t="str">
        <f>IFERROR((N91*P91*Q91), "NA")</f>
        <v>NA</v>
      </c>
      <c r="AH91" s="1" t="str">
        <f>IFERROR((AG91*U91*AI91), "NA")</f>
        <v>NA</v>
      </c>
      <c r="AI91" s="1">
        <v>1</v>
      </c>
      <c r="AJ91" s="11" t="s">
        <v>31</v>
      </c>
      <c r="AK91">
        <v>4800</v>
      </c>
      <c r="AL91" t="s">
        <v>156</v>
      </c>
      <c r="AM91" t="s">
        <v>157</v>
      </c>
      <c r="AN91" t="s">
        <v>186</v>
      </c>
      <c r="AO91" t="s">
        <v>792</v>
      </c>
      <c r="AP91">
        <v>6.53</v>
      </c>
      <c r="AQ91" t="s">
        <v>33</v>
      </c>
      <c r="AR91" t="s">
        <v>33</v>
      </c>
      <c r="AS91">
        <v>6.5</v>
      </c>
      <c r="AT91">
        <v>2.35</v>
      </c>
      <c r="AU91" s="6">
        <f>AS91-AT91</f>
        <v>4.1500000000000004</v>
      </c>
      <c r="AV91" t="b">
        <v>1</v>
      </c>
      <c r="AW91" t="s">
        <v>626</v>
      </c>
      <c r="AX91" t="s">
        <v>627</v>
      </c>
      <c r="AY91" t="s">
        <v>625</v>
      </c>
      <c r="AZ91" t="s">
        <v>33</v>
      </c>
      <c r="BA91" s="18" t="s">
        <v>800</v>
      </c>
      <c r="BB91" s="3" t="b">
        <v>0</v>
      </c>
      <c r="BC91" t="s">
        <v>81</v>
      </c>
      <c r="BD91">
        <v>12</v>
      </c>
      <c r="BE91" t="s">
        <v>80</v>
      </c>
      <c r="BF91">
        <v>48</v>
      </c>
      <c r="BG91" t="s">
        <v>568</v>
      </c>
      <c r="BH91" t="s">
        <v>31</v>
      </c>
      <c r="BI91" t="s">
        <v>31</v>
      </c>
      <c r="BJ91">
        <f t="shared" si="33"/>
        <v>4.1500000000000004</v>
      </c>
      <c r="BK91" s="3">
        <f t="shared" si="34"/>
        <v>0.61804809671209271</v>
      </c>
      <c r="BL91">
        <v>2</v>
      </c>
      <c r="BM91" s="3">
        <f t="shared" si="54"/>
        <v>2.8045417431393895</v>
      </c>
      <c r="BN91" t="s">
        <v>33</v>
      </c>
      <c r="BO91" s="3">
        <f t="shared" si="44"/>
        <v>637.59036144578295</v>
      </c>
      <c r="BP91" t="s">
        <v>33</v>
      </c>
      <c r="BQ91" t="s">
        <v>33</v>
      </c>
      <c r="BR91" t="s">
        <v>33</v>
      </c>
      <c r="BS91" t="s">
        <v>33</v>
      </c>
      <c r="BT91" t="s">
        <v>31</v>
      </c>
      <c r="BU91" s="13" t="s">
        <v>163</v>
      </c>
      <c r="BV91">
        <v>2004</v>
      </c>
      <c r="BW91" t="s">
        <v>654</v>
      </c>
      <c r="BX91" t="s">
        <v>78</v>
      </c>
      <c r="BY91" s="13" t="s">
        <v>677</v>
      </c>
      <c r="CA91" t="str">
        <f t="shared" si="46"/>
        <v>low acid</v>
      </c>
    </row>
    <row r="92" spans="1:79">
      <c r="A92" t="s">
        <v>85</v>
      </c>
      <c r="B92" t="s">
        <v>565</v>
      </c>
      <c r="C92" t="s">
        <v>563</v>
      </c>
      <c r="D92" t="s">
        <v>118</v>
      </c>
      <c r="E92" t="s">
        <v>77</v>
      </c>
      <c r="F92" t="s">
        <v>32</v>
      </c>
      <c r="G92">
        <v>50</v>
      </c>
      <c r="H92">
        <f>(53+60)/2</f>
        <v>56.5</v>
      </c>
      <c r="I92" t="b">
        <v>0</v>
      </c>
      <c r="J92" t="s">
        <v>33</v>
      </c>
      <c r="K92" t="s">
        <v>33</v>
      </c>
      <c r="L92">
        <v>22</v>
      </c>
      <c r="M92" s="4">
        <v>548</v>
      </c>
      <c r="N92" s="3">
        <f>IFERROR(AF92/((T92*X92/Y92)*O92*AI92),"NA")</f>
        <v>553.30575787548105</v>
      </c>
      <c r="O92">
        <v>2.5</v>
      </c>
      <c r="P92" t="s">
        <v>33</v>
      </c>
      <c r="Q92" s="8">
        <f t="shared" si="56"/>
        <v>6.0827250608272501E-3</v>
      </c>
      <c r="R92" t="s">
        <v>183</v>
      </c>
      <c r="S92" t="s">
        <v>612</v>
      </c>
      <c r="T92" s="11">
        <v>6</v>
      </c>
      <c r="U92">
        <v>2.9</v>
      </c>
      <c r="V92">
        <v>2.2999999999999998</v>
      </c>
      <c r="W92" t="s">
        <v>33</v>
      </c>
      <c r="X92" s="8">
        <f t="shared" si="57"/>
        <v>1.204879322468025E-2</v>
      </c>
      <c r="Y92" s="6">
        <f>120/60</f>
        <v>2</v>
      </c>
      <c r="Z92" s="3">
        <f t="shared" si="47"/>
        <v>1.9808216061374333</v>
      </c>
      <c r="AA92">
        <v>3.3</v>
      </c>
      <c r="AB92" s="6">
        <f t="shared" si="48"/>
        <v>3.333333333333333</v>
      </c>
      <c r="AC92" t="str">
        <f t="shared" si="32"/>
        <v>NA</v>
      </c>
      <c r="AD92" s="4">
        <f>IFERROR(AB92*T92*AI92, "NA")</f>
        <v>20</v>
      </c>
      <c r="AE92">
        <f t="shared" si="49"/>
        <v>78.649999999999977</v>
      </c>
      <c r="AF92">
        <v>50</v>
      </c>
      <c r="AG92" t="str">
        <f>IFERROR((M92*O92*P92), "NA")</f>
        <v>NA</v>
      </c>
      <c r="AH92" t="str">
        <f>IFERROR((AG92*T92*AI92), "NA")</f>
        <v>NA</v>
      </c>
      <c r="AI92" s="11">
        <v>1</v>
      </c>
      <c r="AJ92" t="s">
        <v>31</v>
      </c>
      <c r="AK92">
        <v>3250</v>
      </c>
      <c r="AL92" t="s">
        <v>238</v>
      </c>
      <c r="AM92" t="s">
        <v>86</v>
      </c>
      <c r="AN92" t="s">
        <v>205</v>
      </c>
      <c r="AO92" t="s">
        <v>789</v>
      </c>
      <c r="AP92">
        <v>4.16</v>
      </c>
      <c r="AQ92" t="s">
        <v>33</v>
      </c>
      <c r="AR92" t="s">
        <v>33</v>
      </c>
      <c r="AS92">
        <f>5.98</f>
        <v>5.98</v>
      </c>
      <c r="AT92" s="3">
        <f>IFERROR(AS92-AU92,"NA")</f>
        <v>2.3500000000000005</v>
      </c>
      <c r="AU92" s="6">
        <v>3.63</v>
      </c>
      <c r="AV92" t="b">
        <v>1</v>
      </c>
      <c r="AW92" t="s">
        <v>29</v>
      </c>
      <c r="AX92" t="s">
        <v>30</v>
      </c>
      <c r="AY92" t="s">
        <v>270</v>
      </c>
      <c r="AZ92" t="s">
        <v>134</v>
      </c>
      <c r="BA92" s="18" t="s">
        <v>798</v>
      </c>
      <c r="BB92" t="b">
        <v>0</v>
      </c>
      <c r="BC92" t="s">
        <v>81</v>
      </c>
      <c r="BD92">
        <v>16</v>
      </c>
      <c r="BE92" t="s">
        <v>80</v>
      </c>
      <c r="BF92" s="11">
        <v>24</v>
      </c>
      <c r="BG92" t="s">
        <v>568</v>
      </c>
      <c r="BH92" t="s">
        <v>31</v>
      </c>
      <c r="BI92" t="s">
        <v>31</v>
      </c>
      <c r="BJ92" s="3">
        <f t="shared" si="33"/>
        <v>3.63</v>
      </c>
      <c r="BK92" s="3">
        <f t="shared" si="34"/>
        <v>0.55990662503611255</v>
      </c>
      <c r="BL92">
        <v>2</v>
      </c>
      <c r="BM92" s="3">
        <f t="shared" si="54"/>
        <v>1.3357921019231931</v>
      </c>
      <c r="BN92" t="s">
        <v>33</v>
      </c>
      <c r="BO92" s="3">
        <f t="shared" si="44"/>
        <v>21.666666666666661</v>
      </c>
      <c r="BP92" t="s">
        <v>33</v>
      </c>
      <c r="BQ92" t="s">
        <v>33</v>
      </c>
      <c r="BR92" t="s">
        <v>33</v>
      </c>
      <c r="BS92" t="s">
        <v>33</v>
      </c>
      <c r="BT92" t="s">
        <v>32</v>
      </c>
      <c r="BU92" t="s">
        <v>84</v>
      </c>
      <c r="BV92">
        <v>2013</v>
      </c>
      <c r="BW92" s="1" t="s">
        <v>83</v>
      </c>
      <c r="BX92" t="s">
        <v>78</v>
      </c>
      <c r="BY92" t="s">
        <v>33</v>
      </c>
      <c r="BZ92" t="s">
        <v>33</v>
      </c>
      <c r="CA92" t="str">
        <f t="shared" si="46"/>
        <v>high acid</v>
      </c>
    </row>
    <row r="93" spans="1:79">
      <c r="A93" t="s">
        <v>405</v>
      </c>
      <c r="B93" t="s">
        <v>565</v>
      </c>
      <c r="C93" t="s">
        <v>563</v>
      </c>
      <c r="D93" t="s">
        <v>118</v>
      </c>
      <c r="E93" t="s">
        <v>77</v>
      </c>
      <c r="F93" t="s">
        <v>32</v>
      </c>
      <c r="G93">
        <v>20</v>
      </c>
      <c r="H93" t="s">
        <v>33</v>
      </c>
      <c r="I93" t="b">
        <v>0</v>
      </c>
      <c r="J93" t="s">
        <v>33</v>
      </c>
      <c r="K93" t="s">
        <v>33</v>
      </c>
      <c r="L93">
        <v>31</v>
      </c>
      <c r="M93" s="4">
        <v>500</v>
      </c>
      <c r="N93" s="3">
        <f>IFERROR(AF93/((T93*X93/Y93)*O93*AI93),"NA")</f>
        <v>500.00000000000011</v>
      </c>
      <c r="O93">
        <v>3</v>
      </c>
      <c r="P93" t="s">
        <v>33</v>
      </c>
      <c r="Q93" s="8">
        <f t="shared" si="56"/>
        <v>2.2787935011895258E-2</v>
      </c>
      <c r="R93" t="s">
        <v>183</v>
      </c>
      <c r="S93" t="s">
        <v>613</v>
      </c>
      <c r="T93" s="11">
        <v>6</v>
      </c>
      <c r="U93">
        <v>2.2999999999999998</v>
      </c>
      <c r="V93">
        <v>2.9</v>
      </c>
      <c r="W93" t="s">
        <v>33</v>
      </c>
      <c r="X93" s="9">
        <f t="shared" si="57"/>
        <v>1.519195667459684E-2</v>
      </c>
      <c r="Y93" s="6">
        <f>40/60</f>
        <v>0.66666666666666663</v>
      </c>
      <c r="Z93" s="3">
        <f t="shared" si="47"/>
        <v>0.66666666666666674</v>
      </c>
      <c r="AA93" t="s">
        <v>33</v>
      </c>
      <c r="AB93" s="6">
        <f>IFERROR(((X93*M93)/Y93), "NA")</f>
        <v>11.39396750594763</v>
      </c>
      <c r="AC93" t="str">
        <f t="shared" si="32"/>
        <v>NA</v>
      </c>
      <c r="AD93" s="4">
        <f>AB93*T93*AI93</f>
        <v>68.363805035685786</v>
      </c>
      <c r="AE93" s="3">
        <f t="shared" si="49"/>
        <v>455.28448331030756</v>
      </c>
      <c r="AF93" s="4">
        <f>AB93*T93*O93*AI93</f>
        <v>205.09141510705734</v>
      </c>
      <c r="AG93" t="str">
        <f>IFERROR((M93*O93*P93), "NA")</f>
        <v>NA</v>
      </c>
      <c r="AH93" t="str">
        <f>IFERROR((AG93*T93*AI93), "NA")</f>
        <v>NA</v>
      </c>
      <c r="AI93">
        <v>1</v>
      </c>
      <c r="AJ93" t="s">
        <v>31</v>
      </c>
      <c r="AK93">
        <v>2310</v>
      </c>
      <c r="AL93" t="s">
        <v>399</v>
      </c>
      <c r="AM93" t="s">
        <v>515</v>
      </c>
      <c r="AN93" t="s">
        <v>205</v>
      </c>
      <c r="AO93" t="s">
        <v>788</v>
      </c>
      <c r="AP93">
        <v>3.01</v>
      </c>
      <c r="AQ93" t="s">
        <v>33</v>
      </c>
      <c r="AR93" t="s">
        <v>33</v>
      </c>
      <c r="AS93">
        <v>4.97</v>
      </c>
      <c r="AT93" s="3">
        <f>IFERROR(AS93-AU93,"NA")</f>
        <v>2.3699999999999997</v>
      </c>
      <c r="AU93" s="6">
        <v>2.6</v>
      </c>
      <c r="AV93" t="b">
        <v>1</v>
      </c>
      <c r="AW93" t="s">
        <v>29</v>
      </c>
      <c r="AX93" t="s">
        <v>30</v>
      </c>
      <c r="AY93" t="s">
        <v>33</v>
      </c>
      <c r="AZ93" t="s">
        <v>134</v>
      </c>
      <c r="BA93" s="18" t="s">
        <v>798</v>
      </c>
      <c r="BB93" t="b">
        <v>0</v>
      </c>
      <c r="BC93" t="s">
        <v>81</v>
      </c>
      <c r="BD93">
        <v>12</v>
      </c>
      <c r="BE93" t="s">
        <v>80</v>
      </c>
      <c r="BF93" s="11">
        <v>36</v>
      </c>
      <c r="BG93" t="s">
        <v>262</v>
      </c>
      <c r="BH93" t="s">
        <v>31</v>
      </c>
      <c r="BI93" t="s">
        <v>31</v>
      </c>
      <c r="BJ93" s="3">
        <f t="shared" si="33"/>
        <v>2.6</v>
      </c>
      <c r="BK93" s="3">
        <f t="shared" si="34"/>
        <v>0.41497334797081797</v>
      </c>
      <c r="BL93">
        <v>2</v>
      </c>
      <c r="BM93" s="3">
        <f t="shared" si="54"/>
        <v>2.243309501266554</v>
      </c>
      <c r="BN93" t="s">
        <v>33</v>
      </c>
      <c r="BO93" s="3">
        <f t="shared" si="44"/>
        <v>175.10941665781058</v>
      </c>
      <c r="BP93" t="s">
        <v>33</v>
      </c>
      <c r="BQ93" t="s">
        <v>33</v>
      </c>
      <c r="BR93" t="s">
        <v>33</v>
      </c>
      <c r="BS93" t="s">
        <v>33</v>
      </c>
      <c r="BT93" t="s">
        <v>31</v>
      </c>
      <c r="BU93" t="s">
        <v>402</v>
      </c>
      <c r="BV93">
        <v>2014</v>
      </c>
      <c r="BW93" t="s">
        <v>413</v>
      </c>
      <c r="BX93" t="s">
        <v>78</v>
      </c>
      <c r="BY93" t="s">
        <v>404</v>
      </c>
      <c r="BZ93" t="s">
        <v>410</v>
      </c>
      <c r="CA93" t="str">
        <f t="shared" si="46"/>
        <v>high acid</v>
      </c>
    </row>
    <row r="94" spans="1:79">
      <c r="A94" t="s">
        <v>581</v>
      </c>
      <c r="B94" t="s">
        <v>565</v>
      </c>
      <c r="C94" t="s">
        <v>563</v>
      </c>
      <c r="D94" t="s">
        <v>118</v>
      </c>
      <c r="E94" t="s">
        <v>77</v>
      </c>
      <c r="F94" t="s">
        <v>32</v>
      </c>
      <c r="G94">
        <v>5</v>
      </c>
      <c r="H94">
        <v>39.1</v>
      </c>
      <c r="I94" t="b">
        <v>0</v>
      </c>
      <c r="J94" t="s">
        <v>33</v>
      </c>
      <c r="K94" t="s">
        <v>33</v>
      </c>
      <c r="L94">
        <v>35</v>
      </c>
      <c r="M94" s="4">
        <v>100</v>
      </c>
      <c r="N94" t="e">
        <f>(#REF!*Y94)/(T94*X94*O94)</f>
        <v>#REF!</v>
      </c>
      <c r="O94">
        <v>4</v>
      </c>
      <c r="P94" t="s">
        <v>33</v>
      </c>
      <c r="Q94" s="1">
        <f t="shared" si="56"/>
        <v>0.15625</v>
      </c>
      <c r="R94" t="s">
        <v>183</v>
      </c>
      <c r="S94" t="s">
        <v>613</v>
      </c>
      <c r="T94">
        <v>8</v>
      </c>
      <c r="U94">
        <v>2.92</v>
      </c>
      <c r="V94">
        <v>2.2999999999999998</v>
      </c>
      <c r="W94">
        <v>1.21E-2</v>
      </c>
      <c r="X94">
        <f t="shared" si="57"/>
        <v>1.2131888350367701E-2</v>
      </c>
      <c r="Y94">
        <v>1.6666700000000001</v>
      </c>
      <c r="Z94" s="3">
        <f t="shared" si="47"/>
        <v>7.7644085442353281E-2</v>
      </c>
      <c r="AA94" t="s">
        <v>33</v>
      </c>
      <c r="AB94">
        <f t="shared" ref="AB94:AB102" si="58">IFERROR(((X94*M94)/Z94), "NA")</f>
        <v>15.625000000000002</v>
      </c>
      <c r="AC94" s="1" t="str">
        <f t="shared" si="32"/>
        <v>NA</v>
      </c>
      <c r="AE94" s="3">
        <f t="shared" si="49"/>
        <v>3203.375</v>
      </c>
      <c r="AF94">
        <v>500</v>
      </c>
      <c r="AG94" s="1" t="str">
        <f>IFERROR((N94*P94*Q94), "NA")</f>
        <v>NA</v>
      </c>
      <c r="AH94" s="1" t="str">
        <f>IFERROR((AG94*U94*AI94), "NA")</f>
        <v>NA</v>
      </c>
      <c r="AI94" s="1">
        <v>1</v>
      </c>
      <c r="AJ94" s="11" t="s">
        <v>31</v>
      </c>
      <c r="AK94">
        <v>5230</v>
      </c>
      <c r="AL94" t="s">
        <v>542</v>
      </c>
      <c r="AM94" t="s">
        <v>86</v>
      </c>
      <c r="AN94" t="s">
        <v>186</v>
      </c>
      <c r="AO94" t="s">
        <v>794</v>
      </c>
      <c r="AP94">
        <v>5.82</v>
      </c>
      <c r="AQ94" t="s">
        <v>33</v>
      </c>
      <c r="AR94" t="s">
        <v>33</v>
      </c>
      <c r="AS94">
        <v>7.5</v>
      </c>
      <c r="AT94">
        <f>AS94-AU94</f>
        <v>2.37</v>
      </c>
      <c r="AU94" s="6">
        <v>5.13</v>
      </c>
      <c r="AV94" t="b">
        <v>1</v>
      </c>
      <c r="AW94" t="s">
        <v>617</v>
      </c>
      <c r="AX94" t="s">
        <v>618</v>
      </c>
      <c r="AY94" t="s">
        <v>33</v>
      </c>
      <c r="AZ94" t="s">
        <v>619</v>
      </c>
      <c r="BA94" s="18" t="s">
        <v>802</v>
      </c>
      <c r="BB94" s="3" t="b">
        <v>0</v>
      </c>
      <c r="BC94" t="s">
        <v>81</v>
      </c>
      <c r="BD94">
        <v>15</v>
      </c>
      <c r="BE94" t="s">
        <v>80</v>
      </c>
      <c r="BF94">
        <v>15</v>
      </c>
      <c r="BG94" t="s">
        <v>697</v>
      </c>
      <c r="BH94" t="s">
        <v>32</v>
      </c>
      <c r="BI94" t="s">
        <v>32</v>
      </c>
      <c r="BJ94">
        <f t="shared" si="33"/>
        <v>5.13</v>
      </c>
      <c r="BK94" s="3">
        <f t="shared" si="34"/>
        <v>0.71011736511181622</v>
      </c>
      <c r="BL94">
        <v>2</v>
      </c>
      <c r="BM94" s="3">
        <f t="shared" si="54"/>
        <v>2.795490416792028</v>
      </c>
      <c r="BN94" t="s">
        <v>33</v>
      </c>
      <c r="BO94" s="3">
        <f t="shared" si="44"/>
        <v>624.43957115009744</v>
      </c>
      <c r="BP94" t="s">
        <v>33</v>
      </c>
      <c r="BQ94" t="s">
        <v>33</v>
      </c>
      <c r="BR94" t="s">
        <v>33</v>
      </c>
      <c r="BS94" t="s">
        <v>33</v>
      </c>
      <c r="BT94" t="s">
        <v>31</v>
      </c>
      <c r="BU94" t="s">
        <v>219</v>
      </c>
      <c r="BV94" s="14">
        <v>2007</v>
      </c>
      <c r="BW94" s="2" t="s">
        <v>648</v>
      </c>
      <c r="BX94" t="s">
        <v>78</v>
      </c>
      <c r="BY94" s="13" t="s">
        <v>671</v>
      </c>
      <c r="CA94" t="str">
        <f t="shared" si="46"/>
        <v>low acid</v>
      </c>
    </row>
    <row r="95" spans="1:79">
      <c r="A95" t="s">
        <v>581</v>
      </c>
      <c r="B95" t="s">
        <v>565</v>
      </c>
      <c r="C95" t="s">
        <v>563</v>
      </c>
      <c r="D95" t="s">
        <v>118</v>
      </c>
      <c r="E95" t="s">
        <v>77</v>
      </c>
      <c r="F95" t="s">
        <v>32</v>
      </c>
      <c r="G95">
        <v>5</v>
      </c>
      <c r="H95">
        <v>39.1</v>
      </c>
      <c r="I95" t="b">
        <v>0</v>
      </c>
      <c r="J95" t="s">
        <v>33</v>
      </c>
      <c r="K95" t="s">
        <v>33</v>
      </c>
      <c r="L95">
        <v>35</v>
      </c>
      <c r="M95" s="4">
        <v>250</v>
      </c>
      <c r="N95" t="e">
        <f>(#REF!*Y95)/(T95*X95*O95)</f>
        <v>#REF!</v>
      </c>
      <c r="O95">
        <v>4</v>
      </c>
      <c r="P95" t="s">
        <v>33</v>
      </c>
      <c r="Q95" s="1">
        <f t="shared" si="56"/>
        <v>6.25E-2</v>
      </c>
      <c r="R95" t="s">
        <v>183</v>
      </c>
      <c r="S95" t="s">
        <v>613</v>
      </c>
      <c r="T95">
        <v>8</v>
      </c>
      <c r="U95">
        <v>2.92</v>
      </c>
      <c r="V95">
        <v>2.2999999999999998</v>
      </c>
      <c r="W95">
        <v>1.21E-2</v>
      </c>
      <c r="X95">
        <f t="shared" si="57"/>
        <v>1.2131888350367701E-2</v>
      </c>
      <c r="Y95">
        <v>1.6666700000000001</v>
      </c>
      <c r="Z95" s="3">
        <f t="shared" si="47"/>
        <v>0.19411021360588321</v>
      </c>
      <c r="AA95" t="s">
        <v>33</v>
      </c>
      <c r="AB95">
        <f t="shared" si="58"/>
        <v>15.625</v>
      </c>
      <c r="AC95" s="1" t="str">
        <f t="shared" si="32"/>
        <v>NA</v>
      </c>
      <c r="AE95" s="3">
        <f t="shared" si="49"/>
        <v>3203.375</v>
      </c>
      <c r="AF95">
        <v>500</v>
      </c>
      <c r="AG95" s="1" t="str">
        <f>IFERROR((N95*P95*Q95), "NA")</f>
        <v>NA</v>
      </c>
      <c r="AH95" s="1" t="str">
        <f>IFERROR((AG95*U95*AI95), "NA")</f>
        <v>NA</v>
      </c>
      <c r="AI95" s="1">
        <v>1</v>
      </c>
      <c r="AJ95" s="11" t="s">
        <v>31</v>
      </c>
      <c r="AK95">
        <v>5230</v>
      </c>
      <c r="AL95" t="s">
        <v>542</v>
      </c>
      <c r="AM95" t="s">
        <v>86</v>
      </c>
      <c r="AN95" t="s">
        <v>186</v>
      </c>
      <c r="AO95" t="s">
        <v>794</v>
      </c>
      <c r="AP95">
        <v>5.82</v>
      </c>
      <c r="AQ95" t="s">
        <v>33</v>
      </c>
      <c r="AR95" t="s">
        <v>33</v>
      </c>
      <c r="AS95">
        <v>7.5</v>
      </c>
      <c r="AT95">
        <f>AS95-AU95</f>
        <v>2.37</v>
      </c>
      <c r="AU95" s="6">
        <v>5.13</v>
      </c>
      <c r="AV95" t="b">
        <v>1</v>
      </c>
      <c r="AW95" t="s">
        <v>617</v>
      </c>
      <c r="AX95" t="s">
        <v>618</v>
      </c>
      <c r="AY95" t="s">
        <v>33</v>
      </c>
      <c r="AZ95" t="s">
        <v>619</v>
      </c>
      <c r="BA95" s="18" t="s">
        <v>802</v>
      </c>
      <c r="BB95" s="3" t="b">
        <v>0</v>
      </c>
      <c r="BC95" t="s">
        <v>81</v>
      </c>
      <c r="BD95">
        <v>15</v>
      </c>
      <c r="BE95" t="s">
        <v>80</v>
      </c>
      <c r="BF95">
        <v>15</v>
      </c>
      <c r="BG95" t="s">
        <v>697</v>
      </c>
      <c r="BH95" t="s">
        <v>32</v>
      </c>
      <c r="BI95" t="s">
        <v>32</v>
      </c>
      <c r="BJ95">
        <f t="shared" si="33"/>
        <v>5.13</v>
      </c>
      <c r="BK95" s="3">
        <f t="shared" si="34"/>
        <v>0.71011736511181622</v>
      </c>
      <c r="BL95">
        <v>2</v>
      </c>
      <c r="BM95" s="3">
        <f t="shared" si="54"/>
        <v>2.795490416792028</v>
      </c>
      <c r="BN95" t="s">
        <v>33</v>
      </c>
      <c r="BO95" s="3">
        <f t="shared" si="44"/>
        <v>624.43957115009744</v>
      </c>
      <c r="BP95" t="s">
        <v>33</v>
      </c>
      <c r="BQ95" t="s">
        <v>33</v>
      </c>
      <c r="BR95" t="s">
        <v>33</v>
      </c>
      <c r="BS95" t="s">
        <v>33</v>
      </c>
      <c r="BT95" t="s">
        <v>31</v>
      </c>
      <c r="BU95" t="s">
        <v>219</v>
      </c>
      <c r="BV95" s="14">
        <v>2007</v>
      </c>
      <c r="BW95" s="2" t="s">
        <v>648</v>
      </c>
      <c r="BX95" t="s">
        <v>78</v>
      </c>
      <c r="BY95" s="13" t="s">
        <v>671</v>
      </c>
      <c r="CA95" t="str">
        <f t="shared" si="46"/>
        <v>low acid</v>
      </c>
    </row>
    <row r="96" spans="1:79">
      <c r="A96" t="s">
        <v>597</v>
      </c>
      <c r="B96" t="s">
        <v>565</v>
      </c>
      <c r="C96" t="s">
        <v>563</v>
      </c>
      <c r="D96" t="s">
        <v>33</v>
      </c>
      <c r="E96" t="s">
        <v>77</v>
      </c>
      <c r="F96" t="s">
        <v>33</v>
      </c>
      <c r="G96">
        <v>20</v>
      </c>
      <c r="H96">
        <v>35</v>
      </c>
      <c r="I96" t="b">
        <v>0</v>
      </c>
      <c r="J96" t="s">
        <v>33</v>
      </c>
      <c r="K96" t="s">
        <v>33</v>
      </c>
      <c r="L96">
        <v>15</v>
      </c>
      <c r="M96" s="4">
        <v>1</v>
      </c>
      <c r="N96" t="e">
        <f>(#REF!*Y96)/(T96*X96*O96)</f>
        <v>#REF!</v>
      </c>
      <c r="O96">
        <v>2</v>
      </c>
      <c r="P96" t="s">
        <v>33</v>
      </c>
      <c r="Q96" s="1">
        <f t="shared" si="56"/>
        <v>598.4</v>
      </c>
      <c r="R96" t="s">
        <v>183</v>
      </c>
      <c r="S96" t="s">
        <v>33</v>
      </c>
      <c r="T96">
        <v>1</v>
      </c>
      <c r="U96">
        <v>2.5</v>
      </c>
      <c r="V96" t="s">
        <v>33</v>
      </c>
      <c r="W96">
        <v>0.50249999999999995</v>
      </c>
      <c r="X96">
        <f>W96</f>
        <v>0.50249999999999995</v>
      </c>
      <c r="Y96" t="s">
        <v>33</v>
      </c>
      <c r="Z96" s="3">
        <f t="shared" si="47"/>
        <v>8.397393048128342E-4</v>
      </c>
      <c r="AA96" t="s">
        <v>33</v>
      </c>
      <c r="AB96">
        <f t="shared" si="58"/>
        <v>598.4</v>
      </c>
      <c r="AC96" s="1" t="str">
        <f t="shared" si="32"/>
        <v>NA</v>
      </c>
      <c r="AE96" s="3">
        <f t="shared" si="49"/>
        <v>538.55999999999995</v>
      </c>
      <c r="AF96">
        <v>1196.8</v>
      </c>
      <c r="AG96" s="1" t="str">
        <f>IFERROR((N96*P96*Q96), "NA")</f>
        <v>NA</v>
      </c>
      <c r="AH96" s="1" t="str">
        <f>IFERROR((AG96*U96*AI96), "NA")</f>
        <v>NA</v>
      </c>
      <c r="AI96" s="1">
        <v>1</v>
      </c>
      <c r="AJ96" s="11" t="s">
        <v>31</v>
      </c>
      <c r="AK96">
        <v>2000</v>
      </c>
      <c r="AL96" t="s">
        <v>784</v>
      </c>
      <c r="AM96" s="3" t="s">
        <v>103</v>
      </c>
      <c r="AN96" t="s">
        <v>130</v>
      </c>
      <c r="AO96" t="s">
        <v>795</v>
      </c>
      <c r="AP96">
        <v>7</v>
      </c>
      <c r="AQ96" t="s">
        <v>33</v>
      </c>
      <c r="AR96" t="s">
        <v>33</v>
      </c>
      <c r="AS96">
        <v>9</v>
      </c>
      <c r="AT96">
        <f>AS96-AU96</f>
        <v>2.4000000000000004</v>
      </c>
      <c r="AU96" s="6">
        <v>6.6</v>
      </c>
      <c r="AV96" t="b">
        <v>1</v>
      </c>
      <c r="AW96" t="s">
        <v>617</v>
      </c>
      <c r="AX96" t="s">
        <v>635</v>
      </c>
      <c r="AY96" t="s">
        <v>636</v>
      </c>
      <c r="AZ96" t="s">
        <v>33</v>
      </c>
      <c r="BA96" s="18" t="s">
        <v>802</v>
      </c>
      <c r="BB96" s="3" t="b">
        <v>0</v>
      </c>
      <c r="BC96" t="s">
        <v>81</v>
      </c>
      <c r="BD96">
        <v>24</v>
      </c>
      <c r="BE96" t="s">
        <v>80</v>
      </c>
      <c r="BF96">
        <v>24</v>
      </c>
      <c r="BG96" t="s">
        <v>644</v>
      </c>
      <c r="BH96" t="s">
        <v>31</v>
      </c>
      <c r="BI96" t="s">
        <v>32</v>
      </c>
      <c r="BJ96">
        <f t="shared" si="33"/>
        <v>6.6</v>
      </c>
      <c r="BK96" s="3">
        <f t="shared" si="34"/>
        <v>0.81954393554186866</v>
      </c>
      <c r="BL96">
        <v>2</v>
      </c>
      <c r="BM96" s="3">
        <f t="shared" si="54"/>
        <v>1.9116901587538611</v>
      </c>
      <c r="BN96" t="s">
        <v>33</v>
      </c>
      <c r="BO96" s="3">
        <f t="shared" si="44"/>
        <v>81.599999999999994</v>
      </c>
      <c r="BP96" t="s">
        <v>33</v>
      </c>
      <c r="BQ96" t="s">
        <v>33</v>
      </c>
      <c r="BR96" t="s">
        <v>33</v>
      </c>
      <c r="BS96" t="s">
        <v>33</v>
      </c>
      <c r="BT96" t="s">
        <v>31</v>
      </c>
      <c r="BU96" t="s">
        <v>664</v>
      </c>
      <c r="BV96">
        <v>2000</v>
      </c>
      <c r="BW96" t="s">
        <v>665</v>
      </c>
      <c r="BX96" t="s">
        <v>78</v>
      </c>
      <c r="BY96" s="13" t="s">
        <v>685</v>
      </c>
      <c r="CA96" t="str">
        <f t="shared" si="46"/>
        <v>low acid</v>
      </c>
    </row>
    <row r="97" spans="1:79">
      <c r="A97" t="s">
        <v>589</v>
      </c>
      <c r="B97" t="s">
        <v>566</v>
      </c>
      <c r="C97" t="s">
        <v>563</v>
      </c>
      <c r="D97" t="s">
        <v>33</v>
      </c>
      <c r="E97" t="s">
        <v>77</v>
      </c>
      <c r="F97" t="s">
        <v>33</v>
      </c>
      <c r="G97" t="s">
        <v>33</v>
      </c>
      <c r="H97">
        <v>35</v>
      </c>
      <c r="I97" t="b">
        <v>0</v>
      </c>
      <c r="J97" t="s">
        <v>33</v>
      </c>
      <c r="K97" t="s">
        <v>33</v>
      </c>
      <c r="L97">
        <v>28</v>
      </c>
      <c r="M97" s="4">
        <v>1</v>
      </c>
      <c r="N97" t="e">
        <f>(#REF!*Y97)/(T97*X97*O97)</f>
        <v>#REF!</v>
      </c>
      <c r="O97">
        <v>2</v>
      </c>
      <c r="P97" t="s">
        <v>33</v>
      </c>
      <c r="Q97" s="1">
        <f t="shared" si="56"/>
        <v>703.5</v>
      </c>
      <c r="R97" t="s">
        <v>183</v>
      </c>
      <c r="S97" t="s">
        <v>613</v>
      </c>
      <c r="T97">
        <v>1</v>
      </c>
      <c r="U97">
        <v>2.5</v>
      </c>
      <c r="V97" t="s">
        <v>33</v>
      </c>
      <c r="W97">
        <v>0.50249999999999995</v>
      </c>
      <c r="X97">
        <f>W97</f>
        <v>0.50249999999999995</v>
      </c>
      <c r="Y97" t="s">
        <v>33</v>
      </c>
      <c r="Z97" s="3">
        <f t="shared" si="47"/>
        <v>7.1428571428571418E-4</v>
      </c>
      <c r="AA97" t="s">
        <v>33</v>
      </c>
      <c r="AB97">
        <f t="shared" si="58"/>
        <v>703.5</v>
      </c>
      <c r="AC97" s="1" t="str">
        <f t="shared" si="32"/>
        <v>NA</v>
      </c>
      <c r="AE97" s="3">
        <f t="shared" si="49"/>
        <v>2206.1759999999999</v>
      </c>
      <c r="AF97">
        <v>1407</v>
      </c>
      <c r="AG97" s="1" t="str">
        <f>IFERROR((N97*P97*Q97), "NA")</f>
        <v>NA</v>
      </c>
      <c r="AH97" s="1" t="str">
        <f>IFERROR((AG97*U97*AI97), "NA")</f>
        <v>NA</v>
      </c>
      <c r="AI97" s="1">
        <v>1</v>
      </c>
      <c r="AJ97" s="11" t="s">
        <v>31</v>
      </c>
      <c r="AK97">
        <v>2000</v>
      </c>
      <c r="AL97" t="s">
        <v>616</v>
      </c>
      <c r="AM97" s="3" t="s">
        <v>103</v>
      </c>
      <c r="AN97" t="s">
        <v>130</v>
      </c>
      <c r="AO97" t="s">
        <v>795</v>
      </c>
      <c r="AP97">
        <v>7</v>
      </c>
      <c r="AQ97" t="s">
        <v>33</v>
      </c>
      <c r="AR97" t="s">
        <v>33</v>
      </c>
      <c r="AS97">
        <v>9</v>
      </c>
      <c r="AT97">
        <f>AS97-AU97</f>
        <v>2.41</v>
      </c>
      <c r="AU97" s="6">
        <v>6.59</v>
      </c>
      <c r="AV97" t="b">
        <v>1</v>
      </c>
      <c r="AW97" t="s">
        <v>617</v>
      </c>
      <c r="AX97" t="s">
        <v>33</v>
      </c>
      <c r="AY97" t="s">
        <v>629</v>
      </c>
      <c r="AZ97" t="s">
        <v>630</v>
      </c>
      <c r="BA97" s="18" t="s">
        <v>802</v>
      </c>
      <c r="BB97" s="3" t="b">
        <v>0</v>
      </c>
      <c r="BC97" t="s">
        <v>81</v>
      </c>
      <c r="BD97">
        <v>24</v>
      </c>
      <c r="BE97" t="s">
        <v>80</v>
      </c>
      <c r="BF97">
        <v>24</v>
      </c>
      <c r="BG97" t="s">
        <v>644</v>
      </c>
      <c r="BH97" t="s">
        <v>31</v>
      </c>
      <c r="BI97" t="s">
        <v>32</v>
      </c>
      <c r="BJ97">
        <f t="shared" si="33"/>
        <v>6.59</v>
      </c>
      <c r="BK97" s="3">
        <f t="shared" si="34"/>
        <v>0.81888541459400987</v>
      </c>
      <c r="BL97">
        <v>2</v>
      </c>
      <c r="BM97" s="3">
        <f t="shared" si="54"/>
        <v>2.5247547411891555</v>
      </c>
      <c r="BN97" t="s">
        <v>33</v>
      </c>
      <c r="BO97" s="3">
        <f t="shared" si="44"/>
        <v>334.77632776934752</v>
      </c>
      <c r="BP97" t="s">
        <v>33</v>
      </c>
      <c r="BQ97" t="s">
        <v>33</v>
      </c>
      <c r="BR97" t="s">
        <v>33</v>
      </c>
      <c r="BS97" t="s">
        <v>33</v>
      </c>
      <c r="BT97" t="s">
        <v>31</v>
      </c>
      <c r="BU97" s="15" t="s">
        <v>655</v>
      </c>
      <c r="BV97">
        <v>2003</v>
      </c>
      <c r="BW97" t="s">
        <v>656</v>
      </c>
      <c r="BX97" t="s">
        <v>78</v>
      </c>
      <c r="BY97" s="13" t="s">
        <v>677</v>
      </c>
      <c r="CA97" t="str">
        <f t="shared" si="46"/>
        <v>low acid</v>
      </c>
    </row>
    <row r="98" spans="1:79">
      <c r="A98" t="s">
        <v>604</v>
      </c>
      <c r="B98" t="s">
        <v>565</v>
      </c>
      <c r="C98" t="s">
        <v>563</v>
      </c>
      <c r="D98" t="s">
        <v>118</v>
      </c>
      <c r="E98" t="s">
        <v>77</v>
      </c>
      <c r="F98" t="s">
        <v>33</v>
      </c>
      <c r="G98">
        <v>20</v>
      </c>
      <c r="H98">
        <v>25</v>
      </c>
      <c r="I98" t="b">
        <v>0</v>
      </c>
      <c r="J98" t="s">
        <v>33</v>
      </c>
      <c r="K98" t="s">
        <v>33</v>
      </c>
      <c r="L98">
        <v>38.4</v>
      </c>
      <c r="M98" s="4">
        <v>667</v>
      </c>
      <c r="N98" t="e">
        <f>(#REF!*Y98)/(T98*X98*O98)</f>
        <v>#REF!</v>
      </c>
      <c r="O98">
        <v>2</v>
      </c>
      <c r="P98" t="s">
        <v>33</v>
      </c>
      <c r="Q98" s="1">
        <f t="shared" si="56"/>
        <v>1.999000499750125E-2</v>
      </c>
      <c r="R98" t="s">
        <v>183</v>
      </c>
      <c r="S98" t="s">
        <v>613</v>
      </c>
      <c r="T98">
        <v>6</v>
      </c>
      <c r="U98">
        <v>2.92</v>
      </c>
      <c r="V98">
        <v>2.2999999999999998</v>
      </c>
      <c r="W98" t="s">
        <v>33</v>
      </c>
      <c r="X98">
        <f t="shared" ref="X98:X105" si="59">IFERROR(((PI())*(((V98*10^-1)/2)^2)*(U98*10^-1)), "NA")</f>
        <v>1.2131888350367701E-2</v>
      </c>
      <c r="Y98" t="s">
        <v>33</v>
      </c>
      <c r="Z98" s="3">
        <f t="shared" si="47"/>
        <v>0.60689771472714416</v>
      </c>
      <c r="AA98" t="s">
        <v>33</v>
      </c>
      <c r="AB98">
        <f t="shared" si="58"/>
        <v>13.333333333333334</v>
      </c>
      <c r="AC98" s="1" t="str">
        <f t="shared" si="32"/>
        <v>NA</v>
      </c>
      <c r="AE98" s="3">
        <f t="shared" si="49"/>
        <v>235.92960000000002</v>
      </c>
      <c r="AF98">
        <v>160</v>
      </c>
      <c r="AG98" s="1" t="str">
        <f>IFERROR((N98*P98*Q98), "NA")</f>
        <v>NA</v>
      </c>
      <c r="AH98" s="1" t="str">
        <f>IFERROR((O98*Q98*R98), "NA")</f>
        <v>NA</v>
      </c>
      <c r="AI98" s="1">
        <v>1</v>
      </c>
      <c r="AJ98" s="11" t="s">
        <v>31</v>
      </c>
      <c r="AK98">
        <v>1000</v>
      </c>
      <c r="AL98" t="s">
        <v>430</v>
      </c>
      <c r="AM98" t="s">
        <v>530</v>
      </c>
      <c r="AN98" t="s">
        <v>186</v>
      </c>
      <c r="AO98" t="s">
        <v>796</v>
      </c>
      <c r="AP98">
        <v>6</v>
      </c>
      <c r="AQ98" t="s">
        <v>33</v>
      </c>
      <c r="AR98" t="s">
        <v>33</v>
      </c>
      <c r="AS98">
        <v>6.5</v>
      </c>
      <c r="AT98">
        <f>AS98-AU98</f>
        <v>2.4299999999999997</v>
      </c>
      <c r="AU98" s="6">
        <v>4.07</v>
      </c>
      <c r="AV98" t="b">
        <v>1</v>
      </c>
      <c r="AW98" t="s">
        <v>626</v>
      </c>
      <c r="AX98" t="s">
        <v>627</v>
      </c>
      <c r="AY98" t="s">
        <v>625</v>
      </c>
      <c r="AZ98" t="s">
        <v>33</v>
      </c>
      <c r="BA98" s="18" t="s">
        <v>800</v>
      </c>
      <c r="BB98" s="3" t="b">
        <v>0</v>
      </c>
      <c r="BC98" t="s">
        <v>81</v>
      </c>
      <c r="BD98">
        <v>15</v>
      </c>
      <c r="BE98" t="s">
        <v>80</v>
      </c>
      <c r="BF98">
        <v>48</v>
      </c>
      <c r="BG98" t="s">
        <v>568</v>
      </c>
      <c r="BH98" t="s">
        <v>31</v>
      </c>
      <c r="BI98" t="s">
        <v>31</v>
      </c>
      <c r="BJ98">
        <f t="shared" si="33"/>
        <v>4.07</v>
      </c>
      <c r="BK98" s="3">
        <f t="shared" si="34"/>
        <v>0.60959440922522001</v>
      </c>
      <c r="BL98">
        <v>2</v>
      </c>
      <c r="BM98" s="3">
        <f t="shared" si="54"/>
        <v>1.7631880221657663</v>
      </c>
      <c r="BN98" t="s">
        <v>33</v>
      </c>
      <c r="BO98" s="3">
        <f t="shared" si="44"/>
        <v>57.967960687960691</v>
      </c>
      <c r="BP98" t="s">
        <v>33</v>
      </c>
      <c r="BQ98" t="s">
        <v>33</v>
      </c>
      <c r="BR98" t="s">
        <v>33</v>
      </c>
      <c r="BS98" t="s">
        <v>33</v>
      </c>
      <c r="BT98" t="s">
        <v>32</v>
      </c>
      <c r="BU98" s="15" t="s">
        <v>344</v>
      </c>
      <c r="BV98" s="14">
        <v>2008</v>
      </c>
      <c r="BW98" t="s">
        <v>432</v>
      </c>
      <c r="BX98" t="s">
        <v>78</v>
      </c>
      <c r="BY98" s="13" t="s">
        <v>691</v>
      </c>
      <c r="BZ98" s="13" t="s">
        <v>781</v>
      </c>
      <c r="CA98" t="str">
        <f t="shared" si="46"/>
        <v>low acid</v>
      </c>
    </row>
    <row r="99" spans="1:79">
      <c r="A99" s="3" t="s">
        <v>280</v>
      </c>
      <c r="B99" t="s">
        <v>566</v>
      </c>
      <c r="C99" t="s">
        <v>563</v>
      </c>
      <c r="D99" s="3" t="s">
        <v>279</v>
      </c>
      <c r="E99" s="3" t="s">
        <v>77</v>
      </c>
      <c r="F99" t="s">
        <v>32</v>
      </c>
      <c r="G99" s="11">
        <v>10</v>
      </c>
      <c r="H99" s="11">
        <v>30</v>
      </c>
      <c r="I99" s="3" t="b">
        <v>0</v>
      </c>
      <c r="J99" s="3" t="s">
        <v>33</v>
      </c>
      <c r="K99" s="3" t="s">
        <v>33</v>
      </c>
      <c r="L99" s="11">
        <v>30</v>
      </c>
      <c r="M99" s="4">
        <v>1000</v>
      </c>
      <c r="N99" s="3">
        <f>IFERROR(AF99/((T99*X99/Y99)*O99*AI99),"NA")</f>
        <v>2526.2689379665921</v>
      </c>
      <c r="O99" s="3">
        <v>16</v>
      </c>
      <c r="P99" s="3" t="s">
        <v>33</v>
      </c>
      <c r="Q99" s="3">
        <f t="shared" si="56"/>
        <v>7.5000000000000011E-2</v>
      </c>
      <c r="R99" t="s">
        <v>183</v>
      </c>
      <c r="S99" t="s">
        <v>613</v>
      </c>
      <c r="T99" s="11">
        <v>1</v>
      </c>
      <c r="U99" s="3">
        <v>2.8</v>
      </c>
      <c r="V99" s="3">
        <v>3</v>
      </c>
      <c r="W99" s="3">
        <v>0.02</v>
      </c>
      <c r="X99" s="3">
        <f t="shared" si="59"/>
        <v>1.97920337176157E-2</v>
      </c>
      <c r="Y99" s="3">
        <f>40/60</f>
        <v>0.66666666666666663</v>
      </c>
      <c r="Z99" s="3">
        <f t="shared" si="47"/>
        <v>0.26389378290154264</v>
      </c>
      <c r="AA99" s="3" t="s">
        <v>33</v>
      </c>
      <c r="AB99" s="3">
        <f t="shared" si="58"/>
        <v>75</v>
      </c>
      <c r="AC99" s="3" t="str">
        <f t="shared" si="32"/>
        <v>NA</v>
      </c>
      <c r="AD99" s="4">
        <f>AB99*T99*AI99</f>
        <v>75</v>
      </c>
      <c r="AE99" s="3">
        <f t="shared" si="49"/>
        <v>540.00000000000011</v>
      </c>
      <c r="AF99" s="3">
        <v>1200</v>
      </c>
      <c r="AG99" s="3" t="str">
        <f>IFERROR((M99*O99*P99), "NA")</f>
        <v>NA</v>
      </c>
      <c r="AH99" s="3" t="str">
        <f>IFERROR((AG99*T99*AI99), "NA")</f>
        <v>NA</v>
      </c>
      <c r="AI99" s="3">
        <v>1</v>
      </c>
      <c r="AJ99" t="s">
        <v>31</v>
      </c>
      <c r="AK99" s="3">
        <v>500</v>
      </c>
      <c r="AL99" s="3" t="s">
        <v>281</v>
      </c>
      <c r="AM99" s="3" t="s">
        <v>103</v>
      </c>
      <c r="AN99" t="s">
        <v>130</v>
      </c>
      <c r="AO99" t="s">
        <v>795</v>
      </c>
      <c r="AP99" s="3" t="s">
        <v>33</v>
      </c>
      <c r="AQ99" s="3" t="s">
        <v>33</v>
      </c>
      <c r="AR99" s="3" t="s">
        <v>33</v>
      </c>
      <c r="AS99" s="3">
        <v>4.0880000000000001</v>
      </c>
      <c r="AT99" s="3">
        <f>IFERROR(AS99-AU99,"NA")</f>
        <v>2.4300000000000002</v>
      </c>
      <c r="AU99" s="6">
        <v>1.6579999999999999</v>
      </c>
      <c r="AV99" s="3" t="b">
        <v>1</v>
      </c>
      <c r="AW99" s="3" t="s">
        <v>172</v>
      </c>
      <c r="AX99" s="3" t="s">
        <v>173</v>
      </c>
      <c r="AY99" s="3" t="s">
        <v>283</v>
      </c>
      <c r="AZ99" s="3" t="s">
        <v>33</v>
      </c>
      <c r="BA99" s="18" t="s">
        <v>799</v>
      </c>
      <c r="BB99" s="3" t="b">
        <v>0</v>
      </c>
      <c r="BC99" t="s">
        <v>81</v>
      </c>
      <c r="BD99" s="3">
        <v>2</v>
      </c>
      <c r="BE99" s="3" t="s">
        <v>252</v>
      </c>
      <c r="BF99" s="11">
        <v>72</v>
      </c>
      <c r="BG99" s="3" t="s">
        <v>574</v>
      </c>
      <c r="BH99" s="3" t="s">
        <v>31</v>
      </c>
      <c r="BI99" s="3" t="s">
        <v>31</v>
      </c>
      <c r="BJ99" s="3">
        <f t="shared" si="33"/>
        <v>1.6579999999999999</v>
      </c>
      <c r="BK99" s="3">
        <f t="shared" si="34"/>
        <v>0.21958452621425473</v>
      </c>
      <c r="BL99" s="3">
        <v>2</v>
      </c>
      <c r="BM99" s="3">
        <f t="shared" si="54"/>
        <v>2.512809233608714</v>
      </c>
      <c r="BN99" s="3" t="s">
        <v>33</v>
      </c>
      <c r="BO99" s="3">
        <f t="shared" si="44"/>
        <v>325.69360675512672</v>
      </c>
      <c r="BP99" s="3" t="s">
        <v>33</v>
      </c>
      <c r="BQ99" s="3" t="s">
        <v>33</v>
      </c>
      <c r="BR99" s="3" t="s">
        <v>33</v>
      </c>
      <c r="BS99" s="3" t="s">
        <v>33</v>
      </c>
      <c r="BT99" t="s">
        <v>31</v>
      </c>
      <c r="BU99" s="3" t="s">
        <v>247</v>
      </c>
      <c r="BV99" s="11">
        <v>2016</v>
      </c>
      <c r="BW99" s="3" t="s">
        <v>284</v>
      </c>
      <c r="BX99" t="s">
        <v>78</v>
      </c>
      <c r="BY99" s="3" t="s">
        <v>33</v>
      </c>
      <c r="BZ99" s="3" t="s">
        <v>282</v>
      </c>
      <c r="CA99" t="str">
        <f t="shared" si="46"/>
        <v>low acid</v>
      </c>
    </row>
    <row r="100" spans="1:79">
      <c r="A100" t="s">
        <v>596</v>
      </c>
      <c r="B100" t="s">
        <v>565</v>
      </c>
      <c r="C100" t="s">
        <v>563</v>
      </c>
      <c r="D100" t="s">
        <v>610</v>
      </c>
      <c r="E100" t="s">
        <v>77</v>
      </c>
      <c r="F100" t="s">
        <v>33</v>
      </c>
      <c r="G100">
        <v>20</v>
      </c>
      <c r="H100" t="s">
        <v>33</v>
      </c>
      <c r="I100" t="b">
        <v>0</v>
      </c>
      <c r="J100">
        <v>12000</v>
      </c>
      <c r="K100" t="s">
        <v>33</v>
      </c>
      <c r="L100">
        <v>30</v>
      </c>
      <c r="M100" s="4">
        <v>14</v>
      </c>
      <c r="N100" t="e">
        <f>(#REF!*Y100)/(T100*X100*O100)</f>
        <v>#REF!</v>
      </c>
      <c r="O100">
        <v>5</v>
      </c>
      <c r="P100" t="s">
        <v>33</v>
      </c>
      <c r="Q100" s="1">
        <f t="shared" si="56"/>
        <v>0.92857142857142849</v>
      </c>
      <c r="R100" t="s">
        <v>183</v>
      </c>
      <c r="S100" t="s">
        <v>613</v>
      </c>
      <c r="T100">
        <v>1</v>
      </c>
      <c r="U100">
        <v>4</v>
      </c>
      <c r="V100">
        <v>4</v>
      </c>
      <c r="W100" t="s">
        <v>33</v>
      </c>
      <c r="X100">
        <f t="shared" si="59"/>
        <v>5.02654824574367E-2</v>
      </c>
      <c r="Y100">
        <v>0.106667</v>
      </c>
      <c r="Z100" s="3">
        <f t="shared" si="47"/>
        <v>5.4132058031085679E-2</v>
      </c>
      <c r="AA100" t="s">
        <v>33</v>
      </c>
      <c r="AB100">
        <f t="shared" si="58"/>
        <v>13</v>
      </c>
      <c r="AC100" s="1" t="str">
        <f t="shared" si="32"/>
        <v>NA</v>
      </c>
      <c r="AE100" s="3">
        <f t="shared" si="49"/>
        <v>116.99999999999999</v>
      </c>
      <c r="AF100">
        <v>65</v>
      </c>
      <c r="AG100" s="1" t="str">
        <f>IFERROR((N100*P100*Q100), "NA")</f>
        <v>NA</v>
      </c>
      <c r="AH100" s="1" t="str">
        <f>IFERROR((AG100*U100*AI100), "NA")</f>
        <v>NA</v>
      </c>
      <c r="AI100" s="1">
        <v>1</v>
      </c>
      <c r="AJ100" s="11" t="s">
        <v>31</v>
      </c>
      <c r="AK100">
        <v>2000</v>
      </c>
      <c r="AL100" t="s">
        <v>149</v>
      </c>
      <c r="AM100" t="s">
        <v>86</v>
      </c>
      <c r="AN100" t="s">
        <v>205</v>
      </c>
      <c r="AO100" t="s">
        <v>789</v>
      </c>
      <c r="AP100" t="s">
        <v>33</v>
      </c>
      <c r="AQ100" t="s">
        <v>33</v>
      </c>
      <c r="AR100" t="s">
        <v>33</v>
      </c>
      <c r="AS100">
        <f>AVERAGE(6,8)</f>
        <v>7</v>
      </c>
      <c r="AT100">
        <f>AS100-AU100</f>
        <v>2.4400000000000004</v>
      </c>
      <c r="AU100" s="6">
        <v>4.5599999999999996</v>
      </c>
      <c r="AV100" t="b">
        <v>1</v>
      </c>
      <c r="AW100" t="s">
        <v>626</v>
      </c>
      <c r="AX100" t="s">
        <v>627</v>
      </c>
      <c r="AY100" t="s">
        <v>634</v>
      </c>
      <c r="AZ100" t="s">
        <v>33</v>
      </c>
      <c r="BA100" s="18" t="s">
        <v>800</v>
      </c>
      <c r="BB100" s="3" t="b">
        <v>0</v>
      </c>
      <c r="BC100" t="s">
        <v>81</v>
      </c>
      <c r="BD100">
        <v>18</v>
      </c>
      <c r="BE100" t="s">
        <v>80</v>
      </c>
      <c r="BF100">
        <v>24</v>
      </c>
      <c r="BG100" t="s">
        <v>644</v>
      </c>
      <c r="BH100" t="s">
        <v>31</v>
      </c>
      <c r="BI100" t="s">
        <v>31</v>
      </c>
      <c r="BJ100">
        <f t="shared" si="33"/>
        <v>4.5599999999999996</v>
      </c>
      <c r="BK100" s="3">
        <f t="shared" si="34"/>
        <v>0.658964842664435</v>
      </c>
      <c r="BL100">
        <v>2</v>
      </c>
      <c r="BM100" s="3">
        <f t="shared" si="54"/>
        <v>1.4092210190817267</v>
      </c>
      <c r="BN100" t="s">
        <v>33</v>
      </c>
      <c r="BO100" s="3">
        <f t="shared" si="44"/>
        <v>25.657894736842103</v>
      </c>
      <c r="BP100" t="s">
        <v>33</v>
      </c>
      <c r="BQ100" t="s">
        <v>33</v>
      </c>
      <c r="BR100" t="s">
        <v>33</v>
      </c>
      <c r="BS100" t="s">
        <v>33</v>
      </c>
      <c r="BT100" t="s">
        <v>32</v>
      </c>
      <c r="BU100" t="s">
        <v>661</v>
      </c>
      <c r="BV100">
        <v>2013</v>
      </c>
      <c r="BW100" t="s">
        <v>662</v>
      </c>
      <c r="BX100" s="13" t="s">
        <v>663</v>
      </c>
      <c r="BY100" s="13" t="s">
        <v>684</v>
      </c>
      <c r="CA100" t="str">
        <f t="shared" si="46"/>
        <v>high acid</v>
      </c>
    </row>
    <row r="101" spans="1:79">
      <c r="A101" t="s">
        <v>89</v>
      </c>
      <c r="B101" t="s">
        <v>565</v>
      </c>
      <c r="C101" t="s">
        <v>563</v>
      </c>
      <c r="D101" t="s">
        <v>118</v>
      </c>
      <c r="E101" t="s">
        <v>77</v>
      </c>
      <c r="F101" t="s">
        <v>32</v>
      </c>
      <c r="G101">
        <v>50</v>
      </c>
      <c r="H101">
        <f>(53+60)/2</f>
        <v>56.5</v>
      </c>
      <c r="I101" t="b">
        <v>0</v>
      </c>
      <c r="J101" t="s">
        <v>33</v>
      </c>
      <c r="K101" t="s">
        <v>33</v>
      </c>
      <c r="L101">
        <v>30</v>
      </c>
      <c r="M101" s="4">
        <v>548</v>
      </c>
      <c r="N101" s="3">
        <f>IFERROR(AF101/((T101*X101/Y101)*O101*AI101),"NA")</f>
        <v>553.30575787548105</v>
      </c>
      <c r="O101">
        <v>2.5</v>
      </c>
      <c r="P101" t="s">
        <v>33</v>
      </c>
      <c r="Q101" s="8">
        <f t="shared" si="56"/>
        <v>6.0827250608272501E-3</v>
      </c>
      <c r="R101" t="s">
        <v>183</v>
      </c>
      <c r="S101" t="s">
        <v>612</v>
      </c>
      <c r="T101" s="11">
        <v>6</v>
      </c>
      <c r="U101">
        <v>2.9</v>
      </c>
      <c r="V101">
        <v>2.2999999999999998</v>
      </c>
      <c r="W101" t="s">
        <v>33</v>
      </c>
      <c r="X101" s="8">
        <f t="shared" si="59"/>
        <v>1.204879322468025E-2</v>
      </c>
      <c r="Y101">
        <f>120/60</f>
        <v>2</v>
      </c>
      <c r="Z101" s="9">
        <f t="shared" si="47"/>
        <v>1.9808216061374333</v>
      </c>
      <c r="AA101">
        <v>3.3</v>
      </c>
      <c r="AB101" s="6">
        <f t="shared" si="58"/>
        <v>3.333333333333333</v>
      </c>
      <c r="AC101" t="str">
        <f t="shared" si="32"/>
        <v>NA</v>
      </c>
      <c r="AD101" s="4">
        <f>IFERROR(AB101*T101*AI101, "NA")</f>
        <v>20</v>
      </c>
      <c r="AE101">
        <f t="shared" si="49"/>
        <v>146.24999999999997</v>
      </c>
      <c r="AF101">
        <v>50</v>
      </c>
      <c r="AG101" t="str">
        <f>IFERROR((M101*O101*P101), "NA")</f>
        <v>NA</v>
      </c>
      <c r="AH101" t="str">
        <f>IFERROR((AG101*T101*AI101), "NA")</f>
        <v>NA</v>
      </c>
      <c r="AI101" s="11">
        <v>1</v>
      </c>
      <c r="AJ101" t="s">
        <v>31</v>
      </c>
      <c r="AK101">
        <v>3250</v>
      </c>
      <c r="AL101" t="s">
        <v>238</v>
      </c>
      <c r="AM101" t="s">
        <v>86</v>
      </c>
      <c r="AN101" t="s">
        <v>205</v>
      </c>
      <c r="AO101" t="s">
        <v>789</v>
      </c>
      <c r="AP101">
        <v>4.16</v>
      </c>
      <c r="AQ101" t="s">
        <v>33</v>
      </c>
      <c r="AR101" t="s">
        <v>33</v>
      </c>
      <c r="AS101" s="3">
        <f>LOG(3.8*10^6)</f>
        <v>6.5797835966168101</v>
      </c>
      <c r="AT101" s="3">
        <f>IFERROR(AS101-AU101,"NA")</f>
        <v>2.4497835966168102</v>
      </c>
      <c r="AU101" s="6">
        <v>4.13</v>
      </c>
      <c r="AV101" t="b">
        <v>1</v>
      </c>
      <c r="AW101" t="s">
        <v>123</v>
      </c>
      <c r="AX101" t="s">
        <v>88</v>
      </c>
      <c r="AY101" t="s">
        <v>518</v>
      </c>
      <c r="AZ101" t="s">
        <v>33</v>
      </c>
      <c r="BA101" s="18" t="s">
        <v>579</v>
      </c>
      <c r="BB101" t="b">
        <v>1</v>
      </c>
      <c r="BC101" t="s">
        <v>81</v>
      </c>
      <c r="BD101">
        <v>24</v>
      </c>
      <c r="BE101" t="s">
        <v>80</v>
      </c>
      <c r="BF101" s="11">
        <v>72</v>
      </c>
      <c r="BG101" t="s">
        <v>395</v>
      </c>
      <c r="BH101" t="s">
        <v>31</v>
      </c>
      <c r="BI101" t="s">
        <v>31</v>
      </c>
      <c r="BJ101">
        <f t="shared" si="33"/>
        <v>4.13</v>
      </c>
      <c r="BK101" s="3">
        <f t="shared" si="34"/>
        <v>0.61595005165640104</v>
      </c>
      <c r="BL101">
        <v>2</v>
      </c>
      <c r="BM101" s="3">
        <f>LOG(BO101)</f>
        <v>1.549145823097817</v>
      </c>
      <c r="BN101" t="s">
        <v>33</v>
      </c>
      <c r="BO101" s="3">
        <f t="shared" si="44"/>
        <v>35.41162227602905</v>
      </c>
      <c r="BP101" t="s">
        <v>33</v>
      </c>
      <c r="BQ101" t="s">
        <v>33</v>
      </c>
      <c r="BR101" t="s">
        <v>33</v>
      </c>
      <c r="BS101" t="s">
        <v>33</v>
      </c>
      <c r="BT101" t="s">
        <v>32</v>
      </c>
      <c r="BU101" t="s">
        <v>84</v>
      </c>
      <c r="BV101">
        <v>2013</v>
      </c>
      <c r="BW101" t="s">
        <v>83</v>
      </c>
      <c r="BX101" t="s">
        <v>78</v>
      </c>
      <c r="BY101" t="s">
        <v>33</v>
      </c>
      <c r="BZ101" t="s">
        <v>33</v>
      </c>
      <c r="CA101" t="str">
        <f t="shared" si="46"/>
        <v>high acid</v>
      </c>
    </row>
    <row r="102" spans="1:79">
      <c r="A102" t="s">
        <v>588</v>
      </c>
      <c r="B102" t="s">
        <v>565</v>
      </c>
      <c r="C102" t="s">
        <v>563</v>
      </c>
      <c r="D102" t="s">
        <v>608</v>
      </c>
      <c r="E102" t="s">
        <v>77</v>
      </c>
      <c r="F102" t="s">
        <v>32</v>
      </c>
      <c r="G102" t="s">
        <v>33</v>
      </c>
      <c r="H102">
        <v>40</v>
      </c>
      <c r="I102" t="b">
        <v>0</v>
      </c>
      <c r="J102" t="s">
        <v>33</v>
      </c>
      <c r="K102" t="s">
        <v>33</v>
      </c>
      <c r="L102">
        <v>35</v>
      </c>
      <c r="M102" s="4">
        <v>250</v>
      </c>
      <c r="N102" t="e">
        <f>(#REF!*Y102)/(T102*X102*O102)</f>
        <v>#REF!</v>
      </c>
      <c r="O102">
        <v>3.7</v>
      </c>
      <c r="P102" t="s">
        <v>33</v>
      </c>
      <c r="Q102" s="1">
        <f t="shared" si="56"/>
        <v>8.1081081081081072E-2</v>
      </c>
      <c r="R102" t="s">
        <v>183</v>
      </c>
      <c r="S102" t="s">
        <v>613</v>
      </c>
      <c r="T102">
        <v>6</v>
      </c>
      <c r="U102">
        <v>1.9</v>
      </c>
      <c r="V102">
        <v>2.2999999999999998</v>
      </c>
      <c r="W102" t="s">
        <v>33</v>
      </c>
      <c r="X102">
        <f t="shared" si="59"/>
        <v>7.8940369403077502E-3</v>
      </c>
      <c r="Y102">
        <v>1</v>
      </c>
      <c r="Z102" s="3">
        <f t="shared" ref="Z102:Z134" si="60">IFERROR(X102*M102*O102*T102*AI102/AF102, "NA")</f>
        <v>9.7359788930462265E-2</v>
      </c>
      <c r="AA102" t="s">
        <v>33</v>
      </c>
      <c r="AB102">
        <f t="shared" si="58"/>
        <v>20.27027027027027</v>
      </c>
      <c r="AC102" s="1" t="str">
        <f t="shared" si="32"/>
        <v>NA</v>
      </c>
      <c r="AE102" s="3">
        <f t="shared" ref="AE102:AE134" si="61">IFERROR(((L102^2)*M102*O102*AK102*10^-6*Q102*T102*AI102), "NA")</f>
        <v>2645.9999999999995</v>
      </c>
      <c r="AF102">
        <v>450</v>
      </c>
      <c r="AG102" s="1" t="str">
        <f>IFERROR((N102*P102*Q102), "NA")</f>
        <v>NA</v>
      </c>
      <c r="AH102" s="1" t="str">
        <f>IFERROR((AG102*U102*AI102), "NA")</f>
        <v>NA</v>
      </c>
      <c r="AI102" s="1">
        <v>1</v>
      </c>
      <c r="AJ102" s="11" t="s">
        <v>31</v>
      </c>
      <c r="AK102">
        <v>4800</v>
      </c>
      <c r="AL102" t="s">
        <v>156</v>
      </c>
      <c r="AM102" t="s">
        <v>157</v>
      </c>
      <c r="AN102" t="s">
        <v>186</v>
      </c>
      <c r="AO102" t="s">
        <v>792</v>
      </c>
      <c r="AP102">
        <v>6.53</v>
      </c>
      <c r="AQ102" t="s">
        <v>33</v>
      </c>
      <c r="AR102" t="s">
        <v>33</v>
      </c>
      <c r="AS102">
        <v>6.5</v>
      </c>
      <c r="AT102">
        <v>2.4500000000000002</v>
      </c>
      <c r="AU102" s="6">
        <f>AS102-AT102</f>
        <v>4.05</v>
      </c>
      <c r="AV102" t="b">
        <v>1</v>
      </c>
      <c r="AW102" t="s">
        <v>626</v>
      </c>
      <c r="AX102" t="s">
        <v>627</v>
      </c>
      <c r="AY102" t="s">
        <v>625</v>
      </c>
      <c r="AZ102" t="s">
        <v>33</v>
      </c>
      <c r="BA102" s="18" t="s">
        <v>800</v>
      </c>
      <c r="BB102" s="3" t="b">
        <v>0</v>
      </c>
      <c r="BC102" t="s">
        <v>81</v>
      </c>
      <c r="BD102">
        <v>12</v>
      </c>
      <c r="BE102" t="s">
        <v>80</v>
      </c>
      <c r="BF102">
        <v>48</v>
      </c>
      <c r="BG102" t="s">
        <v>643</v>
      </c>
      <c r="BH102" t="s">
        <v>31</v>
      </c>
      <c r="BI102" t="s">
        <v>31</v>
      </c>
      <c r="BJ102">
        <f t="shared" si="33"/>
        <v>4.05</v>
      </c>
      <c r="BK102" s="3">
        <f t="shared" si="34"/>
        <v>0.60745502321466849</v>
      </c>
      <c r="BL102">
        <v>2</v>
      </c>
      <c r="BM102" s="3">
        <f t="shared" ref="BM102:BM114" si="62">IFERROR(LOG(BO102),"NA")</f>
        <v>2.8151348166368138</v>
      </c>
      <c r="BN102" t="s">
        <v>33</v>
      </c>
      <c r="BO102" s="3">
        <f t="shared" si="44"/>
        <v>653.33333333333326</v>
      </c>
      <c r="BP102" t="s">
        <v>33</v>
      </c>
      <c r="BQ102" t="s">
        <v>33</v>
      </c>
      <c r="BR102" t="s">
        <v>33</v>
      </c>
      <c r="BS102" t="s">
        <v>33</v>
      </c>
      <c r="BT102" t="s">
        <v>31</v>
      </c>
      <c r="BU102" s="13" t="s">
        <v>163</v>
      </c>
      <c r="BV102">
        <v>2004</v>
      </c>
      <c r="BW102" t="s">
        <v>654</v>
      </c>
      <c r="BX102" t="s">
        <v>78</v>
      </c>
      <c r="BY102" s="13" t="s">
        <v>677</v>
      </c>
      <c r="CA102" t="str">
        <f t="shared" si="46"/>
        <v>low acid</v>
      </c>
    </row>
    <row r="103" spans="1:79">
      <c r="A103" t="s">
        <v>406</v>
      </c>
      <c r="B103" t="s">
        <v>565</v>
      </c>
      <c r="C103" t="s">
        <v>563</v>
      </c>
      <c r="D103" t="s">
        <v>118</v>
      </c>
      <c r="E103" t="s">
        <v>77</v>
      </c>
      <c r="F103" t="s">
        <v>32</v>
      </c>
      <c r="G103">
        <v>20</v>
      </c>
      <c r="H103" t="s">
        <v>33</v>
      </c>
      <c r="I103" t="b">
        <v>0</v>
      </c>
      <c r="J103" t="s">
        <v>33</v>
      </c>
      <c r="K103" t="s">
        <v>33</v>
      </c>
      <c r="L103">
        <v>31</v>
      </c>
      <c r="M103" s="4">
        <v>500</v>
      </c>
      <c r="N103" s="3">
        <f>IFERROR(AF103/((T103*X103/Y103)*O103*AI103),"NA")</f>
        <v>500.00000000000011</v>
      </c>
      <c r="O103">
        <v>3</v>
      </c>
      <c r="P103" t="s">
        <v>33</v>
      </c>
      <c r="Q103" s="8">
        <f t="shared" si="56"/>
        <v>2.2787935011895258E-2</v>
      </c>
      <c r="R103" t="s">
        <v>183</v>
      </c>
      <c r="S103" t="s">
        <v>613</v>
      </c>
      <c r="T103" s="11">
        <v>6</v>
      </c>
      <c r="U103">
        <v>2.2999999999999998</v>
      </c>
      <c r="V103">
        <v>2.9</v>
      </c>
      <c r="W103" t="s">
        <v>33</v>
      </c>
      <c r="X103" s="9">
        <f t="shared" si="59"/>
        <v>1.519195667459684E-2</v>
      </c>
      <c r="Y103" s="6">
        <f>40/60</f>
        <v>0.66666666666666663</v>
      </c>
      <c r="Z103" s="3">
        <f t="shared" si="60"/>
        <v>0.66666666666666674</v>
      </c>
      <c r="AA103" t="s">
        <v>33</v>
      </c>
      <c r="AB103" s="6">
        <f>IFERROR(((X103*M103)/Y103), "NA")</f>
        <v>11.39396750594763</v>
      </c>
      <c r="AC103" t="str">
        <f t="shared" si="32"/>
        <v>NA</v>
      </c>
      <c r="AD103" s="4">
        <f>AB103*T103*AI103</f>
        <v>68.363805035685786</v>
      </c>
      <c r="AE103" s="3">
        <f t="shared" si="61"/>
        <v>455.28448331030756</v>
      </c>
      <c r="AF103" s="4">
        <f>AB103*T103*O103*AI103</f>
        <v>205.09141510705734</v>
      </c>
      <c r="AG103" t="str">
        <f>IFERROR((M103*O103*P103), "NA")</f>
        <v>NA</v>
      </c>
      <c r="AH103" t="str">
        <f>IFERROR((AG103*T103*AI103), "NA")</f>
        <v>NA</v>
      </c>
      <c r="AI103">
        <v>1</v>
      </c>
      <c r="AJ103" t="s">
        <v>31</v>
      </c>
      <c r="AK103">
        <v>2310</v>
      </c>
      <c r="AL103" t="s">
        <v>399</v>
      </c>
      <c r="AM103" t="s">
        <v>515</v>
      </c>
      <c r="AN103" t="s">
        <v>205</v>
      </c>
      <c r="AO103" t="s">
        <v>788</v>
      </c>
      <c r="AP103">
        <v>3.01</v>
      </c>
      <c r="AQ103" t="s">
        <v>33</v>
      </c>
      <c r="AR103" t="s">
        <v>33</v>
      </c>
      <c r="AS103">
        <v>6.14</v>
      </c>
      <c r="AT103" s="3">
        <f>IFERROR(AS103-AU103,"NA")</f>
        <v>2.4699999999999998</v>
      </c>
      <c r="AU103" s="6">
        <v>3.67</v>
      </c>
      <c r="AV103" t="b">
        <v>1</v>
      </c>
      <c r="AW103" t="s">
        <v>123</v>
      </c>
      <c r="AX103" t="s">
        <v>400</v>
      </c>
      <c r="AY103" t="s">
        <v>33</v>
      </c>
      <c r="AZ103" t="s">
        <v>33</v>
      </c>
      <c r="BA103" s="18" t="s">
        <v>579</v>
      </c>
      <c r="BB103" t="b">
        <v>1</v>
      </c>
      <c r="BC103" t="s">
        <v>81</v>
      </c>
      <c r="BD103">
        <v>12</v>
      </c>
      <c r="BE103" t="s">
        <v>80</v>
      </c>
      <c r="BF103" s="11">
        <v>36</v>
      </c>
      <c r="BG103" t="s">
        <v>395</v>
      </c>
      <c r="BH103" t="s">
        <v>31</v>
      </c>
      <c r="BI103" t="s">
        <v>31</v>
      </c>
      <c r="BJ103" s="3">
        <f t="shared" si="33"/>
        <v>3.67</v>
      </c>
      <c r="BK103" s="3">
        <f t="shared" si="34"/>
        <v>0.56466606425208932</v>
      </c>
      <c r="BL103">
        <v>2</v>
      </c>
      <c r="BM103" s="3">
        <f t="shared" si="62"/>
        <v>2.0936167849852829</v>
      </c>
      <c r="BN103" t="s">
        <v>33</v>
      </c>
      <c r="BO103" s="3">
        <f t="shared" si="44"/>
        <v>124.05571752324457</v>
      </c>
      <c r="BP103" t="s">
        <v>33</v>
      </c>
      <c r="BQ103" t="s">
        <v>33</v>
      </c>
      <c r="BR103" t="s">
        <v>33</v>
      </c>
      <c r="BS103" t="s">
        <v>33</v>
      </c>
      <c r="BT103" t="s">
        <v>31</v>
      </c>
      <c r="BU103" t="s">
        <v>402</v>
      </c>
      <c r="BV103">
        <v>2014</v>
      </c>
      <c r="BW103" t="s">
        <v>413</v>
      </c>
      <c r="BX103" t="s">
        <v>78</v>
      </c>
      <c r="BY103" t="s">
        <v>404</v>
      </c>
      <c r="BZ103" t="s">
        <v>410</v>
      </c>
      <c r="CA103" t="str">
        <f t="shared" si="46"/>
        <v>high acid</v>
      </c>
    </row>
    <row r="104" spans="1:79">
      <c r="A104" t="s">
        <v>581</v>
      </c>
      <c r="B104" t="s">
        <v>565</v>
      </c>
      <c r="C104" t="s">
        <v>563</v>
      </c>
      <c r="D104" t="s">
        <v>118</v>
      </c>
      <c r="E104" t="s">
        <v>77</v>
      </c>
      <c r="F104" t="s">
        <v>32</v>
      </c>
      <c r="G104">
        <v>5</v>
      </c>
      <c r="H104">
        <v>39.1</v>
      </c>
      <c r="I104" t="b">
        <v>0</v>
      </c>
      <c r="J104" t="s">
        <v>33</v>
      </c>
      <c r="K104" t="s">
        <v>33</v>
      </c>
      <c r="L104">
        <v>35</v>
      </c>
      <c r="M104" s="4">
        <v>175</v>
      </c>
      <c r="N104" t="e">
        <f>(#REF!*Y104)/(T104*X104*O104)</f>
        <v>#REF!</v>
      </c>
      <c r="O104">
        <v>4</v>
      </c>
      <c r="P104" t="s">
        <v>33</v>
      </c>
      <c r="Q104" s="1">
        <f t="shared" si="56"/>
        <v>8.9285714285714288E-2</v>
      </c>
      <c r="R104" t="s">
        <v>183</v>
      </c>
      <c r="S104" t="s">
        <v>613</v>
      </c>
      <c r="T104">
        <v>8</v>
      </c>
      <c r="U104">
        <v>2.92</v>
      </c>
      <c r="V104">
        <v>2.2999999999999998</v>
      </c>
      <c r="W104">
        <v>1.21E-2</v>
      </c>
      <c r="X104">
        <f t="shared" si="59"/>
        <v>1.2131888350367701E-2</v>
      </c>
      <c r="Y104">
        <v>1.6666700000000001</v>
      </c>
      <c r="Z104" s="3">
        <f t="shared" si="60"/>
        <v>0.13587714952411825</v>
      </c>
      <c r="AA104" t="s">
        <v>33</v>
      </c>
      <c r="AB104">
        <f>IFERROR(((X104*M104)/Z104), "NA")</f>
        <v>15.624999999999998</v>
      </c>
      <c r="AC104" s="1" t="str">
        <f t="shared" si="32"/>
        <v>NA</v>
      </c>
      <c r="AE104" s="3">
        <f t="shared" si="61"/>
        <v>3203.3749999999995</v>
      </c>
      <c r="AF104">
        <v>500</v>
      </c>
      <c r="AG104" s="1" t="str">
        <f>IFERROR((N104*P104*Q104), "NA")</f>
        <v>NA</v>
      </c>
      <c r="AH104" s="1" t="str">
        <f>IFERROR((AG104*U104*AI104), "NA")</f>
        <v>NA</v>
      </c>
      <c r="AI104" s="1">
        <v>1</v>
      </c>
      <c r="AJ104" s="11" t="s">
        <v>31</v>
      </c>
      <c r="AK104">
        <v>5230</v>
      </c>
      <c r="AL104" t="s">
        <v>542</v>
      </c>
      <c r="AM104" t="s">
        <v>86</v>
      </c>
      <c r="AN104" t="s">
        <v>186</v>
      </c>
      <c r="AO104" t="s">
        <v>794</v>
      </c>
      <c r="AP104">
        <v>5.82</v>
      </c>
      <c r="AQ104" t="s">
        <v>33</v>
      </c>
      <c r="AR104" t="s">
        <v>33</v>
      </c>
      <c r="AS104">
        <v>7.5</v>
      </c>
      <c r="AT104">
        <f>AS104-AU104</f>
        <v>2.4699999999999998</v>
      </c>
      <c r="AU104" s="6">
        <v>5.03</v>
      </c>
      <c r="AV104" t="b">
        <v>1</v>
      </c>
      <c r="AW104" t="s">
        <v>617</v>
      </c>
      <c r="AX104" t="s">
        <v>618</v>
      </c>
      <c r="AY104" t="s">
        <v>33</v>
      </c>
      <c r="AZ104" t="s">
        <v>619</v>
      </c>
      <c r="BA104" s="18" t="s">
        <v>802</v>
      </c>
      <c r="BB104" s="3" t="b">
        <v>0</v>
      </c>
      <c r="BC104" t="s">
        <v>81</v>
      </c>
      <c r="BD104">
        <v>15</v>
      </c>
      <c r="BE104" t="s">
        <v>80</v>
      </c>
      <c r="BF104">
        <v>15</v>
      </c>
      <c r="BG104" t="s">
        <v>697</v>
      </c>
      <c r="BH104" t="s">
        <v>32</v>
      </c>
      <c r="BI104" t="s">
        <v>32</v>
      </c>
      <c r="BJ104">
        <f t="shared" si="33"/>
        <v>5.03</v>
      </c>
      <c r="BK104" s="3">
        <f t="shared" si="34"/>
        <v>0.70156798505592743</v>
      </c>
      <c r="BL104">
        <v>2</v>
      </c>
      <c r="BM104" s="3">
        <f t="shared" si="62"/>
        <v>2.8040397968479169</v>
      </c>
      <c r="BN104" t="s">
        <v>33</v>
      </c>
      <c r="BO104" s="3">
        <f t="shared" si="44"/>
        <v>636.85387673956245</v>
      </c>
      <c r="BP104" t="s">
        <v>33</v>
      </c>
      <c r="BQ104" t="s">
        <v>33</v>
      </c>
      <c r="BR104" t="s">
        <v>33</v>
      </c>
      <c r="BS104" t="s">
        <v>33</v>
      </c>
      <c r="BT104" t="s">
        <v>31</v>
      </c>
      <c r="BU104" t="s">
        <v>219</v>
      </c>
      <c r="BV104" s="14">
        <v>2007</v>
      </c>
      <c r="BW104" s="2" t="s">
        <v>648</v>
      </c>
      <c r="BX104" t="s">
        <v>78</v>
      </c>
      <c r="BY104" s="13" t="s">
        <v>671</v>
      </c>
      <c r="CA104" t="str">
        <f t="shared" si="46"/>
        <v>low acid</v>
      </c>
    </row>
    <row r="105" spans="1:79">
      <c r="A105" t="s">
        <v>261</v>
      </c>
      <c r="B105" t="s">
        <v>565</v>
      </c>
      <c r="C105" t="s">
        <v>563</v>
      </c>
      <c r="D105" t="s">
        <v>118</v>
      </c>
      <c r="E105" t="s">
        <v>77</v>
      </c>
      <c r="F105" t="s">
        <v>32</v>
      </c>
      <c r="G105">
        <v>5</v>
      </c>
      <c r="H105">
        <v>40</v>
      </c>
      <c r="I105" t="b">
        <v>0</v>
      </c>
      <c r="J105" t="s">
        <v>33</v>
      </c>
      <c r="K105" t="s">
        <v>33</v>
      </c>
      <c r="L105">
        <v>35</v>
      </c>
      <c r="M105" s="4">
        <v>100</v>
      </c>
      <c r="N105" s="3">
        <f>IFERROR(AF105/((T105*X105/Y105)*O105*AI105),"NA")</f>
        <v>9444.8061195568516</v>
      </c>
      <c r="O105">
        <v>4</v>
      </c>
      <c r="P105" t="s">
        <v>33</v>
      </c>
      <c r="Q105">
        <f t="shared" si="56"/>
        <v>0.625</v>
      </c>
      <c r="R105" t="s">
        <v>183</v>
      </c>
      <c r="S105" t="s">
        <v>613</v>
      </c>
      <c r="T105" s="11">
        <v>8</v>
      </c>
      <c r="U105">
        <v>2.92</v>
      </c>
      <c r="V105">
        <v>2.2999999999999998</v>
      </c>
      <c r="W105">
        <v>1.21E-2</v>
      </c>
      <c r="X105" s="8">
        <f t="shared" si="59"/>
        <v>1.2131888350367701E-2</v>
      </c>
      <c r="Y105" s="6">
        <f>110/60</f>
        <v>1.8333333333333333</v>
      </c>
      <c r="Z105" s="3">
        <f t="shared" si="60"/>
        <v>1.941102136058832E-2</v>
      </c>
      <c r="AA105" t="s">
        <v>33</v>
      </c>
      <c r="AB105" s="6">
        <f>IFERROR(((X105*M105)/Z105), "NA")</f>
        <v>62.500000000000007</v>
      </c>
      <c r="AC105" t="str">
        <f t="shared" ref="AC105:AC142" si="63">IFERROR(M105*P105,"NA")</f>
        <v>NA</v>
      </c>
      <c r="AD105" s="4">
        <f>AB105*T105*AI105</f>
        <v>500.00000000000006</v>
      </c>
      <c r="AE105" s="3">
        <f t="shared" si="61"/>
        <v>12568.5</v>
      </c>
      <c r="AF105">
        <v>2000</v>
      </c>
      <c r="AG105" t="str">
        <f>IFERROR((M105*O105*P105), "NA")</f>
        <v>NA</v>
      </c>
      <c r="AH105" t="str">
        <f>IFERROR((AG105*T105*AI105), "NA")</f>
        <v>NA</v>
      </c>
      <c r="AI105">
        <v>1</v>
      </c>
      <c r="AJ105" t="s">
        <v>31</v>
      </c>
      <c r="AK105">
        <v>5130</v>
      </c>
      <c r="AL105" t="s">
        <v>547</v>
      </c>
      <c r="AM105" t="s">
        <v>86</v>
      </c>
      <c r="AN105" t="s">
        <v>205</v>
      </c>
      <c r="AO105" t="s">
        <v>789</v>
      </c>
      <c r="AP105">
        <v>3.16</v>
      </c>
      <c r="AQ105" t="s">
        <v>33</v>
      </c>
      <c r="AR105" t="s">
        <v>33</v>
      </c>
      <c r="AS105" s="6">
        <f>LOG((10^7+10^8)/2)</f>
        <v>7.7403626894942441</v>
      </c>
      <c r="AT105" s="3">
        <f>IFERROR(AS105-AU105,"NA")</f>
        <v>2.4863626894942445</v>
      </c>
      <c r="AU105" s="6">
        <v>5.2539999999999996</v>
      </c>
      <c r="AV105" t="b">
        <v>1</v>
      </c>
      <c r="AW105" t="s">
        <v>29</v>
      </c>
      <c r="AX105" t="s">
        <v>30</v>
      </c>
      <c r="AY105" t="s">
        <v>33</v>
      </c>
      <c r="AZ105" t="s">
        <v>134</v>
      </c>
      <c r="BA105" s="18" t="s">
        <v>798</v>
      </c>
      <c r="BB105" t="b">
        <v>0</v>
      </c>
      <c r="BC105" t="s">
        <v>81</v>
      </c>
      <c r="BD105">
        <v>15</v>
      </c>
      <c r="BE105" t="s">
        <v>80</v>
      </c>
      <c r="BF105" s="11">
        <v>24</v>
      </c>
      <c r="BG105" t="s">
        <v>262</v>
      </c>
      <c r="BH105" t="s">
        <v>31</v>
      </c>
      <c r="BI105" t="s">
        <v>32</v>
      </c>
      <c r="BJ105" s="3">
        <f t="shared" ref="BJ105:BJ142" si="64">AU105</f>
        <v>5.2539999999999996</v>
      </c>
      <c r="BK105" s="3">
        <f t="shared" ref="BK105:BK142" si="65">LOG10(BJ105)</f>
        <v>0.72049006845005148</v>
      </c>
      <c r="BL105">
        <v>2</v>
      </c>
      <c r="BM105" s="3">
        <f t="shared" si="62"/>
        <v>3.3787933810262971</v>
      </c>
      <c r="BN105" t="s">
        <v>33</v>
      </c>
      <c r="BO105" s="3">
        <f t="shared" si="44"/>
        <v>2392.1773886562619</v>
      </c>
      <c r="BP105" t="s">
        <v>33</v>
      </c>
      <c r="BQ105" t="s">
        <v>33</v>
      </c>
      <c r="BR105" t="s">
        <v>33</v>
      </c>
      <c r="BS105" t="s">
        <v>33</v>
      </c>
      <c r="BT105" t="s">
        <v>31</v>
      </c>
      <c r="BU105" t="s">
        <v>219</v>
      </c>
      <c r="BV105">
        <v>2008</v>
      </c>
      <c r="BW105" s="2" t="s">
        <v>257</v>
      </c>
      <c r="BX105" t="s">
        <v>78</v>
      </c>
      <c r="BY105" t="s">
        <v>33</v>
      </c>
      <c r="BZ105" t="s">
        <v>33</v>
      </c>
      <c r="CA105" t="str">
        <f t="shared" si="46"/>
        <v>high acid</v>
      </c>
    </row>
    <row r="106" spans="1:79">
      <c r="A106" t="s">
        <v>592</v>
      </c>
      <c r="B106" t="s">
        <v>566</v>
      </c>
      <c r="C106" t="s">
        <v>563</v>
      </c>
      <c r="D106" t="s">
        <v>607</v>
      </c>
      <c r="E106" t="s">
        <v>77</v>
      </c>
      <c r="F106" t="s">
        <v>32</v>
      </c>
      <c r="G106" t="s">
        <v>33</v>
      </c>
      <c r="H106">
        <v>35</v>
      </c>
      <c r="I106" t="b">
        <v>0</v>
      </c>
      <c r="J106">
        <v>30000</v>
      </c>
      <c r="K106">
        <v>200</v>
      </c>
      <c r="L106">
        <v>35</v>
      </c>
      <c r="M106" s="4">
        <v>1</v>
      </c>
      <c r="N106" t="e">
        <f>(#REF!*Y106)/(T106*X106*O106)</f>
        <v>#REF!</v>
      </c>
      <c r="O106">
        <v>3</v>
      </c>
      <c r="P106" t="s">
        <v>33</v>
      </c>
      <c r="Q106" s="1">
        <f t="shared" si="56"/>
        <v>167.29999999999998</v>
      </c>
      <c r="R106" t="s">
        <v>183</v>
      </c>
      <c r="S106" t="s">
        <v>33</v>
      </c>
      <c r="T106">
        <v>1</v>
      </c>
      <c r="U106">
        <v>2.5</v>
      </c>
      <c r="V106" t="s">
        <v>33</v>
      </c>
      <c r="W106">
        <v>0.50249999999999995</v>
      </c>
      <c r="X106">
        <f>W106</f>
        <v>0.50249999999999995</v>
      </c>
      <c r="Y106" t="s">
        <v>33</v>
      </c>
      <c r="Z106" s="3">
        <f t="shared" si="60"/>
        <v>3.0035863717872086E-3</v>
      </c>
      <c r="AA106" t="s">
        <v>33</v>
      </c>
      <c r="AB106">
        <f>IFERROR(((X106*M106)/Z106), "NA")</f>
        <v>167.29999999999998</v>
      </c>
      <c r="AC106" s="1" t="str">
        <f t="shared" si="63"/>
        <v>NA</v>
      </c>
      <c r="AE106" s="3">
        <f t="shared" si="61"/>
        <v>614.82749999999987</v>
      </c>
      <c r="AF106">
        <v>501.9</v>
      </c>
      <c r="AG106" s="1" t="str">
        <f>IFERROR((N106*P106*Q106), "NA")</f>
        <v>NA</v>
      </c>
      <c r="AH106" s="1" t="str">
        <f>IFERROR((AG106*U106*AI106), "NA")</f>
        <v>NA</v>
      </c>
      <c r="AI106" s="1">
        <v>1</v>
      </c>
      <c r="AJ106" s="11" t="s">
        <v>31</v>
      </c>
      <c r="AK106">
        <v>1000</v>
      </c>
      <c r="AL106" t="s">
        <v>614</v>
      </c>
      <c r="AM106" s="3" t="s">
        <v>103</v>
      </c>
      <c r="AN106" t="s">
        <v>130</v>
      </c>
      <c r="AO106" t="s">
        <v>795</v>
      </c>
      <c r="AP106">
        <v>5.5</v>
      </c>
      <c r="AQ106" t="s">
        <v>33</v>
      </c>
      <c r="AR106" t="s">
        <v>33</v>
      </c>
      <c r="AS106">
        <v>8</v>
      </c>
      <c r="AT106">
        <f>AS106-AU106</f>
        <v>2.4900000000000002</v>
      </c>
      <c r="AU106" s="6">
        <v>5.51</v>
      </c>
      <c r="AV106" t="b">
        <v>1</v>
      </c>
      <c r="AW106" t="s">
        <v>626</v>
      </c>
      <c r="AX106" t="s">
        <v>627</v>
      </c>
      <c r="AY106" t="s">
        <v>633</v>
      </c>
      <c r="AZ106" t="s">
        <v>33</v>
      </c>
      <c r="BA106" s="18" t="s">
        <v>800</v>
      </c>
      <c r="BB106" s="3" t="b">
        <v>0</v>
      </c>
      <c r="BC106" t="s">
        <v>81</v>
      </c>
      <c r="BD106">
        <v>24</v>
      </c>
      <c r="BE106" t="s">
        <v>80</v>
      </c>
      <c r="BF106">
        <v>48</v>
      </c>
      <c r="BG106" t="s">
        <v>569</v>
      </c>
      <c r="BH106" t="s">
        <v>31</v>
      </c>
      <c r="BI106" t="s">
        <v>32</v>
      </c>
      <c r="BJ106">
        <f t="shared" si="64"/>
        <v>5.51</v>
      </c>
      <c r="BK106" s="3">
        <f t="shared" si="65"/>
        <v>0.74115159885178505</v>
      </c>
      <c r="BL106">
        <v>2</v>
      </c>
      <c r="BM106" s="3">
        <f t="shared" si="62"/>
        <v>2.047601685530823</v>
      </c>
      <c r="BN106" t="s">
        <v>33</v>
      </c>
      <c r="BO106" s="3">
        <f t="shared" si="44"/>
        <v>111.58393829401086</v>
      </c>
      <c r="BP106" t="s">
        <v>33</v>
      </c>
      <c r="BQ106" t="s">
        <v>33</v>
      </c>
      <c r="BR106" t="s">
        <v>33</v>
      </c>
      <c r="BS106" t="s">
        <v>33</v>
      </c>
      <c r="BT106" t="s">
        <v>31</v>
      </c>
      <c r="BU106" s="15" t="s">
        <v>255</v>
      </c>
      <c r="BV106">
        <v>2010</v>
      </c>
      <c r="BW106" t="s">
        <v>659</v>
      </c>
      <c r="BX106" t="s">
        <v>78</v>
      </c>
      <c r="BY106" s="13" t="s">
        <v>680</v>
      </c>
      <c r="CA106" t="str">
        <f t="shared" si="46"/>
        <v>low acid</v>
      </c>
    </row>
    <row r="107" spans="1:79">
      <c r="A107" s="3" t="s">
        <v>303</v>
      </c>
      <c r="B107" t="s">
        <v>566</v>
      </c>
      <c r="C107" t="s">
        <v>563</v>
      </c>
      <c r="D107" s="3" t="s">
        <v>279</v>
      </c>
      <c r="E107" s="3" t="s">
        <v>77</v>
      </c>
      <c r="F107" t="s">
        <v>32</v>
      </c>
      <c r="G107" s="11">
        <v>10</v>
      </c>
      <c r="H107" s="11">
        <v>30</v>
      </c>
      <c r="I107" s="3" t="b">
        <v>0</v>
      </c>
      <c r="J107" s="3" t="s">
        <v>33</v>
      </c>
      <c r="K107" s="3" t="s">
        <v>33</v>
      </c>
      <c r="L107" s="11">
        <v>20</v>
      </c>
      <c r="M107" s="4">
        <v>1000</v>
      </c>
      <c r="N107" s="3">
        <f>IFERROR(AF107/((T107*X107/Y107)*O107*AI107),"NA")</f>
        <v>10105.075751866369</v>
      </c>
      <c r="O107" s="3">
        <v>16</v>
      </c>
      <c r="P107" s="3" t="s">
        <v>33</v>
      </c>
      <c r="Q107" s="3">
        <f t="shared" si="56"/>
        <v>0.30000000000000004</v>
      </c>
      <c r="R107" t="s">
        <v>183</v>
      </c>
      <c r="S107" t="s">
        <v>613</v>
      </c>
      <c r="T107" s="11">
        <v>1</v>
      </c>
      <c r="U107" s="3">
        <v>2.8</v>
      </c>
      <c r="V107" s="3">
        <v>3</v>
      </c>
      <c r="W107" s="3">
        <v>0.02</v>
      </c>
      <c r="X107" s="3">
        <f>IFERROR(((PI())*(((V107*10^-1)/2)^2)*(U107*10^-1)), "NA")</f>
        <v>1.97920337176157E-2</v>
      </c>
      <c r="Y107" s="3">
        <f>40/60</f>
        <v>0.66666666666666663</v>
      </c>
      <c r="Z107" s="3">
        <f t="shared" si="60"/>
        <v>6.597344572538566E-2</v>
      </c>
      <c r="AA107" s="3" t="s">
        <v>33</v>
      </c>
      <c r="AB107" s="3">
        <f>IFERROR(((X107*M107)/Z107), "NA")</f>
        <v>300</v>
      </c>
      <c r="AC107" s="3" t="str">
        <f t="shared" si="63"/>
        <v>NA</v>
      </c>
      <c r="AD107" s="4">
        <f>IFERROR(AB107*T107*AI107, "NA")</f>
        <v>300</v>
      </c>
      <c r="AE107" s="3">
        <f t="shared" si="61"/>
        <v>192.00000000000003</v>
      </c>
      <c r="AF107" s="3">
        <v>4800</v>
      </c>
      <c r="AG107" s="3" t="str">
        <f>IFERROR((M107*O107*P107), "NA")</f>
        <v>NA</v>
      </c>
      <c r="AH107" s="3" t="str">
        <f>IFERROR((AG107*T107*AI107), "NA")</f>
        <v>NA</v>
      </c>
      <c r="AI107" s="11">
        <v>1</v>
      </c>
      <c r="AJ107" t="s">
        <v>31</v>
      </c>
      <c r="AK107" s="11">
        <v>100</v>
      </c>
      <c r="AL107" s="3" t="s">
        <v>526</v>
      </c>
      <c r="AM107" s="3" t="s">
        <v>103</v>
      </c>
      <c r="AN107" t="s">
        <v>130</v>
      </c>
      <c r="AO107" t="s">
        <v>795</v>
      </c>
      <c r="AP107" s="3" t="s">
        <v>33</v>
      </c>
      <c r="AQ107" s="3" t="s">
        <v>33</v>
      </c>
      <c r="AR107" s="3" t="s">
        <v>33</v>
      </c>
      <c r="AS107" s="3">
        <f>4.049</f>
        <v>4.0490000000000004</v>
      </c>
      <c r="AT107" s="3">
        <f>IFERROR(AS107-AU107,"NA")</f>
        <v>2.4920000000000004</v>
      </c>
      <c r="AU107" s="6">
        <v>1.5569999999999999</v>
      </c>
      <c r="AV107" s="3" t="b">
        <v>1</v>
      </c>
      <c r="AW107" s="3" t="s">
        <v>172</v>
      </c>
      <c r="AX107" s="3" t="s">
        <v>173</v>
      </c>
      <c r="AY107" s="3" t="s">
        <v>283</v>
      </c>
      <c r="AZ107" s="3" t="s">
        <v>33</v>
      </c>
      <c r="BA107" s="18" t="s">
        <v>799</v>
      </c>
      <c r="BB107" s="3" t="b">
        <v>0</v>
      </c>
      <c r="BC107" t="s">
        <v>81</v>
      </c>
      <c r="BD107" s="3">
        <v>2</v>
      </c>
      <c r="BE107" s="3" t="s">
        <v>252</v>
      </c>
      <c r="BF107" s="11">
        <v>72</v>
      </c>
      <c r="BG107" s="3" t="s">
        <v>574</v>
      </c>
      <c r="BH107" s="3" t="s">
        <v>31</v>
      </c>
      <c r="BI107" s="3" t="s">
        <v>31</v>
      </c>
      <c r="BJ107" s="3">
        <f t="shared" si="64"/>
        <v>1.5569999999999999</v>
      </c>
      <c r="BK107" s="3">
        <f t="shared" si="65"/>
        <v>0.19228861256812027</v>
      </c>
      <c r="BL107" s="3">
        <v>2</v>
      </c>
      <c r="BM107" s="3">
        <f t="shared" si="62"/>
        <v>2.0910126161354294</v>
      </c>
      <c r="BN107" s="3" t="s">
        <v>33</v>
      </c>
      <c r="BO107" s="3">
        <f t="shared" si="44"/>
        <v>123.31406551059733</v>
      </c>
      <c r="BP107" s="3" t="s">
        <v>33</v>
      </c>
      <c r="BQ107" s="3" t="s">
        <v>33</v>
      </c>
      <c r="BR107" s="3" t="s">
        <v>33</v>
      </c>
      <c r="BS107" s="3" t="s">
        <v>33</v>
      </c>
      <c r="BT107" t="s">
        <v>31</v>
      </c>
      <c r="BU107" s="3" t="s">
        <v>247</v>
      </c>
      <c r="BV107" s="11">
        <v>2016</v>
      </c>
      <c r="BW107" s="3" t="s">
        <v>284</v>
      </c>
      <c r="BX107" t="s">
        <v>78</v>
      </c>
      <c r="BY107" s="3" t="s">
        <v>33</v>
      </c>
      <c r="BZ107" s="3" t="s">
        <v>288</v>
      </c>
      <c r="CA107" t="str">
        <f t="shared" si="46"/>
        <v>low acid</v>
      </c>
    </row>
    <row r="108" spans="1:79">
      <c r="A108" t="s">
        <v>415</v>
      </c>
      <c r="B108" t="s">
        <v>565</v>
      </c>
      <c r="C108" t="s">
        <v>563</v>
      </c>
      <c r="D108" t="s">
        <v>33</v>
      </c>
      <c r="E108" t="s">
        <v>77</v>
      </c>
      <c r="F108" t="s">
        <v>32</v>
      </c>
      <c r="G108">
        <v>25</v>
      </c>
      <c r="H108">
        <v>36</v>
      </c>
      <c r="I108" t="b">
        <v>0</v>
      </c>
      <c r="J108">
        <v>6188</v>
      </c>
      <c r="K108">
        <v>18.100000000000001</v>
      </c>
      <c r="L108">
        <v>22.5</v>
      </c>
      <c r="M108" s="4">
        <v>250</v>
      </c>
      <c r="N108" s="3">
        <f>IFERROR(AF108/((T108*X108/Y108)*O108*AI108),"NA")</f>
        <v>251.11113243387931</v>
      </c>
      <c r="O108">
        <v>4</v>
      </c>
      <c r="P108" t="s">
        <v>33</v>
      </c>
      <c r="Q108" s="8">
        <f t="shared" si="56"/>
        <v>1.4200000000000001E-2</v>
      </c>
      <c r="R108" t="s">
        <v>183</v>
      </c>
      <c r="S108" t="s">
        <v>612</v>
      </c>
      <c r="T108" s="11">
        <v>6</v>
      </c>
      <c r="U108">
        <v>2.7</v>
      </c>
      <c r="V108">
        <v>2</v>
      </c>
      <c r="W108">
        <v>8.5000000000000006E-3</v>
      </c>
      <c r="X108" s="9">
        <f>IFERROR(((PI())*(((V108*10^-1)/2)^2)*(U108*10^-1)), "NA")</f>
        <v>8.4823001646924419E-3</v>
      </c>
      <c r="Y108" s="6">
        <f>36/60</f>
        <v>0.6</v>
      </c>
      <c r="Z108" s="3">
        <f t="shared" si="60"/>
        <v>0.59734508202059444</v>
      </c>
      <c r="AA108">
        <f>21.3/6</f>
        <v>3.5500000000000003</v>
      </c>
      <c r="AB108" s="6">
        <f>IFERROR(((X108*M108)/Y108), "NA")</f>
        <v>3.5342917352885173</v>
      </c>
      <c r="AC108" t="str">
        <f t="shared" si="63"/>
        <v>NA</v>
      </c>
      <c r="AD108" s="4">
        <f>IFERROR(AB108*T108*AI108, "NA")</f>
        <v>21.205750411731103</v>
      </c>
      <c r="AE108" s="3">
        <f t="shared" si="61"/>
        <v>172.53000000000003</v>
      </c>
      <c r="AF108">
        <f>AI108*T108*O108*AA108</f>
        <v>85.2</v>
      </c>
      <c r="AG108" t="str">
        <f>IFERROR((M108*O108*P108), "NA")</f>
        <v>NA</v>
      </c>
      <c r="AH108" t="str">
        <f>IFERROR((AG108*T108*AI108), "NA")</f>
        <v>NA</v>
      </c>
      <c r="AI108" s="11">
        <v>1</v>
      </c>
      <c r="AJ108" t="s">
        <v>31</v>
      </c>
      <c r="AK108">
        <v>4000</v>
      </c>
      <c r="AL108" t="s">
        <v>416</v>
      </c>
      <c r="AM108" t="s">
        <v>103</v>
      </c>
      <c r="AN108" t="s">
        <v>130</v>
      </c>
      <c r="AO108" t="s">
        <v>795</v>
      </c>
      <c r="AP108" s="4">
        <v>5</v>
      </c>
      <c r="AQ108" t="s">
        <v>33</v>
      </c>
      <c r="AR108" t="s">
        <v>33</v>
      </c>
      <c r="AS108" s="3">
        <f>LOG(10^8)</f>
        <v>8</v>
      </c>
      <c r="AT108" s="3">
        <f>IFERROR(AS108-AU108,"NA")</f>
        <v>2.5</v>
      </c>
      <c r="AU108" s="6">
        <v>5.5</v>
      </c>
      <c r="AV108" t="b">
        <v>1</v>
      </c>
      <c r="AW108" t="s">
        <v>29</v>
      </c>
      <c r="AX108" t="s">
        <v>30</v>
      </c>
      <c r="AY108" t="s">
        <v>226</v>
      </c>
      <c r="AZ108" t="s">
        <v>33</v>
      </c>
      <c r="BA108" s="18" t="s">
        <v>798</v>
      </c>
      <c r="BB108" t="b">
        <v>0</v>
      </c>
      <c r="BC108" t="s">
        <v>81</v>
      </c>
      <c r="BD108">
        <v>14</v>
      </c>
      <c r="BE108" t="s">
        <v>80</v>
      </c>
      <c r="BF108" s="11">
        <v>48</v>
      </c>
      <c r="BG108" t="s">
        <v>139</v>
      </c>
      <c r="BH108" t="s">
        <v>31</v>
      </c>
      <c r="BI108" t="s">
        <v>32</v>
      </c>
      <c r="BJ108" s="3">
        <f t="shared" si="64"/>
        <v>5.5</v>
      </c>
      <c r="BK108" s="3">
        <f t="shared" si="65"/>
        <v>0.74036268949424389</v>
      </c>
      <c r="BL108">
        <v>2</v>
      </c>
      <c r="BM108" s="3">
        <f t="shared" si="62"/>
        <v>1.4965019328231437</v>
      </c>
      <c r="BN108" t="s">
        <v>33</v>
      </c>
      <c r="BO108" s="3">
        <f t="shared" si="44"/>
        <v>31.369090909090914</v>
      </c>
      <c r="BP108" t="s">
        <v>33</v>
      </c>
      <c r="BQ108" t="s">
        <v>33</v>
      </c>
      <c r="BR108" t="s">
        <v>33</v>
      </c>
      <c r="BS108" t="s">
        <v>33</v>
      </c>
      <c r="BT108" t="s">
        <v>31</v>
      </c>
      <c r="BU108" t="s">
        <v>227</v>
      </c>
      <c r="BV108">
        <v>2004</v>
      </c>
      <c r="BW108" t="s">
        <v>417</v>
      </c>
      <c r="BX108" t="s">
        <v>78</v>
      </c>
      <c r="BY108" t="s">
        <v>33</v>
      </c>
      <c r="BZ108" t="s">
        <v>33</v>
      </c>
      <c r="CA108" t="str">
        <f t="shared" si="46"/>
        <v>low acid</v>
      </c>
    </row>
    <row r="109" spans="1:79">
      <c r="A109" t="s">
        <v>532</v>
      </c>
      <c r="B109" t="s">
        <v>565</v>
      </c>
      <c r="C109" t="s">
        <v>564</v>
      </c>
      <c r="D109" t="s">
        <v>209</v>
      </c>
      <c r="E109" t="s">
        <v>77</v>
      </c>
      <c r="F109" t="s">
        <v>32</v>
      </c>
      <c r="G109">
        <v>30</v>
      </c>
      <c r="H109">
        <v>38.200000000000003</v>
      </c>
      <c r="I109" t="b">
        <v>0</v>
      </c>
      <c r="J109" t="s">
        <v>33</v>
      </c>
      <c r="K109" t="s">
        <v>33</v>
      </c>
      <c r="L109">
        <v>18</v>
      </c>
      <c r="M109" s="4">
        <v>120</v>
      </c>
      <c r="N109" s="3">
        <f>IFERROR(AF109/((T109*X109/Y109)*O109*AI109),"NA")</f>
        <v>39.762576183379494</v>
      </c>
      <c r="O109">
        <v>3</v>
      </c>
      <c r="P109" t="s">
        <v>33</v>
      </c>
      <c r="Q109" s="9">
        <f t="shared" si="56"/>
        <v>4.1666666666666664E-2</v>
      </c>
      <c r="R109" t="s">
        <v>183</v>
      </c>
      <c r="S109" t="s">
        <v>612</v>
      </c>
      <c r="T109" s="11">
        <v>4</v>
      </c>
      <c r="U109">
        <v>3</v>
      </c>
      <c r="V109">
        <v>2.6</v>
      </c>
      <c r="W109" t="s">
        <v>33</v>
      </c>
      <c r="X109" s="8">
        <f>IFERROR(((PI())*(((V109*10^-1)/2)^2)*(U109*10^-1)), "NA")</f>
        <v>1.5927874753700257E-2</v>
      </c>
      <c r="Y109" s="6">
        <f>7.6/60</f>
        <v>0.12666666666666665</v>
      </c>
      <c r="Z109" s="3">
        <f t="shared" si="60"/>
        <v>0.38226899408880616</v>
      </c>
      <c r="AA109" t="s">
        <v>33</v>
      </c>
      <c r="AB109" s="6">
        <f t="shared" ref="AB109:AB120" si="66">IFERROR(((X109*M109)/Z109), "NA")</f>
        <v>5</v>
      </c>
      <c r="AC109" t="str">
        <f t="shared" si="63"/>
        <v>NA</v>
      </c>
      <c r="AD109" s="4">
        <f>IFERROR(AB109*T109*AI109, "NA")</f>
        <v>20</v>
      </c>
      <c r="AE109" s="3">
        <f t="shared" si="61"/>
        <v>19.051199999999998</v>
      </c>
      <c r="AF109">
        <v>60</v>
      </c>
      <c r="AG109" t="str">
        <f>IFERROR((M109*O109*P109), "NA")</f>
        <v>NA</v>
      </c>
      <c r="AH109" t="str">
        <f>IFERROR((AG109*T109*AI109), "NA")</f>
        <v>NA</v>
      </c>
      <c r="AI109" s="11">
        <v>1</v>
      </c>
      <c r="AJ109" t="s">
        <v>31</v>
      </c>
      <c r="AK109">
        <v>980</v>
      </c>
      <c r="AL109" t="s">
        <v>551</v>
      </c>
      <c r="AM109" t="s">
        <v>86</v>
      </c>
      <c r="AN109" t="s">
        <v>186</v>
      </c>
      <c r="AO109" t="s">
        <v>794</v>
      </c>
      <c r="AP109">
        <v>5.98</v>
      </c>
      <c r="AQ109" t="s">
        <v>33</v>
      </c>
      <c r="AR109" t="s">
        <v>33</v>
      </c>
      <c r="AS109" s="6">
        <v>6.4</v>
      </c>
      <c r="AT109" s="3">
        <f>IFERROR(AS109-AU109,"NA")</f>
        <v>2.5180000000000002</v>
      </c>
      <c r="AU109" s="6">
        <v>3.8820000000000001</v>
      </c>
      <c r="AV109" t="b">
        <v>1</v>
      </c>
      <c r="AW109" t="s">
        <v>172</v>
      </c>
      <c r="AX109" t="s">
        <v>173</v>
      </c>
      <c r="AY109" t="s">
        <v>246</v>
      </c>
      <c r="AZ109" t="s">
        <v>33</v>
      </c>
      <c r="BA109" s="18" t="s">
        <v>799</v>
      </c>
      <c r="BB109" t="b">
        <v>0</v>
      </c>
      <c r="BC109" t="s">
        <v>81</v>
      </c>
      <c r="BD109">
        <v>72</v>
      </c>
      <c r="BE109" t="s">
        <v>80</v>
      </c>
      <c r="BF109" s="11">
        <v>72</v>
      </c>
      <c r="BG109" t="s">
        <v>522</v>
      </c>
      <c r="BH109" t="s">
        <v>31</v>
      </c>
      <c r="BI109" t="s">
        <v>31</v>
      </c>
      <c r="BJ109" s="3">
        <f t="shared" si="64"/>
        <v>3.8820000000000001</v>
      </c>
      <c r="BK109" s="3">
        <f t="shared" si="65"/>
        <v>0.58905553105234398</v>
      </c>
      <c r="BL109">
        <v>2</v>
      </c>
      <c r="BM109" s="3">
        <f t="shared" si="62"/>
        <v>0.69086680523040656</v>
      </c>
      <c r="BN109" t="s">
        <v>33</v>
      </c>
      <c r="BO109" s="3">
        <f t="shared" si="44"/>
        <v>4.9075734157650688</v>
      </c>
      <c r="BP109" t="s">
        <v>33</v>
      </c>
      <c r="BQ109" t="s">
        <v>33</v>
      </c>
      <c r="BR109" t="s">
        <v>33</v>
      </c>
      <c r="BS109" t="s">
        <v>33</v>
      </c>
      <c r="BT109" t="s">
        <v>32</v>
      </c>
      <c r="BU109" t="s">
        <v>207</v>
      </c>
      <c r="BV109">
        <v>2014</v>
      </c>
      <c r="BW109" t="s">
        <v>208</v>
      </c>
      <c r="BX109" t="s">
        <v>78</v>
      </c>
      <c r="BY109" t="s">
        <v>33</v>
      </c>
      <c r="BZ109" t="s">
        <v>33</v>
      </c>
      <c r="CA109" t="str">
        <f t="shared" si="46"/>
        <v>low acid</v>
      </c>
    </row>
    <row r="110" spans="1:79">
      <c r="A110" t="s">
        <v>592</v>
      </c>
      <c r="B110" t="s">
        <v>566</v>
      </c>
      <c r="C110" t="s">
        <v>563</v>
      </c>
      <c r="D110" t="s">
        <v>607</v>
      </c>
      <c r="E110" t="s">
        <v>77</v>
      </c>
      <c r="F110" t="s">
        <v>32</v>
      </c>
      <c r="G110" t="s">
        <v>33</v>
      </c>
      <c r="H110">
        <v>35</v>
      </c>
      <c r="I110" t="b">
        <v>0</v>
      </c>
      <c r="J110">
        <v>30000</v>
      </c>
      <c r="K110">
        <v>200</v>
      </c>
      <c r="L110">
        <v>35</v>
      </c>
      <c r="M110" s="4">
        <v>1</v>
      </c>
      <c r="N110" t="e">
        <f>(#REF!*Y110)/(T110*X110*O110)</f>
        <v>#REF!</v>
      </c>
      <c r="O110">
        <v>3</v>
      </c>
      <c r="P110" t="s">
        <v>33</v>
      </c>
      <c r="Q110" s="1">
        <f t="shared" si="56"/>
        <v>50.533333333333331</v>
      </c>
      <c r="R110" t="s">
        <v>183</v>
      </c>
      <c r="S110" t="s">
        <v>33</v>
      </c>
      <c r="T110">
        <v>1</v>
      </c>
      <c r="U110">
        <v>2.5</v>
      </c>
      <c r="V110" t="s">
        <v>33</v>
      </c>
      <c r="W110">
        <v>0.50249999999999995</v>
      </c>
      <c r="X110">
        <f>W110</f>
        <v>0.50249999999999995</v>
      </c>
      <c r="Y110" t="s">
        <v>33</v>
      </c>
      <c r="Z110" s="3">
        <f t="shared" si="60"/>
        <v>9.9439313984168859E-3</v>
      </c>
      <c r="AA110" t="s">
        <v>33</v>
      </c>
      <c r="AB110">
        <f t="shared" si="66"/>
        <v>50.533333333333331</v>
      </c>
      <c r="AC110" s="1" t="str">
        <f t="shared" si="63"/>
        <v>NA</v>
      </c>
      <c r="AE110" s="3">
        <f t="shared" si="61"/>
        <v>185.70999999999998</v>
      </c>
      <c r="AF110">
        <v>151.6</v>
      </c>
      <c r="AG110" s="1" t="str">
        <f>IFERROR((N110*P110*Q110), "NA")</f>
        <v>NA</v>
      </c>
      <c r="AH110" s="1" t="str">
        <f>IFERROR((AG110*U110*AI110), "NA")</f>
        <v>NA</v>
      </c>
      <c r="AI110" s="1">
        <v>1</v>
      </c>
      <c r="AJ110" s="11" t="s">
        <v>31</v>
      </c>
      <c r="AK110">
        <v>1000</v>
      </c>
      <c r="AL110" t="s">
        <v>614</v>
      </c>
      <c r="AM110" s="3" t="s">
        <v>103</v>
      </c>
      <c r="AN110" t="s">
        <v>305</v>
      </c>
      <c r="AO110" t="s">
        <v>790</v>
      </c>
      <c r="AP110">
        <v>4.5</v>
      </c>
      <c r="AQ110" t="s">
        <v>33</v>
      </c>
      <c r="AR110" t="s">
        <v>33</v>
      </c>
      <c r="AS110">
        <v>8</v>
      </c>
      <c r="AT110">
        <f>AS110-AU110</f>
        <v>2.5199999999999996</v>
      </c>
      <c r="AU110" s="6">
        <v>5.48</v>
      </c>
      <c r="AV110" t="b">
        <v>1</v>
      </c>
      <c r="AW110" t="s">
        <v>626</v>
      </c>
      <c r="AX110" t="s">
        <v>627</v>
      </c>
      <c r="AY110" t="s">
        <v>633</v>
      </c>
      <c r="AZ110" t="s">
        <v>33</v>
      </c>
      <c r="BA110" s="18" t="s">
        <v>800</v>
      </c>
      <c r="BB110" s="3" t="b">
        <v>0</v>
      </c>
      <c r="BC110" t="s">
        <v>81</v>
      </c>
      <c r="BD110">
        <v>24</v>
      </c>
      <c r="BE110" t="s">
        <v>80</v>
      </c>
      <c r="BF110">
        <v>48</v>
      </c>
      <c r="BG110" t="s">
        <v>569</v>
      </c>
      <c r="BH110" t="s">
        <v>31</v>
      </c>
      <c r="BI110" t="s">
        <v>32</v>
      </c>
      <c r="BJ110">
        <f t="shared" si="64"/>
        <v>5.48</v>
      </c>
      <c r="BK110" s="3">
        <f t="shared" si="65"/>
        <v>0.73878055848436919</v>
      </c>
      <c r="BL110">
        <v>2</v>
      </c>
      <c r="BM110" s="3">
        <f t="shared" si="62"/>
        <v>1.5300547315122168</v>
      </c>
      <c r="BN110" t="s">
        <v>33</v>
      </c>
      <c r="BO110" s="3">
        <f t="shared" si="44"/>
        <v>33.888686131386855</v>
      </c>
      <c r="BP110" t="s">
        <v>33</v>
      </c>
      <c r="BQ110" t="s">
        <v>33</v>
      </c>
      <c r="BR110" t="s">
        <v>33</v>
      </c>
      <c r="BS110" t="s">
        <v>33</v>
      </c>
      <c r="BT110" t="s">
        <v>31</v>
      </c>
      <c r="BU110" s="15" t="s">
        <v>255</v>
      </c>
      <c r="BV110">
        <v>2010</v>
      </c>
      <c r="BW110" t="s">
        <v>659</v>
      </c>
      <c r="BX110" t="s">
        <v>78</v>
      </c>
      <c r="BY110" s="13" t="s">
        <v>680</v>
      </c>
      <c r="CA110" t="str">
        <f t="shared" si="46"/>
        <v>high acid</v>
      </c>
    </row>
    <row r="111" spans="1:79">
      <c r="A111" t="s">
        <v>589</v>
      </c>
      <c r="B111" t="s">
        <v>566</v>
      </c>
      <c r="C111" t="s">
        <v>563</v>
      </c>
      <c r="D111" t="s">
        <v>33</v>
      </c>
      <c r="E111" t="s">
        <v>77</v>
      </c>
      <c r="F111" t="s">
        <v>33</v>
      </c>
      <c r="G111" t="s">
        <v>33</v>
      </c>
      <c r="H111">
        <v>35</v>
      </c>
      <c r="I111" t="b">
        <v>0</v>
      </c>
      <c r="J111" t="s">
        <v>33</v>
      </c>
      <c r="K111" t="s">
        <v>33</v>
      </c>
      <c r="L111">
        <v>25</v>
      </c>
      <c r="M111" s="4">
        <v>1</v>
      </c>
      <c r="N111" t="e">
        <f>(#REF!*Y111)/(T111*X111*O111)</f>
        <v>#REF!</v>
      </c>
      <c r="O111">
        <v>2</v>
      </c>
      <c r="P111" t="s">
        <v>33</v>
      </c>
      <c r="Q111" s="1">
        <f t="shared" si="56"/>
        <v>700.5</v>
      </c>
      <c r="R111" t="s">
        <v>183</v>
      </c>
      <c r="S111" t="s">
        <v>613</v>
      </c>
      <c r="T111">
        <v>1</v>
      </c>
      <c r="U111">
        <v>2.5</v>
      </c>
      <c r="V111" t="s">
        <v>33</v>
      </c>
      <c r="W111">
        <v>0.50249999999999995</v>
      </c>
      <c r="X111">
        <f>W111</f>
        <v>0.50249999999999995</v>
      </c>
      <c r="Y111" t="s">
        <v>33</v>
      </c>
      <c r="Z111" s="3">
        <f t="shared" si="60"/>
        <v>7.1734475374732331E-4</v>
      </c>
      <c r="AA111" t="s">
        <v>33</v>
      </c>
      <c r="AB111">
        <f t="shared" si="66"/>
        <v>700.5</v>
      </c>
      <c r="AC111" s="1" t="str">
        <f t="shared" si="63"/>
        <v>NA</v>
      </c>
      <c r="AE111" s="3">
        <f t="shared" si="61"/>
        <v>1751.25</v>
      </c>
      <c r="AF111">
        <v>1401</v>
      </c>
      <c r="AG111" s="1" t="str">
        <f>IFERROR((N111*P111*Q111), "NA")</f>
        <v>NA</v>
      </c>
      <c r="AH111" s="1" t="str">
        <f>IFERROR((AG111*U111*AI111), "NA")</f>
        <v>NA</v>
      </c>
      <c r="AI111" s="1">
        <v>1</v>
      </c>
      <c r="AJ111" s="11" t="s">
        <v>31</v>
      </c>
      <c r="AK111">
        <v>2000</v>
      </c>
      <c r="AL111" t="s">
        <v>616</v>
      </c>
      <c r="AM111" s="3" t="s">
        <v>103</v>
      </c>
      <c r="AN111" t="s">
        <v>130</v>
      </c>
      <c r="AO111" t="s">
        <v>795</v>
      </c>
      <c r="AP111">
        <v>7</v>
      </c>
      <c r="AQ111" t="s">
        <v>33</v>
      </c>
      <c r="AR111" t="s">
        <v>33</v>
      </c>
      <c r="AS111">
        <v>9</v>
      </c>
      <c r="AT111">
        <f>AS111-AU111</f>
        <v>2.5199999999999996</v>
      </c>
      <c r="AU111" s="6">
        <v>6.48</v>
      </c>
      <c r="AV111" t="b">
        <v>1</v>
      </c>
      <c r="AW111" t="s">
        <v>617</v>
      </c>
      <c r="AX111" t="s">
        <v>33</v>
      </c>
      <c r="AY111" t="s">
        <v>629</v>
      </c>
      <c r="AZ111" t="s">
        <v>630</v>
      </c>
      <c r="BA111" s="18" t="s">
        <v>802</v>
      </c>
      <c r="BB111" s="3" t="b">
        <v>0</v>
      </c>
      <c r="BC111" t="s">
        <v>81</v>
      </c>
      <c r="BD111">
        <v>24</v>
      </c>
      <c r="BE111" t="s">
        <v>80</v>
      </c>
      <c r="BF111">
        <v>24</v>
      </c>
      <c r="BG111" t="s">
        <v>644</v>
      </c>
      <c r="BH111" t="s">
        <v>31</v>
      </c>
      <c r="BI111" t="s">
        <v>32</v>
      </c>
      <c r="BJ111">
        <f t="shared" si="64"/>
        <v>6.48</v>
      </c>
      <c r="BK111" s="3">
        <f t="shared" si="65"/>
        <v>0.81157500587059339</v>
      </c>
      <c r="BL111">
        <v>2</v>
      </c>
      <c r="BM111" s="3">
        <f t="shared" si="62"/>
        <v>2.4317731424232378</v>
      </c>
      <c r="BN111" t="s">
        <v>33</v>
      </c>
      <c r="BO111" s="3">
        <f t="shared" si="44"/>
        <v>270.25462962962962</v>
      </c>
      <c r="BP111" t="s">
        <v>33</v>
      </c>
      <c r="BQ111" t="s">
        <v>33</v>
      </c>
      <c r="BR111" t="s">
        <v>33</v>
      </c>
      <c r="BS111" t="s">
        <v>33</v>
      </c>
      <c r="BT111" t="s">
        <v>31</v>
      </c>
      <c r="BU111" s="15" t="s">
        <v>655</v>
      </c>
      <c r="BV111">
        <v>2003</v>
      </c>
      <c r="BW111" t="s">
        <v>656</v>
      </c>
      <c r="BX111" t="s">
        <v>78</v>
      </c>
      <c r="BY111" s="13" t="s">
        <v>677</v>
      </c>
      <c r="CA111" t="str">
        <f t="shared" si="46"/>
        <v>low acid</v>
      </c>
    </row>
    <row r="112" spans="1:79">
      <c r="A112" t="s">
        <v>596</v>
      </c>
      <c r="B112" t="s">
        <v>565</v>
      </c>
      <c r="C112" t="s">
        <v>563</v>
      </c>
      <c r="D112" t="s">
        <v>610</v>
      </c>
      <c r="E112" t="s">
        <v>77</v>
      </c>
      <c r="F112" t="s">
        <v>33</v>
      </c>
      <c r="G112">
        <v>20</v>
      </c>
      <c r="H112" t="s">
        <v>33</v>
      </c>
      <c r="I112" t="b">
        <v>0</v>
      </c>
      <c r="J112">
        <v>12000</v>
      </c>
      <c r="K112" t="s">
        <v>33</v>
      </c>
      <c r="L112">
        <v>30</v>
      </c>
      <c r="M112" s="4">
        <v>31.831088090218493</v>
      </c>
      <c r="N112" t="e">
        <f>(#REF!*Y112)/(T112*X112*O112)</f>
        <v>#REF!</v>
      </c>
      <c r="O112">
        <v>5</v>
      </c>
      <c r="P112" t="s">
        <v>33</v>
      </c>
      <c r="Q112" s="1">
        <f t="shared" si="56"/>
        <v>0.4712374254215147</v>
      </c>
      <c r="R112" t="s">
        <v>183</v>
      </c>
      <c r="S112" t="s">
        <v>613</v>
      </c>
      <c r="T112">
        <v>1</v>
      </c>
      <c r="U112">
        <v>4</v>
      </c>
      <c r="V112">
        <v>4</v>
      </c>
      <c r="W112" t="s">
        <v>33</v>
      </c>
      <c r="X112">
        <f t="shared" ref="X112:X118" si="67">IFERROR(((PI())*(((V112*10^-1)/2)^2)*(U112*10^-1)), "NA")</f>
        <v>5.02654824574367E-2</v>
      </c>
      <c r="Y112">
        <v>0.106667</v>
      </c>
      <c r="Z112" s="3">
        <f t="shared" si="60"/>
        <v>0.10666699999999998</v>
      </c>
      <c r="AA112" t="s">
        <v>33</v>
      </c>
      <c r="AB112">
        <f t="shared" si="66"/>
        <v>15.000000000000002</v>
      </c>
      <c r="AC112" s="1" t="str">
        <f t="shared" si="63"/>
        <v>NA</v>
      </c>
      <c r="AE112" s="3">
        <f t="shared" si="61"/>
        <v>168.75</v>
      </c>
      <c r="AF112">
        <v>75</v>
      </c>
      <c r="AG112" s="1" t="str">
        <f>IFERROR((N112*P112*Q112), "NA")</f>
        <v>NA</v>
      </c>
      <c r="AH112" s="1" t="str">
        <f>IFERROR((AG112*U112*AI112), "NA")</f>
        <v>NA</v>
      </c>
      <c r="AI112" s="1">
        <v>1</v>
      </c>
      <c r="AJ112" s="11" t="s">
        <v>31</v>
      </c>
      <c r="AK112">
        <v>2500</v>
      </c>
      <c r="AL112" t="s">
        <v>149</v>
      </c>
      <c r="AM112" t="s">
        <v>86</v>
      </c>
      <c r="AN112" t="s">
        <v>205</v>
      </c>
      <c r="AO112" t="s">
        <v>789</v>
      </c>
      <c r="AP112" t="s">
        <v>33</v>
      </c>
      <c r="AQ112" t="s">
        <v>33</v>
      </c>
      <c r="AR112" t="s">
        <v>33</v>
      </c>
      <c r="AS112">
        <f>AVERAGE(6,8)</f>
        <v>7</v>
      </c>
      <c r="AT112">
        <f>AS112-AU112</f>
        <v>2.54</v>
      </c>
      <c r="AU112" s="6">
        <v>4.46</v>
      </c>
      <c r="AV112" t="b">
        <v>1</v>
      </c>
      <c r="AW112" t="s">
        <v>626</v>
      </c>
      <c r="AX112" t="s">
        <v>627</v>
      </c>
      <c r="AY112" t="s">
        <v>634</v>
      </c>
      <c r="AZ112" t="s">
        <v>33</v>
      </c>
      <c r="BA112" s="18" t="s">
        <v>800</v>
      </c>
      <c r="BB112" s="3" t="b">
        <v>0</v>
      </c>
      <c r="BC112" t="s">
        <v>81</v>
      </c>
      <c r="BD112">
        <v>18</v>
      </c>
      <c r="BE112" t="s">
        <v>80</v>
      </c>
      <c r="BF112">
        <v>24</v>
      </c>
      <c r="BG112" t="s">
        <v>644</v>
      </c>
      <c r="BH112" t="s">
        <v>31</v>
      </c>
      <c r="BI112" t="s">
        <v>31</v>
      </c>
      <c r="BJ112">
        <f t="shared" si="64"/>
        <v>4.46</v>
      </c>
      <c r="BK112" s="3">
        <f t="shared" si="65"/>
        <v>0.64933485871214192</v>
      </c>
      <c r="BL112">
        <v>2</v>
      </c>
      <c r="BM112" s="3">
        <f t="shared" si="62"/>
        <v>1.5779089227909207</v>
      </c>
      <c r="BN112" t="s">
        <v>33</v>
      </c>
      <c r="BO112" s="3">
        <f t="shared" si="44"/>
        <v>37.836322869955154</v>
      </c>
      <c r="BP112" t="s">
        <v>33</v>
      </c>
      <c r="BQ112" t="s">
        <v>33</v>
      </c>
      <c r="BR112" t="s">
        <v>33</v>
      </c>
      <c r="BS112" t="s">
        <v>33</v>
      </c>
      <c r="BT112" t="s">
        <v>32</v>
      </c>
      <c r="BU112" t="s">
        <v>661</v>
      </c>
      <c r="BV112">
        <v>2013</v>
      </c>
      <c r="BW112" t="s">
        <v>662</v>
      </c>
      <c r="BX112" s="13" t="s">
        <v>663</v>
      </c>
      <c r="BY112" s="13" t="s">
        <v>684</v>
      </c>
      <c r="CA112" t="str">
        <f t="shared" si="46"/>
        <v>high acid</v>
      </c>
    </row>
    <row r="113" spans="1:79">
      <c r="A113" t="s">
        <v>260</v>
      </c>
      <c r="B113" t="s">
        <v>565</v>
      </c>
      <c r="C113" t="s">
        <v>563</v>
      </c>
      <c r="D113" t="s">
        <v>118</v>
      </c>
      <c r="E113" t="s">
        <v>77</v>
      </c>
      <c r="F113" t="s">
        <v>32</v>
      </c>
      <c r="G113">
        <v>5</v>
      </c>
      <c r="H113">
        <v>40</v>
      </c>
      <c r="I113" t="b">
        <v>0</v>
      </c>
      <c r="J113" t="s">
        <v>33</v>
      </c>
      <c r="K113" t="s">
        <v>33</v>
      </c>
      <c r="L113">
        <v>35</v>
      </c>
      <c r="M113" s="4">
        <v>250</v>
      </c>
      <c r="N113" s="3">
        <f>IFERROR(AF113/((T113*X113/Y113)*O113*AI113),"NA")</f>
        <v>9444.8061195568516</v>
      </c>
      <c r="O113">
        <v>4</v>
      </c>
      <c r="P113" t="s">
        <v>33</v>
      </c>
      <c r="Q113">
        <f t="shared" si="56"/>
        <v>0.25</v>
      </c>
      <c r="R113" t="s">
        <v>183</v>
      </c>
      <c r="S113" t="s">
        <v>613</v>
      </c>
      <c r="T113" s="11">
        <v>8</v>
      </c>
      <c r="U113">
        <v>2.92</v>
      </c>
      <c r="V113">
        <v>2.2999999999999998</v>
      </c>
      <c r="W113">
        <v>1.21E-2</v>
      </c>
      <c r="X113" s="8">
        <f t="shared" si="67"/>
        <v>1.2131888350367701E-2</v>
      </c>
      <c r="Y113" s="6">
        <f>110/60</f>
        <v>1.8333333333333333</v>
      </c>
      <c r="Z113" s="3">
        <f t="shared" si="60"/>
        <v>4.8527553401470802E-2</v>
      </c>
      <c r="AA113" t="s">
        <v>33</v>
      </c>
      <c r="AB113" s="6">
        <f t="shared" si="66"/>
        <v>62.5</v>
      </c>
      <c r="AC113" t="str">
        <f t="shared" si="63"/>
        <v>NA</v>
      </c>
      <c r="AD113" s="4">
        <f>AB113*T113*AI113</f>
        <v>500</v>
      </c>
      <c r="AE113" s="3">
        <f t="shared" si="61"/>
        <v>13230</v>
      </c>
      <c r="AF113">
        <v>2000</v>
      </c>
      <c r="AG113" t="str">
        <f>IFERROR((M113*O113*P113), "NA")</f>
        <v>NA</v>
      </c>
      <c r="AH113" t="str">
        <f>IFERROR((AG113*T113*AI113), "NA")</f>
        <v>NA</v>
      </c>
      <c r="AI113">
        <v>1</v>
      </c>
      <c r="AJ113" t="s">
        <v>31</v>
      </c>
      <c r="AK113">
        <v>5400</v>
      </c>
      <c r="AL113" t="s">
        <v>238</v>
      </c>
      <c r="AM113" t="s">
        <v>86</v>
      </c>
      <c r="AN113" t="s">
        <v>205</v>
      </c>
      <c r="AO113" t="s">
        <v>789</v>
      </c>
      <c r="AP113">
        <v>3.44</v>
      </c>
      <c r="AQ113" t="s">
        <v>33</v>
      </c>
      <c r="AR113" t="s">
        <v>33</v>
      </c>
      <c r="AS113" s="6">
        <f>LOG((10^7+10^8)/2)</f>
        <v>7.7403626894942441</v>
      </c>
      <c r="AT113" s="3">
        <f>IFERROR(AS113-AU113,"NA")</f>
        <v>2.5443626894942444</v>
      </c>
      <c r="AU113" s="6">
        <v>5.1959999999999997</v>
      </c>
      <c r="AV113" t="b">
        <v>1</v>
      </c>
      <c r="AW113" t="s">
        <v>29</v>
      </c>
      <c r="AX113" t="s">
        <v>30</v>
      </c>
      <c r="AY113" t="s">
        <v>33</v>
      </c>
      <c r="AZ113" t="s">
        <v>134</v>
      </c>
      <c r="BA113" s="18" t="s">
        <v>798</v>
      </c>
      <c r="BB113" t="b">
        <v>0</v>
      </c>
      <c r="BC113" t="s">
        <v>81</v>
      </c>
      <c r="BD113">
        <v>15</v>
      </c>
      <c r="BE113" t="s">
        <v>80</v>
      </c>
      <c r="BF113" s="11">
        <v>24</v>
      </c>
      <c r="BG113" t="s">
        <v>262</v>
      </c>
      <c r="BH113" t="s">
        <v>31</v>
      </c>
      <c r="BI113" t="s">
        <v>32</v>
      </c>
      <c r="BJ113" s="3">
        <f t="shared" si="64"/>
        <v>5.1959999999999997</v>
      </c>
      <c r="BK113" s="3">
        <f t="shared" si="65"/>
        <v>0.71566914240099022</v>
      </c>
      <c r="BL113">
        <v>2</v>
      </c>
      <c r="BM113" s="3">
        <f t="shared" si="62"/>
        <v>3.4058907017865105</v>
      </c>
      <c r="BN113" t="s">
        <v>33</v>
      </c>
      <c r="BO113" s="3">
        <f t="shared" si="44"/>
        <v>2546.189376443418</v>
      </c>
      <c r="BP113" t="s">
        <v>33</v>
      </c>
      <c r="BQ113" t="s">
        <v>33</v>
      </c>
      <c r="BR113" t="s">
        <v>33</v>
      </c>
      <c r="BS113" t="s">
        <v>33</v>
      </c>
      <c r="BT113" t="s">
        <v>31</v>
      </c>
      <c r="BU113" t="s">
        <v>219</v>
      </c>
      <c r="BV113">
        <v>2008</v>
      </c>
      <c r="BW113" s="2" t="s">
        <v>257</v>
      </c>
      <c r="BX113" t="s">
        <v>78</v>
      </c>
      <c r="BY113" t="s">
        <v>33</v>
      </c>
      <c r="BZ113" t="s">
        <v>33</v>
      </c>
      <c r="CA113" t="str">
        <f t="shared" si="46"/>
        <v>high acid</v>
      </c>
    </row>
    <row r="114" spans="1:79">
      <c r="A114" t="s">
        <v>214</v>
      </c>
      <c r="B114" t="s">
        <v>565</v>
      </c>
      <c r="C114" t="s">
        <v>563</v>
      </c>
      <c r="D114" t="s">
        <v>118</v>
      </c>
      <c r="E114" t="s">
        <v>77</v>
      </c>
      <c r="F114" t="s">
        <v>32</v>
      </c>
      <c r="G114">
        <v>5</v>
      </c>
      <c r="H114" t="s">
        <v>33</v>
      </c>
      <c r="I114" t="b">
        <v>0</v>
      </c>
      <c r="J114" t="s">
        <v>33</v>
      </c>
      <c r="K114" t="s">
        <v>33</v>
      </c>
      <c r="L114">
        <v>35</v>
      </c>
      <c r="M114" s="4">
        <v>200</v>
      </c>
      <c r="N114" s="3">
        <f>IFERROR(AF114/((T114*X114/Y114)*O114*AI114),"NA")</f>
        <v>590.72969184137401</v>
      </c>
      <c r="O114">
        <v>2</v>
      </c>
      <c r="P114" t="s">
        <v>33</v>
      </c>
      <c r="Q114">
        <f t="shared" si="56"/>
        <v>0.1075</v>
      </c>
      <c r="R114" t="s">
        <v>183</v>
      </c>
      <c r="S114" t="s">
        <v>613</v>
      </c>
      <c r="T114" s="11">
        <v>6</v>
      </c>
      <c r="U114">
        <v>2.92</v>
      </c>
      <c r="V114">
        <v>2.2999999999999998</v>
      </c>
      <c r="W114" t="s">
        <v>33</v>
      </c>
      <c r="X114" s="8">
        <f t="shared" si="67"/>
        <v>1.2131888350367701E-2</v>
      </c>
      <c r="Y114" s="6">
        <f>20/60</f>
        <v>0.33333333333333331</v>
      </c>
      <c r="Z114" s="3">
        <f t="shared" si="60"/>
        <v>0.11285477535225769</v>
      </c>
      <c r="AA114" t="s">
        <v>33</v>
      </c>
      <c r="AB114" s="6">
        <f t="shared" si="66"/>
        <v>21.5</v>
      </c>
      <c r="AC114" t="str">
        <f t="shared" si="63"/>
        <v>NA</v>
      </c>
      <c r="AD114" s="4">
        <f>AB114*T114*AI114</f>
        <v>129</v>
      </c>
      <c r="AE114" s="3">
        <f t="shared" si="61"/>
        <v>723.75449999999989</v>
      </c>
      <c r="AF114">
        <v>258</v>
      </c>
      <c r="AG114" t="str">
        <f>IFERROR((M114*O114*P114), "NA")</f>
        <v>NA</v>
      </c>
      <c r="AH114" t="str">
        <f>IFERROR((AG114*T114*AI114), "NA")</f>
        <v>NA</v>
      </c>
      <c r="AI114">
        <v>1</v>
      </c>
      <c r="AJ114" t="s">
        <v>31</v>
      </c>
      <c r="AK114">
        <v>2290</v>
      </c>
      <c r="AL114" t="s">
        <v>149</v>
      </c>
      <c r="AM114" t="s">
        <v>86</v>
      </c>
      <c r="AN114" t="s">
        <v>205</v>
      </c>
      <c r="AO114" t="s">
        <v>789</v>
      </c>
      <c r="AP114">
        <v>3.17</v>
      </c>
      <c r="AQ114" t="s">
        <v>33</v>
      </c>
      <c r="AR114" t="s">
        <v>33</v>
      </c>
      <c r="AS114" s="6">
        <f>LOG((10^7+10^8)/2)</f>
        <v>7.7403626894942441</v>
      </c>
      <c r="AT114" s="3">
        <f>IFERROR(AS114-AU114,"NA")</f>
        <v>2.5493626894942443</v>
      </c>
      <c r="AU114" s="6">
        <v>5.1909999999999998</v>
      </c>
      <c r="AV114" t="b">
        <v>1</v>
      </c>
      <c r="AW114" t="s">
        <v>29</v>
      </c>
      <c r="AX114" t="s">
        <v>30</v>
      </c>
      <c r="AY114" t="s">
        <v>216</v>
      </c>
      <c r="AZ114" t="s">
        <v>33</v>
      </c>
      <c r="BA114" s="18" t="s">
        <v>798</v>
      </c>
      <c r="BB114" s="3" t="b">
        <v>0</v>
      </c>
      <c r="BC114" t="s">
        <v>81</v>
      </c>
      <c r="BD114">
        <f>(16+18)/2</f>
        <v>17</v>
      </c>
      <c r="BE114" t="s">
        <v>80</v>
      </c>
      <c r="BF114" s="11">
        <v>24</v>
      </c>
      <c r="BG114" t="s">
        <v>245</v>
      </c>
      <c r="BH114" t="s">
        <v>31</v>
      </c>
      <c r="BI114" t="s">
        <v>32</v>
      </c>
      <c r="BJ114" s="3">
        <f t="shared" si="64"/>
        <v>5.1909999999999998</v>
      </c>
      <c r="BK114" s="3">
        <f t="shared" si="65"/>
        <v>0.71525102887884928</v>
      </c>
      <c r="BL114">
        <v>2</v>
      </c>
      <c r="BM114" s="3">
        <f t="shared" si="62"/>
        <v>2.1443402481248199</v>
      </c>
      <c r="BN114" t="s">
        <v>33</v>
      </c>
      <c r="BO114" s="3">
        <f t="shared" si="44"/>
        <v>139.424869967251</v>
      </c>
      <c r="BP114" t="s">
        <v>33</v>
      </c>
      <c r="BQ114" t="s">
        <v>33</v>
      </c>
      <c r="BR114" t="s">
        <v>33</v>
      </c>
      <c r="BS114" t="s">
        <v>33</v>
      </c>
      <c r="BT114" t="s">
        <v>31</v>
      </c>
      <c r="BU114" t="s">
        <v>34</v>
      </c>
      <c r="BV114">
        <v>2019</v>
      </c>
      <c r="BW114" t="s">
        <v>35</v>
      </c>
      <c r="BX114" t="s">
        <v>78</v>
      </c>
      <c r="BY114" t="s">
        <v>33</v>
      </c>
      <c r="BZ114" t="s">
        <v>212</v>
      </c>
      <c r="CA114" t="str">
        <f t="shared" si="46"/>
        <v>high acid</v>
      </c>
    </row>
    <row r="115" spans="1:79">
      <c r="A115" t="s">
        <v>89</v>
      </c>
      <c r="B115" t="s">
        <v>565</v>
      </c>
      <c r="C115" t="s">
        <v>563</v>
      </c>
      <c r="D115" t="s">
        <v>118</v>
      </c>
      <c r="E115" t="s">
        <v>77</v>
      </c>
      <c r="F115" t="s">
        <v>32</v>
      </c>
      <c r="G115">
        <v>50</v>
      </c>
      <c r="H115">
        <f>(53+60)/2</f>
        <v>56.5</v>
      </c>
      <c r="I115" t="b">
        <v>0</v>
      </c>
      <c r="J115" t="s">
        <v>33</v>
      </c>
      <c r="K115" t="s">
        <v>33</v>
      </c>
      <c r="L115">
        <v>26</v>
      </c>
      <c r="M115" s="4">
        <v>548</v>
      </c>
      <c r="N115" s="3">
        <f>IFERROR(AF115/((T115*X115/Y115)*O115*AI115),"NA")</f>
        <v>553.30575787548105</v>
      </c>
      <c r="O115">
        <v>2.5</v>
      </c>
      <c r="P115" t="s">
        <v>33</v>
      </c>
      <c r="Q115" s="8">
        <f t="shared" ref="Q115:Q142" si="68">IFERROR(X115/Z115, "NA")</f>
        <v>6.0827250608272501E-3</v>
      </c>
      <c r="R115" t="s">
        <v>183</v>
      </c>
      <c r="S115" t="s">
        <v>612</v>
      </c>
      <c r="T115" s="11">
        <v>6</v>
      </c>
      <c r="U115">
        <v>2.9</v>
      </c>
      <c r="V115">
        <v>2.2999999999999998</v>
      </c>
      <c r="W115" t="s">
        <v>33</v>
      </c>
      <c r="X115" s="8">
        <f t="shared" si="67"/>
        <v>1.204879322468025E-2</v>
      </c>
      <c r="Y115">
        <f>120/60</f>
        <v>2</v>
      </c>
      <c r="Z115" s="9">
        <f t="shared" si="60"/>
        <v>1.9808216061374333</v>
      </c>
      <c r="AA115">
        <v>3.3</v>
      </c>
      <c r="AB115" s="6">
        <f t="shared" si="66"/>
        <v>3.333333333333333</v>
      </c>
      <c r="AC115" t="str">
        <f t="shared" si="63"/>
        <v>NA</v>
      </c>
      <c r="AD115" s="4">
        <f>IFERROR(AB115*T115*AI115, "NA")</f>
        <v>20</v>
      </c>
      <c r="AE115">
        <f t="shared" si="61"/>
        <v>109.84999999999998</v>
      </c>
      <c r="AF115">
        <v>50</v>
      </c>
      <c r="AG115" t="str">
        <f>IFERROR((M115*O115*P115), "NA")</f>
        <v>NA</v>
      </c>
      <c r="AH115" t="str">
        <f>IFERROR((AG115*T115*AI115), "NA")</f>
        <v>NA</v>
      </c>
      <c r="AI115" s="11">
        <v>1</v>
      </c>
      <c r="AJ115" t="s">
        <v>31</v>
      </c>
      <c r="AK115">
        <v>3250</v>
      </c>
      <c r="AL115" t="s">
        <v>238</v>
      </c>
      <c r="AM115" t="s">
        <v>86</v>
      </c>
      <c r="AN115" t="s">
        <v>205</v>
      </c>
      <c r="AO115" t="s">
        <v>789</v>
      </c>
      <c r="AP115">
        <v>4.16</v>
      </c>
      <c r="AQ115" t="s">
        <v>33</v>
      </c>
      <c r="AR115" t="s">
        <v>33</v>
      </c>
      <c r="AS115" s="3">
        <f>LOG(3.8*10^6)</f>
        <v>6.5797835966168101</v>
      </c>
      <c r="AT115" s="3">
        <f>IFERROR(AS115-AU115,"NA")</f>
        <v>2.5497835966168099</v>
      </c>
      <c r="AU115" s="6">
        <v>4.03</v>
      </c>
      <c r="AV115" t="b">
        <v>1</v>
      </c>
      <c r="AW115" t="s">
        <v>123</v>
      </c>
      <c r="AX115" t="s">
        <v>88</v>
      </c>
      <c r="AY115" t="s">
        <v>518</v>
      </c>
      <c r="AZ115" t="s">
        <v>33</v>
      </c>
      <c r="BA115" s="18" t="s">
        <v>579</v>
      </c>
      <c r="BB115" t="b">
        <v>1</v>
      </c>
      <c r="BC115" t="s">
        <v>81</v>
      </c>
      <c r="BD115">
        <v>24</v>
      </c>
      <c r="BE115" t="s">
        <v>80</v>
      </c>
      <c r="BF115" s="11">
        <v>72</v>
      </c>
      <c r="BG115" t="s">
        <v>395</v>
      </c>
      <c r="BH115" t="s">
        <v>31</v>
      </c>
      <c r="BI115" t="s">
        <v>31</v>
      </c>
      <c r="BJ115">
        <f t="shared" si="64"/>
        <v>4.03</v>
      </c>
      <c r="BK115" s="3">
        <f t="shared" si="65"/>
        <v>0.60530504614110947</v>
      </c>
      <c r="BL115">
        <v>2</v>
      </c>
      <c r="BM115" s="3">
        <f>LOG(BO115)</f>
        <v>1.4354950151154195</v>
      </c>
      <c r="BN115" t="s">
        <v>33</v>
      </c>
      <c r="BO115" s="3">
        <f t="shared" si="44"/>
        <v>27.258064516129025</v>
      </c>
      <c r="BP115" t="s">
        <v>33</v>
      </c>
      <c r="BQ115" t="s">
        <v>33</v>
      </c>
      <c r="BR115" t="s">
        <v>33</v>
      </c>
      <c r="BS115" t="s">
        <v>33</v>
      </c>
      <c r="BT115" t="s">
        <v>32</v>
      </c>
      <c r="BU115" t="s">
        <v>84</v>
      </c>
      <c r="BV115">
        <v>2013</v>
      </c>
      <c r="BW115" t="s">
        <v>83</v>
      </c>
      <c r="BX115" t="s">
        <v>78</v>
      </c>
      <c r="BY115" t="s">
        <v>33</v>
      </c>
      <c r="BZ115" t="s">
        <v>33</v>
      </c>
      <c r="CA115" t="str">
        <f t="shared" si="46"/>
        <v>high acid</v>
      </c>
    </row>
    <row r="116" spans="1:79">
      <c r="A116" s="3" t="s">
        <v>280</v>
      </c>
      <c r="B116" t="s">
        <v>566</v>
      </c>
      <c r="C116" t="s">
        <v>563</v>
      </c>
      <c r="D116" s="3" t="s">
        <v>279</v>
      </c>
      <c r="E116" s="3" t="s">
        <v>77</v>
      </c>
      <c r="F116" t="s">
        <v>32</v>
      </c>
      <c r="G116" s="11">
        <v>10</v>
      </c>
      <c r="H116" s="11">
        <v>30</v>
      </c>
      <c r="I116" s="3" t="b">
        <v>0</v>
      </c>
      <c r="J116" s="3" t="s">
        <v>33</v>
      </c>
      <c r="K116" s="3" t="s">
        <v>33</v>
      </c>
      <c r="L116" s="11">
        <v>40</v>
      </c>
      <c r="M116" s="4">
        <v>1000</v>
      </c>
      <c r="N116" s="3">
        <f>IFERROR(AF116/((T116*X116/Y116)*O116*AI116),"NA")</f>
        <v>2526.2689379665921</v>
      </c>
      <c r="O116" s="3">
        <v>16</v>
      </c>
      <c r="P116" s="3" t="s">
        <v>33</v>
      </c>
      <c r="Q116" s="3">
        <f t="shared" si="68"/>
        <v>7.5000000000000011E-2</v>
      </c>
      <c r="R116" t="s">
        <v>183</v>
      </c>
      <c r="S116" t="s">
        <v>613</v>
      </c>
      <c r="T116" s="11">
        <v>1</v>
      </c>
      <c r="U116" s="3">
        <v>2.8</v>
      </c>
      <c r="V116" s="3">
        <v>3</v>
      </c>
      <c r="W116" s="3">
        <v>0.02</v>
      </c>
      <c r="X116" s="3">
        <f t="shared" si="67"/>
        <v>1.97920337176157E-2</v>
      </c>
      <c r="Y116" s="3">
        <f>40/60</f>
        <v>0.66666666666666663</v>
      </c>
      <c r="Z116" s="3">
        <f t="shared" si="60"/>
        <v>0.26389378290154264</v>
      </c>
      <c r="AA116" s="3" t="s">
        <v>33</v>
      </c>
      <c r="AB116" s="3">
        <f t="shared" si="66"/>
        <v>75</v>
      </c>
      <c r="AC116" s="3" t="str">
        <f t="shared" si="63"/>
        <v>NA</v>
      </c>
      <c r="AD116" s="4">
        <f>AB116*T116*AI116</f>
        <v>75</v>
      </c>
      <c r="AE116" s="3">
        <f t="shared" si="61"/>
        <v>384.00000000000006</v>
      </c>
      <c r="AF116" s="3">
        <v>1200</v>
      </c>
      <c r="AG116" s="3" t="str">
        <f>IFERROR((M116*O116*P116), "NA")</f>
        <v>NA</v>
      </c>
      <c r="AH116" s="3" t="str">
        <f>IFERROR((AG116*T116*AI116), "NA")</f>
        <v>NA</v>
      </c>
      <c r="AI116" s="3">
        <v>1</v>
      </c>
      <c r="AJ116" t="s">
        <v>31</v>
      </c>
      <c r="AK116" s="3">
        <v>200</v>
      </c>
      <c r="AL116" s="3" t="s">
        <v>281</v>
      </c>
      <c r="AM116" s="3" t="s">
        <v>103</v>
      </c>
      <c r="AN116" t="s">
        <v>130</v>
      </c>
      <c r="AO116" t="s">
        <v>795</v>
      </c>
      <c r="AP116" s="3" t="s">
        <v>33</v>
      </c>
      <c r="AQ116" s="3" t="s">
        <v>33</v>
      </c>
      <c r="AR116" s="3" t="s">
        <v>33</v>
      </c>
      <c r="AS116" s="3">
        <v>4.0880000000000001</v>
      </c>
      <c r="AT116" s="3">
        <f>IFERROR(AS116-AU116,"NA")</f>
        <v>2.5499999999999998</v>
      </c>
      <c r="AU116" s="6">
        <v>1.538</v>
      </c>
      <c r="AV116" s="3" t="b">
        <v>1</v>
      </c>
      <c r="AW116" s="3" t="s">
        <v>172</v>
      </c>
      <c r="AX116" s="3" t="s">
        <v>173</v>
      </c>
      <c r="AY116" s="3" t="s">
        <v>283</v>
      </c>
      <c r="AZ116" s="3" t="s">
        <v>33</v>
      </c>
      <c r="BA116" s="18" t="s">
        <v>799</v>
      </c>
      <c r="BB116" s="3" t="b">
        <v>0</v>
      </c>
      <c r="BC116" t="s">
        <v>81</v>
      </c>
      <c r="BD116" s="3">
        <v>2</v>
      </c>
      <c r="BE116" s="3" t="s">
        <v>252</v>
      </c>
      <c r="BF116" s="11">
        <v>72</v>
      </c>
      <c r="BG116" s="3" t="s">
        <v>574</v>
      </c>
      <c r="BH116" s="3" t="s">
        <v>31</v>
      </c>
      <c r="BI116" s="3" t="s">
        <v>31</v>
      </c>
      <c r="BJ116" s="3">
        <f t="shared" si="64"/>
        <v>1.538</v>
      </c>
      <c r="BK116" s="3">
        <f t="shared" si="65"/>
        <v>0.18695633546541224</v>
      </c>
      <c r="BL116" s="3">
        <v>2</v>
      </c>
      <c r="BM116" s="3">
        <f t="shared" ref="BM116:BM135" si="69">IFERROR(LOG(BO116),"NA")</f>
        <v>2.3973748889021187</v>
      </c>
      <c r="BN116" s="3" t="s">
        <v>33</v>
      </c>
      <c r="BO116" s="3">
        <f t="shared" si="44"/>
        <v>249.67490247074124</v>
      </c>
      <c r="BP116" s="3" t="s">
        <v>33</v>
      </c>
      <c r="BQ116" s="3" t="s">
        <v>33</v>
      </c>
      <c r="BR116" s="3" t="s">
        <v>33</v>
      </c>
      <c r="BS116" s="3" t="s">
        <v>33</v>
      </c>
      <c r="BT116" t="s">
        <v>31</v>
      </c>
      <c r="BU116" s="3" t="s">
        <v>247</v>
      </c>
      <c r="BV116" s="11">
        <v>2016</v>
      </c>
      <c r="BW116" s="3" t="s">
        <v>284</v>
      </c>
      <c r="BX116" t="s">
        <v>78</v>
      </c>
      <c r="BY116" s="3" t="s">
        <v>33</v>
      </c>
      <c r="BZ116" s="3" t="s">
        <v>282</v>
      </c>
      <c r="CA116" t="str">
        <f t="shared" si="46"/>
        <v>low acid</v>
      </c>
    </row>
    <row r="117" spans="1:79">
      <c r="A117" t="s">
        <v>581</v>
      </c>
      <c r="B117" t="s">
        <v>565</v>
      </c>
      <c r="C117" t="s">
        <v>563</v>
      </c>
      <c r="D117" t="s">
        <v>118</v>
      </c>
      <c r="E117" t="s">
        <v>77</v>
      </c>
      <c r="F117" t="s">
        <v>32</v>
      </c>
      <c r="G117">
        <v>5</v>
      </c>
      <c r="H117">
        <v>39.1</v>
      </c>
      <c r="I117" t="b">
        <v>0</v>
      </c>
      <c r="J117" t="s">
        <v>33</v>
      </c>
      <c r="K117" t="s">
        <v>33</v>
      </c>
      <c r="L117">
        <v>35</v>
      </c>
      <c r="M117" s="4">
        <v>100</v>
      </c>
      <c r="N117" t="e">
        <f>(#REF!*Y117)/(T117*X117*O117)</f>
        <v>#REF!</v>
      </c>
      <c r="O117">
        <v>4</v>
      </c>
      <c r="P117" t="s">
        <v>33</v>
      </c>
      <c r="Q117" s="1">
        <f t="shared" si="68"/>
        <v>0.39062499999999994</v>
      </c>
      <c r="R117" t="s">
        <v>183</v>
      </c>
      <c r="S117" t="s">
        <v>613</v>
      </c>
      <c r="T117">
        <v>8</v>
      </c>
      <c r="U117">
        <v>2.92</v>
      </c>
      <c r="V117">
        <v>2.2999999999999998</v>
      </c>
      <c r="W117">
        <v>1.21E-2</v>
      </c>
      <c r="X117">
        <f t="shared" si="67"/>
        <v>1.2131888350367701E-2</v>
      </c>
      <c r="Y117">
        <v>1.6666700000000001</v>
      </c>
      <c r="Z117" s="3">
        <f t="shared" si="60"/>
        <v>3.1057634176941316E-2</v>
      </c>
      <c r="AA117" t="s">
        <v>33</v>
      </c>
      <c r="AB117">
        <f t="shared" si="66"/>
        <v>39.0625</v>
      </c>
      <c r="AC117" s="1" t="str">
        <f t="shared" si="63"/>
        <v>NA</v>
      </c>
      <c r="AE117" s="3">
        <f t="shared" si="61"/>
        <v>8008.4374999999982</v>
      </c>
      <c r="AF117">
        <v>1250</v>
      </c>
      <c r="AG117" s="1" t="str">
        <f>IFERROR((N117*P117*Q117), "NA")</f>
        <v>NA</v>
      </c>
      <c r="AH117" s="1" t="str">
        <f>IFERROR((AG117*U117*AI117), "NA")</f>
        <v>NA</v>
      </c>
      <c r="AI117" s="1">
        <v>1</v>
      </c>
      <c r="AJ117" s="11" t="s">
        <v>31</v>
      </c>
      <c r="AK117">
        <v>5230</v>
      </c>
      <c r="AL117" t="s">
        <v>542</v>
      </c>
      <c r="AM117" t="s">
        <v>86</v>
      </c>
      <c r="AN117" t="s">
        <v>186</v>
      </c>
      <c r="AO117" t="s">
        <v>794</v>
      </c>
      <c r="AP117">
        <v>5.82</v>
      </c>
      <c r="AQ117" t="s">
        <v>33</v>
      </c>
      <c r="AR117" t="s">
        <v>33</v>
      </c>
      <c r="AS117">
        <v>7.5</v>
      </c>
      <c r="AT117">
        <f>AS117-AU117</f>
        <v>2.5700000000000003</v>
      </c>
      <c r="AU117" s="6">
        <v>4.93</v>
      </c>
      <c r="AV117" t="b">
        <v>1</v>
      </c>
      <c r="AW117" t="s">
        <v>617</v>
      </c>
      <c r="AX117" t="s">
        <v>618</v>
      </c>
      <c r="AY117" t="s">
        <v>33</v>
      </c>
      <c r="AZ117" t="s">
        <v>619</v>
      </c>
      <c r="BA117" s="18" t="s">
        <v>802</v>
      </c>
      <c r="BB117" s="3" t="b">
        <v>0</v>
      </c>
      <c r="BC117" t="s">
        <v>81</v>
      </c>
      <c r="BD117">
        <v>15</v>
      </c>
      <c r="BE117" t="s">
        <v>80</v>
      </c>
      <c r="BF117">
        <v>15</v>
      </c>
      <c r="BG117" t="s">
        <v>697</v>
      </c>
      <c r="BH117" t="s">
        <v>32</v>
      </c>
      <c r="BI117" t="s">
        <v>31</v>
      </c>
      <c r="BJ117">
        <f t="shared" si="64"/>
        <v>4.93</v>
      </c>
      <c r="BK117" s="3">
        <f t="shared" si="65"/>
        <v>0.69284691927722997</v>
      </c>
      <c r="BL117">
        <v>2</v>
      </c>
      <c r="BM117" s="3">
        <f t="shared" si="69"/>
        <v>3.210700871298652</v>
      </c>
      <c r="BN117" t="s">
        <v>33</v>
      </c>
      <c r="BO117" s="3">
        <f t="shared" si="44"/>
        <v>1624.4295131845838</v>
      </c>
      <c r="BP117" t="s">
        <v>33</v>
      </c>
      <c r="BQ117" t="s">
        <v>33</v>
      </c>
      <c r="BR117" t="s">
        <v>33</v>
      </c>
      <c r="BS117" t="s">
        <v>33</v>
      </c>
      <c r="BT117" t="s">
        <v>31</v>
      </c>
      <c r="BU117" t="s">
        <v>219</v>
      </c>
      <c r="BV117" s="14">
        <v>2007</v>
      </c>
      <c r="BW117" s="2" t="s">
        <v>648</v>
      </c>
      <c r="BX117" t="s">
        <v>78</v>
      </c>
      <c r="BY117" s="13" t="s">
        <v>671</v>
      </c>
      <c r="CA117" t="str">
        <f t="shared" si="46"/>
        <v>low acid</v>
      </c>
    </row>
    <row r="118" spans="1:79">
      <c r="A118" t="s">
        <v>596</v>
      </c>
      <c r="B118" t="s">
        <v>565</v>
      </c>
      <c r="C118" t="s">
        <v>563</v>
      </c>
      <c r="D118" t="s">
        <v>610</v>
      </c>
      <c r="E118" t="s">
        <v>77</v>
      </c>
      <c r="F118" t="s">
        <v>33</v>
      </c>
      <c r="G118">
        <v>20</v>
      </c>
      <c r="H118" t="s">
        <v>33</v>
      </c>
      <c r="I118" t="b">
        <v>0</v>
      </c>
      <c r="J118">
        <v>12000</v>
      </c>
      <c r="K118" t="s">
        <v>33</v>
      </c>
      <c r="L118">
        <v>30</v>
      </c>
      <c r="M118" s="4">
        <v>16</v>
      </c>
      <c r="N118" t="e">
        <f>(#REF!*Y118)/(T118*X118*O118)</f>
        <v>#REF!</v>
      </c>
      <c r="O118">
        <v>5</v>
      </c>
      <c r="P118" t="s">
        <v>33</v>
      </c>
      <c r="Q118" s="1">
        <f t="shared" si="68"/>
        <v>0.93750000000000011</v>
      </c>
      <c r="R118" t="s">
        <v>183</v>
      </c>
      <c r="S118" t="s">
        <v>613</v>
      </c>
      <c r="T118">
        <v>1</v>
      </c>
      <c r="U118">
        <v>4</v>
      </c>
      <c r="V118">
        <v>4</v>
      </c>
      <c r="W118" t="s">
        <v>33</v>
      </c>
      <c r="X118">
        <f t="shared" si="67"/>
        <v>5.02654824574367E-2</v>
      </c>
      <c r="Y118">
        <v>0.106667</v>
      </c>
      <c r="Z118" s="3">
        <f t="shared" si="60"/>
        <v>5.3616514621265807E-2</v>
      </c>
      <c r="AA118" t="s">
        <v>33</v>
      </c>
      <c r="AB118">
        <f t="shared" si="66"/>
        <v>15.000000000000002</v>
      </c>
      <c r="AC118" s="1" t="str">
        <f t="shared" si="63"/>
        <v>NA</v>
      </c>
      <c r="AE118" s="3">
        <f t="shared" si="61"/>
        <v>135.00000000000003</v>
      </c>
      <c r="AF118">
        <v>75</v>
      </c>
      <c r="AG118" s="1" t="str">
        <f>IFERROR((N118*P118*Q118), "NA")</f>
        <v>NA</v>
      </c>
      <c r="AH118" s="1" t="str">
        <f>IFERROR((AG118*U118*AI118), "NA")</f>
        <v>NA</v>
      </c>
      <c r="AI118" s="1">
        <v>1</v>
      </c>
      <c r="AJ118" s="11" t="s">
        <v>31</v>
      </c>
      <c r="AK118">
        <v>2000</v>
      </c>
      <c r="AL118" t="s">
        <v>149</v>
      </c>
      <c r="AM118" t="s">
        <v>86</v>
      </c>
      <c r="AN118" t="s">
        <v>205</v>
      </c>
      <c r="AO118" t="s">
        <v>789</v>
      </c>
      <c r="AP118" t="s">
        <v>33</v>
      </c>
      <c r="AQ118" t="s">
        <v>33</v>
      </c>
      <c r="AR118" t="s">
        <v>33</v>
      </c>
      <c r="AS118">
        <f>AVERAGE(6,8)</f>
        <v>7</v>
      </c>
      <c r="AT118">
        <f>AS118-AU118</f>
        <v>2.58</v>
      </c>
      <c r="AU118" s="6">
        <v>4.42</v>
      </c>
      <c r="AV118" t="b">
        <v>1</v>
      </c>
      <c r="AW118" t="s">
        <v>626</v>
      </c>
      <c r="AX118" t="s">
        <v>627</v>
      </c>
      <c r="AY118" t="s">
        <v>634</v>
      </c>
      <c r="AZ118" t="s">
        <v>33</v>
      </c>
      <c r="BA118" s="18" t="s">
        <v>800</v>
      </c>
      <c r="BB118" s="3" t="b">
        <v>0</v>
      </c>
      <c r="BC118" t="s">
        <v>81</v>
      </c>
      <c r="BD118">
        <v>18</v>
      </c>
      <c r="BE118" t="s">
        <v>80</v>
      </c>
      <c r="BF118">
        <v>24</v>
      </c>
      <c r="BG118" t="s">
        <v>644</v>
      </c>
      <c r="BH118" t="s">
        <v>31</v>
      </c>
      <c r="BI118" t="s">
        <v>31</v>
      </c>
      <c r="BJ118">
        <f t="shared" si="64"/>
        <v>4.42</v>
      </c>
      <c r="BK118" s="3">
        <f t="shared" si="65"/>
        <v>0.64542226934909186</v>
      </c>
      <c r="BL118">
        <v>2</v>
      </c>
      <c r="BM118" s="3">
        <f t="shared" si="69"/>
        <v>1.4849114991459142</v>
      </c>
      <c r="BN118" t="s">
        <v>33</v>
      </c>
      <c r="BO118" s="3">
        <f t="shared" si="44"/>
        <v>30.542986425339372</v>
      </c>
      <c r="BP118" t="s">
        <v>33</v>
      </c>
      <c r="BQ118" t="s">
        <v>33</v>
      </c>
      <c r="BR118" t="s">
        <v>33</v>
      </c>
      <c r="BS118" t="s">
        <v>33</v>
      </c>
      <c r="BT118" t="s">
        <v>32</v>
      </c>
      <c r="BU118" t="s">
        <v>661</v>
      </c>
      <c r="BV118">
        <v>2013</v>
      </c>
      <c r="BW118" t="s">
        <v>662</v>
      </c>
      <c r="BX118" s="13" t="s">
        <v>663</v>
      </c>
      <c r="BY118" s="13" t="s">
        <v>684</v>
      </c>
      <c r="CA118" t="str">
        <f t="shared" si="46"/>
        <v>high acid</v>
      </c>
    </row>
    <row r="119" spans="1:79">
      <c r="A119" t="s">
        <v>589</v>
      </c>
      <c r="B119" t="s">
        <v>566</v>
      </c>
      <c r="C119" t="s">
        <v>563</v>
      </c>
      <c r="D119" t="s">
        <v>33</v>
      </c>
      <c r="E119" t="s">
        <v>77</v>
      </c>
      <c r="F119" t="s">
        <v>33</v>
      </c>
      <c r="G119" t="s">
        <v>33</v>
      </c>
      <c r="H119">
        <v>35</v>
      </c>
      <c r="I119" t="b">
        <v>0</v>
      </c>
      <c r="J119" t="s">
        <v>33</v>
      </c>
      <c r="K119" t="s">
        <v>33</v>
      </c>
      <c r="L119">
        <v>25</v>
      </c>
      <c r="M119" s="4">
        <v>1</v>
      </c>
      <c r="N119" t="e">
        <f>(#REF!*Y119)/(T119*X119*O119)</f>
        <v>#REF!</v>
      </c>
      <c r="O119">
        <v>2</v>
      </c>
      <c r="P119" t="s">
        <v>33</v>
      </c>
      <c r="Q119" s="1">
        <f t="shared" si="68"/>
        <v>698.5</v>
      </c>
      <c r="R119" t="s">
        <v>183</v>
      </c>
      <c r="S119" t="s">
        <v>613</v>
      </c>
      <c r="T119">
        <v>1</v>
      </c>
      <c r="U119">
        <v>2.5</v>
      </c>
      <c r="V119" t="s">
        <v>33</v>
      </c>
      <c r="W119">
        <v>0.50249999999999995</v>
      </c>
      <c r="X119">
        <f>W119</f>
        <v>0.50249999999999995</v>
      </c>
      <c r="Y119" t="s">
        <v>33</v>
      </c>
      <c r="Z119" s="3">
        <f t="shared" si="60"/>
        <v>7.1939871152469572E-4</v>
      </c>
      <c r="AA119" t="s">
        <v>33</v>
      </c>
      <c r="AB119">
        <f t="shared" si="66"/>
        <v>698.5</v>
      </c>
      <c r="AC119" s="1" t="str">
        <f t="shared" si="63"/>
        <v>NA</v>
      </c>
      <c r="AE119" s="3">
        <f t="shared" si="61"/>
        <v>1746.25</v>
      </c>
      <c r="AF119">
        <v>1397</v>
      </c>
      <c r="AG119" s="1" t="str">
        <f>IFERROR((N119*P119*Q119), "NA")</f>
        <v>NA</v>
      </c>
      <c r="AH119" s="1" t="str">
        <f>IFERROR((AG119*U119*AI119), "NA")</f>
        <v>NA</v>
      </c>
      <c r="AI119" s="1">
        <v>1</v>
      </c>
      <c r="AJ119" s="11" t="s">
        <v>31</v>
      </c>
      <c r="AK119">
        <v>2000</v>
      </c>
      <c r="AL119" t="s">
        <v>616</v>
      </c>
      <c r="AM119" s="3" t="s">
        <v>103</v>
      </c>
      <c r="AN119" t="s">
        <v>130</v>
      </c>
      <c r="AO119" t="s">
        <v>795</v>
      </c>
      <c r="AP119">
        <v>7</v>
      </c>
      <c r="AQ119" t="s">
        <v>33</v>
      </c>
      <c r="AR119" t="s">
        <v>33</v>
      </c>
      <c r="AS119">
        <v>9</v>
      </c>
      <c r="AT119">
        <f>AS119-AU119</f>
        <v>2.6100000000000003</v>
      </c>
      <c r="AU119" s="6">
        <v>6.39</v>
      </c>
      <c r="AV119" t="b">
        <v>1</v>
      </c>
      <c r="AW119" t="s">
        <v>617</v>
      </c>
      <c r="AX119" t="s">
        <v>33</v>
      </c>
      <c r="AY119" t="s">
        <v>628</v>
      </c>
      <c r="AZ119" t="s">
        <v>619</v>
      </c>
      <c r="BA119" s="18" t="s">
        <v>802</v>
      </c>
      <c r="BB119" s="3" t="b">
        <v>0</v>
      </c>
      <c r="BC119" t="s">
        <v>81</v>
      </c>
      <c r="BD119">
        <v>24</v>
      </c>
      <c r="BE119" t="s">
        <v>80</v>
      </c>
      <c r="BF119">
        <v>24</v>
      </c>
      <c r="BG119" t="s">
        <v>644</v>
      </c>
      <c r="BH119" t="s">
        <v>31</v>
      </c>
      <c r="BI119" t="s">
        <v>32</v>
      </c>
      <c r="BJ119">
        <f t="shared" si="64"/>
        <v>6.39</v>
      </c>
      <c r="BK119" s="3">
        <f t="shared" si="65"/>
        <v>0.80550085815840011</v>
      </c>
      <c r="BL119">
        <v>2</v>
      </c>
      <c r="BM119" s="3">
        <f t="shared" si="69"/>
        <v>2.4366055609638382</v>
      </c>
      <c r="BN119" t="s">
        <v>33</v>
      </c>
      <c r="BO119" s="3">
        <f t="shared" si="44"/>
        <v>273.27856025039125</v>
      </c>
      <c r="BP119" t="s">
        <v>33</v>
      </c>
      <c r="BQ119" t="s">
        <v>33</v>
      </c>
      <c r="BR119" t="s">
        <v>33</v>
      </c>
      <c r="BS119" t="s">
        <v>33</v>
      </c>
      <c r="BT119" t="s">
        <v>31</v>
      </c>
      <c r="BU119" s="15" t="s">
        <v>655</v>
      </c>
      <c r="BV119">
        <v>2003</v>
      </c>
      <c r="BW119" t="s">
        <v>656</v>
      </c>
      <c r="BX119" t="s">
        <v>78</v>
      </c>
      <c r="BY119" s="13" t="s">
        <v>677</v>
      </c>
      <c r="CA119" t="str">
        <f t="shared" si="46"/>
        <v>low acid</v>
      </c>
    </row>
    <row r="120" spans="1:79">
      <c r="A120" t="s">
        <v>153</v>
      </c>
      <c r="B120" t="s">
        <v>565</v>
      </c>
      <c r="C120" t="s">
        <v>563</v>
      </c>
      <c r="D120" t="s">
        <v>118</v>
      </c>
      <c r="E120" t="s">
        <v>77</v>
      </c>
      <c r="F120" t="s">
        <v>32</v>
      </c>
      <c r="G120">
        <v>5</v>
      </c>
      <c r="H120">
        <v>50</v>
      </c>
      <c r="I120" t="b">
        <v>0</v>
      </c>
      <c r="J120" t="s">
        <v>33</v>
      </c>
      <c r="K120" t="s">
        <v>33</v>
      </c>
      <c r="L120">
        <v>30</v>
      </c>
      <c r="M120" s="4">
        <v>1500</v>
      </c>
      <c r="N120" s="3">
        <f>IFERROR(AF120/((T120*X120/Y120)*O120*AI120),"NA")</f>
        <v>1500.8418682372421</v>
      </c>
      <c r="O120">
        <v>2</v>
      </c>
      <c r="P120" t="s">
        <v>33</v>
      </c>
      <c r="Q120" s="8">
        <f t="shared" si="68"/>
        <v>1.2055555555555557E-2</v>
      </c>
      <c r="R120" t="s">
        <v>183</v>
      </c>
      <c r="S120" t="s">
        <v>613</v>
      </c>
      <c r="T120" s="11">
        <v>6</v>
      </c>
      <c r="U120">
        <v>2.9</v>
      </c>
      <c r="V120">
        <v>2.2999999999999998</v>
      </c>
      <c r="W120" t="s">
        <v>33</v>
      </c>
      <c r="X120" s="8">
        <f>IFERROR(((PI())*(((V120*10^-1)/2)^2)*(U120*10^-1)), "NA")</f>
        <v>1.204879322468025E-2</v>
      </c>
      <c r="Y120" s="6">
        <f>60/60</f>
        <v>1</v>
      </c>
      <c r="Z120" s="3">
        <f t="shared" si="60"/>
        <v>0.99943906932831561</v>
      </c>
      <c r="AA120" t="s">
        <v>33</v>
      </c>
      <c r="AB120" s="6">
        <f t="shared" si="66"/>
        <v>18.083333333333336</v>
      </c>
      <c r="AC120" t="str">
        <f t="shared" si="63"/>
        <v>NA</v>
      </c>
      <c r="AD120" s="4">
        <f>AB120*T120*AI120</f>
        <v>108.50000000000001</v>
      </c>
      <c r="AE120" s="3">
        <f t="shared" si="61"/>
        <v>314.04240000000004</v>
      </c>
      <c r="AF120">
        <v>217</v>
      </c>
      <c r="AG120" t="str">
        <f>IFERROR((M120*O120*P120), "NA")</f>
        <v>NA</v>
      </c>
      <c r="AH120" t="str">
        <f>IFERROR((AG120*T120*AI120), "NA")</f>
        <v>NA</v>
      </c>
      <c r="AI120">
        <v>1</v>
      </c>
      <c r="AJ120" t="s">
        <v>31</v>
      </c>
      <c r="AK120">
        <v>1608</v>
      </c>
      <c r="AL120" t="s">
        <v>149</v>
      </c>
      <c r="AM120" t="s">
        <v>86</v>
      </c>
      <c r="AN120" t="s">
        <v>205</v>
      </c>
      <c r="AO120" t="s">
        <v>789</v>
      </c>
      <c r="AP120">
        <v>3.41</v>
      </c>
      <c r="AQ120" t="s">
        <v>33</v>
      </c>
      <c r="AR120" t="s">
        <v>33</v>
      </c>
      <c r="AS120" s="3">
        <v>9</v>
      </c>
      <c r="AT120" s="3">
        <f>IFERROR(AS120-AU120,"NA")</f>
        <v>2.62</v>
      </c>
      <c r="AU120" s="6">
        <v>6.38</v>
      </c>
      <c r="AV120" t="b">
        <v>1</v>
      </c>
      <c r="AW120" t="s">
        <v>29</v>
      </c>
      <c r="AX120" t="s">
        <v>30</v>
      </c>
      <c r="AY120" t="s">
        <v>33</v>
      </c>
      <c r="AZ120" t="s">
        <v>134</v>
      </c>
      <c r="BA120" s="18" t="s">
        <v>798</v>
      </c>
      <c r="BB120" t="b">
        <v>0</v>
      </c>
      <c r="BC120" t="s">
        <v>81</v>
      </c>
      <c r="BD120">
        <f>18</f>
        <v>18</v>
      </c>
      <c r="BE120" t="s">
        <v>80</v>
      </c>
      <c r="BF120" s="11">
        <v>24</v>
      </c>
      <c r="BG120" t="s">
        <v>262</v>
      </c>
      <c r="BH120" t="s">
        <v>31</v>
      </c>
      <c r="BI120" t="s">
        <v>32</v>
      </c>
      <c r="BJ120" s="3">
        <f t="shared" si="64"/>
        <v>6.38</v>
      </c>
      <c r="BK120" s="3">
        <f t="shared" si="65"/>
        <v>0.80482067872116236</v>
      </c>
      <c r="BL120">
        <v>2</v>
      </c>
      <c r="BM120" s="3">
        <f t="shared" si="69"/>
        <v>1.6921676089791247</v>
      </c>
      <c r="BN120" t="s">
        <v>33</v>
      </c>
      <c r="BO120" s="3">
        <f t="shared" si="44"/>
        <v>49.222946708463958</v>
      </c>
      <c r="BP120" t="s">
        <v>33</v>
      </c>
      <c r="BQ120" t="s">
        <v>33</v>
      </c>
      <c r="BR120" t="s">
        <v>33</v>
      </c>
      <c r="BS120" t="s">
        <v>33</v>
      </c>
      <c r="BT120" t="s">
        <v>31</v>
      </c>
      <c r="BU120" t="s">
        <v>190</v>
      </c>
      <c r="BV120">
        <v>2021</v>
      </c>
      <c r="BW120" s="5" t="s">
        <v>191</v>
      </c>
      <c r="BX120" t="s">
        <v>78</v>
      </c>
      <c r="BY120" t="s">
        <v>33</v>
      </c>
      <c r="BZ120" t="s">
        <v>150</v>
      </c>
      <c r="CA120" t="str">
        <f t="shared" si="46"/>
        <v>high acid</v>
      </c>
    </row>
    <row r="121" spans="1:79">
      <c r="A121" t="s">
        <v>502</v>
      </c>
      <c r="B121" t="s">
        <v>565</v>
      </c>
      <c r="C121" t="s">
        <v>563</v>
      </c>
      <c r="D121" t="s">
        <v>118</v>
      </c>
      <c r="E121" t="s">
        <v>77</v>
      </c>
      <c r="F121" t="s">
        <v>32</v>
      </c>
      <c r="G121">
        <v>4</v>
      </c>
      <c r="H121">
        <v>40</v>
      </c>
      <c r="I121" t="b">
        <v>0</v>
      </c>
      <c r="J121" t="s">
        <v>33</v>
      </c>
      <c r="K121" t="s">
        <v>33</v>
      </c>
      <c r="L121">
        <v>35</v>
      </c>
      <c r="M121" s="4">
        <v>200</v>
      </c>
      <c r="N121" s="3" t="str">
        <f>IFERROR(AF121/((T121*X121/Y121)*O121*AI121),"NA")</f>
        <v>NA</v>
      </c>
      <c r="O121">
        <v>4</v>
      </c>
      <c r="P121" s="9" t="s">
        <v>33</v>
      </c>
      <c r="Q121" s="8">
        <f t="shared" si="68"/>
        <v>0.3125</v>
      </c>
      <c r="R121" t="s">
        <v>183</v>
      </c>
      <c r="S121" t="s">
        <v>613</v>
      </c>
      <c r="T121" s="11">
        <v>8</v>
      </c>
      <c r="U121">
        <v>2.92</v>
      </c>
      <c r="V121">
        <v>2.2999999999999998</v>
      </c>
      <c r="W121">
        <v>1.21E-2</v>
      </c>
      <c r="X121" s="9">
        <f>IFERROR(((PI())*(((V121*10^-1)/2)^2)*(U121*10^-1)), "NA")</f>
        <v>1.2131888350367701E-2</v>
      </c>
      <c r="Y121" s="6" t="s">
        <v>33</v>
      </c>
      <c r="Z121" s="3">
        <f t="shared" si="60"/>
        <v>3.882204272117664E-2</v>
      </c>
      <c r="AA121" t="s">
        <v>33</v>
      </c>
      <c r="AB121" s="4" t="str">
        <f>IFERROR(((X121*M121)/Y121), "NA")</f>
        <v>NA</v>
      </c>
      <c r="AC121" s="4" t="str">
        <f t="shared" si="63"/>
        <v>NA</v>
      </c>
      <c r="AD121" s="4" t="e">
        <f>AB121*T121*AI121</f>
        <v>#VALUE!</v>
      </c>
      <c r="AE121" s="3">
        <f t="shared" si="61"/>
        <v>9261</v>
      </c>
      <c r="AF121">
        <v>2000</v>
      </c>
      <c r="AG121" s="4" t="str">
        <f>IFERROR((M121*O121*P121), "NA")</f>
        <v>NA</v>
      </c>
      <c r="AH121" s="4" t="str">
        <f>IFERROR((AG121*T121*AI121), "NA")</f>
        <v>NA</v>
      </c>
      <c r="AI121">
        <v>1</v>
      </c>
      <c r="AJ121" t="s">
        <v>31</v>
      </c>
      <c r="AK121">
        <v>3780</v>
      </c>
      <c r="AL121" t="s">
        <v>552</v>
      </c>
      <c r="AM121" t="s">
        <v>86</v>
      </c>
      <c r="AN121" t="s">
        <v>205</v>
      </c>
      <c r="AO121" t="s">
        <v>789</v>
      </c>
      <c r="AP121">
        <v>3.32</v>
      </c>
      <c r="AQ121" t="s">
        <v>33</v>
      </c>
      <c r="AR121" t="s">
        <v>33</v>
      </c>
      <c r="AS121" s="6">
        <f>LOG((10^7+10^8)/2)</f>
        <v>7.7403626894942441</v>
      </c>
      <c r="AT121" s="3">
        <f>IFERROR(AS121-AU121,"NA")</f>
        <v>2.6263626894942442</v>
      </c>
      <c r="AU121" s="6">
        <v>5.1139999999999999</v>
      </c>
      <c r="AV121" t="b">
        <v>1</v>
      </c>
      <c r="AW121" t="s">
        <v>92</v>
      </c>
      <c r="AX121" t="s">
        <v>119</v>
      </c>
      <c r="AY121" t="s">
        <v>425</v>
      </c>
      <c r="AZ121" t="s">
        <v>33</v>
      </c>
      <c r="BA121" s="18" t="s">
        <v>801</v>
      </c>
      <c r="BB121" t="b">
        <v>0</v>
      </c>
      <c r="BC121" t="s">
        <v>81</v>
      </c>
      <c r="BD121">
        <v>15</v>
      </c>
      <c r="BE121" t="s">
        <v>80</v>
      </c>
      <c r="BF121" s="11">
        <v>36</v>
      </c>
      <c r="BG121" t="s">
        <v>573</v>
      </c>
      <c r="BH121" t="s">
        <v>31</v>
      </c>
      <c r="BI121" t="s">
        <v>32</v>
      </c>
      <c r="BJ121" s="3">
        <f t="shared" si="64"/>
        <v>5.1139999999999999</v>
      </c>
      <c r="BK121" s="3">
        <f t="shared" si="65"/>
        <v>0.70876072369031662</v>
      </c>
      <c r="BL121">
        <v>2</v>
      </c>
      <c r="BM121" s="3">
        <f t="shared" si="69"/>
        <v>3.2578971605114413</v>
      </c>
      <c r="BN121" t="s">
        <v>33</v>
      </c>
      <c r="BO121" s="3">
        <f t="shared" si="44"/>
        <v>1810.9112240907314</v>
      </c>
      <c r="BP121" t="s">
        <v>33</v>
      </c>
      <c r="BQ121" t="s">
        <v>33</v>
      </c>
      <c r="BR121" t="s">
        <v>33</v>
      </c>
      <c r="BS121" t="s">
        <v>33</v>
      </c>
      <c r="BT121" t="s">
        <v>31</v>
      </c>
      <c r="BU121" t="s">
        <v>503</v>
      </c>
      <c r="BV121">
        <v>2011</v>
      </c>
      <c r="BW121" t="s">
        <v>504</v>
      </c>
      <c r="BX121" t="s">
        <v>78</v>
      </c>
      <c r="BY121" t="s">
        <v>33</v>
      </c>
      <c r="BZ121" t="s">
        <v>33</v>
      </c>
      <c r="CA121" t="str">
        <f t="shared" si="46"/>
        <v>high acid</v>
      </c>
    </row>
    <row r="122" spans="1:79">
      <c r="A122" t="s">
        <v>580</v>
      </c>
      <c r="B122" t="s">
        <v>565</v>
      </c>
      <c r="C122" t="s">
        <v>563</v>
      </c>
      <c r="D122" t="s">
        <v>118</v>
      </c>
      <c r="E122" t="s">
        <v>77</v>
      </c>
      <c r="F122" t="s">
        <v>32</v>
      </c>
      <c r="G122">
        <v>22</v>
      </c>
      <c r="H122">
        <v>40</v>
      </c>
      <c r="I122" t="b">
        <v>0</v>
      </c>
      <c r="J122">
        <v>10220</v>
      </c>
      <c r="K122">
        <v>34.78</v>
      </c>
      <c r="L122">
        <v>35</v>
      </c>
      <c r="M122" s="4">
        <v>250</v>
      </c>
      <c r="N122" t="e">
        <f>(#REF!*Y122)/(T122*X122*O122)</f>
        <v>#REF!</v>
      </c>
      <c r="O122">
        <v>4</v>
      </c>
      <c r="P122">
        <f>AVERAGE(0.0066, 0.0091)</f>
        <v>7.8499999999999993E-3</v>
      </c>
      <c r="Q122" s="1">
        <f t="shared" si="68"/>
        <v>0.25</v>
      </c>
      <c r="R122" t="s">
        <v>183</v>
      </c>
      <c r="S122" t="s">
        <v>613</v>
      </c>
      <c r="T122">
        <v>8</v>
      </c>
      <c r="U122">
        <v>2.92</v>
      </c>
      <c r="V122">
        <v>2.2999999999999998</v>
      </c>
      <c r="W122">
        <v>1.21E-2</v>
      </c>
      <c r="X122">
        <f t="shared" ref="X122:X127" si="70">IFERROR(((PI())*(((V122*10^-1)/2)^2)*(U122*10^-1)), "NA")</f>
        <v>1.2131888350367701E-2</v>
      </c>
      <c r="Y122">
        <v>1.5</v>
      </c>
      <c r="Z122" s="3">
        <f t="shared" si="60"/>
        <v>4.8527553401470802E-2</v>
      </c>
      <c r="AA122" t="s">
        <v>33</v>
      </c>
      <c r="AB122">
        <f>IFERROR(((X122*M122)/Z122), "NA")</f>
        <v>62.5</v>
      </c>
      <c r="AC122" s="1">
        <f t="shared" si="63"/>
        <v>1.9624999999999999</v>
      </c>
      <c r="AE122" s="3">
        <f t="shared" si="61"/>
        <v>7325.5</v>
      </c>
      <c r="AF122">
        <v>2000</v>
      </c>
      <c r="AG122" s="1" t="str">
        <f>IFERROR((N122*P122*Q122), "NA")</f>
        <v>NA</v>
      </c>
      <c r="AH122" s="1" t="str">
        <f>IFERROR((AG122*U122*AI122), "NA")</f>
        <v>NA</v>
      </c>
      <c r="AI122" s="1">
        <v>1</v>
      </c>
      <c r="AJ122" s="11" t="s">
        <v>31</v>
      </c>
      <c r="AK122">
        <v>2990</v>
      </c>
      <c r="AL122" t="s">
        <v>544</v>
      </c>
      <c r="AM122" t="s">
        <v>86</v>
      </c>
      <c r="AN122" t="s">
        <v>205</v>
      </c>
      <c r="AO122" t="s">
        <v>789</v>
      </c>
      <c r="AP122">
        <v>4.4000000000000004</v>
      </c>
      <c r="AQ122" t="s">
        <v>33</v>
      </c>
      <c r="AR122" t="s">
        <v>33</v>
      </c>
      <c r="AS122">
        <v>7.5</v>
      </c>
      <c r="AT122">
        <f>AS122-AU122</f>
        <v>2.63</v>
      </c>
      <c r="AU122" s="6">
        <v>4.87</v>
      </c>
      <c r="AV122" t="b">
        <v>1</v>
      </c>
      <c r="AW122" t="s">
        <v>617</v>
      </c>
      <c r="AX122" t="s">
        <v>33</v>
      </c>
      <c r="AY122" t="s">
        <v>33</v>
      </c>
      <c r="AZ122" t="s">
        <v>619</v>
      </c>
      <c r="BA122" s="18" t="s">
        <v>802</v>
      </c>
      <c r="BB122" s="3" t="b">
        <v>0</v>
      </c>
      <c r="BC122" t="s">
        <v>81</v>
      </c>
      <c r="BD122">
        <v>15</v>
      </c>
      <c r="BE122" t="s">
        <v>80</v>
      </c>
      <c r="BF122">
        <v>24</v>
      </c>
      <c r="BG122" t="s">
        <v>697</v>
      </c>
      <c r="BH122" t="s">
        <v>32</v>
      </c>
      <c r="BI122" t="s">
        <v>31</v>
      </c>
      <c r="BJ122">
        <f t="shared" si="64"/>
        <v>4.87</v>
      </c>
      <c r="BK122" s="3">
        <f t="shared" si="65"/>
        <v>0.68752896121463436</v>
      </c>
      <c r="BL122">
        <v>2</v>
      </c>
      <c r="BM122" s="3">
        <f t="shared" si="69"/>
        <v>3.1773083114743277</v>
      </c>
      <c r="BN122" t="s">
        <v>33</v>
      </c>
      <c r="BO122" s="3">
        <f t="shared" si="44"/>
        <v>1504.2094455852155</v>
      </c>
      <c r="BP122" t="s">
        <v>33</v>
      </c>
      <c r="BQ122" t="s">
        <v>33</v>
      </c>
      <c r="BR122" t="s">
        <v>33</v>
      </c>
      <c r="BS122" t="s">
        <v>33</v>
      </c>
      <c r="BT122" t="s">
        <v>31</v>
      </c>
      <c r="BU122" t="s">
        <v>219</v>
      </c>
      <c r="BV122" s="14">
        <v>2008</v>
      </c>
      <c r="BW122" t="s">
        <v>257</v>
      </c>
      <c r="BX122" t="s">
        <v>78</v>
      </c>
      <c r="BY122" s="13" t="s">
        <v>670</v>
      </c>
      <c r="CA122" t="str">
        <f t="shared" si="46"/>
        <v>high acid</v>
      </c>
    </row>
    <row r="123" spans="1:79">
      <c r="A123" s="3" t="s">
        <v>280</v>
      </c>
      <c r="B123" t="s">
        <v>566</v>
      </c>
      <c r="C123" t="s">
        <v>563</v>
      </c>
      <c r="D123" s="3" t="s">
        <v>279</v>
      </c>
      <c r="E123" s="3" t="s">
        <v>77</v>
      </c>
      <c r="F123" t="s">
        <v>32</v>
      </c>
      <c r="G123" s="11">
        <v>10</v>
      </c>
      <c r="H123" s="11">
        <v>30</v>
      </c>
      <c r="I123" s="3" t="b">
        <v>0</v>
      </c>
      <c r="J123" s="3" t="s">
        <v>33</v>
      </c>
      <c r="K123" s="3" t="s">
        <v>33</v>
      </c>
      <c r="L123" s="11">
        <v>40</v>
      </c>
      <c r="M123" s="4">
        <v>1000</v>
      </c>
      <c r="N123" s="3">
        <f>IFERROR(AF123/((T123*X123/Y123)*O123*AI123),"NA")</f>
        <v>2526.2689379665921</v>
      </c>
      <c r="O123" s="3">
        <v>16</v>
      </c>
      <c r="P123" s="3" t="s">
        <v>33</v>
      </c>
      <c r="Q123" s="3">
        <f t="shared" si="68"/>
        <v>7.5000000000000011E-2</v>
      </c>
      <c r="R123" t="s">
        <v>183</v>
      </c>
      <c r="S123" t="s">
        <v>613</v>
      </c>
      <c r="T123" s="11">
        <v>1</v>
      </c>
      <c r="U123" s="3">
        <v>2.8</v>
      </c>
      <c r="V123" s="3">
        <v>3</v>
      </c>
      <c r="W123" s="3">
        <v>0.02</v>
      </c>
      <c r="X123" s="3">
        <f t="shared" si="70"/>
        <v>1.97920337176157E-2</v>
      </c>
      <c r="Y123" s="3">
        <f>40/60</f>
        <v>0.66666666666666663</v>
      </c>
      <c r="Z123" s="3">
        <f t="shared" si="60"/>
        <v>0.26389378290154264</v>
      </c>
      <c r="AA123" s="3" t="s">
        <v>33</v>
      </c>
      <c r="AB123" s="3">
        <f>IFERROR(((X123*M123)/Z123), "NA")</f>
        <v>75</v>
      </c>
      <c r="AC123" s="3" t="str">
        <f t="shared" si="63"/>
        <v>NA</v>
      </c>
      <c r="AD123" s="4">
        <f>IFERROR(AB123*T123*AI123, "NA")</f>
        <v>75</v>
      </c>
      <c r="AE123" s="3">
        <f t="shared" si="61"/>
        <v>192.00000000000003</v>
      </c>
      <c r="AF123" s="3">
        <v>1200</v>
      </c>
      <c r="AG123" s="3" t="str">
        <f>IFERROR((M123*O123*P123), "NA")</f>
        <v>NA</v>
      </c>
      <c r="AH123" s="3" t="str">
        <f>IFERROR((AG123*T123*AI123), "NA")</f>
        <v>NA</v>
      </c>
      <c r="AI123" s="11">
        <v>1</v>
      </c>
      <c r="AJ123" t="s">
        <v>31</v>
      </c>
      <c r="AK123" s="11">
        <v>100</v>
      </c>
      <c r="AL123" s="3" t="s">
        <v>526</v>
      </c>
      <c r="AM123" s="3" t="s">
        <v>103</v>
      </c>
      <c r="AN123" t="s">
        <v>130</v>
      </c>
      <c r="AO123" t="s">
        <v>795</v>
      </c>
      <c r="AP123" s="3" t="s">
        <v>33</v>
      </c>
      <c r="AQ123" s="3" t="s">
        <v>33</v>
      </c>
      <c r="AR123" s="3" t="s">
        <v>33</v>
      </c>
      <c r="AS123" s="3">
        <v>4.0880000000000001</v>
      </c>
      <c r="AT123" s="3">
        <f>IFERROR(AS123-AU123,"NA")</f>
        <v>2.63</v>
      </c>
      <c r="AU123" s="6">
        <v>1.458</v>
      </c>
      <c r="AV123" s="3" t="b">
        <v>1</v>
      </c>
      <c r="AW123" s="3" t="s">
        <v>172</v>
      </c>
      <c r="AX123" s="3" t="s">
        <v>173</v>
      </c>
      <c r="AY123" s="3" t="s">
        <v>283</v>
      </c>
      <c r="AZ123" s="3" t="s">
        <v>33</v>
      </c>
      <c r="BA123" s="18" t="s">
        <v>799</v>
      </c>
      <c r="BB123" s="3" t="b">
        <v>0</v>
      </c>
      <c r="BC123" t="s">
        <v>81</v>
      </c>
      <c r="BD123" s="3">
        <v>2</v>
      </c>
      <c r="BE123" s="3" t="s">
        <v>252</v>
      </c>
      <c r="BF123" s="11">
        <v>72</v>
      </c>
      <c r="BG123" s="3" t="s">
        <v>574</v>
      </c>
      <c r="BH123" s="3" t="s">
        <v>31</v>
      </c>
      <c r="BI123" s="3" t="s">
        <v>31</v>
      </c>
      <c r="BJ123" s="3">
        <f t="shared" si="64"/>
        <v>1.458</v>
      </c>
      <c r="BK123" s="3">
        <f t="shared" si="65"/>
        <v>0.16375752398195581</v>
      </c>
      <c r="BL123" s="3">
        <v>2</v>
      </c>
      <c r="BM123" s="3">
        <f t="shared" si="69"/>
        <v>2.1195437047215937</v>
      </c>
      <c r="BN123" s="3" t="s">
        <v>33</v>
      </c>
      <c r="BO123" s="3">
        <f t="shared" si="44"/>
        <v>131.68724279835394</v>
      </c>
      <c r="BP123" s="3" t="s">
        <v>33</v>
      </c>
      <c r="BQ123" s="3" t="s">
        <v>33</v>
      </c>
      <c r="BR123" s="3" t="s">
        <v>33</v>
      </c>
      <c r="BS123" s="3" t="s">
        <v>33</v>
      </c>
      <c r="BT123" t="s">
        <v>31</v>
      </c>
      <c r="BU123" s="3" t="s">
        <v>247</v>
      </c>
      <c r="BV123" s="11">
        <v>2016</v>
      </c>
      <c r="BW123" s="3" t="s">
        <v>284</v>
      </c>
      <c r="BX123" t="s">
        <v>78</v>
      </c>
      <c r="BY123" s="3" t="s">
        <v>33</v>
      </c>
      <c r="BZ123" s="3" t="s">
        <v>282</v>
      </c>
      <c r="CA123" t="str">
        <f t="shared" si="46"/>
        <v>low acid</v>
      </c>
    </row>
    <row r="124" spans="1:79">
      <c r="A124" t="s">
        <v>590</v>
      </c>
      <c r="B124" t="s">
        <v>565</v>
      </c>
      <c r="C124" t="s">
        <v>564</v>
      </c>
      <c r="D124" t="s">
        <v>609</v>
      </c>
      <c r="E124" t="s">
        <v>77</v>
      </c>
      <c r="F124" t="s">
        <v>32</v>
      </c>
      <c r="G124">
        <v>40</v>
      </c>
      <c r="H124">
        <v>49</v>
      </c>
      <c r="I124" t="b">
        <v>0</v>
      </c>
      <c r="J124" t="s">
        <v>33</v>
      </c>
      <c r="K124" t="s">
        <v>33</v>
      </c>
      <c r="L124">
        <v>27</v>
      </c>
      <c r="M124" s="4">
        <v>120</v>
      </c>
      <c r="N124" t="e">
        <f>(#REF!*Y124)/(T124*X124*O124)</f>
        <v>#REF!</v>
      </c>
      <c r="O124">
        <v>3</v>
      </c>
      <c r="P124" t="s">
        <v>33</v>
      </c>
      <c r="Q124" s="1">
        <f t="shared" si="68"/>
        <v>0.19076388888888887</v>
      </c>
      <c r="R124" t="s">
        <v>183</v>
      </c>
      <c r="S124" t="s">
        <v>612</v>
      </c>
      <c r="T124">
        <v>4</v>
      </c>
      <c r="U124">
        <v>3</v>
      </c>
      <c r="V124">
        <v>2.6</v>
      </c>
      <c r="W124">
        <v>1.5900000000000001E-2</v>
      </c>
      <c r="X124">
        <f t="shared" si="70"/>
        <v>1.5927874753700257E-2</v>
      </c>
      <c r="Y124">
        <v>8.3333299999999999E-2</v>
      </c>
      <c r="Z124" s="3">
        <f t="shared" si="60"/>
        <v>8.3495229870143323E-2</v>
      </c>
      <c r="AA124" t="s">
        <v>33</v>
      </c>
      <c r="AB124">
        <f>IFERROR(((X124*M124)/Z124), "NA")</f>
        <v>22.891666666666666</v>
      </c>
      <c r="AC124" s="1" t="str">
        <f t="shared" si="63"/>
        <v>NA</v>
      </c>
      <c r="AE124" s="3">
        <f t="shared" si="61"/>
        <v>230.29474499999998</v>
      </c>
      <c r="AF124">
        <v>274.7</v>
      </c>
      <c r="AG124" s="1" t="str">
        <f>IFERROR((N124*P124*Q124), "NA")</f>
        <v>NA</v>
      </c>
      <c r="AH124" s="1" t="str">
        <f>IFERROR((AG124*U124*AI124), "NA")</f>
        <v>NA</v>
      </c>
      <c r="AI124" s="1">
        <v>1</v>
      </c>
      <c r="AJ124" s="11" t="s">
        <v>31</v>
      </c>
      <c r="AK124">
        <v>1150</v>
      </c>
      <c r="AL124" t="s">
        <v>551</v>
      </c>
      <c r="AM124" t="s">
        <v>86</v>
      </c>
      <c r="AN124" t="s">
        <v>186</v>
      </c>
      <c r="AO124" t="s">
        <v>794</v>
      </c>
      <c r="AP124">
        <v>5.92</v>
      </c>
      <c r="AQ124" t="s">
        <v>33</v>
      </c>
      <c r="AR124" t="s">
        <v>33</v>
      </c>
      <c r="AS124">
        <v>6</v>
      </c>
      <c r="AT124">
        <f>AS124-AU124</f>
        <v>2.64</v>
      </c>
      <c r="AU124" s="6">
        <v>3.36</v>
      </c>
      <c r="AV124" t="b">
        <v>1</v>
      </c>
      <c r="AW124" t="s">
        <v>626</v>
      </c>
      <c r="AX124" t="s">
        <v>627</v>
      </c>
      <c r="AY124" t="s">
        <v>631</v>
      </c>
      <c r="AZ124" t="s">
        <v>33</v>
      </c>
      <c r="BA124" s="18" t="s">
        <v>800</v>
      </c>
      <c r="BB124" s="3" t="b">
        <v>0</v>
      </c>
      <c r="BC124" t="s">
        <v>81</v>
      </c>
      <c r="BD124">
        <v>20</v>
      </c>
      <c r="BE124" t="s">
        <v>80</v>
      </c>
      <c r="BF124">
        <v>20</v>
      </c>
      <c r="BG124" t="s">
        <v>695</v>
      </c>
      <c r="BH124" t="s">
        <v>32</v>
      </c>
      <c r="BI124" t="s">
        <v>31</v>
      </c>
      <c r="BJ124">
        <f t="shared" si="64"/>
        <v>3.36</v>
      </c>
      <c r="BK124" s="3">
        <f t="shared" si="65"/>
        <v>0.52633927738984398</v>
      </c>
      <c r="BL124">
        <v>2</v>
      </c>
      <c r="BM124" s="3">
        <f t="shared" si="69"/>
        <v>1.8359447507023041</v>
      </c>
      <c r="BN124" t="s">
        <v>33</v>
      </c>
      <c r="BO124" s="3">
        <f t="shared" si="44"/>
        <v>68.540102678571429</v>
      </c>
      <c r="BP124" t="s">
        <v>33</v>
      </c>
      <c r="BQ124" t="s">
        <v>33</v>
      </c>
      <c r="BR124" t="s">
        <v>33</v>
      </c>
      <c r="BS124" t="s">
        <v>33</v>
      </c>
      <c r="BT124" t="s">
        <v>32</v>
      </c>
      <c r="BU124" s="15" t="s">
        <v>207</v>
      </c>
      <c r="BV124">
        <v>2014</v>
      </c>
      <c r="BW124" t="s">
        <v>242</v>
      </c>
      <c r="BX124" t="s">
        <v>78</v>
      </c>
      <c r="BY124" s="13" t="s">
        <v>678</v>
      </c>
      <c r="CA124" t="str">
        <f t="shared" si="46"/>
        <v>low acid</v>
      </c>
    </row>
    <row r="125" spans="1:79">
      <c r="A125" t="s">
        <v>502</v>
      </c>
      <c r="B125" t="s">
        <v>565</v>
      </c>
      <c r="C125" t="s">
        <v>563</v>
      </c>
      <c r="D125" t="s">
        <v>118</v>
      </c>
      <c r="E125" t="s">
        <v>77</v>
      </c>
      <c r="F125" t="s">
        <v>32</v>
      </c>
      <c r="G125">
        <v>4</v>
      </c>
      <c r="H125">
        <v>40</v>
      </c>
      <c r="I125" t="b">
        <v>0</v>
      </c>
      <c r="J125" t="s">
        <v>33</v>
      </c>
      <c r="K125" t="s">
        <v>33</v>
      </c>
      <c r="L125">
        <v>35</v>
      </c>
      <c r="M125" s="4">
        <v>200</v>
      </c>
      <c r="N125" s="3" t="str">
        <f>IFERROR(AF125/((T125*X125/Y125)*O125*AI125),"NA")</f>
        <v>NA</v>
      </c>
      <c r="O125">
        <v>4</v>
      </c>
      <c r="P125" s="9" t="s">
        <v>33</v>
      </c>
      <c r="Q125" s="8">
        <f t="shared" si="68"/>
        <v>0.28125</v>
      </c>
      <c r="R125" t="s">
        <v>183</v>
      </c>
      <c r="S125" t="s">
        <v>613</v>
      </c>
      <c r="T125" s="11">
        <v>8</v>
      </c>
      <c r="U125">
        <v>2.92</v>
      </c>
      <c r="V125">
        <v>2.2999999999999998</v>
      </c>
      <c r="W125">
        <v>1.21E-2</v>
      </c>
      <c r="X125" s="9">
        <f t="shared" si="70"/>
        <v>1.2131888350367701E-2</v>
      </c>
      <c r="Y125" s="6" t="s">
        <v>33</v>
      </c>
      <c r="Z125" s="3">
        <f t="shared" si="60"/>
        <v>4.3135603023529603E-2</v>
      </c>
      <c r="AA125" t="s">
        <v>33</v>
      </c>
      <c r="AB125" s="4" t="str">
        <f>IFERROR(((X125*M125)/Y125), "NA")</f>
        <v>NA</v>
      </c>
      <c r="AC125" s="4" t="str">
        <f t="shared" si="63"/>
        <v>NA</v>
      </c>
      <c r="AD125" s="4" t="e">
        <f>AB125*T125*AI125</f>
        <v>#VALUE!</v>
      </c>
      <c r="AE125" s="3">
        <f t="shared" si="61"/>
        <v>8334.9</v>
      </c>
      <c r="AF125">
        <v>1800</v>
      </c>
      <c r="AG125" s="4" t="str">
        <f>IFERROR((M125*O125*P125), "NA")</f>
        <v>NA</v>
      </c>
      <c r="AH125" s="4" t="str">
        <f>IFERROR((AG125*T125*AI125), "NA")</f>
        <v>NA</v>
      </c>
      <c r="AI125">
        <v>1</v>
      </c>
      <c r="AJ125" t="s">
        <v>31</v>
      </c>
      <c r="AK125">
        <v>3780</v>
      </c>
      <c r="AL125" t="s">
        <v>552</v>
      </c>
      <c r="AM125" t="s">
        <v>86</v>
      </c>
      <c r="AN125" t="s">
        <v>205</v>
      </c>
      <c r="AO125" t="s">
        <v>789</v>
      </c>
      <c r="AP125">
        <v>3.32</v>
      </c>
      <c r="AQ125" t="s">
        <v>33</v>
      </c>
      <c r="AR125" t="s">
        <v>33</v>
      </c>
      <c r="AS125" s="6">
        <f>LOG((10^7+10^8)/2)</f>
        <v>7.7403626894942441</v>
      </c>
      <c r="AT125" s="3">
        <f>IFERROR(AS125-AU125,"NA")</f>
        <v>2.6473626894942441</v>
      </c>
      <c r="AU125" s="6">
        <v>5.093</v>
      </c>
      <c r="AV125" t="b">
        <v>1</v>
      </c>
      <c r="AW125" t="s">
        <v>92</v>
      </c>
      <c r="AX125" t="s">
        <v>119</v>
      </c>
      <c r="AY125" t="s">
        <v>425</v>
      </c>
      <c r="AZ125" t="s">
        <v>33</v>
      </c>
      <c r="BA125" s="18" t="s">
        <v>801</v>
      </c>
      <c r="BB125" t="b">
        <v>0</v>
      </c>
      <c r="BC125" t="s">
        <v>81</v>
      </c>
      <c r="BD125">
        <v>15</v>
      </c>
      <c r="BE125" t="s">
        <v>80</v>
      </c>
      <c r="BF125" s="11">
        <v>36</v>
      </c>
      <c r="BG125" t="s">
        <v>573</v>
      </c>
      <c r="BH125" t="s">
        <v>31</v>
      </c>
      <c r="BI125" t="s">
        <v>32</v>
      </c>
      <c r="BJ125" s="3">
        <f t="shared" si="64"/>
        <v>5.093</v>
      </c>
      <c r="BK125" s="3">
        <f t="shared" si="65"/>
        <v>0.70697367617617812</v>
      </c>
      <c r="BL125">
        <v>2</v>
      </c>
      <c r="BM125" s="3">
        <f t="shared" si="69"/>
        <v>3.2139267174649047</v>
      </c>
      <c r="BN125" t="s">
        <v>33</v>
      </c>
      <c r="BO125" s="3">
        <f t="shared" si="44"/>
        <v>1636.5403494993127</v>
      </c>
      <c r="BP125" t="s">
        <v>33</v>
      </c>
      <c r="BQ125" t="s">
        <v>33</v>
      </c>
      <c r="BR125" t="s">
        <v>33</v>
      </c>
      <c r="BS125" t="s">
        <v>33</v>
      </c>
      <c r="BT125" t="s">
        <v>31</v>
      </c>
      <c r="BU125" t="s">
        <v>503</v>
      </c>
      <c r="BV125">
        <v>2011</v>
      </c>
      <c r="BW125" t="s">
        <v>504</v>
      </c>
      <c r="BX125" t="s">
        <v>78</v>
      </c>
      <c r="BY125" t="s">
        <v>33</v>
      </c>
      <c r="BZ125" t="s">
        <v>33</v>
      </c>
      <c r="CA125" t="str">
        <f t="shared" si="46"/>
        <v>high acid</v>
      </c>
    </row>
    <row r="126" spans="1:79">
      <c r="A126" t="s">
        <v>586</v>
      </c>
      <c r="B126" t="s">
        <v>565</v>
      </c>
      <c r="C126" t="s">
        <v>563</v>
      </c>
      <c r="D126" t="s">
        <v>118</v>
      </c>
      <c r="E126" t="s">
        <v>77</v>
      </c>
      <c r="F126" t="s">
        <v>32</v>
      </c>
      <c r="G126">
        <v>40</v>
      </c>
      <c r="H126">
        <v>40</v>
      </c>
      <c r="I126" t="b">
        <v>1</v>
      </c>
      <c r="J126" t="s">
        <v>33</v>
      </c>
      <c r="K126" t="s">
        <v>33</v>
      </c>
      <c r="L126">
        <v>30</v>
      </c>
      <c r="M126" s="4">
        <v>100</v>
      </c>
      <c r="N126" t="e">
        <f>(#REF!*Y126)/(T126*X126*O126)</f>
        <v>#REF!</v>
      </c>
      <c r="O126">
        <v>2</v>
      </c>
      <c r="P126" t="s">
        <v>33</v>
      </c>
      <c r="Q126" s="1">
        <f t="shared" si="68"/>
        <v>0.5</v>
      </c>
      <c r="R126" t="s">
        <v>183</v>
      </c>
      <c r="S126" t="s">
        <v>613</v>
      </c>
      <c r="T126">
        <v>6</v>
      </c>
      <c r="U126">
        <v>2.92</v>
      </c>
      <c r="V126">
        <v>2.2999999999999998</v>
      </c>
      <c r="W126" t="s">
        <v>33</v>
      </c>
      <c r="X126">
        <f t="shared" si="70"/>
        <v>1.2131888350367701E-2</v>
      </c>
      <c r="Y126">
        <v>1.4</v>
      </c>
      <c r="Z126" s="3">
        <f t="shared" si="60"/>
        <v>2.4263776700735401E-2</v>
      </c>
      <c r="AA126" t="s">
        <v>33</v>
      </c>
      <c r="AB126">
        <f>IFERROR(((X126*M126)/Z126), "NA")</f>
        <v>50</v>
      </c>
      <c r="AC126" s="1" t="str">
        <f t="shared" si="63"/>
        <v>NA</v>
      </c>
      <c r="AE126" s="3">
        <f t="shared" si="61"/>
        <v>3348</v>
      </c>
      <c r="AF126">
        <v>600</v>
      </c>
      <c r="AG126" s="1" t="str">
        <f>IFERROR((N126*P126*Q126), "NA")</f>
        <v>NA</v>
      </c>
      <c r="AH126" s="1" t="str">
        <f>IFERROR((AG126*U126*AI126), "NA")</f>
        <v>NA</v>
      </c>
      <c r="AI126" s="1">
        <v>1</v>
      </c>
      <c r="AJ126" s="11" t="s">
        <v>31</v>
      </c>
      <c r="AK126">
        <v>6200</v>
      </c>
      <c r="AL126" t="s">
        <v>561</v>
      </c>
      <c r="AM126" s="3" t="s">
        <v>786</v>
      </c>
      <c r="AN126" t="s">
        <v>186</v>
      </c>
      <c r="AO126" t="s">
        <v>793</v>
      </c>
      <c r="AP126">
        <v>7.6</v>
      </c>
      <c r="AQ126" t="s">
        <v>33</v>
      </c>
      <c r="AR126" t="s">
        <v>33</v>
      </c>
      <c r="AS126">
        <v>8</v>
      </c>
      <c r="AT126">
        <f>AS126-AU126</f>
        <v>2.6500000000000004</v>
      </c>
      <c r="AU126" s="6">
        <v>5.35</v>
      </c>
      <c r="AV126" t="b">
        <v>1</v>
      </c>
      <c r="AW126" t="s">
        <v>617</v>
      </c>
      <c r="AX126" t="s">
        <v>624</v>
      </c>
      <c r="AY126" t="s">
        <v>625</v>
      </c>
      <c r="AZ126" t="s">
        <v>33</v>
      </c>
      <c r="BA126" s="18" t="s">
        <v>802</v>
      </c>
      <c r="BB126" s="3" t="b">
        <v>0</v>
      </c>
      <c r="BC126" t="s">
        <v>81</v>
      </c>
      <c r="BD126">
        <v>13</v>
      </c>
      <c r="BE126" t="s">
        <v>80</v>
      </c>
      <c r="BF126">
        <v>48</v>
      </c>
      <c r="BG126" t="s">
        <v>568</v>
      </c>
      <c r="BH126" t="s">
        <v>31</v>
      </c>
      <c r="BI126" t="s">
        <v>32</v>
      </c>
      <c r="BJ126">
        <f t="shared" si="64"/>
        <v>5.35</v>
      </c>
      <c r="BK126" s="3">
        <f t="shared" si="65"/>
        <v>0.72835378202122847</v>
      </c>
      <c r="BL126">
        <v>2</v>
      </c>
      <c r="BM126" s="3">
        <f t="shared" si="69"/>
        <v>2.796431667299994</v>
      </c>
      <c r="BN126" t="s">
        <v>33</v>
      </c>
      <c r="BO126" s="3">
        <f t="shared" si="44"/>
        <v>625.79439252336454</v>
      </c>
      <c r="BP126" t="s">
        <v>33</v>
      </c>
      <c r="BQ126" t="s">
        <v>33</v>
      </c>
      <c r="BR126" t="s">
        <v>33</v>
      </c>
      <c r="BS126" t="s">
        <v>33</v>
      </c>
      <c r="BT126" t="s">
        <v>31</v>
      </c>
      <c r="BU126" t="s">
        <v>344</v>
      </c>
      <c r="BV126">
        <v>2007</v>
      </c>
      <c r="BW126" t="s">
        <v>345</v>
      </c>
      <c r="BX126" t="s">
        <v>78</v>
      </c>
      <c r="BY126" s="13" t="s">
        <v>676</v>
      </c>
      <c r="CA126" t="str">
        <f t="shared" si="46"/>
        <v>low acid</v>
      </c>
    </row>
    <row r="127" spans="1:79">
      <c r="A127" t="s">
        <v>581</v>
      </c>
      <c r="B127" t="s">
        <v>565</v>
      </c>
      <c r="C127" t="s">
        <v>563</v>
      </c>
      <c r="D127" t="s">
        <v>118</v>
      </c>
      <c r="E127" t="s">
        <v>77</v>
      </c>
      <c r="F127" t="s">
        <v>32</v>
      </c>
      <c r="G127">
        <v>5</v>
      </c>
      <c r="H127">
        <v>30.3</v>
      </c>
      <c r="I127" t="b">
        <v>0</v>
      </c>
      <c r="J127" t="s">
        <v>33</v>
      </c>
      <c r="K127" t="s">
        <v>33</v>
      </c>
      <c r="L127">
        <v>35</v>
      </c>
      <c r="M127" s="4">
        <v>175</v>
      </c>
      <c r="N127" t="e">
        <f>(#REF!*Y127)/(T127*X127*O127)</f>
        <v>#REF!</v>
      </c>
      <c r="O127">
        <v>4</v>
      </c>
      <c r="P127" t="s">
        <v>33</v>
      </c>
      <c r="Q127" s="1">
        <f t="shared" si="68"/>
        <v>8.9285714285714288E-2</v>
      </c>
      <c r="R127" t="s">
        <v>183</v>
      </c>
      <c r="S127" t="s">
        <v>613</v>
      </c>
      <c r="T127">
        <v>8</v>
      </c>
      <c r="U127">
        <v>2.92</v>
      </c>
      <c r="V127">
        <v>2.2999999999999998</v>
      </c>
      <c r="W127">
        <v>1.21E-2</v>
      </c>
      <c r="X127">
        <f t="shared" si="70"/>
        <v>1.2131888350367701E-2</v>
      </c>
      <c r="Y127">
        <v>1.6666700000000001</v>
      </c>
      <c r="Z127" s="3">
        <f t="shared" si="60"/>
        <v>0.13587714952411825</v>
      </c>
      <c r="AA127" t="s">
        <v>33</v>
      </c>
      <c r="AB127">
        <f>IFERROR(((X127*M127)/Z127), "NA")</f>
        <v>15.624999999999998</v>
      </c>
      <c r="AC127" s="1" t="str">
        <f t="shared" si="63"/>
        <v>NA</v>
      </c>
      <c r="AE127" s="3">
        <f t="shared" si="61"/>
        <v>2241.75</v>
      </c>
      <c r="AF127">
        <v>500</v>
      </c>
      <c r="AG127" s="1" t="str">
        <f>IFERROR((N127*P127*Q127), "NA")</f>
        <v>NA</v>
      </c>
      <c r="AH127" s="1" t="str">
        <f>IFERROR((AG127*U127*AI127), "NA")</f>
        <v>NA</v>
      </c>
      <c r="AI127" s="1">
        <v>1</v>
      </c>
      <c r="AJ127" s="11" t="s">
        <v>31</v>
      </c>
      <c r="AK127">
        <v>3660</v>
      </c>
      <c r="AL127" t="s">
        <v>541</v>
      </c>
      <c r="AM127" t="s">
        <v>86</v>
      </c>
      <c r="AN127" t="s">
        <v>186</v>
      </c>
      <c r="AO127" t="s">
        <v>794</v>
      </c>
      <c r="AP127">
        <v>5.46</v>
      </c>
      <c r="AQ127" t="s">
        <v>33</v>
      </c>
      <c r="AR127" t="s">
        <v>33</v>
      </c>
      <c r="AS127">
        <v>7.5</v>
      </c>
      <c r="AT127">
        <f>AS127-AU127</f>
        <v>2.66</v>
      </c>
      <c r="AU127" s="6">
        <v>4.84</v>
      </c>
      <c r="AV127" t="b">
        <v>1</v>
      </c>
      <c r="AW127" t="s">
        <v>617</v>
      </c>
      <c r="AX127" t="s">
        <v>618</v>
      </c>
      <c r="AY127" t="s">
        <v>33</v>
      </c>
      <c r="AZ127" t="s">
        <v>619</v>
      </c>
      <c r="BA127" s="18" t="s">
        <v>802</v>
      </c>
      <c r="BB127" s="3" t="b">
        <v>0</v>
      </c>
      <c r="BC127" t="s">
        <v>81</v>
      </c>
      <c r="BD127">
        <v>15</v>
      </c>
      <c r="BE127" t="s">
        <v>80</v>
      </c>
      <c r="BF127">
        <v>15</v>
      </c>
      <c r="BG127" t="s">
        <v>697</v>
      </c>
      <c r="BH127" t="s">
        <v>32</v>
      </c>
      <c r="BI127" t="s">
        <v>31</v>
      </c>
      <c r="BJ127">
        <f t="shared" si="64"/>
        <v>4.84</v>
      </c>
      <c r="BK127" s="3">
        <f t="shared" si="65"/>
        <v>0.68484536164441245</v>
      </c>
      <c r="BL127">
        <v>2</v>
      </c>
      <c r="BM127" s="3">
        <f t="shared" si="69"/>
        <v>2.6657418167865683</v>
      </c>
      <c r="BN127" t="s">
        <v>33</v>
      </c>
      <c r="BO127" s="3">
        <f t="shared" si="44"/>
        <v>463.17148760330582</v>
      </c>
      <c r="BP127" t="s">
        <v>33</v>
      </c>
      <c r="BQ127" t="s">
        <v>33</v>
      </c>
      <c r="BR127" t="s">
        <v>33</v>
      </c>
      <c r="BS127" t="s">
        <v>33</v>
      </c>
      <c r="BT127" t="s">
        <v>31</v>
      </c>
      <c r="BU127" t="s">
        <v>219</v>
      </c>
      <c r="BV127" s="14">
        <v>2007</v>
      </c>
      <c r="BW127" s="2" t="s">
        <v>648</v>
      </c>
      <c r="BX127" t="s">
        <v>78</v>
      </c>
      <c r="BY127" s="13" t="s">
        <v>671</v>
      </c>
      <c r="CA127" t="str">
        <f t="shared" si="46"/>
        <v>low acid</v>
      </c>
    </row>
    <row r="128" spans="1:79">
      <c r="A128" t="s">
        <v>597</v>
      </c>
      <c r="B128" t="s">
        <v>565</v>
      </c>
      <c r="C128" t="s">
        <v>563</v>
      </c>
      <c r="D128" t="s">
        <v>33</v>
      </c>
      <c r="E128" t="s">
        <v>77</v>
      </c>
      <c r="F128" t="s">
        <v>33</v>
      </c>
      <c r="G128">
        <v>20</v>
      </c>
      <c r="H128">
        <v>35</v>
      </c>
      <c r="I128" t="b">
        <v>0</v>
      </c>
      <c r="J128" t="s">
        <v>33</v>
      </c>
      <c r="K128" t="s">
        <v>33</v>
      </c>
      <c r="L128">
        <v>15</v>
      </c>
      <c r="M128" s="4">
        <v>1</v>
      </c>
      <c r="N128" t="e">
        <f>(#REF!*Y128)/(T128*X128*O128)</f>
        <v>#REF!</v>
      </c>
      <c r="O128">
        <v>2</v>
      </c>
      <c r="P128" t="s">
        <v>33</v>
      </c>
      <c r="Q128" s="1">
        <f t="shared" si="68"/>
        <v>546.20000000000005</v>
      </c>
      <c r="R128" t="s">
        <v>183</v>
      </c>
      <c r="S128" t="s">
        <v>33</v>
      </c>
      <c r="T128">
        <v>1</v>
      </c>
      <c r="U128">
        <v>2.5</v>
      </c>
      <c r="V128" t="s">
        <v>33</v>
      </c>
      <c r="W128">
        <v>0.50249999999999995</v>
      </c>
      <c r="X128">
        <f>W128</f>
        <v>0.50249999999999995</v>
      </c>
      <c r="Y128" t="s">
        <v>33</v>
      </c>
      <c r="Z128" s="3">
        <f t="shared" si="60"/>
        <v>9.1999267667521034E-4</v>
      </c>
      <c r="AA128" t="s">
        <v>33</v>
      </c>
      <c r="AB128">
        <f>IFERROR(((X128*M128)/Z128), "NA")</f>
        <v>546.20000000000005</v>
      </c>
      <c r="AC128" s="1" t="str">
        <f t="shared" si="63"/>
        <v>NA</v>
      </c>
      <c r="AE128" s="3">
        <f t="shared" si="61"/>
        <v>491.58</v>
      </c>
      <c r="AF128">
        <v>1092.4000000000001</v>
      </c>
      <c r="AG128" s="1" t="str">
        <f>IFERROR((N128*P128*Q128), "NA")</f>
        <v>NA</v>
      </c>
      <c r="AH128" s="1" t="str">
        <f>IFERROR((AG128*U128*AI128), "NA")</f>
        <v>NA</v>
      </c>
      <c r="AI128" s="1">
        <v>1</v>
      </c>
      <c r="AJ128" s="11" t="s">
        <v>31</v>
      </c>
      <c r="AK128">
        <v>2000</v>
      </c>
      <c r="AL128" t="s">
        <v>784</v>
      </c>
      <c r="AM128" s="3" t="s">
        <v>103</v>
      </c>
      <c r="AN128" t="s">
        <v>130</v>
      </c>
      <c r="AO128" t="s">
        <v>795</v>
      </c>
      <c r="AP128">
        <v>7</v>
      </c>
      <c r="AQ128" t="s">
        <v>33</v>
      </c>
      <c r="AR128" t="s">
        <v>33</v>
      </c>
      <c r="AS128">
        <v>9</v>
      </c>
      <c r="AT128">
        <f>AS128-AU128</f>
        <v>2.66</v>
      </c>
      <c r="AU128" s="6">
        <v>6.34</v>
      </c>
      <c r="AV128" t="b">
        <v>1</v>
      </c>
      <c r="AW128" t="s">
        <v>617</v>
      </c>
      <c r="AX128" t="s">
        <v>635</v>
      </c>
      <c r="AY128" t="s">
        <v>636</v>
      </c>
      <c r="AZ128" t="s">
        <v>33</v>
      </c>
      <c r="BA128" s="18" t="s">
        <v>802</v>
      </c>
      <c r="BB128" s="3" t="b">
        <v>0</v>
      </c>
      <c r="BC128" t="s">
        <v>81</v>
      </c>
      <c r="BD128">
        <v>24</v>
      </c>
      <c r="BE128" t="s">
        <v>80</v>
      </c>
      <c r="BF128">
        <v>24</v>
      </c>
      <c r="BG128" t="s">
        <v>644</v>
      </c>
      <c r="BH128" t="s">
        <v>31</v>
      </c>
      <c r="BI128" t="s">
        <v>32</v>
      </c>
      <c r="BJ128">
        <f t="shared" si="64"/>
        <v>6.34</v>
      </c>
      <c r="BK128" s="3">
        <f t="shared" si="65"/>
        <v>0.80208925788173269</v>
      </c>
      <c r="BL128">
        <v>2</v>
      </c>
      <c r="BM128" s="3">
        <f t="shared" si="69"/>
        <v>1.8895049473613066</v>
      </c>
      <c r="BN128" t="s">
        <v>33</v>
      </c>
      <c r="BO128" s="3">
        <f t="shared" si="44"/>
        <v>77.536277602523654</v>
      </c>
      <c r="BP128" t="s">
        <v>33</v>
      </c>
      <c r="BQ128" t="s">
        <v>33</v>
      </c>
      <c r="BR128" t="s">
        <v>33</v>
      </c>
      <c r="BS128" t="s">
        <v>33</v>
      </c>
      <c r="BT128" t="s">
        <v>31</v>
      </c>
      <c r="BU128" t="s">
        <v>664</v>
      </c>
      <c r="BV128">
        <v>2000</v>
      </c>
      <c r="BW128" t="s">
        <v>665</v>
      </c>
      <c r="BX128" t="s">
        <v>78</v>
      </c>
      <c r="BY128" s="13" t="s">
        <v>685</v>
      </c>
      <c r="CA128" t="str">
        <f t="shared" si="46"/>
        <v>low acid</v>
      </c>
    </row>
    <row r="129" spans="1:79">
      <c r="A129" t="s">
        <v>501</v>
      </c>
      <c r="B129" t="s">
        <v>565</v>
      </c>
      <c r="C129" t="s">
        <v>563</v>
      </c>
      <c r="D129" t="s">
        <v>118</v>
      </c>
      <c r="E129" t="s">
        <v>77</v>
      </c>
      <c r="F129" t="s">
        <v>32</v>
      </c>
      <c r="G129">
        <v>4</v>
      </c>
      <c r="H129">
        <v>40</v>
      </c>
      <c r="I129" t="b">
        <v>0</v>
      </c>
      <c r="J129" t="s">
        <v>33</v>
      </c>
      <c r="K129" t="s">
        <v>33</v>
      </c>
      <c r="L129">
        <v>35</v>
      </c>
      <c r="M129" s="4">
        <v>200</v>
      </c>
      <c r="N129" s="3" t="str">
        <f>IFERROR(AF129/((T129*X129/Y129)*O129*AI129),"NA")</f>
        <v>NA</v>
      </c>
      <c r="O129">
        <v>4</v>
      </c>
      <c r="P129" s="9" t="s">
        <v>33</v>
      </c>
      <c r="Q129" s="8">
        <f t="shared" si="68"/>
        <v>0.3125</v>
      </c>
      <c r="R129" t="s">
        <v>183</v>
      </c>
      <c r="S129" t="s">
        <v>613</v>
      </c>
      <c r="T129" s="11">
        <v>8</v>
      </c>
      <c r="U129">
        <v>2.92</v>
      </c>
      <c r="V129">
        <v>2.2999999999999998</v>
      </c>
      <c r="W129">
        <v>1.21E-2</v>
      </c>
      <c r="X129" s="9">
        <f>IFERROR(((PI())*(((V129*10^-1)/2)^2)*(U129*10^-1)), "NA")</f>
        <v>1.2131888350367701E-2</v>
      </c>
      <c r="Y129" s="6" t="s">
        <v>33</v>
      </c>
      <c r="Z129" s="3">
        <f t="shared" si="60"/>
        <v>3.882204272117664E-2</v>
      </c>
      <c r="AA129" t="s">
        <v>33</v>
      </c>
      <c r="AB129" s="4" t="str">
        <f>IFERROR(((X129*M129)/Y129), "NA")</f>
        <v>NA</v>
      </c>
      <c r="AC129" s="4" t="str">
        <f t="shared" si="63"/>
        <v>NA</v>
      </c>
      <c r="AD129" s="4" t="e">
        <f>AB129*T129*AI129</f>
        <v>#VALUE!</v>
      </c>
      <c r="AE129" s="3">
        <f t="shared" si="61"/>
        <v>9212</v>
      </c>
      <c r="AF129">
        <v>2000</v>
      </c>
      <c r="AG129" s="4" t="str">
        <f>IFERROR((M129*O129*P129), "NA")</f>
        <v>NA</v>
      </c>
      <c r="AH129" s="4" t="str">
        <f>IFERROR((AG129*T129*AI129), "NA")</f>
        <v>NA</v>
      </c>
      <c r="AI129">
        <v>1</v>
      </c>
      <c r="AJ129" t="s">
        <v>31</v>
      </c>
      <c r="AK129">
        <v>3760</v>
      </c>
      <c r="AL129" t="s">
        <v>553</v>
      </c>
      <c r="AM129" t="s">
        <v>86</v>
      </c>
      <c r="AN129" t="s">
        <v>205</v>
      </c>
      <c r="AO129" t="s">
        <v>789</v>
      </c>
      <c r="AP129">
        <v>3.31</v>
      </c>
      <c r="AQ129" t="s">
        <v>33</v>
      </c>
      <c r="AR129" t="s">
        <v>33</v>
      </c>
      <c r="AS129" s="6">
        <f>LOG((10^7+10^8)/2)</f>
        <v>7.7403626894942441</v>
      </c>
      <c r="AT129" s="3">
        <f>IFERROR(AS129-AU129,"NA")</f>
        <v>2.6633626894942442</v>
      </c>
      <c r="AU129" s="6">
        <v>5.077</v>
      </c>
      <c r="AV129" t="b">
        <v>1</v>
      </c>
      <c r="AW129" t="s">
        <v>92</v>
      </c>
      <c r="AX129" t="s">
        <v>119</v>
      </c>
      <c r="AY129" t="s">
        <v>425</v>
      </c>
      <c r="AZ129" t="s">
        <v>33</v>
      </c>
      <c r="BA129" s="18" t="s">
        <v>801</v>
      </c>
      <c r="BB129" t="b">
        <v>0</v>
      </c>
      <c r="BC129" t="s">
        <v>81</v>
      </c>
      <c r="BD129">
        <v>15</v>
      </c>
      <c r="BE129" t="s">
        <v>80</v>
      </c>
      <c r="BF129" s="11">
        <v>36</v>
      </c>
      <c r="BG129" t="s">
        <v>573</v>
      </c>
      <c r="BH129" t="s">
        <v>31</v>
      </c>
      <c r="BI129" t="s">
        <v>32</v>
      </c>
      <c r="BJ129" s="3">
        <f t="shared" si="64"/>
        <v>5.077</v>
      </c>
      <c r="BK129" s="3">
        <f t="shared" si="65"/>
        <v>0.70560716340460505</v>
      </c>
      <c r="BL129">
        <v>2</v>
      </c>
      <c r="BM129" s="3">
        <f t="shared" si="69"/>
        <v>3.2587467658875884</v>
      </c>
      <c r="BN129" t="s">
        <v>33</v>
      </c>
      <c r="BO129" s="3">
        <f t="shared" si="44"/>
        <v>1814.4573567067166</v>
      </c>
      <c r="BP129" t="s">
        <v>33</v>
      </c>
      <c r="BQ129" t="s">
        <v>33</v>
      </c>
      <c r="BR129" t="s">
        <v>33</v>
      </c>
      <c r="BS129" t="s">
        <v>33</v>
      </c>
      <c r="BT129" t="s">
        <v>31</v>
      </c>
      <c r="BU129" t="s">
        <v>503</v>
      </c>
      <c r="BV129">
        <v>2011</v>
      </c>
      <c r="BW129" t="s">
        <v>504</v>
      </c>
      <c r="BX129" t="s">
        <v>78</v>
      </c>
      <c r="BY129" t="s">
        <v>33</v>
      </c>
      <c r="BZ129" t="s">
        <v>33</v>
      </c>
      <c r="CA129" t="str">
        <f t="shared" si="46"/>
        <v>high acid</v>
      </c>
    </row>
    <row r="130" spans="1:79">
      <c r="A130" t="s">
        <v>602</v>
      </c>
      <c r="B130" t="s">
        <v>565</v>
      </c>
      <c r="C130" t="s">
        <v>563</v>
      </c>
      <c r="D130" t="s">
        <v>118</v>
      </c>
      <c r="E130" t="s">
        <v>77</v>
      </c>
      <c r="F130" t="s">
        <v>33</v>
      </c>
      <c r="G130">
        <v>35</v>
      </c>
      <c r="H130">
        <v>18</v>
      </c>
      <c r="I130" t="b">
        <v>1</v>
      </c>
      <c r="J130">
        <v>8790</v>
      </c>
      <c r="K130">
        <v>13.3</v>
      </c>
      <c r="L130">
        <v>30</v>
      </c>
      <c r="M130" s="4">
        <v>500</v>
      </c>
      <c r="N130" t="e">
        <f>(#REF!*Y130)/(T130*X130*O130)</f>
        <v>#REF!</v>
      </c>
      <c r="O130">
        <v>3</v>
      </c>
      <c r="P130" t="s">
        <v>33</v>
      </c>
      <c r="Q130" s="1">
        <f t="shared" si="68"/>
        <v>1.2044444444444444E-2</v>
      </c>
      <c r="R130" t="s">
        <v>183</v>
      </c>
      <c r="S130" t="s">
        <v>613</v>
      </c>
      <c r="T130">
        <v>6</v>
      </c>
      <c r="U130">
        <v>2.92</v>
      </c>
      <c r="V130">
        <v>2.2999999999999998</v>
      </c>
      <c r="W130" t="s">
        <v>33</v>
      </c>
      <c r="X130">
        <f>IFERROR(((PI())*(((V130*10^-1)/2)^2)*(U130*10^-1)), "NA")</f>
        <v>1.2131888350367701E-2</v>
      </c>
      <c r="Y130">
        <v>1</v>
      </c>
      <c r="Z130" s="3">
        <f t="shared" si="60"/>
        <v>1.0072601028903072</v>
      </c>
      <c r="AA130" t="s">
        <v>33</v>
      </c>
      <c r="AB130">
        <f t="shared" ref="AB130:AB139" si="71">IFERROR(((X130*M130)/Z130), "NA")</f>
        <v>6.022222222222223</v>
      </c>
      <c r="AC130" s="1" t="str">
        <f t="shared" si="63"/>
        <v>NA</v>
      </c>
      <c r="AE130" s="3">
        <f t="shared" si="61"/>
        <v>505.36079999999998</v>
      </c>
      <c r="AF130">
        <v>108.4</v>
      </c>
      <c r="AG130" s="1" t="str">
        <f>IFERROR((N130*P130*Q130), "NA")</f>
        <v>NA</v>
      </c>
      <c r="AH130" s="1" t="str">
        <f>IFERROR((O130*Q130*R130), "NA")</f>
        <v>NA</v>
      </c>
      <c r="AI130" s="1">
        <v>1</v>
      </c>
      <c r="AJ130" s="11" t="s">
        <v>31</v>
      </c>
      <c r="AK130">
        <v>5180</v>
      </c>
      <c r="AL130" t="s">
        <v>265</v>
      </c>
      <c r="AM130" t="s">
        <v>86</v>
      </c>
      <c r="AN130" t="s">
        <v>205</v>
      </c>
      <c r="AO130" t="s">
        <v>789</v>
      </c>
      <c r="AP130">
        <v>3.27</v>
      </c>
      <c r="AQ130" t="s">
        <v>33</v>
      </c>
      <c r="AR130" t="s">
        <v>33</v>
      </c>
      <c r="AS130">
        <v>6.5</v>
      </c>
      <c r="AT130">
        <v>2.67</v>
      </c>
      <c r="AU130" s="6">
        <f>AS130-AT130</f>
        <v>3.83</v>
      </c>
      <c r="AV130" t="b">
        <v>1</v>
      </c>
      <c r="AW130" t="s">
        <v>626</v>
      </c>
      <c r="AX130" t="s">
        <v>627</v>
      </c>
      <c r="AY130">
        <v>95047</v>
      </c>
      <c r="AZ130" t="s">
        <v>33</v>
      </c>
      <c r="BA130" s="18" t="s">
        <v>800</v>
      </c>
      <c r="BB130" s="3" t="b">
        <v>0</v>
      </c>
      <c r="BC130" t="s">
        <v>81</v>
      </c>
      <c r="BD130">
        <v>24</v>
      </c>
      <c r="BE130" t="s">
        <v>80</v>
      </c>
      <c r="BF130">
        <v>48</v>
      </c>
      <c r="BG130" t="s">
        <v>697</v>
      </c>
      <c r="BH130" t="s">
        <v>32</v>
      </c>
      <c r="BI130" t="s">
        <v>31</v>
      </c>
      <c r="BJ130" s="3">
        <f t="shared" si="64"/>
        <v>3.83</v>
      </c>
      <c r="BK130" s="3">
        <f t="shared" si="65"/>
        <v>0.58319877396862274</v>
      </c>
      <c r="BL130">
        <v>2</v>
      </c>
      <c r="BM130" s="3">
        <f t="shared" si="69"/>
        <v>2.1204027774183034</v>
      </c>
      <c r="BN130" t="s">
        <v>33</v>
      </c>
      <c r="BO130" s="3">
        <f t="shared" ref="BO130:BO193" si="72">IFERROR((AE130/BJ130),"NA")</f>
        <v>131.94798955613575</v>
      </c>
      <c r="BP130" t="s">
        <v>33</v>
      </c>
      <c r="BQ130" t="s">
        <v>33</v>
      </c>
      <c r="BR130" t="s">
        <v>33</v>
      </c>
      <c r="BS130" t="s">
        <v>33</v>
      </c>
      <c r="BT130" t="s">
        <v>31</v>
      </c>
      <c r="BU130" s="13" t="s">
        <v>163</v>
      </c>
      <c r="BV130" s="14">
        <v>2017</v>
      </c>
      <c r="BW130" t="s">
        <v>266</v>
      </c>
      <c r="BX130" t="s">
        <v>78</v>
      </c>
      <c r="BY130" s="13" t="s">
        <v>690</v>
      </c>
      <c r="CA130" t="str">
        <f t="shared" si="46"/>
        <v>high acid</v>
      </c>
    </row>
    <row r="131" spans="1:79">
      <c r="A131" t="s">
        <v>602</v>
      </c>
      <c r="B131" t="s">
        <v>565</v>
      </c>
      <c r="C131" t="s">
        <v>563</v>
      </c>
      <c r="D131" t="s">
        <v>118</v>
      </c>
      <c r="E131" t="s">
        <v>77</v>
      </c>
      <c r="F131" t="s">
        <v>33</v>
      </c>
      <c r="G131">
        <v>35</v>
      </c>
      <c r="H131">
        <v>30</v>
      </c>
      <c r="I131" t="b">
        <v>1</v>
      </c>
      <c r="J131">
        <v>4981</v>
      </c>
      <c r="K131">
        <v>5.8</v>
      </c>
      <c r="L131">
        <v>17</v>
      </c>
      <c r="M131" s="4">
        <v>500</v>
      </c>
      <c r="N131" t="e">
        <f>(#REF!*Y131)/(T131*X131*O131)</f>
        <v>#REF!</v>
      </c>
      <c r="O131">
        <v>3</v>
      </c>
      <c r="P131" t="s">
        <v>33</v>
      </c>
      <c r="Q131" s="1">
        <f t="shared" si="68"/>
        <v>1.2044444444444444E-2</v>
      </c>
      <c r="R131" t="s">
        <v>183</v>
      </c>
      <c r="S131" t="s">
        <v>613</v>
      </c>
      <c r="T131">
        <v>6</v>
      </c>
      <c r="U131">
        <v>2.92</v>
      </c>
      <c r="V131">
        <v>2.2999999999999998</v>
      </c>
      <c r="W131" t="s">
        <v>33</v>
      </c>
      <c r="X131">
        <f>IFERROR(((PI())*(((V131*10^-1)/2)^2)*(U131*10^-1)), "NA")</f>
        <v>1.2131888350367701E-2</v>
      </c>
      <c r="Y131">
        <v>1</v>
      </c>
      <c r="Z131" s="3">
        <f t="shared" si="60"/>
        <v>1.0072601028903072</v>
      </c>
      <c r="AA131" t="s">
        <v>33</v>
      </c>
      <c r="AB131">
        <f t="shared" si="71"/>
        <v>6.022222222222223</v>
      </c>
      <c r="AC131" s="1" t="str">
        <f t="shared" si="63"/>
        <v>NA</v>
      </c>
      <c r="AE131" s="3">
        <f t="shared" si="61"/>
        <v>162.27696799999998</v>
      </c>
      <c r="AF131">
        <v>108.4</v>
      </c>
      <c r="AG131" s="1" t="str">
        <f>IFERROR((N131*P131*Q131), "NA")</f>
        <v>NA</v>
      </c>
      <c r="AH131" s="1" t="str">
        <f>IFERROR((O131*Q131*R131), "NA")</f>
        <v>NA</v>
      </c>
      <c r="AI131" s="1">
        <v>1</v>
      </c>
      <c r="AJ131" s="11" t="s">
        <v>31</v>
      </c>
      <c r="AK131">
        <v>5180</v>
      </c>
      <c r="AL131" t="s">
        <v>265</v>
      </c>
      <c r="AM131" t="s">
        <v>86</v>
      </c>
      <c r="AN131" t="s">
        <v>205</v>
      </c>
      <c r="AO131" t="s">
        <v>789</v>
      </c>
      <c r="AP131">
        <v>3.27</v>
      </c>
      <c r="AQ131" t="s">
        <v>33</v>
      </c>
      <c r="AR131" t="s">
        <v>33</v>
      </c>
      <c r="AS131">
        <v>6.5</v>
      </c>
      <c r="AT131">
        <v>2.67</v>
      </c>
      <c r="AU131" s="6">
        <f>AS131-AT131</f>
        <v>3.83</v>
      </c>
      <c r="AV131" t="b">
        <v>1</v>
      </c>
      <c r="AW131" t="s">
        <v>626</v>
      </c>
      <c r="AX131" t="s">
        <v>627</v>
      </c>
      <c r="AY131">
        <v>95047</v>
      </c>
      <c r="AZ131" t="s">
        <v>33</v>
      </c>
      <c r="BA131" s="18" t="s">
        <v>800</v>
      </c>
      <c r="BB131" s="3" t="b">
        <v>0</v>
      </c>
      <c r="BC131" t="s">
        <v>81</v>
      </c>
      <c r="BD131">
        <v>24</v>
      </c>
      <c r="BE131" t="s">
        <v>80</v>
      </c>
      <c r="BF131">
        <v>48</v>
      </c>
      <c r="BG131" t="s">
        <v>697</v>
      </c>
      <c r="BH131" t="s">
        <v>32</v>
      </c>
      <c r="BI131" t="s">
        <v>31</v>
      </c>
      <c r="BJ131" s="3">
        <f t="shared" si="64"/>
        <v>3.83</v>
      </c>
      <c r="BK131" s="3">
        <f t="shared" si="65"/>
        <v>0.58319877396862274</v>
      </c>
      <c r="BL131">
        <v>2</v>
      </c>
      <c r="BM131" s="3">
        <f t="shared" si="69"/>
        <v>1.6270581107355262</v>
      </c>
      <c r="BN131" t="s">
        <v>33</v>
      </c>
      <c r="BO131" s="3">
        <f t="shared" si="72"/>
        <v>42.369965535248035</v>
      </c>
      <c r="BP131" t="s">
        <v>33</v>
      </c>
      <c r="BQ131" t="s">
        <v>33</v>
      </c>
      <c r="BR131" t="s">
        <v>33</v>
      </c>
      <c r="BS131" t="s">
        <v>33</v>
      </c>
      <c r="BT131" t="s">
        <v>31</v>
      </c>
      <c r="BU131" s="13" t="s">
        <v>163</v>
      </c>
      <c r="BV131" s="14">
        <v>2017</v>
      </c>
      <c r="BW131" t="s">
        <v>266</v>
      </c>
      <c r="BX131" t="s">
        <v>78</v>
      </c>
      <c r="BY131" s="13" t="s">
        <v>690</v>
      </c>
      <c r="CA131" t="str">
        <f t="shared" ref="CA131:CA194" si="73">IF(OR(AN131="low acidic liquid medium", AN131="low acidic food product"), "low acid",
    IF(OR(AN131="high acidic food product", AN131="high acidic liquid medium"), "high acid", "NA"))</f>
        <v>high acid</v>
      </c>
    </row>
    <row r="132" spans="1:79">
      <c r="A132" t="s">
        <v>383</v>
      </c>
      <c r="B132" t="s">
        <v>565</v>
      </c>
      <c r="C132" t="s">
        <v>563</v>
      </c>
      <c r="D132" t="s">
        <v>378</v>
      </c>
      <c r="E132" t="s">
        <v>77</v>
      </c>
      <c r="F132" t="s">
        <v>32</v>
      </c>
      <c r="G132">
        <v>30</v>
      </c>
      <c r="H132">
        <v>55</v>
      </c>
      <c r="I132" t="b">
        <v>1</v>
      </c>
      <c r="J132">
        <v>8000</v>
      </c>
      <c r="K132">
        <v>28.8</v>
      </c>
      <c r="L132">
        <v>30</v>
      </c>
      <c r="M132" s="4">
        <v>250</v>
      </c>
      <c r="N132" s="3">
        <f>IFERROR(AF132/((T132*X132/Y132)*O132*AI132),"NA")</f>
        <v>251.11113243387931</v>
      </c>
      <c r="O132">
        <v>4</v>
      </c>
      <c r="P132" t="s">
        <v>33</v>
      </c>
      <c r="Q132" s="8">
        <f t="shared" si="68"/>
        <v>1.4200000000000001E-2</v>
      </c>
      <c r="R132" t="s">
        <v>183</v>
      </c>
      <c r="S132" t="s">
        <v>612</v>
      </c>
      <c r="T132" s="11">
        <v>6</v>
      </c>
      <c r="U132">
        <v>2.7</v>
      </c>
      <c r="V132">
        <v>2</v>
      </c>
      <c r="W132">
        <v>8.5000000000000006E-3</v>
      </c>
      <c r="X132" s="8">
        <f>IFERROR(((PI())*(((V132*10^-1)/2)^2)*(U132*10^-1)), "NA")</f>
        <v>8.4823001646924419E-3</v>
      </c>
      <c r="Y132">
        <f>36/60</f>
        <v>0.6</v>
      </c>
      <c r="Z132" s="3">
        <f t="shared" si="60"/>
        <v>0.59734508202059444</v>
      </c>
      <c r="AA132">
        <f>21.3/6</f>
        <v>3.5500000000000003</v>
      </c>
      <c r="AB132" s="6">
        <f t="shared" si="71"/>
        <v>3.5500000000000003</v>
      </c>
      <c r="AC132" t="str">
        <f t="shared" si="63"/>
        <v>NA</v>
      </c>
      <c r="AD132" s="4">
        <f>AB132*T132*AI132</f>
        <v>21.3</v>
      </c>
      <c r="AE132" s="3">
        <f t="shared" si="61"/>
        <v>306.72000000000003</v>
      </c>
      <c r="AF132">
        <f>AA132*O132*T132*AI132</f>
        <v>85.2</v>
      </c>
      <c r="AG132" t="str">
        <f>IFERROR((M132*O132*P132), "NA")</f>
        <v>NA</v>
      </c>
      <c r="AH132" t="str">
        <f>IFERROR((AG132*T132*AI132), "NA")</f>
        <v>NA</v>
      </c>
      <c r="AI132" s="1">
        <v>1</v>
      </c>
      <c r="AJ132" t="s">
        <v>31</v>
      </c>
      <c r="AK132">
        <v>4000</v>
      </c>
      <c r="AL132" t="s">
        <v>545</v>
      </c>
      <c r="AM132" t="s">
        <v>103</v>
      </c>
      <c r="AN132" t="s">
        <v>130</v>
      </c>
      <c r="AO132" t="s">
        <v>795</v>
      </c>
      <c r="AP132">
        <v>7</v>
      </c>
      <c r="AQ132" t="s">
        <v>33</v>
      </c>
      <c r="AR132" t="s">
        <v>33</v>
      </c>
      <c r="AS132" s="6">
        <f>LOG(10^8)</f>
        <v>8</v>
      </c>
      <c r="AT132" s="3">
        <f>IFERROR(AS132-AU132,"NA")</f>
        <v>2.673</v>
      </c>
      <c r="AU132" s="6">
        <v>5.327</v>
      </c>
      <c r="AV132" t="b">
        <v>1</v>
      </c>
      <c r="AW132" t="s">
        <v>29</v>
      </c>
      <c r="AX132" t="s">
        <v>30</v>
      </c>
      <c r="AY132" t="s">
        <v>226</v>
      </c>
      <c r="AZ132" t="s">
        <v>33</v>
      </c>
      <c r="BA132" s="18" t="s">
        <v>798</v>
      </c>
      <c r="BB132" t="b">
        <v>0</v>
      </c>
      <c r="BC132" t="s">
        <v>81</v>
      </c>
      <c r="BD132">
        <v>14</v>
      </c>
      <c r="BE132" t="s">
        <v>80</v>
      </c>
      <c r="BF132" s="11">
        <v>48</v>
      </c>
      <c r="BG132" t="s">
        <v>139</v>
      </c>
      <c r="BH132" t="s">
        <v>31</v>
      </c>
      <c r="BI132" t="s">
        <v>32</v>
      </c>
      <c r="BJ132" s="3">
        <f t="shared" si="64"/>
        <v>5.327</v>
      </c>
      <c r="BK132" s="3">
        <f t="shared" si="65"/>
        <v>0.72648269678482968</v>
      </c>
      <c r="BL132">
        <v>2</v>
      </c>
      <c r="BM132" s="3">
        <f t="shared" si="69"/>
        <v>1.7602593987491577</v>
      </c>
      <c r="BN132" t="s">
        <v>33</v>
      </c>
      <c r="BO132" s="3">
        <f t="shared" si="72"/>
        <v>57.57837431950442</v>
      </c>
      <c r="BP132" t="s">
        <v>33</v>
      </c>
      <c r="BQ132" t="s">
        <v>33</v>
      </c>
      <c r="BR132" t="s">
        <v>33</v>
      </c>
      <c r="BS132" t="s">
        <v>33</v>
      </c>
      <c r="BT132" t="s">
        <v>31</v>
      </c>
      <c r="BU132" t="s">
        <v>227</v>
      </c>
      <c r="BV132">
        <v>2004</v>
      </c>
      <c r="BW132" t="s">
        <v>381</v>
      </c>
      <c r="BX132" t="s">
        <v>78</v>
      </c>
      <c r="BY132" t="s">
        <v>33</v>
      </c>
      <c r="BZ132" t="s">
        <v>33</v>
      </c>
      <c r="CA132" t="str">
        <f t="shared" si="73"/>
        <v>low acid</v>
      </c>
    </row>
    <row r="133" spans="1:79">
      <c r="A133" t="s">
        <v>179</v>
      </c>
      <c r="B133" t="s">
        <v>565</v>
      </c>
      <c r="C133" t="s">
        <v>563</v>
      </c>
      <c r="D133" t="s">
        <v>118</v>
      </c>
      <c r="E133" t="s">
        <v>77</v>
      </c>
      <c r="F133" t="s">
        <v>32</v>
      </c>
      <c r="G133">
        <v>22</v>
      </c>
      <c r="H133" t="s">
        <v>33</v>
      </c>
      <c r="I133" t="b">
        <v>0</v>
      </c>
      <c r="J133" t="s">
        <v>33</v>
      </c>
      <c r="K133" t="s">
        <v>33</v>
      </c>
      <c r="L133">
        <v>30</v>
      </c>
      <c r="M133" s="4">
        <v>1000</v>
      </c>
      <c r="N133" s="3">
        <f>IFERROR(AF133/((T133*X133/Y133)*O133*AI133),"NA")</f>
        <v>1000.1191061872564</v>
      </c>
      <c r="O133">
        <v>3</v>
      </c>
      <c r="P133" t="s">
        <v>33</v>
      </c>
      <c r="Q133" s="8">
        <f t="shared" si="68"/>
        <v>1.2133333333333333E-2</v>
      </c>
      <c r="R133" t="s">
        <v>183</v>
      </c>
      <c r="S133" t="s">
        <v>613</v>
      </c>
      <c r="T133" s="11">
        <v>4</v>
      </c>
      <c r="U133">
        <v>2.92</v>
      </c>
      <c r="V133">
        <v>2.2999999999999998</v>
      </c>
      <c r="W133" t="s">
        <v>33</v>
      </c>
      <c r="X133" s="8">
        <f>IFERROR(((PI())*(((V133*10^-1)/2)^2)*(U133*10^-1)), "NA")</f>
        <v>1.2131888350367701E-2</v>
      </c>
      <c r="Y133">
        <v>1</v>
      </c>
      <c r="Z133" s="3">
        <f t="shared" si="60"/>
        <v>0.99988090799733798</v>
      </c>
      <c r="AA133">
        <v>12</v>
      </c>
      <c r="AB133" s="6">
        <f t="shared" si="71"/>
        <v>12.133333333333333</v>
      </c>
      <c r="AC133" t="str">
        <f t="shared" si="63"/>
        <v>NA</v>
      </c>
      <c r="AD133" s="4">
        <f>AB133*T133*AI133</f>
        <v>48.533333333333331</v>
      </c>
      <c r="AE133" s="3">
        <f t="shared" si="61"/>
        <v>262.08</v>
      </c>
      <c r="AF133">
        <v>145.6</v>
      </c>
      <c r="AG133" t="str">
        <f>IFERROR((M133*O133*P133), "NA")</f>
        <v>NA</v>
      </c>
      <c r="AH133" t="str">
        <f>IFERROR((AG133*T133*AI133), "NA")</f>
        <v>NA</v>
      </c>
      <c r="AI133">
        <v>1</v>
      </c>
      <c r="AJ133" t="s">
        <v>31</v>
      </c>
      <c r="AK133">
        <v>2000</v>
      </c>
      <c r="AL133" t="s">
        <v>114</v>
      </c>
      <c r="AM133" t="s">
        <v>103</v>
      </c>
      <c r="AN133" t="s">
        <v>130</v>
      </c>
      <c r="AO133" t="s">
        <v>795</v>
      </c>
      <c r="AP133" t="s">
        <v>33</v>
      </c>
      <c r="AQ133" t="s">
        <v>33</v>
      </c>
      <c r="AR133" t="s">
        <v>33</v>
      </c>
      <c r="AS133" s="6">
        <f>LOG(3*10^7)</f>
        <v>7.4771212547196626</v>
      </c>
      <c r="AT133" s="3">
        <f>IFERROR(AS133-AU133,"NA")</f>
        <v>2.6771212547196628</v>
      </c>
      <c r="AU133" s="6">
        <v>4.8</v>
      </c>
      <c r="AV133" t="b">
        <v>1</v>
      </c>
      <c r="AW133" t="s">
        <v>123</v>
      </c>
      <c r="AX133" t="s">
        <v>180</v>
      </c>
      <c r="AY133" t="s">
        <v>129</v>
      </c>
      <c r="AZ133" t="s">
        <v>33</v>
      </c>
      <c r="BA133" s="18" t="s">
        <v>579</v>
      </c>
      <c r="BB133" t="b">
        <v>1</v>
      </c>
      <c r="BC133" t="s">
        <v>81</v>
      </c>
      <c r="BD133" t="s">
        <v>33</v>
      </c>
      <c r="BE133" t="s">
        <v>33</v>
      </c>
      <c r="BF133" s="11">
        <v>48</v>
      </c>
      <c r="BG133" t="s">
        <v>395</v>
      </c>
      <c r="BH133" t="s">
        <v>31</v>
      </c>
      <c r="BI133" t="s">
        <v>31</v>
      </c>
      <c r="BJ133" s="3">
        <f t="shared" si="64"/>
        <v>4.8</v>
      </c>
      <c r="BK133" s="3">
        <f t="shared" si="65"/>
        <v>0.68124123737558717</v>
      </c>
      <c r="BL133">
        <v>2</v>
      </c>
      <c r="BM133" s="3">
        <f t="shared" si="69"/>
        <v>1.7371926427047373</v>
      </c>
      <c r="BN133" t="s">
        <v>33</v>
      </c>
      <c r="BO133" s="3">
        <f t="shared" si="72"/>
        <v>54.6</v>
      </c>
      <c r="BP133" t="s">
        <v>33</v>
      </c>
      <c r="BQ133" t="s">
        <v>33</v>
      </c>
      <c r="BR133" t="s">
        <v>33</v>
      </c>
      <c r="BS133" t="s">
        <v>33</v>
      </c>
      <c r="BT133" t="s">
        <v>32</v>
      </c>
      <c r="BU133" t="s">
        <v>177</v>
      </c>
      <c r="BV133">
        <v>2001</v>
      </c>
      <c r="BW133" s="2" t="s">
        <v>178</v>
      </c>
      <c r="BX133" t="s">
        <v>78</v>
      </c>
      <c r="BY133" t="s">
        <v>33</v>
      </c>
      <c r="BZ133" t="s">
        <v>33</v>
      </c>
      <c r="CA133" t="str">
        <f t="shared" si="73"/>
        <v>low acid</v>
      </c>
    </row>
    <row r="134" spans="1:79">
      <c r="A134" t="s">
        <v>592</v>
      </c>
      <c r="B134" t="s">
        <v>566</v>
      </c>
      <c r="C134" t="s">
        <v>563</v>
      </c>
      <c r="D134" t="s">
        <v>607</v>
      </c>
      <c r="E134" t="s">
        <v>77</v>
      </c>
      <c r="F134" t="s">
        <v>32</v>
      </c>
      <c r="G134" t="s">
        <v>33</v>
      </c>
      <c r="H134">
        <v>35</v>
      </c>
      <c r="I134" t="b">
        <v>0</v>
      </c>
      <c r="J134">
        <v>30000</v>
      </c>
      <c r="K134">
        <v>200</v>
      </c>
      <c r="L134">
        <v>35</v>
      </c>
      <c r="M134" s="4">
        <v>1</v>
      </c>
      <c r="N134" t="e">
        <f>(#REF!*Y134)/(T134*X134*O134)</f>
        <v>#REF!</v>
      </c>
      <c r="O134">
        <v>3</v>
      </c>
      <c r="P134" t="s">
        <v>33</v>
      </c>
      <c r="Q134" s="1">
        <f t="shared" si="68"/>
        <v>99.983333333333334</v>
      </c>
      <c r="R134" t="s">
        <v>183</v>
      </c>
      <c r="S134" t="s">
        <v>33</v>
      </c>
      <c r="T134">
        <v>1</v>
      </c>
      <c r="U134">
        <v>2.5</v>
      </c>
      <c r="V134" t="s">
        <v>33</v>
      </c>
      <c r="W134">
        <v>0.50249999999999995</v>
      </c>
      <c r="X134">
        <f>W134</f>
        <v>0.50249999999999995</v>
      </c>
      <c r="Y134" t="s">
        <v>33</v>
      </c>
      <c r="Z134" s="3">
        <f t="shared" si="60"/>
        <v>5.0258376396066003E-3</v>
      </c>
      <c r="AA134" t="s">
        <v>33</v>
      </c>
      <c r="AB134">
        <f t="shared" si="71"/>
        <v>99.983333333333334</v>
      </c>
      <c r="AC134" s="1" t="str">
        <f t="shared" si="63"/>
        <v>NA</v>
      </c>
      <c r="AE134" s="3">
        <f t="shared" si="61"/>
        <v>367.43874999999997</v>
      </c>
      <c r="AF134">
        <v>299.95</v>
      </c>
      <c r="AG134" s="1" t="str">
        <f>IFERROR((N134*P134*Q134), "NA")</f>
        <v>NA</v>
      </c>
      <c r="AH134" s="1" t="str">
        <f>IFERROR((AG134*U134*AI134), "NA")</f>
        <v>NA</v>
      </c>
      <c r="AI134" s="1">
        <v>1</v>
      </c>
      <c r="AJ134" s="11" t="s">
        <v>31</v>
      </c>
      <c r="AK134">
        <v>1000</v>
      </c>
      <c r="AL134" t="s">
        <v>614</v>
      </c>
      <c r="AM134" s="3" t="s">
        <v>103</v>
      </c>
      <c r="AN134" t="s">
        <v>305</v>
      </c>
      <c r="AO134" t="s">
        <v>790</v>
      </c>
      <c r="AP134">
        <v>4.5</v>
      </c>
      <c r="AQ134" t="s">
        <v>33</v>
      </c>
      <c r="AR134" t="s">
        <v>33</v>
      </c>
      <c r="AS134">
        <v>8</v>
      </c>
      <c r="AT134">
        <f>AS134-AU134</f>
        <v>2.6900000000000004</v>
      </c>
      <c r="AU134" s="6">
        <v>5.31</v>
      </c>
      <c r="AV134" t="b">
        <v>1</v>
      </c>
      <c r="AW134" t="s">
        <v>626</v>
      </c>
      <c r="AX134" t="s">
        <v>627</v>
      </c>
      <c r="AY134" t="s">
        <v>633</v>
      </c>
      <c r="AZ134" t="s">
        <v>33</v>
      </c>
      <c r="BA134" s="18" t="s">
        <v>800</v>
      </c>
      <c r="BB134" s="3" t="b">
        <v>0</v>
      </c>
      <c r="BC134" t="s">
        <v>81</v>
      </c>
      <c r="BD134">
        <v>24</v>
      </c>
      <c r="BE134" t="s">
        <v>80</v>
      </c>
      <c r="BF134">
        <v>48</v>
      </c>
      <c r="BG134" t="s">
        <v>569</v>
      </c>
      <c r="BH134" t="s">
        <v>31</v>
      </c>
      <c r="BI134" t="s">
        <v>32</v>
      </c>
      <c r="BJ134">
        <f t="shared" si="64"/>
        <v>5.31</v>
      </c>
      <c r="BK134" s="3">
        <f t="shared" si="65"/>
        <v>0.72509452108146899</v>
      </c>
      <c r="BL134">
        <v>2</v>
      </c>
      <c r="BM134" s="3">
        <f t="shared" si="69"/>
        <v>1.8400904338925559</v>
      </c>
      <c r="BN134" t="s">
        <v>33</v>
      </c>
      <c r="BO134" s="3">
        <f t="shared" si="72"/>
        <v>69.197504708097924</v>
      </c>
      <c r="BP134" t="s">
        <v>33</v>
      </c>
      <c r="BQ134" t="s">
        <v>33</v>
      </c>
      <c r="BR134" t="s">
        <v>33</v>
      </c>
      <c r="BS134" t="s">
        <v>33</v>
      </c>
      <c r="BT134" t="s">
        <v>31</v>
      </c>
      <c r="BU134" s="15" t="s">
        <v>255</v>
      </c>
      <c r="BV134">
        <v>2010</v>
      </c>
      <c r="BW134" t="s">
        <v>659</v>
      </c>
      <c r="BX134" t="s">
        <v>78</v>
      </c>
      <c r="BY134" s="13" t="s">
        <v>680</v>
      </c>
      <c r="CA134" t="str">
        <f t="shared" si="73"/>
        <v>high acid</v>
      </c>
    </row>
    <row r="135" spans="1:79">
      <c r="A135" t="s">
        <v>367</v>
      </c>
      <c r="B135" t="s">
        <v>565</v>
      </c>
      <c r="C135" t="s">
        <v>563</v>
      </c>
      <c r="D135" t="s">
        <v>118</v>
      </c>
      <c r="E135" t="s">
        <v>77</v>
      </c>
      <c r="F135" t="s">
        <v>32</v>
      </c>
      <c r="G135">
        <v>20</v>
      </c>
      <c r="H135">
        <v>30</v>
      </c>
      <c r="I135" t="b">
        <v>0</v>
      </c>
      <c r="J135" t="s">
        <v>33</v>
      </c>
      <c r="K135" t="s">
        <v>33</v>
      </c>
      <c r="L135">
        <v>20</v>
      </c>
      <c r="M135" s="4" t="s">
        <v>33</v>
      </c>
      <c r="N135" s="3">
        <f>IFERROR(AF135/((T135*X135/Y135)*O135*AI135),"NA")</f>
        <v>201.40329586667508</v>
      </c>
      <c r="O135">
        <v>2</v>
      </c>
      <c r="P135" t="s">
        <v>33</v>
      </c>
      <c r="Q135" s="8">
        <f t="shared" si="68"/>
        <v>8.6062808747716085E-3</v>
      </c>
      <c r="R135" t="s">
        <v>183</v>
      </c>
      <c r="S135" t="s">
        <v>613</v>
      </c>
      <c r="T135" s="11">
        <v>6</v>
      </c>
      <c r="U135">
        <v>2.9</v>
      </c>
      <c r="V135">
        <v>2.2999999999999998</v>
      </c>
      <c r="W135" t="s">
        <v>33</v>
      </c>
      <c r="X135" s="8">
        <f>IFERROR(((PI())*(((V135*10^-1)/2)^2)*(U135*10^-1)), "NA")</f>
        <v>1.204879322468025E-2</v>
      </c>
      <c r="Y135">
        <f>84/60</f>
        <v>1.4</v>
      </c>
      <c r="Z135" s="3">
        <f>IFERROR(X135*N135*O135*T135*AI135/AF135, "NA")</f>
        <v>1.4</v>
      </c>
      <c r="AA135">
        <f>10.4/6</f>
        <v>1.7333333333333334</v>
      </c>
      <c r="AB135" s="6" t="str">
        <f t="shared" si="71"/>
        <v>NA</v>
      </c>
      <c r="AC135" t="str">
        <f t="shared" si="63"/>
        <v>NA</v>
      </c>
      <c r="AD135" s="4" t="str">
        <f>IFERROR(AB135*T135*AI135, "NA")</f>
        <v>NA</v>
      </c>
      <c r="AE135" s="3">
        <f>IFERROR(((L135^2)*N135*O135*AK135*10^-6*Q135*T135*AI135), "NA")</f>
        <v>15.391999999999999</v>
      </c>
      <c r="AF135" s="3">
        <f>AA135*O135*T135</f>
        <v>20.8</v>
      </c>
      <c r="AG135" t="str">
        <f>IFERROR((M135*O135*P135), "NA")</f>
        <v>NA</v>
      </c>
      <c r="AH135" t="str">
        <f>IFERROR((AG135*T135*AI135), "NA")</f>
        <v>NA</v>
      </c>
      <c r="AI135" s="11">
        <v>1</v>
      </c>
      <c r="AJ135" t="s">
        <v>31</v>
      </c>
      <c r="AK135">
        <v>1850</v>
      </c>
      <c r="AL135" t="s">
        <v>149</v>
      </c>
      <c r="AM135" t="s">
        <v>86</v>
      </c>
      <c r="AN135" t="s">
        <v>205</v>
      </c>
      <c r="AO135" t="s">
        <v>789</v>
      </c>
      <c r="AP135" t="s">
        <v>33</v>
      </c>
      <c r="AQ135" t="s">
        <v>33</v>
      </c>
      <c r="AR135" t="s">
        <v>33</v>
      </c>
      <c r="AS135" s="6">
        <f>LOG(4*10^6)</f>
        <v>6.6020599913279625</v>
      </c>
      <c r="AT135" s="3">
        <f>IFERROR(AS135-AU135,"NA")</f>
        <v>2.6990599913279625</v>
      </c>
      <c r="AU135" s="6">
        <v>3.903</v>
      </c>
      <c r="AV135" t="b">
        <v>1</v>
      </c>
      <c r="AW135" t="s">
        <v>172</v>
      </c>
      <c r="AX135" t="s">
        <v>173</v>
      </c>
      <c r="AY135" t="s">
        <v>363</v>
      </c>
      <c r="AZ135" t="s">
        <v>33</v>
      </c>
      <c r="BA135" s="18" t="s">
        <v>799</v>
      </c>
      <c r="BB135" t="b">
        <v>0</v>
      </c>
      <c r="BC135" t="s">
        <v>81</v>
      </c>
      <c r="BD135">
        <v>48</v>
      </c>
      <c r="BE135" t="s">
        <v>80</v>
      </c>
      <c r="BF135" s="11">
        <v>120</v>
      </c>
      <c r="BG135" t="s">
        <v>364</v>
      </c>
      <c r="BH135" t="s">
        <v>31</v>
      </c>
      <c r="BI135" t="s">
        <v>31</v>
      </c>
      <c r="BJ135" s="3">
        <f t="shared" si="64"/>
        <v>3.903</v>
      </c>
      <c r="BK135" s="3">
        <f t="shared" si="65"/>
        <v>0.59139855128124874</v>
      </c>
      <c r="BL135">
        <v>2</v>
      </c>
      <c r="BM135" s="3">
        <f t="shared" si="69"/>
        <v>0.59589650341248901</v>
      </c>
      <c r="BN135" t="s">
        <v>33</v>
      </c>
      <c r="BO135" s="3">
        <f t="shared" si="72"/>
        <v>3.9436331027414808</v>
      </c>
      <c r="BP135" t="s">
        <v>33</v>
      </c>
      <c r="BQ135" t="s">
        <v>33</v>
      </c>
      <c r="BR135" t="s">
        <v>33</v>
      </c>
      <c r="BS135" t="s">
        <v>33</v>
      </c>
      <c r="BT135" t="s">
        <v>32</v>
      </c>
      <c r="BU135" t="s">
        <v>365</v>
      </c>
      <c r="BV135">
        <v>2002</v>
      </c>
      <c r="BW135" t="s">
        <v>366</v>
      </c>
      <c r="BX135" t="s">
        <v>78</v>
      </c>
      <c r="BY135" t="s">
        <v>33</v>
      </c>
      <c r="BZ135" t="s">
        <v>33</v>
      </c>
      <c r="CA135" t="str">
        <f t="shared" si="73"/>
        <v>high acid</v>
      </c>
    </row>
    <row r="136" spans="1:79">
      <c r="A136" t="s">
        <v>89</v>
      </c>
      <c r="B136" t="s">
        <v>565</v>
      </c>
      <c r="C136" t="s">
        <v>563</v>
      </c>
      <c r="D136" t="s">
        <v>118</v>
      </c>
      <c r="E136" t="s">
        <v>77</v>
      </c>
      <c r="F136" t="s">
        <v>32</v>
      </c>
      <c r="G136">
        <v>40</v>
      </c>
      <c r="H136">
        <f>(42+47)/2</f>
        <v>44.5</v>
      </c>
      <c r="I136" t="b">
        <v>0</v>
      </c>
      <c r="J136" t="s">
        <v>33</v>
      </c>
      <c r="K136" t="s">
        <v>33</v>
      </c>
      <c r="L136">
        <v>34</v>
      </c>
      <c r="M136" s="4">
        <v>548</v>
      </c>
      <c r="N136" s="3">
        <f>IFERROR(AF136/((T136*X136/Y136)*O136*AI136),"NA")</f>
        <v>553.30575787548105</v>
      </c>
      <c r="O136">
        <v>2.5</v>
      </c>
      <c r="P136" t="s">
        <v>33</v>
      </c>
      <c r="Q136" s="8">
        <f t="shared" si="68"/>
        <v>6.0827250608272501E-3</v>
      </c>
      <c r="R136" t="s">
        <v>183</v>
      </c>
      <c r="S136" t="s">
        <v>612</v>
      </c>
      <c r="T136" s="11">
        <v>6</v>
      </c>
      <c r="U136">
        <v>2.9</v>
      </c>
      <c r="V136">
        <v>2.2999999999999998</v>
      </c>
      <c r="W136" t="s">
        <v>33</v>
      </c>
      <c r="X136" s="8">
        <f t="shared" ref="X136:X142" si="74">IFERROR(((PI())*(((V136*10^-1)/2)^2)*(U136*10^-1)), "NA")</f>
        <v>1.204879322468025E-2</v>
      </c>
      <c r="Y136">
        <f>120/60</f>
        <v>2</v>
      </c>
      <c r="Z136" s="9">
        <f t="shared" ref="Z136:Z147" si="75">IFERROR(X136*M136*O136*T136*AI136/AF136, "NA")</f>
        <v>1.9808216061374333</v>
      </c>
      <c r="AA136">
        <v>3.3</v>
      </c>
      <c r="AB136" s="6">
        <f t="shared" si="71"/>
        <v>3.333333333333333</v>
      </c>
      <c r="AC136" t="str">
        <f t="shared" si="63"/>
        <v>NA</v>
      </c>
      <c r="AD136" s="4">
        <f>IFERROR(AB136*T136*AI136, "NA")</f>
        <v>20</v>
      </c>
      <c r="AE136">
        <f t="shared" ref="AE136:AE147" si="76">IFERROR(((L136^2)*M136*O136*AK136*10^-6*Q136*T136*AI136), "NA")</f>
        <v>124.27</v>
      </c>
      <c r="AF136">
        <v>50</v>
      </c>
      <c r="AG136" t="str">
        <f>IFERROR((M136*O136*P136), "NA")</f>
        <v>NA</v>
      </c>
      <c r="AH136" t="str">
        <f>IFERROR((AG136*T136*AI136), "NA")</f>
        <v>NA</v>
      </c>
      <c r="AI136" s="11">
        <v>1</v>
      </c>
      <c r="AJ136" t="s">
        <v>31</v>
      </c>
      <c r="AK136">
        <v>2150</v>
      </c>
      <c r="AL136" t="s">
        <v>238</v>
      </c>
      <c r="AM136" t="s">
        <v>86</v>
      </c>
      <c r="AN136" t="s">
        <v>205</v>
      </c>
      <c r="AO136" t="s">
        <v>789</v>
      </c>
      <c r="AP136">
        <v>4.16</v>
      </c>
      <c r="AQ136" t="s">
        <v>33</v>
      </c>
      <c r="AR136" t="s">
        <v>33</v>
      </c>
      <c r="AS136" s="3">
        <f>LOG(3.8*10^6)</f>
        <v>6.5797835966168101</v>
      </c>
      <c r="AT136" s="3">
        <f>IFERROR(AS136-AU136,"NA")</f>
        <v>2.6997835966168102</v>
      </c>
      <c r="AU136" s="6">
        <v>3.88</v>
      </c>
      <c r="AV136" t="b">
        <v>1</v>
      </c>
      <c r="AW136" t="s">
        <v>123</v>
      </c>
      <c r="AX136" t="s">
        <v>88</v>
      </c>
      <c r="AY136" t="s">
        <v>518</v>
      </c>
      <c r="AZ136" t="s">
        <v>33</v>
      </c>
      <c r="BA136" s="18" t="s">
        <v>579</v>
      </c>
      <c r="BB136" t="b">
        <v>1</v>
      </c>
      <c r="BC136" t="s">
        <v>81</v>
      </c>
      <c r="BD136">
        <v>24</v>
      </c>
      <c r="BE136" t="s">
        <v>80</v>
      </c>
      <c r="BF136" s="11">
        <v>72</v>
      </c>
      <c r="BG136" t="s">
        <v>395</v>
      </c>
      <c r="BH136" t="s">
        <v>31</v>
      </c>
      <c r="BI136" t="s">
        <v>31</v>
      </c>
      <c r="BJ136">
        <f t="shared" si="64"/>
        <v>3.88</v>
      </c>
      <c r="BK136" s="3">
        <f t="shared" si="65"/>
        <v>0.58883172559420727</v>
      </c>
      <c r="BL136">
        <v>2</v>
      </c>
      <c r="BM136" s="3">
        <f>LOG(BO136)</f>
        <v>1.5055345727419271</v>
      </c>
      <c r="BN136" t="s">
        <v>33</v>
      </c>
      <c r="BO136" s="3">
        <f t="shared" si="72"/>
        <v>32.02835051546392</v>
      </c>
      <c r="BP136" t="s">
        <v>33</v>
      </c>
      <c r="BQ136" t="s">
        <v>33</v>
      </c>
      <c r="BR136" t="s">
        <v>33</v>
      </c>
      <c r="BS136" t="s">
        <v>33</v>
      </c>
      <c r="BT136" t="s">
        <v>32</v>
      </c>
      <c r="BU136" t="s">
        <v>84</v>
      </c>
      <c r="BV136">
        <v>2013</v>
      </c>
      <c r="BW136" t="s">
        <v>83</v>
      </c>
      <c r="BX136" t="s">
        <v>78</v>
      </c>
      <c r="BY136" t="s">
        <v>33</v>
      </c>
      <c r="BZ136" t="s">
        <v>33</v>
      </c>
      <c r="CA136" t="str">
        <f t="shared" si="73"/>
        <v>high acid</v>
      </c>
    </row>
    <row r="137" spans="1:79">
      <c r="A137" t="s">
        <v>225</v>
      </c>
      <c r="B137" t="s">
        <v>565</v>
      </c>
      <c r="C137" t="s">
        <v>563</v>
      </c>
      <c r="D137" t="s">
        <v>33</v>
      </c>
      <c r="E137" t="s">
        <v>77</v>
      </c>
      <c r="F137" t="s">
        <v>32</v>
      </c>
      <c r="G137">
        <v>30</v>
      </c>
      <c r="H137">
        <v>61</v>
      </c>
      <c r="I137" t="b">
        <v>1</v>
      </c>
      <c r="J137" t="s">
        <v>33</v>
      </c>
      <c r="K137" t="s">
        <v>33</v>
      </c>
      <c r="L137">
        <v>30</v>
      </c>
      <c r="M137" s="4">
        <v>250</v>
      </c>
      <c r="N137" s="3">
        <f>IFERROR(AF137/((T137*X137/Y137)*O137*AI137),"NA")</f>
        <v>260.5243209473274</v>
      </c>
      <c r="O137">
        <v>4</v>
      </c>
      <c r="P137" t="s">
        <v>33</v>
      </c>
      <c r="Q137" s="8">
        <f t="shared" si="68"/>
        <v>1.3333333333333332E-2</v>
      </c>
      <c r="R137" t="s">
        <v>183</v>
      </c>
      <c r="S137" t="s">
        <v>613</v>
      </c>
      <c r="T137" s="11">
        <v>6</v>
      </c>
      <c r="U137">
        <v>2.2999999999999998</v>
      </c>
      <c r="V137">
        <v>2.2000000000000002</v>
      </c>
      <c r="W137" t="s">
        <v>33</v>
      </c>
      <c r="X137" s="8">
        <f t="shared" si="74"/>
        <v>8.7430523549403959E-3</v>
      </c>
      <c r="Y137" s="6">
        <f>41/60</f>
        <v>0.68333333333333335</v>
      </c>
      <c r="Z137" s="3">
        <f t="shared" si="75"/>
        <v>0.65572892662052973</v>
      </c>
      <c r="AA137" s="3">
        <f>20/6</f>
        <v>3.3333333333333335</v>
      </c>
      <c r="AB137" s="6">
        <f t="shared" si="71"/>
        <v>3.333333333333333</v>
      </c>
      <c r="AC137" t="str">
        <f t="shared" si="63"/>
        <v>NA</v>
      </c>
      <c r="AD137" s="4">
        <f>AB137*T137*AI137</f>
        <v>20</v>
      </c>
      <c r="AE137" s="3">
        <f t="shared" si="76"/>
        <v>288</v>
      </c>
      <c r="AF137">
        <v>80</v>
      </c>
      <c r="AG137" t="str">
        <f>IFERROR((M137*O137*P137), "NA")</f>
        <v>NA</v>
      </c>
      <c r="AH137" t="str">
        <f>IFERROR((AG137*T137*AI137), "NA")</f>
        <v>NA</v>
      </c>
      <c r="AI137">
        <v>1</v>
      </c>
      <c r="AJ137" t="s">
        <v>31</v>
      </c>
      <c r="AK137">
        <v>4000</v>
      </c>
      <c r="AL137" t="s">
        <v>546</v>
      </c>
      <c r="AM137" t="s">
        <v>103</v>
      </c>
      <c r="AN137" t="s">
        <v>130</v>
      </c>
      <c r="AO137" t="s">
        <v>795</v>
      </c>
      <c r="AP137">
        <v>5</v>
      </c>
      <c r="AQ137" t="s">
        <v>33</v>
      </c>
      <c r="AR137" t="s">
        <v>33</v>
      </c>
      <c r="AS137" s="6">
        <v>8.1</v>
      </c>
      <c r="AT137" s="3">
        <f>IFERROR(AS137-AU137,"NA")</f>
        <v>2.6999999999999993</v>
      </c>
      <c r="AU137" s="6">
        <v>5.4</v>
      </c>
      <c r="AV137" t="b">
        <v>1</v>
      </c>
      <c r="AW137" t="s">
        <v>29</v>
      </c>
      <c r="AX137" t="s">
        <v>30</v>
      </c>
      <c r="AY137" t="s">
        <v>226</v>
      </c>
      <c r="AZ137" t="s">
        <v>33</v>
      </c>
      <c r="BA137" s="18" t="s">
        <v>798</v>
      </c>
      <c r="BB137" t="b">
        <v>0</v>
      </c>
      <c r="BC137" t="s">
        <v>81</v>
      </c>
      <c r="BD137">
        <v>14</v>
      </c>
      <c r="BE137" t="s">
        <v>80</v>
      </c>
      <c r="BF137" s="11">
        <v>120</v>
      </c>
      <c r="BG137" t="s">
        <v>139</v>
      </c>
      <c r="BH137" t="s">
        <v>31</v>
      </c>
      <c r="BI137" t="s">
        <v>32</v>
      </c>
      <c r="BJ137" s="3">
        <f t="shared" si="64"/>
        <v>5.4</v>
      </c>
      <c r="BK137" s="3">
        <f t="shared" si="65"/>
        <v>0.7323937598229685</v>
      </c>
      <c r="BL137">
        <v>2</v>
      </c>
      <c r="BM137" s="3">
        <f t="shared" ref="BM137:BM142" si="77">IFERROR(LOG(BO137),"NA")</f>
        <v>1.7269987279362624</v>
      </c>
      <c r="BN137" t="s">
        <v>33</v>
      </c>
      <c r="BO137" s="3">
        <f t="shared" si="72"/>
        <v>53.333333333333329</v>
      </c>
      <c r="BP137" t="s">
        <v>33</v>
      </c>
      <c r="BQ137" t="s">
        <v>33</v>
      </c>
      <c r="BR137" t="s">
        <v>33</v>
      </c>
      <c r="BS137" t="s">
        <v>33</v>
      </c>
      <c r="BT137" t="s">
        <v>31</v>
      </c>
      <c r="BU137" t="s">
        <v>227</v>
      </c>
      <c r="BV137">
        <v>2001</v>
      </c>
      <c r="BW137" t="s">
        <v>228</v>
      </c>
      <c r="BX137" t="s">
        <v>78</v>
      </c>
      <c r="BY137" t="s">
        <v>33</v>
      </c>
      <c r="BZ137" t="s">
        <v>33</v>
      </c>
      <c r="CA137" t="str">
        <f t="shared" si="73"/>
        <v>low acid</v>
      </c>
    </row>
    <row r="138" spans="1:79">
      <c r="A138" s="3" t="s">
        <v>280</v>
      </c>
      <c r="B138" t="s">
        <v>566</v>
      </c>
      <c r="C138" t="s">
        <v>563</v>
      </c>
      <c r="D138" s="3" t="s">
        <v>279</v>
      </c>
      <c r="E138" s="3" t="s">
        <v>77</v>
      </c>
      <c r="F138" t="s">
        <v>32</v>
      </c>
      <c r="G138" s="11">
        <v>10</v>
      </c>
      <c r="H138" s="11">
        <v>30</v>
      </c>
      <c r="I138" s="3" t="b">
        <v>0</v>
      </c>
      <c r="J138" s="3" t="s">
        <v>33</v>
      </c>
      <c r="K138" s="3" t="s">
        <v>33</v>
      </c>
      <c r="L138" s="11">
        <v>30</v>
      </c>
      <c r="M138" s="4">
        <v>1000</v>
      </c>
      <c r="N138" s="3">
        <f>IFERROR(AF138/((T138*X138/Y138)*O138*AI138),"NA")</f>
        <v>2526.2689379665921</v>
      </c>
      <c r="O138" s="3">
        <v>16</v>
      </c>
      <c r="P138" s="3" t="s">
        <v>33</v>
      </c>
      <c r="Q138" s="3">
        <f t="shared" si="68"/>
        <v>7.5000000000000011E-2</v>
      </c>
      <c r="R138" t="s">
        <v>183</v>
      </c>
      <c r="S138" t="s">
        <v>613</v>
      </c>
      <c r="T138" s="11">
        <v>1</v>
      </c>
      <c r="U138" s="3">
        <v>2.8</v>
      </c>
      <c r="V138" s="3">
        <v>3</v>
      </c>
      <c r="W138" s="3">
        <v>0.02</v>
      </c>
      <c r="X138" s="3">
        <f t="shared" si="74"/>
        <v>1.97920337176157E-2</v>
      </c>
      <c r="Y138" s="3">
        <f>40/60</f>
        <v>0.66666666666666663</v>
      </c>
      <c r="Z138" s="3">
        <f t="shared" si="75"/>
        <v>0.26389378290154264</v>
      </c>
      <c r="AA138" s="3" t="s">
        <v>33</v>
      </c>
      <c r="AB138" s="3">
        <f t="shared" si="71"/>
        <v>75</v>
      </c>
      <c r="AC138" s="3" t="str">
        <f t="shared" si="63"/>
        <v>NA</v>
      </c>
      <c r="AD138" s="4">
        <f>AB138*T138*AI138</f>
        <v>75</v>
      </c>
      <c r="AE138" s="3">
        <f t="shared" si="76"/>
        <v>432.00000000000006</v>
      </c>
      <c r="AF138" s="3">
        <v>1200</v>
      </c>
      <c r="AG138" s="3" t="str">
        <f>IFERROR((M138*O138*P138), "NA")</f>
        <v>NA</v>
      </c>
      <c r="AH138" s="3" t="str">
        <f>IFERROR((AG138*T138*AI138), "NA")</f>
        <v>NA</v>
      </c>
      <c r="AI138" s="3">
        <v>1</v>
      </c>
      <c r="AJ138" t="s">
        <v>31</v>
      </c>
      <c r="AK138" s="3">
        <v>400</v>
      </c>
      <c r="AL138" s="3" t="s">
        <v>281</v>
      </c>
      <c r="AM138" s="3" t="s">
        <v>103</v>
      </c>
      <c r="AN138" t="s">
        <v>130</v>
      </c>
      <c r="AO138" t="s">
        <v>795</v>
      </c>
      <c r="AP138" s="3" t="s">
        <v>33</v>
      </c>
      <c r="AQ138" s="3" t="s">
        <v>33</v>
      </c>
      <c r="AR138" s="3" t="s">
        <v>33</v>
      </c>
      <c r="AS138" s="3">
        <v>4.0880000000000001</v>
      </c>
      <c r="AT138" s="3">
        <f>IFERROR(AS138-AU138,"NA")</f>
        <v>2.7</v>
      </c>
      <c r="AU138" s="6">
        <v>1.3879999999999999</v>
      </c>
      <c r="AV138" s="3" t="b">
        <v>1</v>
      </c>
      <c r="AW138" s="3" t="s">
        <v>172</v>
      </c>
      <c r="AX138" s="3" t="s">
        <v>173</v>
      </c>
      <c r="AY138" s="3" t="s">
        <v>283</v>
      </c>
      <c r="AZ138" s="3" t="s">
        <v>33</v>
      </c>
      <c r="BA138" s="18" t="s">
        <v>799</v>
      </c>
      <c r="BB138" s="3" t="b">
        <v>0</v>
      </c>
      <c r="BC138" t="s">
        <v>81</v>
      </c>
      <c r="BD138" s="3">
        <v>2</v>
      </c>
      <c r="BE138" s="3" t="s">
        <v>252</v>
      </c>
      <c r="BF138" s="11">
        <v>72</v>
      </c>
      <c r="BG138" s="3" t="s">
        <v>574</v>
      </c>
      <c r="BH138" s="3" t="s">
        <v>31</v>
      </c>
      <c r="BI138" s="3" t="s">
        <v>31</v>
      </c>
      <c r="BJ138" s="3">
        <f t="shared" si="64"/>
        <v>1.3879999999999999</v>
      </c>
      <c r="BK138" s="3">
        <f t="shared" si="65"/>
        <v>0.14238946611883607</v>
      </c>
      <c r="BL138" s="3">
        <v>2</v>
      </c>
      <c r="BM138" s="3">
        <f t="shared" si="77"/>
        <v>2.4930942806960759</v>
      </c>
      <c r="BN138" s="3" t="s">
        <v>33</v>
      </c>
      <c r="BO138" s="3">
        <f t="shared" si="72"/>
        <v>311.23919308357353</v>
      </c>
      <c r="BP138" s="3" t="s">
        <v>33</v>
      </c>
      <c r="BQ138" s="3" t="s">
        <v>33</v>
      </c>
      <c r="BR138" s="3" t="s">
        <v>33</v>
      </c>
      <c r="BS138" s="3" t="s">
        <v>33</v>
      </c>
      <c r="BT138" t="s">
        <v>31</v>
      </c>
      <c r="BU138" s="3" t="s">
        <v>247</v>
      </c>
      <c r="BV138" s="11">
        <v>2016</v>
      </c>
      <c r="BW138" s="3" t="s">
        <v>284</v>
      </c>
      <c r="BX138" t="s">
        <v>78</v>
      </c>
      <c r="BY138" s="3" t="s">
        <v>33</v>
      </c>
      <c r="BZ138" s="3" t="s">
        <v>282</v>
      </c>
      <c r="CA138" t="str">
        <f t="shared" si="73"/>
        <v>low acid</v>
      </c>
    </row>
    <row r="139" spans="1:79">
      <c r="A139" t="s">
        <v>604</v>
      </c>
      <c r="B139" t="s">
        <v>565</v>
      </c>
      <c r="C139" t="s">
        <v>563</v>
      </c>
      <c r="D139" t="s">
        <v>118</v>
      </c>
      <c r="E139" t="s">
        <v>77</v>
      </c>
      <c r="F139" t="s">
        <v>33</v>
      </c>
      <c r="G139">
        <v>20</v>
      </c>
      <c r="H139">
        <v>25</v>
      </c>
      <c r="I139" t="b">
        <v>0</v>
      </c>
      <c r="J139" t="s">
        <v>33</v>
      </c>
      <c r="K139" t="s">
        <v>33</v>
      </c>
      <c r="L139">
        <v>27.4</v>
      </c>
      <c r="M139" s="4">
        <v>667</v>
      </c>
      <c r="N139" t="e">
        <f>(#REF!*Y139)/(T139*X139*O139)</f>
        <v>#REF!</v>
      </c>
      <c r="O139">
        <v>2</v>
      </c>
      <c r="P139" t="s">
        <v>33</v>
      </c>
      <c r="Q139" s="1">
        <f t="shared" si="68"/>
        <v>2.4987506246876564E-2</v>
      </c>
      <c r="R139" t="s">
        <v>183</v>
      </c>
      <c r="S139" t="s">
        <v>613</v>
      </c>
      <c r="T139">
        <v>6</v>
      </c>
      <c r="U139">
        <v>2.92</v>
      </c>
      <c r="V139">
        <v>2.2999999999999998</v>
      </c>
      <c r="W139" t="s">
        <v>33</v>
      </c>
      <c r="X139">
        <f t="shared" si="74"/>
        <v>1.2131888350367701E-2</v>
      </c>
      <c r="Y139" t="s">
        <v>33</v>
      </c>
      <c r="Z139" s="3">
        <f t="shared" si="75"/>
        <v>0.4855181717817153</v>
      </c>
      <c r="AA139" t="s">
        <v>33</v>
      </c>
      <c r="AB139">
        <f t="shared" si="71"/>
        <v>16.666666666666668</v>
      </c>
      <c r="AC139" s="1" t="str">
        <f t="shared" si="63"/>
        <v>NA</v>
      </c>
      <c r="AE139" s="3">
        <f t="shared" si="76"/>
        <v>150.15199999999999</v>
      </c>
      <c r="AF139">
        <v>200</v>
      </c>
      <c r="AG139" s="1" t="str">
        <f>IFERROR((N139*P139*Q139), "NA")</f>
        <v>NA</v>
      </c>
      <c r="AH139" s="1" t="str">
        <f>IFERROR((O139*Q139*R139), "NA")</f>
        <v>NA</v>
      </c>
      <c r="AI139" s="1">
        <v>1</v>
      </c>
      <c r="AJ139" s="11" t="s">
        <v>31</v>
      </c>
      <c r="AK139">
        <v>1000</v>
      </c>
      <c r="AL139" t="s">
        <v>430</v>
      </c>
      <c r="AM139" t="s">
        <v>530</v>
      </c>
      <c r="AN139" t="s">
        <v>186</v>
      </c>
      <c r="AO139" t="s">
        <v>796</v>
      </c>
      <c r="AP139">
        <v>6</v>
      </c>
      <c r="AQ139" t="s">
        <v>33</v>
      </c>
      <c r="AR139" t="s">
        <v>33</v>
      </c>
      <c r="AS139">
        <v>6.5</v>
      </c>
      <c r="AT139">
        <f>AS139-AU139</f>
        <v>2.7</v>
      </c>
      <c r="AU139" s="6">
        <v>3.8</v>
      </c>
      <c r="AV139" t="b">
        <v>1</v>
      </c>
      <c r="AW139" t="s">
        <v>626</v>
      </c>
      <c r="AX139" t="s">
        <v>627</v>
      </c>
      <c r="AY139" t="s">
        <v>625</v>
      </c>
      <c r="AZ139" t="s">
        <v>33</v>
      </c>
      <c r="BA139" s="18" t="s">
        <v>800</v>
      </c>
      <c r="BB139" s="3" t="b">
        <v>0</v>
      </c>
      <c r="BC139" t="s">
        <v>81</v>
      </c>
      <c r="BD139">
        <v>15</v>
      </c>
      <c r="BE139" t="s">
        <v>80</v>
      </c>
      <c r="BF139">
        <v>48</v>
      </c>
      <c r="BG139" t="s">
        <v>568</v>
      </c>
      <c r="BH139" t="s">
        <v>31</v>
      </c>
      <c r="BI139" t="s">
        <v>31</v>
      </c>
      <c r="BJ139">
        <f t="shared" si="64"/>
        <v>3.8</v>
      </c>
      <c r="BK139" s="3">
        <f t="shared" si="65"/>
        <v>0.57978359661681012</v>
      </c>
      <c r="BL139">
        <v>2</v>
      </c>
      <c r="BM139" s="3">
        <f t="shared" si="77"/>
        <v>1.596747524687947</v>
      </c>
      <c r="BN139" t="s">
        <v>33</v>
      </c>
      <c r="BO139" s="3">
        <f t="shared" si="72"/>
        <v>39.513684210526314</v>
      </c>
      <c r="BP139" t="s">
        <v>33</v>
      </c>
      <c r="BQ139" t="s">
        <v>33</v>
      </c>
      <c r="BR139" t="s">
        <v>33</v>
      </c>
      <c r="BS139" t="s">
        <v>33</v>
      </c>
      <c r="BT139" t="s">
        <v>32</v>
      </c>
      <c r="BU139" s="15" t="s">
        <v>344</v>
      </c>
      <c r="BV139" s="14">
        <v>2008</v>
      </c>
      <c r="BW139" t="s">
        <v>432</v>
      </c>
      <c r="BX139" t="s">
        <v>78</v>
      </c>
      <c r="BY139" s="13" t="s">
        <v>691</v>
      </c>
      <c r="BZ139" s="13" t="s">
        <v>781</v>
      </c>
      <c r="CA139" t="str">
        <f t="shared" si="73"/>
        <v>low acid</v>
      </c>
    </row>
    <row r="140" spans="1:79">
      <c r="A140" t="s">
        <v>501</v>
      </c>
      <c r="B140" t="s">
        <v>565</v>
      </c>
      <c r="C140" t="s">
        <v>563</v>
      </c>
      <c r="D140" t="s">
        <v>118</v>
      </c>
      <c r="E140" t="s">
        <v>77</v>
      </c>
      <c r="F140" t="s">
        <v>32</v>
      </c>
      <c r="G140">
        <v>4</v>
      </c>
      <c r="H140">
        <v>40</v>
      </c>
      <c r="I140" t="b">
        <v>0</v>
      </c>
      <c r="J140" t="s">
        <v>33</v>
      </c>
      <c r="K140" t="s">
        <v>33</v>
      </c>
      <c r="L140">
        <v>35</v>
      </c>
      <c r="M140" s="4">
        <v>200</v>
      </c>
      <c r="N140" s="3" t="str">
        <f>IFERROR(AF140/((T140*X140/Y140)*O140*AI140),"NA")</f>
        <v>NA</v>
      </c>
      <c r="O140">
        <v>4</v>
      </c>
      <c r="P140" s="9" t="s">
        <v>33</v>
      </c>
      <c r="Q140" s="8">
        <f t="shared" si="68"/>
        <v>0.28125</v>
      </c>
      <c r="R140" t="s">
        <v>183</v>
      </c>
      <c r="S140" t="s">
        <v>613</v>
      </c>
      <c r="T140" s="11">
        <v>8</v>
      </c>
      <c r="U140">
        <v>2.92</v>
      </c>
      <c r="V140">
        <v>2.2999999999999998</v>
      </c>
      <c r="W140">
        <v>1.21E-2</v>
      </c>
      <c r="X140" s="9">
        <f t="shared" si="74"/>
        <v>1.2131888350367701E-2</v>
      </c>
      <c r="Y140" s="6" t="s">
        <v>33</v>
      </c>
      <c r="Z140" s="3">
        <f t="shared" si="75"/>
        <v>4.3135603023529603E-2</v>
      </c>
      <c r="AA140" t="s">
        <v>33</v>
      </c>
      <c r="AB140" s="4" t="str">
        <f>IFERROR(((X140*M140)/Y140), "NA")</f>
        <v>NA</v>
      </c>
      <c r="AC140" s="4" t="str">
        <f t="shared" si="63"/>
        <v>NA</v>
      </c>
      <c r="AD140" s="4" t="e">
        <f>AB140*T140*AI140</f>
        <v>#VALUE!</v>
      </c>
      <c r="AE140" s="3">
        <f t="shared" si="76"/>
        <v>8290.7999999999993</v>
      </c>
      <c r="AF140">
        <v>1800</v>
      </c>
      <c r="AG140" s="4" t="str">
        <f>IFERROR((M140*O140*P140), "NA")</f>
        <v>NA</v>
      </c>
      <c r="AH140" s="4" t="str">
        <f>IFERROR((AG140*T140*AI140), "NA")</f>
        <v>NA</v>
      </c>
      <c r="AI140">
        <v>1</v>
      </c>
      <c r="AJ140" t="s">
        <v>31</v>
      </c>
      <c r="AK140">
        <v>3760</v>
      </c>
      <c r="AL140" t="s">
        <v>553</v>
      </c>
      <c r="AM140" t="s">
        <v>86</v>
      </c>
      <c r="AN140" t="s">
        <v>205</v>
      </c>
      <c r="AO140" t="s">
        <v>789</v>
      </c>
      <c r="AP140">
        <v>3.31</v>
      </c>
      <c r="AQ140" t="s">
        <v>33</v>
      </c>
      <c r="AR140" t="s">
        <v>33</v>
      </c>
      <c r="AS140" s="6">
        <f>LOG((10^7+10^8)/2)</f>
        <v>7.7403626894942441</v>
      </c>
      <c r="AT140" s="3">
        <f>IFERROR(AS140-AU140,"NA")</f>
        <v>2.7063626894942443</v>
      </c>
      <c r="AU140" s="6">
        <v>5.0339999999999998</v>
      </c>
      <c r="AV140" t="b">
        <v>1</v>
      </c>
      <c r="AW140" t="s">
        <v>92</v>
      </c>
      <c r="AX140" t="s">
        <v>119</v>
      </c>
      <c r="AY140" t="s">
        <v>425</v>
      </c>
      <c r="AZ140" t="s">
        <v>33</v>
      </c>
      <c r="BA140" s="18" t="s">
        <v>801</v>
      </c>
      <c r="BB140" t="b">
        <v>0</v>
      </c>
      <c r="BC140" t="s">
        <v>81</v>
      </c>
      <c r="BD140">
        <v>15</v>
      </c>
      <c r="BE140" t="s">
        <v>80</v>
      </c>
      <c r="BF140" s="11">
        <v>36</v>
      </c>
      <c r="BG140" t="s">
        <v>573</v>
      </c>
      <c r="BH140" t="s">
        <v>31</v>
      </c>
      <c r="BI140" t="s">
        <v>32</v>
      </c>
      <c r="BJ140" s="3">
        <f t="shared" si="64"/>
        <v>5.0339999999999998</v>
      </c>
      <c r="BK140" s="3">
        <f t="shared" si="65"/>
        <v>0.70191321121234385</v>
      </c>
      <c r="BL140">
        <v>2</v>
      </c>
      <c r="BM140" s="3">
        <f t="shared" si="77"/>
        <v>3.2166832275191743</v>
      </c>
      <c r="BN140" t="s">
        <v>33</v>
      </c>
      <c r="BO140" s="3">
        <f t="shared" si="72"/>
        <v>1646.9606674612633</v>
      </c>
      <c r="BP140" t="s">
        <v>33</v>
      </c>
      <c r="BQ140" t="s">
        <v>33</v>
      </c>
      <c r="BR140" t="s">
        <v>33</v>
      </c>
      <c r="BS140" t="s">
        <v>33</v>
      </c>
      <c r="BT140" t="s">
        <v>31</v>
      </c>
      <c r="BU140" t="s">
        <v>503</v>
      </c>
      <c r="BV140">
        <v>2011</v>
      </c>
      <c r="BW140" t="s">
        <v>504</v>
      </c>
      <c r="BX140" t="s">
        <v>78</v>
      </c>
      <c r="BY140" t="s">
        <v>33</v>
      </c>
      <c r="BZ140" t="s">
        <v>33</v>
      </c>
      <c r="CA140" t="str">
        <f t="shared" si="73"/>
        <v>high acid</v>
      </c>
    </row>
    <row r="141" spans="1:79">
      <c r="A141" t="s">
        <v>580</v>
      </c>
      <c r="B141" t="s">
        <v>565</v>
      </c>
      <c r="C141" t="s">
        <v>563</v>
      </c>
      <c r="D141" t="s">
        <v>118</v>
      </c>
      <c r="E141" t="s">
        <v>77</v>
      </c>
      <c r="F141" t="s">
        <v>32</v>
      </c>
      <c r="G141">
        <v>22</v>
      </c>
      <c r="H141">
        <v>40</v>
      </c>
      <c r="I141" t="b">
        <v>0</v>
      </c>
      <c r="J141">
        <v>10220</v>
      </c>
      <c r="K141">
        <v>62.82</v>
      </c>
      <c r="L141">
        <v>35</v>
      </c>
      <c r="M141" s="4">
        <v>250</v>
      </c>
      <c r="N141" t="e">
        <f>(#REF!*Y141)/(T141*X141*O141)</f>
        <v>#REF!</v>
      </c>
      <c r="O141">
        <v>4</v>
      </c>
      <c r="P141">
        <f>AVERAGE(0.0066, 0.0091)</f>
        <v>7.8499999999999993E-3</v>
      </c>
      <c r="Q141" s="1">
        <f t="shared" si="68"/>
        <v>0.15625</v>
      </c>
      <c r="R141" t="s">
        <v>183</v>
      </c>
      <c r="S141" t="s">
        <v>613</v>
      </c>
      <c r="T141">
        <v>8</v>
      </c>
      <c r="U141">
        <v>2.92</v>
      </c>
      <c r="V141">
        <v>2.2999999999999998</v>
      </c>
      <c r="W141">
        <v>1.21E-2</v>
      </c>
      <c r="X141">
        <f t="shared" si="74"/>
        <v>1.2131888350367701E-2</v>
      </c>
      <c r="Y141">
        <v>1.8333299999999999</v>
      </c>
      <c r="Z141" s="3">
        <f t="shared" si="75"/>
        <v>7.7644085442353281E-2</v>
      </c>
      <c r="AA141" t="s">
        <v>33</v>
      </c>
      <c r="AB141">
        <f>IFERROR(((X141*M141)/Z141), "NA")</f>
        <v>39.0625</v>
      </c>
      <c r="AC141" s="1">
        <f t="shared" si="63"/>
        <v>1.9624999999999999</v>
      </c>
      <c r="AE141" s="3">
        <f t="shared" si="76"/>
        <v>8268.75</v>
      </c>
      <c r="AF141">
        <v>1250</v>
      </c>
      <c r="AG141" s="1" t="str">
        <f>IFERROR((N141*P141*Q141), "NA")</f>
        <v>NA</v>
      </c>
      <c r="AH141" s="1" t="str">
        <f>IFERROR((AG141*U141*AI141), "NA")</f>
        <v>NA</v>
      </c>
      <c r="AI141" s="1">
        <v>1</v>
      </c>
      <c r="AJ141" s="11" t="s">
        <v>31</v>
      </c>
      <c r="AK141">
        <v>5400</v>
      </c>
      <c r="AL141" t="s">
        <v>238</v>
      </c>
      <c r="AM141" t="s">
        <v>86</v>
      </c>
      <c r="AN141" t="s">
        <v>205</v>
      </c>
      <c r="AO141" t="s">
        <v>789</v>
      </c>
      <c r="AP141">
        <v>3.44</v>
      </c>
      <c r="AQ141" t="s">
        <v>33</v>
      </c>
      <c r="AR141" t="s">
        <v>33</v>
      </c>
      <c r="AS141">
        <v>7.5</v>
      </c>
      <c r="AT141">
        <f>AS141-AU141</f>
        <v>2.71</v>
      </c>
      <c r="AU141" s="6">
        <v>4.79</v>
      </c>
      <c r="AV141" t="b">
        <v>1</v>
      </c>
      <c r="AW141" t="s">
        <v>617</v>
      </c>
      <c r="AX141" t="s">
        <v>33</v>
      </c>
      <c r="AY141" t="s">
        <v>33</v>
      </c>
      <c r="AZ141" t="s">
        <v>619</v>
      </c>
      <c r="BA141" s="18" t="s">
        <v>802</v>
      </c>
      <c r="BB141" s="3" t="b">
        <v>0</v>
      </c>
      <c r="BC141" t="s">
        <v>81</v>
      </c>
      <c r="BD141">
        <v>15</v>
      </c>
      <c r="BE141" t="s">
        <v>80</v>
      </c>
      <c r="BF141">
        <v>24</v>
      </c>
      <c r="BG141" t="s">
        <v>697</v>
      </c>
      <c r="BH141" t="s">
        <v>32</v>
      </c>
      <c r="BI141" t="s">
        <v>31</v>
      </c>
      <c r="BJ141">
        <f t="shared" si="64"/>
        <v>4.79</v>
      </c>
      <c r="BK141" s="3">
        <f t="shared" si="65"/>
        <v>0.68033551341456322</v>
      </c>
      <c r="BL141">
        <v>2</v>
      </c>
      <c r="BM141" s="3">
        <f t="shared" si="77"/>
        <v>3.237104348117013</v>
      </c>
      <c r="BN141" t="s">
        <v>33</v>
      </c>
      <c r="BO141" s="3">
        <f t="shared" si="72"/>
        <v>1726.2526096033403</v>
      </c>
      <c r="BP141" t="s">
        <v>33</v>
      </c>
      <c r="BQ141" t="s">
        <v>33</v>
      </c>
      <c r="BR141" t="s">
        <v>33</v>
      </c>
      <c r="BS141" t="s">
        <v>33</v>
      </c>
      <c r="BT141" t="s">
        <v>31</v>
      </c>
      <c r="BU141" t="s">
        <v>219</v>
      </c>
      <c r="BV141" s="14">
        <v>2008</v>
      </c>
      <c r="BW141" t="s">
        <v>257</v>
      </c>
      <c r="BX141" t="s">
        <v>78</v>
      </c>
      <c r="BY141" s="13" t="s">
        <v>670</v>
      </c>
      <c r="CA141" t="str">
        <f t="shared" si="73"/>
        <v>high acid</v>
      </c>
    </row>
    <row r="142" spans="1:79">
      <c r="A142" t="s">
        <v>581</v>
      </c>
      <c r="B142" t="s">
        <v>565</v>
      </c>
      <c r="C142" t="s">
        <v>563</v>
      </c>
      <c r="D142" t="s">
        <v>118</v>
      </c>
      <c r="E142" t="s">
        <v>77</v>
      </c>
      <c r="F142" t="s">
        <v>32</v>
      </c>
      <c r="G142">
        <v>5</v>
      </c>
      <c r="H142">
        <v>30.3</v>
      </c>
      <c r="I142" t="b">
        <v>0</v>
      </c>
      <c r="J142" t="s">
        <v>33</v>
      </c>
      <c r="K142" t="s">
        <v>33</v>
      </c>
      <c r="L142">
        <v>35</v>
      </c>
      <c r="M142" s="4">
        <v>175</v>
      </c>
      <c r="N142" t="e">
        <f>(#REF!*Y142)/(T142*X142*O142)</f>
        <v>#REF!</v>
      </c>
      <c r="O142">
        <v>4</v>
      </c>
      <c r="P142" t="s">
        <v>33</v>
      </c>
      <c r="Q142" s="1">
        <f t="shared" si="68"/>
        <v>0.35714285714285715</v>
      </c>
      <c r="R142" t="s">
        <v>183</v>
      </c>
      <c r="S142" t="s">
        <v>613</v>
      </c>
      <c r="T142">
        <v>8</v>
      </c>
      <c r="U142">
        <v>2.92</v>
      </c>
      <c r="V142">
        <v>2.2999999999999998</v>
      </c>
      <c r="W142">
        <v>1.21E-2</v>
      </c>
      <c r="X142">
        <f t="shared" si="74"/>
        <v>1.2131888350367701E-2</v>
      </c>
      <c r="Y142">
        <v>1.6666700000000001</v>
      </c>
      <c r="Z142" s="3">
        <f t="shared" si="75"/>
        <v>3.3969287381029563E-2</v>
      </c>
      <c r="AA142" t="s">
        <v>33</v>
      </c>
      <c r="AB142">
        <f>IFERROR(((X142*M142)/Z142), "NA")</f>
        <v>62.499999999999993</v>
      </c>
      <c r="AC142" s="1" t="str">
        <f t="shared" si="63"/>
        <v>NA</v>
      </c>
      <c r="AE142" s="3">
        <f t="shared" si="76"/>
        <v>8967</v>
      </c>
      <c r="AF142">
        <v>2000</v>
      </c>
      <c r="AG142" s="1" t="str">
        <f>IFERROR((N142*P142*Q142), "NA")</f>
        <v>NA</v>
      </c>
      <c r="AH142" s="1" t="str">
        <f>IFERROR((AG142*U142*AI142), "NA")</f>
        <v>NA</v>
      </c>
      <c r="AI142" s="1">
        <v>1</v>
      </c>
      <c r="AJ142" s="11" t="s">
        <v>31</v>
      </c>
      <c r="AK142">
        <v>3660</v>
      </c>
      <c r="AL142" t="s">
        <v>541</v>
      </c>
      <c r="AM142" t="s">
        <v>86</v>
      </c>
      <c r="AN142" t="s">
        <v>186</v>
      </c>
      <c r="AO142" t="s">
        <v>794</v>
      </c>
      <c r="AP142">
        <v>5.46</v>
      </c>
      <c r="AQ142" t="s">
        <v>33</v>
      </c>
      <c r="AR142" t="s">
        <v>33</v>
      </c>
      <c r="AS142">
        <v>7.5</v>
      </c>
      <c r="AT142">
        <f>AS142-AU142</f>
        <v>2.71</v>
      </c>
      <c r="AU142" s="6">
        <v>4.79</v>
      </c>
      <c r="AV142" t="b">
        <v>1</v>
      </c>
      <c r="AW142" t="s">
        <v>617</v>
      </c>
      <c r="AX142" t="s">
        <v>618</v>
      </c>
      <c r="AY142" t="s">
        <v>33</v>
      </c>
      <c r="AZ142" t="s">
        <v>619</v>
      </c>
      <c r="BA142" s="18" t="s">
        <v>802</v>
      </c>
      <c r="BB142" s="3" t="b">
        <v>0</v>
      </c>
      <c r="BC142" t="s">
        <v>81</v>
      </c>
      <c r="BD142">
        <v>15</v>
      </c>
      <c r="BE142" t="s">
        <v>80</v>
      </c>
      <c r="BF142">
        <v>15</v>
      </c>
      <c r="BG142" t="s">
        <v>697</v>
      </c>
      <c r="BH142" t="s">
        <v>32</v>
      </c>
      <c r="BI142" t="s">
        <v>31</v>
      </c>
      <c r="BJ142">
        <f t="shared" si="64"/>
        <v>4.79</v>
      </c>
      <c r="BK142" s="3">
        <f t="shared" si="65"/>
        <v>0.68033551341456322</v>
      </c>
      <c r="BL142">
        <v>2</v>
      </c>
      <c r="BM142" s="3">
        <f t="shared" si="77"/>
        <v>3.2723116563443799</v>
      </c>
      <c r="BN142" t="s">
        <v>33</v>
      </c>
      <c r="BO142" s="3">
        <f t="shared" si="72"/>
        <v>1872.0250521920668</v>
      </c>
      <c r="BP142" t="s">
        <v>33</v>
      </c>
      <c r="BQ142" t="s">
        <v>33</v>
      </c>
      <c r="BR142" t="s">
        <v>33</v>
      </c>
      <c r="BS142" t="s">
        <v>33</v>
      </c>
      <c r="BT142" t="s">
        <v>31</v>
      </c>
      <c r="BU142" t="s">
        <v>219</v>
      </c>
      <c r="BV142" s="14">
        <v>2007</v>
      </c>
      <c r="BW142" s="2" t="s">
        <v>648</v>
      </c>
      <c r="BX142" t="s">
        <v>78</v>
      </c>
      <c r="BY142" s="13" t="s">
        <v>671</v>
      </c>
      <c r="CA142" t="str">
        <f t="shared" si="73"/>
        <v>low acid</v>
      </c>
    </row>
    <row r="143" spans="1:79">
      <c r="A143" t="s">
        <v>132</v>
      </c>
      <c r="B143" t="s">
        <v>565</v>
      </c>
      <c r="C143" t="s">
        <v>563</v>
      </c>
      <c r="D143" t="s">
        <v>118</v>
      </c>
      <c r="E143" t="s">
        <v>77</v>
      </c>
      <c r="F143" t="s">
        <v>32</v>
      </c>
      <c r="G143">
        <v>23</v>
      </c>
      <c r="H143">
        <v>56</v>
      </c>
      <c r="I143" t="b">
        <v>0</v>
      </c>
      <c r="J143" t="s">
        <v>33</v>
      </c>
      <c r="K143" t="s">
        <v>33</v>
      </c>
      <c r="L143">
        <v>25</v>
      </c>
      <c r="M143" s="4">
        <v>1000</v>
      </c>
      <c r="N143" s="3">
        <f>IFERROR(AF143/((T143*X143/Y143)*O143*AI143),"NA")</f>
        <v>995.95036417586573</v>
      </c>
      <c r="O143">
        <v>3</v>
      </c>
      <c r="P143" t="s">
        <v>33</v>
      </c>
      <c r="Q143" s="8">
        <f t="shared" ref="Q143:Q173" si="78">IFERROR(X143/Z143, "NA")</f>
        <v>1.2E-2</v>
      </c>
      <c r="R143" t="s">
        <v>183</v>
      </c>
      <c r="S143" t="s">
        <v>613</v>
      </c>
      <c r="T143" s="11">
        <v>4</v>
      </c>
      <c r="U143">
        <v>2.9</v>
      </c>
      <c r="V143">
        <v>2.2999999999999998</v>
      </c>
      <c r="W143" t="s">
        <v>33</v>
      </c>
      <c r="X143" s="8">
        <f>IFERROR(((PI())*(((V143*10^-1)/2)^2)*(U143*10^-1)), "NA")</f>
        <v>1.204879322468025E-2</v>
      </c>
      <c r="Y143">
        <v>1</v>
      </c>
      <c r="Z143" s="9">
        <f t="shared" si="75"/>
        <v>1.0040661020566874</v>
      </c>
      <c r="AA143" t="s">
        <v>33</v>
      </c>
      <c r="AB143" s="6">
        <f>IFERROR(((X143*M143)/Z143), "NA")</f>
        <v>12.000000000000002</v>
      </c>
      <c r="AC143" t="str">
        <f t="shared" ref="AC143:AC201" si="79">IFERROR(M143*P143,"NA")</f>
        <v>NA</v>
      </c>
      <c r="AD143" s="4">
        <f>IFERROR(AB143*T143*AI143, "NA")</f>
        <v>48.000000000000007</v>
      </c>
      <c r="AE143">
        <f t="shared" si="76"/>
        <v>189</v>
      </c>
      <c r="AF143">
        <v>144</v>
      </c>
      <c r="AG143" t="str">
        <f>IFERROR((M143*O143*P143), "NA")</f>
        <v>NA</v>
      </c>
      <c r="AH143" t="str">
        <f>IFERROR((AG143*T143*AI143), "NA")</f>
        <v>NA</v>
      </c>
      <c r="AI143" s="11">
        <v>1</v>
      </c>
      <c r="AJ143" t="s">
        <v>31</v>
      </c>
      <c r="AK143">
        <v>2100</v>
      </c>
      <c r="AL143" t="s">
        <v>114</v>
      </c>
      <c r="AM143" t="s">
        <v>103</v>
      </c>
      <c r="AN143" t="s">
        <v>130</v>
      </c>
      <c r="AO143" t="s">
        <v>795</v>
      </c>
      <c r="AP143">
        <v>7</v>
      </c>
      <c r="AQ143" t="s">
        <v>33</v>
      </c>
      <c r="AR143" t="s">
        <v>33</v>
      </c>
      <c r="AS143" s="3">
        <v>8</v>
      </c>
      <c r="AT143" s="3">
        <f>IFERROR(AS143-AU143,"NA")</f>
        <v>2.7119999999999997</v>
      </c>
      <c r="AU143" s="6">
        <v>5.2880000000000003</v>
      </c>
      <c r="AV143" t="b">
        <v>1</v>
      </c>
      <c r="AW143" t="s">
        <v>123</v>
      </c>
      <c r="AX143" t="s">
        <v>124</v>
      </c>
      <c r="AY143" t="s">
        <v>128</v>
      </c>
      <c r="AZ143" t="s">
        <v>33</v>
      </c>
      <c r="BA143" s="18" t="s">
        <v>579</v>
      </c>
      <c r="BB143" t="b">
        <v>1</v>
      </c>
      <c r="BC143" t="s">
        <v>81</v>
      </c>
      <c r="BD143">
        <v>18</v>
      </c>
      <c r="BE143" t="s">
        <v>80</v>
      </c>
      <c r="BF143" t="s">
        <v>33</v>
      </c>
      <c r="BG143" t="s">
        <v>395</v>
      </c>
      <c r="BH143" t="s">
        <v>31</v>
      </c>
      <c r="BI143" t="s">
        <v>32</v>
      </c>
      <c r="BJ143" s="3">
        <f t="shared" ref="BJ143:BJ201" si="80">AU143</f>
        <v>5.2880000000000003</v>
      </c>
      <c r="BK143" s="3">
        <f t="shared" ref="BK143:BK201" si="81">LOG10(BJ143)</f>
        <v>0.72329144647758381</v>
      </c>
      <c r="BL143">
        <v>2</v>
      </c>
      <c r="BM143" s="3">
        <f>LOG(BO143)</f>
        <v>1.5531703576956604</v>
      </c>
      <c r="BN143" t="s">
        <v>33</v>
      </c>
      <c r="BO143" s="3">
        <f t="shared" si="72"/>
        <v>35.741301059001508</v>
      </c>
      <c r="BP143" t="s">
        <v>33</v>
      </c>
      <c r="BQ143" t="s">
        <v>33</v>
      </c>
      <c r="BR143" t="s">
        <v>33</v>
      </c>
      <c r="BS143" t="s">
        <v>33</v>
      </c>
      <c r="BT143" t="s">
        <v>32</v>
      </c>
      <c r="BU143" t="s">
        <v>116</v>
      </c>
      <c r="BV143">
        <v>2015</v>
      </c>
      <c r="BW143" t="s">
        <v>91</v>
      </c>
      <c r="BX143" t="s">
        <v>78</v>
      </c>
      <c r="BY143" t="s">
        <v>33</v>
      </c>
      <c r="BZ143" t="s">
        <v>33</v>
      </c>
      <c r="CA143" t="str">
        <f t="shared" si="73"/>
        <v>low acid</v>
      </c>
    </row>
    <row r="144" spans="1:79">
      <c r="A144" t="s">
        <v>406</v>
      </c>
      <c r="B144" t="s">
        <v>565</v>
      </c>
      <c r="C144" t="s">
        <v>563</v>
      </c>
      <c r="D144" t="s">
        <v>118</v>
      </c>
      <c r="E144" t="s">
        <v>77</v>
      </c>
      <c r="F144" t="s">
        <v>32</v>
      </c>
      <c r="G144">
        <v>20</v>
      </c>
      <c r="H144" t="s">
        <v>33</v>
      </c>
      <c r="I144" t="b">
        <v>0</v>
      </c>
      <c r="J144" t="s">
        <v>33</v>
      </c>
      <c r="K144" t="s">
        <v>33</v>
      </c>
      <c r="L144">
        <v>24</v>
      </c>
      <c r="M144" s="4">
        <v>500</v>
      </c>
      <c r="N144" s="3">
        <f>IFERROR(AF144/((T144*X144/Y144)*O144*AI144),"NA")</f>
        <v>500.00000000000011</v>
      </c>
      <c r="O144">
        <v>3</v>
      </c>
      <c r="P144" t="s">
        <v>33</v>
      </c>
      <c r="Q144" s="8">
        <f t="shared" si="78"/>
        <v>2.2787935011895258E-2</v>
      </c>
      <c r="R144" t="s">
        <v>183</v>
      </c>
      <c r="S144" t="s">
        <v>613</v>
      </c>
      <c r="T144" s="11">
        <v>6</v>
      </c>
      <c r="U144">
        <v>2.2999999999999998</v>
      </c>
      <c r="V144">
        <v>2.9</v>
      </c>
      <c r="W144" t="s">
        <v>33</v>
      </c>
      <c r="X144" s="9">
        <f t="shared" ref="X144:X153" si="82">IFERROR(((PI())*(((V144*10^-1)/2)^2)*(U144*10^-1)), "NA")</f>
        <v>1.519195667459684E-2</v>
      </c>
      <c r="Y144" s="6">
        <f>40/60</f>
        <v>0.66666666666666663</v>
      </c>
      <c r="Z144" s="3">
        <f t="shared" si="75"/>
        <v>0.66666666666666674</v>
      </c>
      <c r="AA144" t="s">
        <v>33</v>
      </c>
      <c r="AB144" s="6">
        <f>IFERROR(((X144*M144)/Y144), "NA")</f>
        <v>11.39396750594763</v>
      </c>
      <c r="AC144" t="str">
        <f t="shared" si="79"/>
        <v>NA</v>
      </c>
      <c r="AD144" s="4">
        <f>AB144*T144*AI144</f>
        <v>68.363805035685786</v>
      </c>
      <c r="AE144" s="3">
        <f t="shared" si="76"/>
        <v>272.88643328484619</v>
      </c>
      <c r="AF144" s="4">
        <f>AB144*T144*O144*AI144</f>
        <v>205.09141510705734</v>
      </c>
      <c r="AG144" t="str">
        <f>IFERROR((M144*O144*P144), "NA")</f>
        <v>NA</v>
      </c>
      <c r="AH144" t="str">
        <f>IFERROR((AG144*T144*AI144), "NA")</f>
        <v>NA</v>
      </c>
      <c r="AI144">
        <v>1</v>
      </c>
      <c r="AJ144" t="s">
        <v>31</v>
      </c>
      <c r="AK144">
        <v>2310</v>
      </c>
      <c r="AL144" t="s">
        <v>399</v>
      </c>
      <c r="AM144" t="s">
        <v>515</v>
      </c>
      <c r="AN144" t="s">
        <v>205</v>
      </c>
      <c r="AO144" t="s">
        <v>788</v>
      </c>
      <c r="AP144">
        <v>3.01</v>
      </c>
      <c r="AQ144" t="s">
        <v>33</v>
      </c>
      <c r="AR144" t="s">
        <v>33</v>
      </c>
      <c r="AS144">
        <v>6.14</v>
      </c>
      <c r="AT144" s="3">
        <f>IFERROR(AS144-AU144,"NA")</f>
        <v>2.7399999999999998</v>
      </c>
      <c r="AU144" s="6">
        <v>3.4</v>
      </c>
      <c r="AV144" t="b">
        <v>1</v>
      </c>
      <c r="AW144" t="s">
        <v>123</v>
      </c>
      <c r="AX144" t="s">
        <v>400</v>
      </c>
      <c r="AY144" t="s">
        <v>33</v>
      </c>
      <c r="AZ144" t="s">
        <v>33</v>
      </c>
      <c r="BA144" s="18" t="s">
        <v>579</v>
      </c>
      <c r="BB144" t="b">
        <v>1</v>
      </c>
      <c r="BC144" t="s">
        <v>81</v>
      </c>
      <c r="BD144">
        <v>12</v>
      </c>
      <c r="BE144" t="s">
        <v>80</v>
      </c>
      <c r="BF144" s="11">
        <v>36</v>
      </c>
      <c r="BG144" t="s">
        <v>395</v>
      </c>
      <c r="BH144" t="s">
        <v>31</v>
      </c>
      <c r="BI144" t="s">
        <v>31</v>
      </c>
      <c r="BJ144" s="3">
        <f t="shared" si="80"/>
        <v>3.4</v>
      </c>
      <c r="BK144" s="3">
        <f t="shared" si="81"/>
        <v>0.53147891704225514</v>
      </c>
      <c r="BL144">
        <v>2</v>
      </c>
      <c r="BM144" s="3">
        <f t="shared" ref="BM144:BM188" si="83">IFERROR(LOG(BO144),"NA")</f>
        <v>1.9045030279497839</v>
      </c>
      <c r="BN144" t="s">
        <v>33</v>
      </c>
      <c r="BO144" s="3">
        <f t="shared" si="72"/>
        <v>80.260715672013589</v>
      </c>
      <c r="BP144" t="s">
        <v>33</v>
      </c>
      <c r="BQ144" t="s">
        <v>33</v>
      </c>
      <c r="BR144" t="s">
        <v>33</v>
      </c>
      <c r="BS144" t="s">
        <v>33</v>
      </c>
      <c r="BT144" t="s">
        <v>31</v>
      </c>
      <c r="BU144" t="s">
        <v>402</v>
      </c>
      <c r="BV144">
        <v>2014</v>
      </c>
      <c r="BW144" t="s">
        <v>413</v>
      </c>
      <c r="BX144" t="s">
        <v>78</v>
      </c>
      <c r="BY144" t="s">
        <v>404</v>
      </c>
      <c r="BZ144" t="s">
        <v>410</v>
      </c>
      <c r="CA144" t="str">
        <f t="shared" si="73"/>
        <v>high acid</v>
      </c>
    </row>
    <row r="145" spans="1:79">
      <c r="A145" t="s">
        <v>580</v>
      </c>
      <c r="B145" t="s">
        <v>565</v>
      </c>
      <c r="C145" t="s">
        <v>563</v>
      </c>
      <c r="D145" t="s">
        <v>118</v>
      </c>
      <c r="E145" t="s">
        <v>77</v>
      </c>
      <c r="F145" t="s">
        <v>32</v>
      </c>
      <c r="G145">
        <v>22</v>
      </c>
      <c r="H145">
        <v>40</v>
      </c>
      <c r="I145" t="b">
        <v>0</v>
      </c>
      <c r="J145">
        <v>10220</v>
      </c>
      <c r="K145">
        <v>62.82</v>
      </c>
      <c r="L145">
        <v>35</v>
      </c>
      <c r="M145" s="4">
        <v>175</v>
      </c>
      <c r="N145" t="e">
        <f>(#REF!*Y145)/(T145*X145*O145)</f>
        <v>#REF!</v>
      </c>
      <c r="O145">
        <v>4</v>
      </c>
      <c r="P145">
        <f>AVERAGE(0.0066, 0.0091)</f>
        <v>7.8499999999999993E-3</v>
      </c>
      <c r="Q145" s="1">
        <f t="shared" si="78"/>
        <v>0.22321428571428573</v>
      </c>
      <c r="R145" t="s">
        <v>183</v>
      </c>
      <c r="S145" t="s">
        <v>613</v>
      </c>
      <c r="T145">
        <v>8</v>
      </c>
      <c r="U145">
        <v>2.92</v>
      </c>
      <c r="V145">
        <v>2.2999999999999998</v>
      </c>
      <c r="W145">
        <v>1.21E-2</v>
      </c>
      <c r="X145">
        <f t="shared" si="82"/>
        <v>1.2131888350367701E-2</v>
      </c>
      <c r="Y145">
        <v>1.8333299999999999</v>
      </c>
      <c r="Z145" s="3">
        <f t="shared" si="75"/>
        <v>5.4350859809647295E-2</v>
      </c>
      <c r="AA145" t="s">
        <v>33</v>
      </c>
      <c r="AB145">
        <f>IFERROR(((X145*M145)/Z145), "NA")</f>
        <v>39.0625</v>
      </c>
      <c r="AC145" s="1">
        <f t="shared" si="79"/>
        <v>1.3737499999999998</v>
      </c>
      <c r="AE145" s="3">
        <f t="shared" si="76"/>
        <v>8268.75</v>
      </c>
      <c r="AF145">
        <v>1250</v>
      </c>
      <c r="AG145" s="1" t="str">
        <f>IFERROR((N145*P145*Q145), "NA")</f>
        <v>NA</v>
      </c>
      <c r="AH145" s="1" t="str">
        <f>IFERROR((AG145*U145*AI145), "NA")</f>
        <v>NA</v>
      </c>
      <c r="AI145" s="1">
        <v>1</v>
      </c>
      <c r="AJ145" s="11" t="s">
        <v>31</v>
      </c>
      <c r="AK145">
        <v>5400</v>
      </c>
      <c r="AL145" t="s">
        <v>238</v>
      </c>
      <c r="AM145" t="s">
        <v>86</v>
      </c>
      <c r="AN145" t="s">
        <v>205</v>
      </c>
      <c r="AO145" t="s">
        <v>789</v>
      </c>
      <c r="AP145">
        <v>3.44</v>
      </c>
      <c r="AQ145" t="s">
        <v>33</v>
      </c>
      <c r="AR145" t="s">
        <v>33</v>
      </c>
      <c r="AS145">
        <v>7.5</v>
      </c>
      <c r="AT145">
        <f>AS145-AU145</f>
        <v>2.74</v>
      </c>
      <c r="AU145" s="6">
        <v>4.76</v>
      </c>
      <c r="AV145" t="b">
        <v>1</v>
      </c>
      <c r="AW145" t="s">
        <v>617</v>
      </c>
      <c r="AX145" t="s">
        <v>33</v>
      </c>
      <c r="AY145" t="s">
        <v>33</v>
      </c>
      <c r="AZ145" t="s">
        <v>619</v>
      </c>
      <c r="BA145" s="18" t="s">
        <v>802</v>
      </c>
      <c r="BB145" s="3" t="b">
        <v>0</v>
      </c>
      <c r="BC145" t="s">
        <v>81</v>
      </c>
      <c r="BD145">
        <v>15</v>
      </c>
      <c r="BE145" t="s">
        <v>80</v>
      </c>
      <c r="BF145">
        <v>24</v>
      </c>
      <c r="BG145" t="s">
        <v>697</v>
      </c>
      <c r="BH145" t="s">
        <v>32</v>
      </c>
      <c r="BI145" t="s">
        <v>31</v>
      </c>
      <c r="BJ145">
        <f t="shared" si="80"/>
        <v>4.76</v>
      </c>
      <c r="BK145" s="3">
        <f t="shared" si="81"/>
        <v>0.67760695272049309</v>
      </c>
      <c r="BL145">
        <v>2</v>
      </c>
      <c r="BM145" s="3">
        <f t="shared" si="83"/>
        <v>3.2398329088110831</v>
      </c>
      <c r="BN145" t="s">
        <v>33</v>
      </c>
      <c r="BO145" s="3">
        <f t="shared" si="72"/>
        <v>1737.1323529411766</v>
      </c>
      <c r="BP145" t="s">
        <v>33</v>
      </c>
      <c r="BQ145" t="s">
        <v>33</v>
      </c>
      <c r="BR145" t="s">
        <v>33</v>
      </c>
      <c r="BS145" t="s">
        <v>33</v>
      </c>
      <c r="BT145" t="s">
        <v>31</v>
      </c>
      <c r="BU145" t="s">
        <v>219</v>
      </c>
      <c r="BV145" s="14">
        <v>2008</v>
      </c>
      <c r="BW145" t="s">
        <v>257</v>
      </c>
      <c r="BX145" t="s">
        <v>78</v>
      </c>
      <c r="BY145" s="13" t="s">
        <v>670</v>
      </c>
      <c r="CA145" t="str">
        <f t="shared" si="73"/>
        <v>high acid</v>
      </c>
    </row>
    <row r="146" spans="1:79">
      <c r="A146" t="s">
        <v>260</v>
      </c>
      <c r="B146" t="s">
        <v>565</v>
      </c>
      <c r="C146" t="s">
        <v>563</v>
      </c>
      <c r="D146" t="s">
        <v>118</v>
      </c>
      <c r="E146" t="s">
        <v>77</v>
      </c>
      <c r="F146" t="s">
        <v>32</v>
      </c>
      <c r="G146">
        <v>5</v>
      </c>
      <c r="H146">
        <v>40</v>
      </c>
      <c r="I146" t="b">
        <v>0</v>
      </c>
      <c r="J146" t="s">
        <v>33</v>
      </c>
      <c r="K146" t="s">
        <v>33</v>
      </c>
      <c r="L146">
        <v>35</v>
      </c>
      <c r="M146" s="4">
        <v>175</v>
      </c>
      <c r="N146" s="3">
        <f>IFERROR(AF146/((T146*X146/Y146)*O146*AI146),"NA")</f>
        <v>5903.0038247230323</v>
      </c>
      <c r="O146">
        <v>4</v>
      </c>
      <c r="P146" t="s">
        <v>33</v>
      </c>
      <c r="Q146" s="8">
        <f t="shared" si="78"/>
        <v>0.22321428571428573</v>
      </c>
      <c r="R146" t="s">
        <v>183</v>
      </c>
      <c r="S146" t="s">
        <v>613</v>
      </c>
      <c r="T146" s="11">
        <v>8</v>
      </c>
      <c r="U146">
        <v>2.92</v>
      </c>
      <c r="V146">
        <v>2.2999999999999998</v>
      </c>
      <c r="W146">
        <v>1.21E-2</v>
      </c>
      <c r="X146" s="8">
        <f t="shared" si="82"/>
        <v>1.2131888350367701E-2</v>
      </c>
      <c r="Y146" s="6">
        <f>110/60</f>
        <v>1.8333333333333333</v>
      </c>
      <c r="Z146" s="3">
        <f t="shared" si="75"/>
        <v>5.4350859809647295E-2</v>
      </c>
      <c r="AA146" t="s">
        <v>33</v>
      </c>
      <c r="AB146" s="6">
        <f>IFERROR(((X146*M146)/Z146), "NA")</f>
        <v>39.0625</v>
      </c>
      <c r="AC146" t="str">
        <f t="shared" si="79"/>
        <v>NA</v>
      </c>
      <c r="AD146" s="4">
        <f>AB146*T146*AI146</f>
        <v>312.5</v>
      </c>
      <c r="AE146" s="3">
        <f t="shared" si="76"/>
        <v>8268.75</v>
      </c>
      <c r="AF146">
        <v>1250</v>
      </c>
      <c r="AG146" t="str">
        <f>IFERROR((M146*O146*P146), "NA")</f>
        <v>NA</v>
      </c>
      <c r="AH146" t="str">
        <f>IFERROR((AG146*T146*AI146), "NA")</f>
        <v>NA</v>
      </c>
      <c r="AI146">
        <v>1</v>
      </c>
      <c r="AJ146" t="s">
        <v>31</v>
      </c>
      <c r="AK146">
        <v>5400</v>
      </c>
      <c r="AL146" t="s">
        <v>238</v>
      </c>
      <c r="AM146" t="s">
        <v>86</v>
      </c>
      <c r="AN146" t="s">
        <v>205</v>
      </c>
      <c r="AO146" t="s">
        <v>789</v>
      </c>
      <c r="AP146">
        <v>3.44</v>
      </c>
      <c r="AQ146" t="s">
        <v>33</v>
      </c>
      <c r="AR146" t="s">
        <v>33</v>
      </c>
      <c r="AS146" s="6">
        <f>LOG((10^7+10^8)/2)</f>
        <v>7.7403626894942441</v>
      </c>
      <c r="AT146" s="3">
        <f>IFERROR(AS146-AU146,"NA")</f>
        <v>2.7423626894942439</v>
      </c>
      <c r="AU146" s="6">
        <v>4.9980000000000002</v>
      </c>
      <c r="AV146" t="b">
        <v>1</v>
      </c>
      <c r="AW146" t="s">
        <v>29</v>
      </c>
      <c r="AX146" t="s">
        <v>30</v>
      </c>
      <c r="AY146" t="s">
        <v>33</v>
      </c>
      <c r="AZ146" t="s">
        <v>134</v>
      </c>
      <c r="BA146" s="18" t="s">
        <v>798</v>
      </c>
      <c r="BB146" t="b">
        <v>0</v>
      </c>
      <c r="BC146" t="s">
        <v>81</v>
      </c>
      <c r="BD146">
        <v>15</v>
      </c>
      <c r="BE146" t="s">
        <v>80</v>
      </c>
      <c r="BF146" s="11">
        <v>24</v>
      </c>
      <c r="BG146" t="s">
        <v>262</v>
      </c>
      <c r="BH146" t="s">
        <v>31</v>
      </c>
      <c r="BI146" t="s">
        <v>32</v>
      </c>
      <c r="BJ146" s="3">
        <f t="shared" si="80"/>
        <v>4.9980000000000002</v>
      </c>
      <c r="BK146" s="3">
        <f t="shared" si="81"/>
        <v>0.69879625179043126</v>
      </c>
      <c r="BL146">
        <v>2</v>
      </c>
      <c r="BM146" s="3">
        <f t="shared" si="83"/>
        <v>3.2186436097411448</v>
      </c>
      <c r="BN146" t="s">
        <v>33</v>
      </c>
      <c r="BO146" s="3">
        <f t="shared" si="72"/>
        <v>1654.4117647058822</v>
      </c>
      <c r="BP146" t="s">
        <v>33</v>
      </c>
      <c r="BQ146" t="s">
        <v>33</v>
      </c>
      <c r="BR146" t="s">
        <v>33</v>
      </c>
      <c r="BS146" t="s">
        <v>33</v>
      </c>
      <c r="BT146" t="s">
        <v>31</v>
      </c>
      <c r="BU146" t="s">
        <v>219</v>
      </c>
      <c r="BV146">
        <v>2008</v>
      </c>
      <c r="BW146" s="2" t="s">
        <v>257</v>
      </c>
      <c r="BX146" t="s">
        <v>78</v>
      </c>
      <c r="BY146" t="s">
        <v>33</v>
      </c>
      <c r="BZ146" t="s">
        <v>33</v>
      </c>
      <c r="CA146" t="str">
        <f t="shared" si="73"/>
        <v>high acid</v>
      </c>
    </row>
    <row r="147" spans="1:79">
      <c r="A147" t="s">
        <v>260</v>
      </c>
      <c r="B147" t="s">
        <v>565</v>
      </c>
      <c r="C147" t="s">
        <v>563</v>
      </c>
      <c r="D147" t="s">
        <v>118</v>
      </c>
      <c r="E147" t="s">
        <v>77</v>
      </c>
      <c r="F147" t="s">
        <v>32</v>
      </c>
      <c r="G147">
        <v>5</v>
      </c>
      <c r="H147">
        <v>40</v>
      </c>
      <c r="I147" t="b">
        <v>0</v>
      </c>
      <c r="J147" t="s">
        <v>33</v>
      </c>
      <c r="K147" t="s">
        <v>33</v>
      </c>
      <c r="L147">
        <v>35</v>
      </c>
      <c r="M147" s="4">
        <v>100</v>
      </c>
      <c r="N147" s="3">
        <f>IFERROR(AF147/((T147*X147/Y147)*O147*AI147),"NA")</f>
        <v>9444.8061195568516</v>
      </c>
      <c r="O147">
        <v>4</v>
      </c>
      <c r="P147" t="s">
        <v>33</v>
      </c>
      <c r="Q147">
        <f t="shared" si="78"/>
        <v>0.625</v>
      </c>
      <c r="R147" t="s">
        <v>183</v>
      </c>
      <c r="S147" t="s">
        <v>613</v>
      </c>
      <c r="T147" s="11">
        <v>8</v>
      </c>
      <c r="U147">
        <v>2.92</v>
      </c>
      <c r="V147">
        <v>2.2999999999999998</v>
      </c>
      <c r="W147">
        <v>1.21E-2</v>
      </c>
      <c r="X147" s="8">
        <f t="shared" si="82"/>
        <v>1.2131888350367701E-2</v>
      </c>
      <c r="Y147" s="6">
        <f>110/60</f>
        <v>1.8333333333333333</v>
      </c>
      <c r="Z147" s="3">
        <f t="shared" si="75"/>
        <v>1.941102136058832E-2</v>
      </c>
      <c r="AA147" t="s">
        <v>33</v>
      </c>
      <c r="AB147" s="6">
        <f>IFERROR(((X147*M147)/Z147), "NA")</f>
        <v>62.500000000000007</v>
      </c>
      <c r="AC147" t="str">
        <f t="shared" si="79"/>
        <v>NA</v>
      </c>
      <c r="AD147" s="4">
        <f>AB147*T147*AI147</f>
        <v>500.00000000000006</v>
      </c>
      <c r="AE147" s="3">
        <f t="shared" si="76"/>
        <v>13230</v>
      </c>
      <c r="AF147">
        <v>2000</v>
      </c>
      <c r="AG147" t="str">
        <f>IFERROR((M147*O147*P147), "NA")</f>
        <v>NA</v>
      </c>
      <c r="AH147" t="str">
        <f>IFERROR((AG147*T147*AI147), "NA")</f>
        <v>NA</v>
      </c>
      <c r="AI147">
        <v>1</v>
      </c>
      <c r="AJ147" t="s">
        <v>31</v>
      </c>
      <c r="AK147">
        <v>5400</v>
      </c>
      <c r="AL147" t="s">
        <v>238</v>
      </c>
      <c r="AM147" t="s">
        <v>86</v>
      </c>
      <c r="AN147" t="s">
        <v>205</v>
      </c>
      <c r="AO147" t="s">
        <v>789</v>
      </c>
      <c r="AP147">
        <v>3.44</v>
      </c>
      <c r="AQ147" t="s">
        <v>33</v>
      </c>
      <c r="AR147" t="s">
        <v>33</v>
      </c>
      <c r="AS147" s="6">
        <f>LOG((10^7+10^8)/2)</f>
        <v>7.7403626894942441</v>
      </c>
      <c r="AT147" s="3">
        <f>IFERROR(AS147-AU147,"NA")</f>
        <v>2.745362689494244</v>
      </c>
      <c r="AU147" s="6">
        <v>4.9950000000000001</v>
      </c>
      <c r="AV147" t="b">
        <v>1</v>
      </c>
      <c r="AW147" t="s">
        <v>29</v>
      </c>
      <c r="AX147" t="s">
        <v>30</v>
      </c>
      <c r="AY147" t="s">
        <v>33</v>
      </c>
      <c r="AZ147" t="s">
        <v>134</v>
      </c>
      <c r="BA147" s="18" t="s">
        <v>798</v>
      </c>
      <c r="BB147" t="b">
        <v>0</v>
      </c>
      <c r="BC147" t="s">
        <v>81</v>
      </c>
      <c r="BD147">
        <v>15</v>
      </c>
      <c r="BE147" t="s">
        <v>80</v>
      </c>
      <c r="BF147" s="11">
        <v>24</v>
      </c>
      <c r="BG147" t="s">
        <v>262</v>
      </c>
      <c r="BH147" t="s">
        <v>31</v>
      </c>
      <c r="BI147" t="s">
        <v>32</v>
      </c>
      <c r="BJ147" s="3">
        <f t="shared" si="80"/>
        <v>4.9950000000000001</v>
      </c>
      <c r="BK147" s="3">
        <f t="shared" si="81"/>
        <v>0.69853549256200109</v>
      </c>
      <c r="BL147">
        <v>2</v>
      </c>
      <c r="BM147" s="3">
        <f t="shared" si="83"/>
        <v>3.4230243516254997</v>
      </c>
      <c r="BN147" t="s">
        <v>33</v>
      </c>
      <c r="BO147" s="3">
        <f t="shared" si="72"/>
        <v>2648.6486486486488</v>
      </c>
      <c r="BP147" t="s">
        <v>33</v>
      </c>
      <c r="BQ147" t="s">
        <v>33</v>
      </c>
      <c r="BR147" t="s">
        <v>33</v>
      </c>
      <c r="BS147" t="s">
        <v>33</v>
      </c>
      <c r="BT147" t="s">
        <v>31</v>
      </c>
      <c r="BU147" t="s">
        <v>219</v>
      </c>
      <c r="BV147">
        <v>2008</v>
      </c>
      <c r="BW147" s="2" t="s">
        <v>257</v>
      </c>
      <c r="BX147" t="s">
        <v>78</v>
      </c>
      <c r="BY147" t="s">
        <v>33</v>
      </c>
      <c r="BZ147" t="s">
        <v>33</v>
      </c>
      <c r="CA147" t="str">
        <f t="shared" si="73"/>
        <v>high acid</v>
      </c>
    </row>
    <row r="148" spans="1:79">
      <c r="A148" t="s">
        <v>273</v>
      </c>
      <c r="B148" t="s">
        <v>565</v>
      </c>
      <c r="C148" t="s">
        <v>563</v>
      </c>
      <c r="D148" t="s">
        <v>118</v>
      </c>
      <c r="E148" t="s">
        <v>77</v>
      </c>
      <c r="F148" t="s">
        <v>32</v>
      </c>
      <c r="G148">
        <v>20</v>
      </c>
      <c r="H148">
        <v>55</v>
      </c>
      <c r="I148" t="b">
        <v>0</v>
      </c>
      <c r="J148" t="s">
        <v>33</v>
      </c>
      <c r="K148" t="s">
        <v>33</v>
      </c>
      <c r="L148">
        <v>15</v>
      </c>
      <c r="M148" s="4" t="s">
        <v>33</v>
      </c>
      <c r="N148" s="3">
        <f>IFERROR(AF148/((T148*X148/Y148)*O148*AI148),"NA")</f>
        <v>2738.2025560390693</v>
      </c>
      <c r="O148">
        <v>2.5</v>
      </c>
      <c r="P148" t="s">
        <v>33</v>
      </c>
      <c r="Q148" s="8">
        <f t="shared" si="78"/>
        <v>1.2173435913211425E-2</v>
      </c>
      <c r="R148" t="s">
        <v>183</v>
      </c>
      <c r="S148" t="s">
        <v>613</v>
      </c>
      <c r="T148" s="11">
        <v>6</v>
      </c>
      <c r="U148">
        <v>2.93</v>
      </c>
      <c r="V148">
        <v>2.2999999999999998</v>
      </c>
      <c r="W148" t="s">
        <v>33</v>
      </c>
      <c r="X148" s="8">
        <f t="shared" si="82"/>
        <v>1.2173435913211428E-2</v>
      </c>
      <c r="Y148">
        <f>60/60</f>
        <v>1</v>
      </c>
      <c r="Z148" s="3">
        <f>IFERROR(X148*N148*O148*T148*AI148/AF148, "NA")</f>
        <v>1.0000000000000002</v>
      </c>
      <c r="AA148" t="s">
        <v>33</v>
      </c>
      <c r="AB148" s="6">
        <f>IFERROR(((X148*N148)/Y148), "NA")</f>
        <v>33.333333333333336</v>
      </c>
      <c r="AC148" t="str">
        <f t="shared" si="79"/>
        <v>NA</v>
      </c>
      <c r="AD148" s="4">
        <f>AB148*T148*AI148</f>
        <v>200</v>
      </c>
      <c r="AE148" s="3">
        <f>IFERROR(((L148^2)*N148*O148*AK148*10^-6*Q148*T148*AI148), "NA")</f>
        <v>327.37499999999994</v>
      </c>
      <c r="AF148">
        <v>500</v>
      </c>
      <c r="AG148" t="str">
        <f>IFERROR((M148*O148*P148), "NA")</f>
        <v>NA</v>
      </c>
      <c r="AH148" t="str">
        <f>IFERROR((AG148*T148*AI148), "NA")</f>
        <v>NA</v>
      </c>
      <c r="AI148">
        <v>1</v>
      </c>
      <c r="AJ148" t="s">
        <v>31</v>
      </c>
      <c r="AK148">
        <v>2910</v>
      </c>
      <c r="AL148" t="s">
        <v>543</v>
      </c>
      <c r="AM148" t="s">
        <v>86</v>
      </c>
      <c r="AN148" t="s">
        <v>205</v>
      </c>
      <c r="AO148" t="s">
        <v>789</v>
      </c>
      <c r="AP148">
        <v>4.05</v>
      </c>
      <c r="AQ148" t="s">
        <v>33</v>
      </c>
      <c r="AR148" t="s">
        <v>33</v>
      </c>
      <c r="AS148">
        <f>LOG(10^6)</f>
        <v>6</v>
      </c>
      <c r="AT148" s="3">
        <f>IFERROR(AS148-AU148,"NA")</f>
        <v>2.75</v>
      </c>
      <c r="AU148" s="6">
        <v>3.25</v>
      </c>
      <c r="AV148" t="b">
        <v>1</v>
      </c>
      <c r="AW148" t="s">
        <v>29</v>
      </c>
      <c r="AX148" t="s">
        <v>30</v>
      </c>
      <c r="AY148" t="s">
        <v>216</v>
      </c>
      <c r="AZ148" t="s">
        <v>33</v>
      </c>
      <c r="BA148" s="18" t="s">
        <v>798</v>
      </c>
      <c r="BB148" t="b">
        <v>0</v>
      </c>
      <c r="BC148" t="s">
        <v>81</v>
      </c>
      <c r="BD148">
        <v>4</v>
      </c>
      <c r="BE148" t="s">
        <v>159</v>
      </c>
      <c r="BF148" s="11">
        <v>24</v>
      </c>
      <c r="BG148" t="s">
        <v>572</v>
      </c>
      <c r="BH148" t="s">
        <v>31</v>
      </c>
      <c r="BI148" t="s">
        <v>31</v>
      </c>
      <c r="BJ148" s="3">
        <f t="shared" si="80"/>
        <v>3.25</v>
      </c>
      <c r="BK148" s="3">
        <f t="shared" si="81"/>
        <v>0.51188336097887432</v>
      </c>
      <c r="BL148">
        <v>2</v>
      </c>
      <c r="BM148" s="3">
        <f t="shared" si="83"/>
        <v>2.0031621504544139</v>
      </c>
      <c r="BN148" t="s">
        <v>33</v>
      </c>
      <c r="BO148" s="3">
        <f t="shared" si="72"/>
        <v>100.73076923076921</v>
      </c>
      <c r="BP148" t="s">
        <v>33</v>
      </c>
      <c r="BQ148" t="s">
        <v>33</v>
      </c>
      <c r="BR148" t="s">
        <v>33</v>
      </c>
      <c r="BS148" t="s">
        <v>33</v>
      </c>
      <c r="BT148" t="s">
        <v>31</v>
      </c>
      <c r="BU148" t="s">
        <v>274</v>
      </c>
      <c r="BV148">
        <v>2006</v>
      </c>
      <c r="BW148" t="s">
        <v>275</v>
      </c>
      <c r="BX148" t="s">
        <v>78</v>
      </c>
      <c r="BY148" t="s">
        <v>277</v>
      </c>
      <c r="BZ148" t="s">
        <v>33</v>
      </c>
      <c r="CA148" t="str">
        <f t="shared" si="73"/>
        <v>high acid</v>
      </c>
    </row>
    <row r="149" spans="1:79">
      <c r="A149" s="3" t="s">
        <v>303</v>
      </c>
      <c r="B149" t="s">
        <v>566</v>
      </c>
      <c r="C149" t="s">
        <v>563</v>
      </c>
      <c r="D149" s="3" t="s">
        <v>279</v>
      </c>
      <c r="E149" s="3" t="s">
        <v>77</v>
      </c>
      <c r="F149" t="s">
        <v>32</v>
      </c>
      <c r="G149" s="11">
        <v>10</v>
      </c>
      <c r="H149" s="11">
        <v>30</v>
      </c>
      <c r="I149" s="3" t="b">
        <v>0</v>
      </c>
      <c r="J149" s="3" t="s">
        <v>33</v>
      </c>
      <c r="K149" s="3" t="s">
        <v>33</v>
      </c>
      <c r="L149" s="11">
        <v>20</v>
      </c>
      <c r="M149" s="4">
        <v>1000</v>
      </c>
      <c r="N149" s="3">
        <f>IFERROR(AF149/((T149*X149/Y149)*O149*AI149),"NA")</f>
        <v>7578.806813899776</v>
      </c>
      <c r="O149" s="3">
        <v>16</v>
      </c>
      <c r="P149" s="3" t="s">
        <v>33</v>
      </c>
      <c r="Q149" s="3">
        <f t="shared" si="78"/>
        <v>0.22500000000000001</v>
      </c>
      <c r="R149" t="s">
        <v>183</v>
      </c>
      <c r="S149" t="s">
        <v>613</v>
      </c>
      <c r="T149" s="11">
        <v>1</v>
      </c>
      <c r="U149" s="3">
        <v>2.8</v>
      </c>
      <c r="V149" s="3">
        <v>3</v>
      </c>
      <c r="W149" s="3">
        <v>0.02</v>
      </c>
      <c r="X149" s="3">
        <f t="shared" si="82"/>
        <v>1.97920337176157E-2</v>
      </c>
      <c r="Y149" s="3">
        <f>40/60</f>
        <v>0.66666666666666663</v>
      </c>
      <c r="Z149" s="3">
        <f t="shared" ref="Z149:Z165" si="84">IFERROR(X149*M149*O149*T149*AI149/AF149, "NA")</f>
        <v>8.7964594300514218E-2</v>
      </c>
      <c r="AA149" s="3" t="s">
        <v>33</v>
      </c>
      <c r="AB149" s="3">
        <f t="shared" ref="AB149:AB154" si="85">IFERROR(((X149*M149)/Z149), "NA")</f>
        <v>225</v>
      </c>
      <c r="AC149" s="3" t="str">
        <f t="shared" si="79"/>
        <v>NA</v>
      </c>
      <c r="AD149" s="4">
        <f>IFERROR(AB149*T149*AI149, "NA")</f>
        <v>225</v>
      </c>
      <c r="AE149" s="3">
        <f t="shared" ref="AE149:AE165" si="86">IFERROR(((L149^2)*M149*O149*AK149*10^-6*Q149*T149*AI149), "NA")</f>
        <v>144</v>
      </c>
      <c r="AF149" s="3">
        <v>3600</v>
      </c>
      <c r="AG149" s="3" t="str">
        <f>IFERROR((M149*O149*P149), "NA")</f>
        <v>NA</v>
      </c>
      <c r="AH149" s="3" t="str">
        <f>IFERROR((AG149*T149*AI149), "NA")</f>
        <v>NA</v>
      </c>
      <c r="AI149" s="11">
        <v>1</v>
      </c>
      <c r="AJ149" t="s">
        <v>31</v>
      </c>
      <c r="AK149" s="11">
        <v>100</v>
      </c>
      <c r="AL149" s="3" t="s">
        <v>526</v>
      </c>
      <c r="AM149" s="3" t="s">
        <v>103</v>
      </c>
      <c r="AN149" t="s">
        <v>130</v>
      </c>
      <c r="AO149" t="s">
        <v>795</v>
      </c>
      <c r="AP149" s="3" t="s">
        <v>33</v>
      </c>
      <c r="AQ149" s="3" t="s">
        <v>33</v>
      </c>
      <c r="AR149" s="3" t="s">
        <v>33</v>
      </c>
      <c r="AS149" s="3">
        <f>4.049</f>
        <v>4.0490000000000004</v>
      </c>
      <c r="AT149" s="3">
        <f>IFERROR(AS149-AU149,"NA")</f>
        <v>2.7710000000000004</v>
      </c>
      <c r="AU149" s="6">
        <v>1.278</v>
      </c>
      <c r="AV149" s="3" t="b">
        <v>1</v>
      </c>
      <c r="AW149" s="3" t="s">
        <v>172</v>
      </c>
      <c r="AX149" s="3" t="s">
        <v>173</v>
      </c>
      <c r="AY149" s="3" t="s">
        <v>283</v>
      </c>
      <c r="AZ149" s="3" t="s">
        <v>33</v>
      </c>
      <c r="BA149" s="18" t="s">
        <v>799</v>
      </c>
      <c r="BB149" s="3" t="b">
        <v>0</v>
      </c>
      <c r="BC149" t="s">
        <v>81</v>
      </c>
      <c r="BD149" s="3">
        <v>2</v>
      </c>
      <c r="BE149" s="3" t="s">
        <v>252</v>
      </c>
      <c r="BF149" s="11">
        <v>72</v>
      </c>
      <c r="BG149" s="3" t="s">
        <v>574</v>
      </c>
      <c r="BH149" s="3" t="s">
        <v>31</v>
      </c>
      <c r="BI149" s="3" t="s">
        <v>31</v>
      </c>
      <c r="BJ149" s="3">
        <f t="shared" si="80"/>
        <v>1.278</v>
      </c>
      <c r="BK149" s="3">
        <f t="shared" si="81"/>
        <v>0.10653085382238137</v>
      </c>
      <c r="BL149" s="3">
        <v>2</v>
      </c>
      <c r="BM149" s="3">
        <f t="shared" si="83"/>
        <v>2.0518316382728683</v>
      </c>
      <c r="BN149" s="3" t="s">
        <v>33</v>
      </c>
      <c r="BO149" s="3">
        <f t="shared" si="72"/>
        <v>112.67605633802816</v>
      </c>
      <c r="BP149" s="3" t="s">
        <v>33</v>
      </c>
      <c r="BQ149" s="3" t="s">
        <v>33</v>
      </c>
      <c r="BR149" s="3" t="s">
        <v>33</v>
      </c>
      <c r="BS149" s="3" t="s">
        <v>33</v>
      </c>
      <c r="BT149" t="s">
        <v>31</v>
      </c>
      <c r="BU149" s="3" t="s">
        <v>247</v>
      </c>
      <c r="BV149" s="11">
        <v>2016</v>
      </c>
      <c r="BW149" s="3" t="s">
        <v>284</v>
      </c>
      <c r="BX149" t="s">
        <v>78</v>
      </c>
      <c r="BY149" s="3" t="s">
        <v>33</v>
      </c>
      <c r="BZ149" s="3" t="s">
        <v>287</v>
      </c>
      <c r="CA149" t="str">
        <f t="shared" si="73"/>
        <v>low acid</v>
      </c>
    </row>
    <row r="150" spans="1:79">
      <c r="A150" t="s">
        <v>588</v>
      </c>
      <c r="B150" t="s">
        <v>565</v>
      </c>
      <c r="C150" t="s">
        <v>563</v>
      </c>
      <c r="D150" t="s">
        <v>608</v>
      </c>
      <c r="E150" t="s">
        <v>77</v>
      </c>
      <c r="F150" t="s">
        <v>32</v>
      </c>
      <c r="G150" t="s">
        <v>33</v>
      </c>
      <c r="H150">
        <v>40</v>
      </c>
      <c r="I150" t="b">
        <v>0</v>
      </c>
      <c r="J150" t="s">
        <v>33</v>
      </c>
      <c r="K150" t="s">
        <v>33</v>
      </c>
      <c r="L150">
        <v>35</v>
      </c>
      <c r="M150" s="4">
        <v>250</v>
      </c>
      <c r="N150" t="e">
        <f>(#REF!*Y150)/(T150*X150*O150)</f>
        <v>#REF!</v>
      </c>
      <c r="O150">
        <v>3.7</v>
      </c>
      <c r="P150" t="s">
        <v>33</v>
      </c>
      <c r="Q150" s="1">
        <f t="shared" si="78"/>
        <v>8.1081081081081072E-2</v>
      </c>
      <c r="R150" t="s">
        <v>183</v>
      </c>
      <c r="S150" t="s">
        <v>613</v>
      </c>
      <c r="T150">
        <v>6</v>
      </c>
      <c r="U150">
        <v>1.9</v>
      </c>
      <c r="V150">
        <v>2.2999999999999998</v>
      </c>
      <c r="W150" t="s">
        <v>33</v>
      </c>
      <c r="X150">
        <f t="shared" si="82"/>
        <v>7.8940369403077502E-3</v>
      </c>
      <c r="Y150">
        <v>1</v>
      </c>
      <c r="Z150" s="3">
        <f t="shared" si="84"/>
        <v>9.7359788930462265E-2</v>
      </c>
      <c r="AA150" t="s">
        <v>33</v>
      </c>
      <c r="AB150">
        <f t="shared" si="85"/>
        <v>20.27027027027027</v>
      </c>
      <c r="AC150" s="1" t="str">
        <f t="shared" si="79"/>
        <v>NA</v>
      </c>
      <c r="AE150" s="3">
        <f t="shared" si="86"/>
        <v>2645.9999999999995</v>
      </c>
      <c r="AF150">
        <v>450</v>
      </c>
      <c r="AG150" s="1" t="str">
        <f>IFERROR((N150*P150*Q150), "NA")</f>
        <v>NA</v>
      </c>
      <c r="AH150" s="1" t="str">
        <f>IFERROR((AG150*U150*AI150), "NA")</f>
        <v>NA</v>
      </c>
      <c r="AI150" s="1">
        <v>1</v>
      </c>
      <c r="AJ150" s="11" t="s">
        <v>31</v>
      </c>
      <c r="AK150">
        <v>4800</v>
      </c>
      <c r="AL150" t="s">
        <v>156</v>
      </c>
      <c r="AM150" t="s">
        <v>157</v>
      </c>
      <c r="AN150" t="s">
        <v>186</v>
      </c>
      <c r="AO150" t="s">
        <v>792</v>
      </c>
      <c r="AP150">
        <v>6.53</v>
      </c>
      <c r="AQ150" t="s">
        <v>33</v>
      </c>
      <c r="AR150" t="s">
        <v>33</v>
      </c>
      <c r="AS150">
        <v>6.5</v>
      </c>
      <c r="AT150">
        <v>2.78</v>
      </c>
      <c r="AU150" s="6">
        <f>AS150-AT150</f>
        <v>3.72</v>
      </c>
      <c r="AV150" t="b">
        <v>1</v>
      </c>
      <c r="AW150" t="s">
        <v>626</v>
      </c>
      <c r="AX150" t="s">
        <v>627</v>
      </c>
      <c r="AY150" t="s">
        <v>625</v>
      </c>
      <c r="AZ150" t="s">
        <v>33</v>
      </c>
      <c r="BA150" s="18" t="s">
        <v>800</v>
      </c>
      <c r="BB150" s="3" t="b">
        <v>0</v>
      </c>
      <c r="BC150" t="s">
        <v>81</v>
      </c>
      <c r="BD150">
        <v>12</v>
      </c>
      <c r="BE150" t="s">
        <v>80</v>
      </c>
      <c r="BF150">
        <v>48</v>
      </c>
      <c r="BG150" t="s">
        <v>568</v>
      </c>
      <c r="BH150" t="s">
        <v>31</v>
      </c>
      <c r="BI150" t="s">
        <v>31</v>
      </c>
      <c r="BJ150">
        <f t="shared" si="80"/>
        <v>3.72</v>
      </c>
      <c r="BK150" s="3">
        <f t="shared" si="81"/>
        <v>0.57054293988189753</v>
      </c>
      <c r="BL150">
        <v>2</v>
      </c>
      <c r="BM150" s="3">
        <f t="shared" si="83"/>
        <v>2.8520468999695847</v>
      </c>
      <c r="BN150" t="s">
        <v>33</v>
      </c>
      <c r="BO150" s="3">
        <f t="shared" si="72"/>
        <v>711.29032258064501</v>
      </c>
      <c r="BP150" t="s">
        <v>33</v>
      </c>
      <c r="BQ150" t="s">
        <v>33</v>
      </c>
      <c r="BR150" t="s">
        <v>33</v>
      </c>
      <c r="BS150" t="s">
        <v>33</v>
      </c>
      <c r="BT150" t="s">
        <v>31</v>
      </c>
      <c r="BU150" s="13" t="s">
        <v>163</v>
      </c>
      <c r="BV150">
        <v>2004</v>
      </c>
      <c r="BW150" t="s">
        <v>654</v>
      </c>
      <c r="BX150" t="s">
        <v>78</v>
      </c>
      <c r="BY150" s="13" t="s">
        <v>677</v>
      </c>
      <c r="CA150" t="str">
        <f t="shared" si="73"/>
        <v>low acid</v>
      </c>
    </row>
    <row r="151" spans="1:79">
      <c r="A151" t="s">
        <v>596</v>
      </c>
      <c r="B151" t="s">
        <v>565</v>
      </c>
      <c r="C151" t="s">
        <v>563</v>
      </c>
      <c r="D151" t="s">
        <v>610</v>
      </c>
      <c r="E151" t="s">
        <v>77</v>
      </c>
      <c r="F151" t="s">
        <v>33</v>
      </c>
      <c r="G151">
        <v>20</v>
      </c>
      <c r="H151" t="s">
        <v>33</v>
      </c>
      <c r="I151" t="b">
        <v>0</v>
      </c>
      <c r="J151">
        <v>14000</v>
      </c>
      <c r="K151" t="s">
        <v>33</v>
      </c>
      <c r="L151">
        <v>35</v>
      </c>
      <c r="M151" s="4">
        <v>12</v>
      </c>
      <c r="N151" t="e">
        <f>(#REF!*Y151)/(T151*X151*O151)</f>
        <v>#REF!</v>
      </c>
      <c r="O151">
        <v>5</v>
      </c>
      <c r="P151" t="s">
        <v>33</v>
      </c>
      <c r="Q151" s="1">
        <f t="shared" si="78"/>
        <v>0.93333333333333335</v>
      </c>
      <c r="R151" t="s">
        <v>183</v>
      </c>
      <c r="S151" t="s">
        <v>613</v>
      </c>
      <c r="T151">
        <v>1</v>
      </c>
      <c r="U151">
        <v>4</v>
      </c>
      <c r="V151">
        <v>4</v>
      </c>
      <c r="W151" t="s">
        <v>33</v>
      </c>
      <c r="X151">
        <f t="shared" si="82"/>
        <v>5.02654824574367E-2</v>
      </c>
      <c r="Y151">
        <v>0.106667</v>
      </c>
      <c r="Z151" s="3">
        <f t="shared" si="84"/>
        <v>5.385587406153932E-2</v>
      </c>
      <c r="AA151" t="s">
        <v>33</v>
      </c>
      <c r="AB151">
        <f t="shared" si="85"/>
        <v>11.200000000000001</v>
      </c>
      <c r="AC151" s="1" t="str">
        <f t="shared" si="79"/>
        <v>NA</v>
      </c>
      <c r="AE151" s="3">
        <f t="shared" si="86"/>
        <v>137.19999999999999</v>
      </c>
      <c r="AF151">
        <v>56</v>
      </c>
      <c r="AG151" s="1" t="str">
        <f>IFERROR((N151*P151*Q151), "NA")</f>
        <v>NA</v>
      </c>
      <c r="AH151" s="1" t="str">
        <f>IFERROR((AG151*U151*AI151), "NA")</f>
        <v>NA</v>
      </c>
      <c r="AI151" s="1">
        <v>1</v>
      </c>
      <c r="AJ151" s="11" t="s">
        <v>31</v>
      </c>
      <c r="AK151">
        <v>2000</v>
      </c>
      <c r="AL151" t="s">
        <v>149</v>
      </c>
      <c r="AM151" t="s">
        <v>86</v>
      </c>
      <c r="AN151" t="s">
        <v>205</v>
      </c>
      <c r="AO151" t="s">
        <v>789</v>
      </c>
      <c r="AP151" t="s">
        <v>33</v>
      </c>
      <c r="AQ151" t="s">
        <v>33</v>
      </c>
      <c r="AR151" t="s">
        <v>33</v>
      </c>
      <c r="AS151">
        <f>AVERAGE(6,8)</f>
        <v>7</v>
      </c>
      <c r="AT151">
        <f>AS151-AU151</f>
        <v>2.79</v>
      </c>
      <c r="AU151" s="6">
        <v>4.21</v>
      </c>
      <c r="AV151" t="b">
        <v>1</v>
      </c>
      <c r="AW151" t="s">
        <v>626</v>
      </c>
      <c r="AX151" t="s">
        <v>627</v>
      </c>
      <c r="AY151" t="s">
        <v>634</v>
      </c>
      <c r="AZ151" t="s">
        <v>33</v>
      </c>
      <c r="BA151" s="18" t="s">
        <v>800</v>
      </c>
      <c r="BB151" s="3" t="b">
        <v>0</v>
      </c>
      <c r="BC151" t="s">
        <v>81</v>
      </c>
      <c r="BD151">
        <v>18</v>
      </c>
      <c r="BE151" t="s">
        <v>80</v>
      </c>
      <c r="BF151">
        <v>24</v>
      </c>
      <c r="BG151" t="s">
        <v>644</v>
      </c>
      <c r="BH151" t="s">
        <v>31</v>
      </c>
      <c r="BI151" t="s">
        <v>31</v>
      </c>
      <c r="BJ151">
        <f t="shared" si="80"/>
        <v>4.21</v>
      </c>
      <c r="BK151" s="3">
        <f t="shared" si="81"/>
        <v>0.62428209583566829</v>
      </c>
      <c r="BL151">
        <v>2</v>
      </c>
      <c r="BM151" s="3">
        <f t="shared" si="83"/>
        <v>1.5130720155350645</v>
      </c>
      <c r="BN151" t="s">
        <v>33</v>
      </c>
      <c r="BO151" s="3">
        <f t="shared" si="72"/>
        <v>32.589073634204276</v>
      </c>
      <c r="BP151" t="s">
        <v>33</v>
      </c>
      <c r="BQ151" t="s">
        <v>33</v>
      </c>
      <c r="BR151" t="s">
        <v>33</v>
      </c>
      <c r="BS151" t="s">
        <v>33</v>
      </c>
      <c r="BT151" t="s">
        <v>32</v>
      </c>
      <c r="BU151" t="s">
        <v>661</v>
      </c>
      <c r="BV151">
        <v>2013</v>
      </c>
      <c r="BW151" t="s">
        <v>662</v>
      </c>
      <c r="BX151" s="13" t="s">
        <v>663</v>
      </c>
      <c r="BY151" s="13" t="s">
        <v>684</v>
      </c>
      <c r="CA151" t="str">
        <f t="shared" si="73"/>
        <v>high acid</v>
      </c>
    </row>
    <row r="152" spans="1:79">
      <c r="A152" t="s">
        <v>588</v>
      </c>
      <c r="B152" t="s">
        <v>565</v>
      </c>
      <c r="C152" t="s">
        <v>563</v>
      </c>
      <c r="D152" t="s">
        <v>608</v>
      </c>
      <c r="E152" t="s">
        <v>77</v>
      </c>
      <c r="F152" t="s">
        <v>32</v>
      </c>
      <c r="G152" t="s">
        <v>33</v>
      </c>
      <c r="H152">
        <v>40</v>
      </c>
      <c r="I152" t="b">
        <v>0</v>
      </c>
      <c r="J152" t="s">
        <v>33</v>
      </c>
      <c r="K152" t="s">
        <v>33</v>
      </c>
      <c r="L152">
        <v>35</v>
      </c>
      <c r="M152" s="4">
        <v>250</v>
      </c>
      <c r="N152" t="e">
        <f>(#REF!*Y152)/(T152*X152*O152)</f>
        <v>#REF!</v>
      </c>
      <c r="O152">
        <v>3.7</v>
      </c>
      <c r="P152" t="s">
        <v>33</v>
      </c>
      <c r="Q152" s="1">
        <f t="shared" si="78"/>
        <v>8.1081081081081072E-2</v>
      </c>
      <c r="R152" t="s">
        <v>183</v>
      </c>
      <c r="S152" t="s">
        <v>613</v>
      </c>
      <c r="T152">
        <v>6</v>
      </c>
      <c r="U152">
        <v>1.9</v>
      </c>
      <c r="V152">
        <v>2.2999999999999998</v>
      </c>
      <c r="W152" t="s">
        <v>33</v>
      </c>
      <c r="X152">
        <f t="shared" si="82"/>
        <v>7.8940369403077502E-3</v>
      </c>
      <c r="Y152">
        <v>1</v>
      </c>
      <c r="Z152" s="3">
        <f t="shared" si="84"/>
        <v>9.7359788930462265E-2</v>
      </c>
      <c r="AA152" t="s">
        <v>33</v>
      </c>
      <c r="AB152">
        <f t="shared" si="85"/>
        <v>20.27027027027027</v>
      </c>
      <c r="AC152" s="1" t="str">
        <f t="shared" si="79"/>
        <v>NA</v>
      </c>
      <c r="AE152" s="3">
        <f t="shared" si="86"/>
        <v>2645.9999999999995</v>
      </c>
      <c r="AF152">
        <v>450</v>
      </c>
      <c r="AG152" s="1" t="str">
        <f>IFERROR((N152*P152*Q152), "NA")</f>
        <v>NA</v>
      </c>
      <c r="AH152" s="1" t="str">
        <f>IFERROR((AG152*U152*AI152), "NA")</f>
        <v>NA</v>
      </c>
      <c r="AI152" s="1">
        <v>1</v>
      </c>
      <c r="AJ152" s="11" t="s">
        <v>31</v>
      </c>
      <c r="AK152">
        <v>4800</v>
      </c>
      <c r="AL152" t="s">
        <v>156</v>
      </c>
      <c r="AM152" t="s">
        <v>157</v>
      </c>
      <c r="AN152" t="s">
        <v>186</v>
      </c>
      <c r="AO152" t="s">
        <v>792</v>
      </c>
      <c r="AP152">
        <v>6.53</v>
      </c>
      <c r="AQ152" t="s">
        <v>33</v>
      </c>
      <c r="AR152" t="s">
        <v>33</v>
      </c>
      <c r="AS152">
        <v>6.5</v>
      </c>
      <c r="AT152">
        <v>2.79</v>
      </c>
      <c r="AU152" s="6">
        <f>AS152-AT152</f>
        <v>3.71</v>
      </c>
      <c r="AV152" t="b">
        <v>1</v>
      </c>
      <c r="AW152" t="s">
        <v>626</v>
      </c>
      <c r="AX152" t="s">
        <v>627</v>
      </c>
      <c r="AY152" t="s">
        <v>625</v>
      </c>
      <c r="AZ152" t="s">
        <v>33</v>
      </c>
      <c r="BA152" s="18" t="s">
        <v>800</v>
      </c>
      <c r="BB152" s="3" t="b">
        <v>0</v>
      </c>
      <c r="BC152" t="s">
        <v>81</v>
      </c>
      <c r="BD152">
        <v>12</v>
      </c>
      <c r="BE152" t="s">
        <v>80</v>
      </c>
      <c r="BF152">
        <v>48</v>
      </c>
      <c r="BG152" t="s">
        <v>568</v>
      </c>
      <c r="BH152" t="s">
        <v>31</v>
      </c>
      <c r="BI152" t="s">
        <v>31</v>
      </c>
      <c r="BJ152">
        <f t="shared" si="80"/>
        <v>3.71</v>
      </c>
      <c r="BK152" s="3">
        <f t="shared" si="81"/>
        <v>0.56937390961504586</v>
      </c>
      <c r="BL152">
        <v>2</v>
      </c>
      <c r="BM152" s="3">
        <f t="shared" si="83"/>
        <v>2.8532159302364364</v>
      </c>
      <c r="BN152" t="s">
        <v>33</v>
      </c>
      <c r="BO152" s="3">
        <f t="shared" si="72"/>
        <v>713.20754716981116</v>
      </c>
      <c r="BP152" t="s">
        <v>33</v>
      </c>
      <c r="BQ152" t="s">
        <v>33</v>
      </c>
      <c r="BR152" t="s">
        <v>33</v>
      </c>
      <c r="BS152" t="s">
        <v>33</v>
      </c>
      <c r="BT152" t="s">
        <v>31</v>
      </c>
      <c r="BU152" s="13" t="s">
        <v>163</v>
      </c>
      <c r="BV152">
        <v>2004</v>
      </c>
      <c r="BW152" t="s">
        <v>654</v>
      </c>
      <c r="BX152" t="s">
        <v>78</v>
      </c>
      <c r="BY152" s="13" t="s">
        <v>677</v>
      </c>
      <c r="CA152" t="str">
        <f t="shared" si="73"/>
        <v>low acid</v>
      </c>
    </row>
    <row r="153" spans="1:79">
      <c r="A153" s="3" t="s">
        <v>280</v>
      </c>
      <c r="B153" t="s">
        <v>566</v>
      </c>
      <c r="C153" t="s">
        <v>563</v>
      </c>
      <c r="D153" s="3" t="s">
        <v>279</v>
      </c>
      <c r="E153" s="3" t="s">
        <v>77</v>
      </c>
      <c r="F153" t="s">
        <v>32</v>
      </c>
      <c r="G153" s="11">
        <v>10</v>
      </c>
      <c r="H153" s="11">
        <v>30</v>
      </c>
      <c r="I153" s="3" t="b">
        <v>0</v>
      </c>
      <c r="J153" s="3" t="s">
        <v>33</v>
      </c>
      <c r="K153" s="3" t="s">
        <v>33</v>
      </c>
      <c r="L153" s="11">
        <v>20</v>
      </c>
      <c r="M153" s="4">
        <v>1000</v>
      </c>
      <c r="N153" s="3">
        <f>IFERROR(AF153/((T153*X153/Y153)*O153*AI153),"NA")</f>
        <v>2526.2689379665921</v>
      </c>
      <c r="O153" s="3">
        <v>16</v>
      </c>
      <c r="P153" s="3" t="s">
        <v>33</v>
      </c>
      <c r="Q153" s="3">
        <f t="shared" si="78"/>
        <v>7.5000000000000011E-2</v>
      </c>
      <c r="R153" t="s">
        <v>183</v>
      </c>
      <c r="S153" t="s">
        <v>613</v>
      </c>
      <c r="T153" s="11">
        <v>1</v>
      </c>
      <c r="U153" s="3">
        <v>2.8</v>
      </c>
      <c r="V153" s="3">
        <v>3</v>
      </c>
      <c r="W153" s="3">
        <v>0.02</v>
      </c>
      <c r="X153" s="3">
        <f t="shared" si="82"/>
        <v>1.97920337176157E-2</v>
      </c>
      <c r="Y153" s="3">
        <f>40/60</f>
        <v>0.66666666666666663</v>
      </c>
      <c r="Z153" s="3">
        <f t="shared" si="84"/>
        <v>0.26389378290154264</v>
      </c>
      <c r="AA153" s="3" t="s">
        <v>33</v>
      </c>
      <c r="AB153" s="3">
        <f t="shared" si="85"/>
        <v>75</v>
      </c>
      <c r="AC153" s="3" t="str">
        <f t="shared" si="79"/>
        <v>NA</v>
      </c>
      <c r="AD153" s="4">
        <f>AB153*T153*AI153</f>
        <v>75</v>
      </c>
      <c r="AE153" s="3">
        <f t="shared" si="86"/>
        <v>240.00000000000003</v>
      </c>
      <c r="AF153" s="3">
        <v>1200</v>
      </c>
      <c r="AG153" s="3" t="str">
        <f>IFERROR((M153*O153*P153), "NA")</f>
        <v>NA</v>
      </c>
      <c r="AH153" s="3" t="str">
        <f>IFERROR((AG153*T153*AI153), "NA")</f>
        <v>NA</v>
      </c>
      <c r="AI153" s="3">
        <v>1</v>
      </c>
      <c r="AJ153" t="s">
        <v>31</v>
      </c>
      <c r="AK153" s="3">
        <v>500</v>
      </c>
      <c r="AL153" s="3" t="s">
        <v>281</v>
      </c>
      <c r="AM153" s="3" t="s">
        <v>103</v>
      </c>
      <c r="AN153" t="s">
        <v>130</v>
      </c>
      <c r="AO153" t="s">
        <v>795</v>
      </c>
      <c r="AP153" s="3" t="s">
        <v>33</v>
      </c>
      <c r="AQ153" s="3" t="s">
        <v>33</v>
      </c>
      <c r="AR153" s="3" t="s">
        <v>33</v>
      </c>
      <c r="AS153" s="3">
        <v>4.0880000000000001</v>
      </c>
      <c r="AT153" s="3">
        <f>IFERROR(AS153-AU153,"NA")</f>
        <v>2.79</v>
      </c>
      <c r="AU153" s="6">
        <v>1.298</v>
      </c>
      <c r="AV153" s="3" t="b">
        <v>1</v>
      </c>
      <c r="AW153" s="3" t="s">
        <v>172</v>
      </c>
      <c r="AX153" s="3" t="s">
        <v>173</v>
      </c>
      <c r="AY153" s="3" t="s">
        <v>283</v>
      </c>
      <c r="AZ153" s="3" t="s">
        <v>33</v>
      </c>
      <c r="BA153" s="18" t="s">
        <v>799</v>
      </c>
      <c r="BB153" s="3" t="b">
        <v>0</v>
      </c>
      <c r="BC153" t="s">
        <v>81</v>
      </c>
      <c r="BD153" s="3">
        <v>2</v>
      </c>
      <c r="BE153" s="3" t="s">
        <v>252</v>
      </c>
      <c r="BF153" s="11">
        <v>72</v>
      </c>
      <c r="BG153" s="3" t="s">
        <v>574</v>
      </c>
      <c r="BH153" s="3" t="s">
        <v>31</v>
      </c>
      <c r="BI153" s="3" t="s">
        <v>31</v>
      </c>
      <c r="BJ153" s="3">
        <f t="shared" si="80"/>
        <v>1.298</v>
      </c>
      <c r="BK153" s="3">
        <f t="shared" si="81"/>
        <v>0.11327469246435044</v>
      </c>
      <c r="BL153" s="3">
        <v>2</v>
      </c>
      <c r="BM153" s="3">
        <f t="shared" si="83"/>
        <v>2.2669365492472555</v>
      </c>
      <c r="BN153" s="3" t="s">
        <v>33</v>
      </c>
      <c r="BO153" s="3">
        <f t="shared" si="72"/>
        <v>184.89984591679507</v>
      </c>
      <c r="BP153" s="3" t="s">
        <v>33</v>
      </c>
      <c r="BQ153" s="3" t="s">
        <v>33</v>
      </c>
      <c r="BR153" s="3" t="s">
        <v>33</v>
      </c>
      <c r="BS153" s="3" t="s">
        <v>33</v>
      </c>
      <c r="BT153" t="s">
        <v>31</v>
      </c>
      <c r="BU153" s="3" t="s">
        <v>247</v>
      </c>
      <c r="BV153" s="11">
        <v>2016</v>
      </c>
      <c r="BW153" s="3" t="s">
        <v>284</v>
      </c>
      <c r="BX153" t="s">
        <v>78</v>
      </c>
      <c r="BY153" s="3" t="s">
        <v>33</v>
      </c>
      <c r="BZ153" s="3" t="s">
        <v>282</v>
      </c>
      <c r="CA153" t="str">
        <f t="shared" si="73"/>
        <v>low acid</v>
      </c>
    </row>
    <row r="154" spans="1:79">
      <c r="A154" t="s">
        <v>584</v>
      </c>
      <c r="B154" t="s">
        <v>566</v>
      </c>
      <c r="C154" t="s">
        <v>563</v>
      </c>
      <c r="D154" t="s">
        <v>607</v>
      </c>
      <c r="E154" t="s">
        <v>77</v>
      </c>
      <c r="F154" t="s">
        <v>33</v>
      </c>
      <c r="G154">
        <v>20</v>
      </c>
      <c r="H154">
        <v>35</v>
      </c>
      <c r="I154" t="b">
        <v>0</v>
      </c>
      <c r="J154">
        <v>1000</v>
      </c>
      <c r="K154">
        <v>200</v>
      </c>
      <c r="L154">
        <v>25</v>
      </c>
      <c r="M154" s="4">
        <v>1</v>
      </c>
      <c r="N154" t="e">
        <f>(#REF!*Y154)/(T154*X154*O154)</f>
        <v>#REF!</v>
      </c>
      <c r="O154">
        <v>3</v>
      </c>
      <c r="P154" t="s">
        <v>33</v>
      </c>
      <c r="Q154" s="1">
        <f t="shared" si="78"/>
        <v>166.66666666666666</v>
      </c>
      <c r="R154" t="s">
        <v>183</v>
      </c>
      <c r="S154" t="s">
        <v>33</v>
      </c>
      <c r="T154">
        <v>1</v>
      </c>
      <c r="U154">
        <v>2.5</v>
      </c>
      <c r="V154" t="s">
        <v>33</v>
      </c>
      <c r="W154">
        <v>0.50249999999999995</v>
      </c>
      <c r="X154">
        <f>W154</f>
        <v>0.50249999999999995</v>
      </c>
      <c r="Y154" t="s">
        <v>33</v>
      </c>
      <c r="Z154" s="3">
        <f t="shared" si="84"/>
        <v>3.0149999999999999E-3</v>
      </c>
      <c r="AA154" t="s">
        <v>33</v>
      </c>
      <c r="AB154">
        <f t="shared" si="85"/>
        <v>166.66666666666666</v>
      </c>
      <c r="AC154" s="1" t="str">
        <f t="shared" si="79"/>
        <v>NA</v>
      </c>
      <c r="AE154" s="3">
        <f t="shared" si="86"/>
        <v>312.5</v>
      </c>
      <c r="AF154">
        <v>500</v>
      </c>
      <c r="AG154" s="1" t="str">
        <f>IFERROR((N154*P154*Q154), "NA")</f>
        <v>NA</v>
      </c>
      <c r="AH154" s="1" t="str">
        <f>IFERROR((AG154*U154*AI154), "NA")</f>
        <v>NA</v>
      </c>
      <c r="AI154" s="1">
        <v>1</v>
      </c>
      <c r="AJ154" s="11" t="s">
        <v>31</v>
      </c>
      <c r="AK154">
        <v>1000</v>
      </c>
      <c r="AL154" t="s">
        <v>614</v>
      </c>
      <c r="AM154" s="3" t="s">
        <v>103</v>
      </c>
      <c r="AN154" t="s">
        <v>305</v>
      </c>
      <c r="AO154" t="s">
        <v>790</v>
      </c>
      <c r="AP154">
        <v>3.5</v>
      </c>
      <c r="AQ154" t="s">
        <v>33</v>
      </c>
      <c r="AR154" t="s">
        <v>33</v>
      </c>
      <c r="AS154">
        <v>8</v>
      </c>
      <c r="AT154">
        <f>AS154-AU154</f>
        <v>2.79</v>
      </c>
      <c r="AU154" s="6">
        <v>5.21</v>
      </c>
      <c r="AV154" t="b">
        <v>1</v>
      </c>
      <c r="AW154" t="s">
        <v>617</v>
      </c>
      <c r="AX154" t="s">
        <v>33</v>
      </c>
      <c r="AY154" t="s">
        <v>623</v>
      </c>
      <c r="AZ154" t="s">
        <v>621</v>
      </c>
      <c r="BA154" s="18" t="s">
        <v>802</v>
      </c>
      <c r="BB154" s="3" t="b">
        <v>0</v>
      </c>
      <c r="BC154" t="s">
        <v>81</v>
      </c>
      <c r="BD154">
        <v>18</v>
      </c>
      <c r="BE154" t="s">
        <v>80</v>
      </c>
      <c r="BF154">
        <v>24</v>
      </c>
      <c r="BG154" t="s">
        <v>642</v>
      </c>
      <c r="BH154" t="s">
        <v>32</v>
      </c>
      <c r="BI154" t="s">
        <v>32</v>
      </c>
      <c r="BJ154">
        <f t="shared" si="80"/>
        <v>5.21</v>
      </c>
      <c r="BK154" s="3">
        <f t="shared" si="81"/>
        <v>0.71683772329952444</v>
      </c>
      <c r="BL154">
        <v>2</v>
      </c>
      <c r="BM154" s="3">
        <f t="shared" si="83"/>
        <v>1.7780122983805695</v>
      </c>
      <c r="BN154" t="s">
        <v>33</v>
      </c>
      <c r="BO154" s="3">
        <f t="shared" si="72"/>
        <v>59.980806142034552</v>
      </c>
      <c r="BP154" t="s">
        <v>33</v>
      </c>
      <c r="BQ154" t="s">
        <v>33</v>
      </c>
      <c r="BR154" t="s">
        <v>33</v>
      </c>
      <c r="BS154" t="s">
        <v>33</v>
      </c>
      <c r="BT154" t="s">
        <v>31</v>
      </c>
      <c r="BU154" t="s">
        <v>255</v>
      </c>
      <c r="BV154">
        <v>2010</v>
      </c>
      <c r="BW154" t="s">
        <v>651</v>
      </c>
      <c r="BX154" t="s">
        <v>78</v>
      </c>
      <c r="BY154" s="13" t="s">
        <v>674</v>
      </c>
      <c r="CA154" t="str">
        <f t="shared" si="73"/>
        <v>high acid</v>
      </c>
    </row>
    <row r="155" spans="1:79">
      <c r="A155" t="s">
        <v>501</v>
      </c>
      <c r="B155" t="s">
        <v>565</v>
      </c>
      <c r="C155" t="s">
        <v>563</v>
      </c>
      <c r="D155" t="s">
        <v>118</v>
      </c>
      <c r="E155" t="s">
        <v>77</v>
      </c>
      <c r="F155" t="s">
        <v>32</v>
      </c>
      <c r="G155">
        <v>4</v>
      </c>
      <c r="H155">
        <v>40</v>
      </c>
      <c r="I155" t="b">
        <v>0</v>
      </c>
      <c r="J155" t="s">
        <v>33</v>
      </c>
      <c r="K155" t="s">
        <v>33</v>
      </c>
      <c r="L155">
        <v>35</v>
      </c>
      <c r="M155" s="4">
        <v>200</v>
      </c>
      <c r="N155" s="3" t="str">
        <f>IFERROR(AF155/((T155*X155/Y155)*O155*AI155),"NA")</f>
        <v>NA</v>
      </c>
      <c r="O155">
        <v>4</v>
      </c>
      <c r="P155" s="9" t="s">
        <v>33</v>
      </c>
      <c r="Q155" s="8">
        <f t="shared" si="78"/>
        <v>0.25</v>
      </c>
      <c r="R155" t="s">
        <v>183</v>
      </c>
      <c r="S155" t="s">
        <v>613</v>
      </c>
      <c r="T155" s="11">
        <v>8</v>
      </c>
      <c r="U155">
        <v>2.92</v>
      </c>
      <c r="V155">
        <v>2.2999999999999998</v>
      </c>
      <c r="W155">
        <v>1.21E-2</v>
      </c>
      <c r="X155" s="9">
        <f>IFERROR(((PI())*(((V155*10^-1)/2)^2)*(U155*10^-1)), "NA")</f>
        <v>1.2131888350367701E-2</v>
      </c>
      <c r="Y155" s="6" t="s">
        <v>33</v>
      </c>
      <c r="Z155" s="3">
        <f t="shared" si="84"/>
        <v>4.8527553401470802E-2</v>
      </c>
      <c r="AA155" t="s">
        <v>33</v>
      </c>
      <c r="AB155" s="4" t="str">
        <f>IFERROR(((X155*M155)/Y155), "NA")</f>
        <v>NA</v>
      </c>
      <c r="AC155" s="4" t="str">
        <f t="shared" si="79"/>
        <v>NA</v>
      </c>
      <c r="AD155" s="4" t="e">
        <f>AB155*T155*AI155</f>
        <v>#VALUE!</v>
      </c>
      <c r="AE155" s="3">
        <f t="shared" si="86"/>
        <v>7369.5999999999995</v>
      </c>
      <c r="AF155">
        <v>1600</v>
      </c>
      <c r="AG155" s="4" t="str">
        <f>IFERROR((M155*O155*P155), "NA")</f>
        <v>NA</v>
      </c>
      <c r="AH155" s="4" t="str">
        <f>IFERROR((AG155*T155*AI155), "NA")</f>
        <v>NA</v>
      </c>
      <c r="AI155">
        <v>1</v>
      </c>
      <c r="AJ155" t="s">
        <v>31</v>
      </c>
      <c r="AK155">
        <v>3760</v>
      </c>
      <c r="AL155" t="s">
        <v>553</v>
      </c>
      <c r="AM155" t="s">
        <v>86</v>
      </c>
      <c r="AN155" t="s">
        <v>205</v>
      </c>
      <c r="AO155" t="s">
        <v>789</v>
      </c>
      <c r="AP155">
        <v>3.31</v>
      </c>
      <c r="AQ155" t="s">
        <v>33</v>
      </c>
      <c r="AR155" t="s">
        <v>33</v>
      </c>
      <c r="AS155" s="6">
        <f>LOG((10^7+10^8)/2)</f>
        <v>7.7403626894942441</v>
      </c>
      <c r="AT155" s="3">
        <f>IFERROR(AS155-AU155,"NA")</f>
        <v>2.7943626894942444</v>
      </c>
      <c r="AU155" s="6">
        <v>4.9459999999999997</v>
      </c>
      <c r="AV155" t="b">
        <v>1</v>
      </c>
      <c r="AW155" t="s">
        <v>92</v>
      </c>
      <c r="AX155" t="s">
        <v>119</v>
      </c>
      <c r="AY155" t="s">
        <v>425</v>
      </c>
      <c r="AZ155" t="s">
        <v>33</v>
      </c>
      <c r="BA155" s="18" t="s">
        <v>801</v>
      </c>
      <c r="BB155" t="b">
        <v>0</v>
      </c>
      <c r="BC155" t="s">
        <v>81</v>
      </c>
      <c r="BD155">
        <v>15</v>
      </c>
      <c r="BE155" t="s">
        <v>80</v>
      </c>
      <c r="BF155" s="11">
        <v>36</v>
      </c>
      <c r="BG155" t="s">
        <v>573</v>
      </c>
      <c r="BH155" t="s">
        <v>31</v>
      </c>
      <c r="BI155" t="s">
        <v>31</v>
      </c>
      <c r="BJ155" s="3">
        <f t="shared" si="80"/>
        <v>4.9459999999999997</v>
      </c>
      <c r="BK155" s="3">
        <f t="shared" si="81"/>
        <v>0.69425411202527842</v>
      </c>
      <c r="BL155">
        <v>2</v>
      </c>
      <c r="BM155" s="3">
        <f t="shared" si="83"/>
        <v>3.1731898042588584</v>
      </c>
      <c r="BN155" t="s">
        <v>33</v>
      </c>
      <c r="BO155" s="3">
        <f t="shared" si="72"/>
        <v>1490.0121310149616</v>
      </c>
      <c r="BP155" t="s">
        <v>33</v>
      </c>
      <c r="BQ155" t="s">
        <v>33</v>
      </c>
      <c r="BR155" t="s">
        <v>33</v>
      </c>
      <c r="BS155" t="s">
        <v>33</v>
      </c>
      <c r="BT155" t="s">
        <v>31</v>
      </c>
      <c r="BU155" t="s">
        <v>503</v>
      </c>
      <c r="BV155">
        <v>2011</v>
      </c>
      <c r="BW155" t="s">
        <v>504</v>
      </c>
      <c r="BX155" t="s">
        <v>78</v>
      </c>
      <c r="BY155" t="s">
        <v>33</v>
      </c>
      <c r="BZ155" t="s">
        <v>33</v>
      </c>
      <c r="CA155" t="str">
        <f t="shared" si="73"/>
        <v>high acid</v>
      </c>
    </row>
    <row r="156" spans="1:79">
      <c r="A156" t="s">
        <v>502</v>
      </c>
      <c r="B156" t="s">
        <v>565</v>
      </c>
      <c r="C156" t="s">
        <v>563</v>
      </c>
      <c r="D156" t="s">
        <v>118</v>
      </c>
      <c r="E156" t="s">
        <v>77</v>
      </c>
      <c r="F156" t="s">
        <v>32</v>
      </c>
      <c r="G156">
        <v>4</v>
      </c>
      <c r="H156">
        <v>40</v>
      </c>
      <c r="I156" t="b">
        <v>0</v>
      </c>
      <c r="J156" t="s">
        <v>33</v>
      </c>
      <c r="K156" t="s">
        <v>33</v>
      </c>
      <c r="L156">
        <v>35</v>
      </c>
      <c r="M156" s="4">
        <v>200</v>
      </c>
      <c r="N156" s="3" t="str">
        <f>IFERROR(AF156/((T156*X156/Y156)*O156*AI156),"NA")</f>
        <v>NA</v>
      </c>
      <c r="O156">
        <v>4</v>
      </c>
      <c r="P156" s="9" t="s">
        <v>33</v>
      </c>
      <c r="Q156" s="8">
        <f t="shared" si="78"/>
        <v>0.25</v>
      </c>
      <c r="R156" t="s">
        <v>183</v>
      </c>
      <c r="S156" t="s">
        <v>613</v>
      </c>
      <c r="T156" s="11">
        <v>8</v>
      </c>
      <c r="U156">
        <v>2.92</v>
      </c>
      <c r="V156">
        <v>2.2999999999999998</v>
      </c>
      <c r="W156">
        <v>1.21E-2</v>
      </c>
      <c r="X156" s="9">
        <f>IFERROR(((PI())*(((V156*10^-1)/2)^2)*(U156*10^-1)), "NA")</f>
        <v>1.2131888350367701E-2</v>
      </c>
      <c r="Y156" s="6" t="s">
        <v>33</v>
      </c>
      <c r="Z156" s="3">
        <f t="shared" si="84"/>
        <v>4.8527553401470802E-2</v>
      </c>
      <c r="AA156" t="s">
        <v>33</v>
      </c>
      <c r="AB156" s="4" t="str">
        <f>IFERROR(((X156*M156)/Y156), "NA")</f>
        <v>NA</v>
      </c>
      <c r="AC156" s="4" t="str">
        <f t="shared" si="79"/>
        <v>NA</v>
      </c>
      <c r="AD156" s="4" t="e">
        <f>AB156*T156*AI156</f>
        <v>#VALUE!</v>
      </c>
      <c r="AE156" s="3">
        <f t="shared" si="86"/>
        <v>7408.7999999999993</v>
      </c>
      <c r="AF156">
        <v>1600</v>
      </c>
      <c r="AG156" s="4" t="str">
        <f>IFERROR((M156*O156*P156), "NA")</f>
        <v>NA</v>
      </c>
      <c r="AH156" s="4" t="str">
        <f>IFERROR((AG156*T156*AI156), "NA")</f>
        <v>NA</v>
      </c>
      <c r="AI156">
        <v>1</v>
      </c>
      <c r="AJ156" t="s">
        <v>31</v>
      </c>
      <c r="AK156">
        <v>3780</v>
      </c>
      <c r="AL156" t="s">
        <v>552</v>
      </c>
      <c r="AM156" t="s">
        <v>86</v>
      </c>
      <c r="AN156" t="s">
        <v>205</v>
      </c>
      <c r="AO156" t="s">
        <v>789</v>
      </c>
      <c r="AP156">
        <v>3.32</v>
      </c>
      <c r="AQ156" t="s">
        <v>33</v>
      </c>
      <c r="AR156" t="s">
        <v>33</v>
      </c>
      <c r="AS156" s="6">
        <f>LOG((10^7+10^8)/2)</f>
        <v>7.7403626894942441</v>
      </c>
      <c r="AT156" s="3">
        <f>IFERROR(AS156-AU156,"NA")</f>
        <v>2.7943626894942444</v>
      </c>
      <c r="AU156" s="6">
        <v>4.9459999999999997</v>
      </c>
      <c r="AV156" t="b">
        <v>1</v>
      </c>
      <c r="AW156" t="s">
        <v>92</v>
      </c>
      <c r="AX156" t="s">
        <v>119</v>
      </c>
      <c r="AY156" t="s">
        <v>425</v>
      </c>
      <c r="AZ156" t="s">
        <v>33</v>
      </c>
      <c r="BA156" s="18" t="s">
        <v>801</v>
      </c>
      <c r="BB156" t="b">
        <v>0</v>
      </c>
      <c r="BC156" t="s">
        <v>81</v>
      </c>
      <c r="BD156">
        <v>15</v>
      </c>
      <c r="BE156" t="s">
        <v>80</v>
      </c>
      <c r="BF156" s="11">
        <v>36</v>
      </c>
      <c r="BG156" t="s">
        <v>573</v>
      </c>
      <c r="BH156" t="s">
        <v>31</v>
      </c>
      <c r="BI156" t="s">
        <v>31</v>
      </c>
      <c r="BJ156" s="3">
        <f t="shared" si="80"/>
        <v>4.9459999999999997</v>
      </c>
      <c r="BK156" s="3">
        <f t="shared" si="81"/>
        <v>0.69425411202527842</v>
      </c>
      <c r="BL156">
        <v>2</v>
      </c>
      <c r="BM156" s="3">
        <f t="shared" si="83"/>
        <v>3.1754937591684227</v>
      </c>
      <c r="BN156" t="s">
        <v>33</v>
      </c>
      <c r="BO156" s="3">
        <f t="shared" si="72"/>
        <v>1497.9377274565304</v>
      </c>
      <c r="BP156" t="s">
        <v>33</v>
      </c>
      <c r="BQ156" t="s">
        <v>33</v>
      </c>
      <c r="BR156" t="s">
        <v>33</v>
      </c>
      <c r="BS156" t="s">
        <v>33</v>
      </c>
      <c r="BT156" t="s">
        <v>31</v>
      </c>
      <c r="BU156" t="s">
        <v>503</v>
      </c>
      <c r="BV156">
        <v>2011</v>
      </c>
      <c r="BW156" t="s">
        <v>504</v>
      </c>
      <c r="BX156" t="s">
        <v>78</v>
      </c>
      <c r="BY156" t="s">
        <v>33</v>
      </c>
      <c r="BZ156" t="s">
        <v>33</v>
      </c>
      <c r="CA156" t="str">
        <f t="shared" si="73"/>
        <v>high acid</v>
      </c>
    </row>
    <row r="157" spans="1:79">
      <c r="A157" t="s">
        <v>592</v>
      </c>
      <c r="B157" t="s">
        <v>566</v>
      </c>
      <c r="C157" t="s">
        <v>563</v>
      </c>
      <c r="D157" t="s">
        <v>607</v>
      </c>
      <c r="E157" t="s">
        <v>77</v>
      </c>
      <c r="F157" t="s">
        <v>32</v>
      </c>
      <c r="G157" t="s">
        <v>33</v>
      </c>
      <c r="H157">
        <v>35</v>
      </c>
      <c r="I157" t="b">
        <v>0</v>
      </c>
      <c r="J157">
        <v>30000</v>
      </c>
      <c r="K157">
        <v>200</v>
      </c>
      <c r="L157">
        <v>35</v>
      </c>
      <c r="M157" s="4">
        <v>1</v>
      </c>
      <c r="N157" t="e">
        <f>(#REF!*Y157)/(T157*X157*O157)</f>
        <v>#REF!</v>
      </c>
      <c r="O157">
        <v>3</v>
      </c>
      <c r="P157" t="s">
        <v>33</v>
      </c>
      <c r="Q157" s="1">
        <f t="shared" si="78"/>
        <v>24.633333333333336</v>
      </c>
      <c r="R157" t="s">
        <v>183</v>
      </c>
      <c r="S157" t="s">
        <v>33</v>
      </c>
      <c r="T157">
        <v>1</v>
      </c>
      <c r="U157">
        <v>2.5</v>
      </c>
      <c r="V157" t="s">
        <v>33</v>
      </c>
      <c r="W157">
        <v>0.50249999999999995</v>
      </c>
      <c r="X157">
        <f>W157</f>
        <v>0.50249999999999995</v>
      </c>
      <c r="Y157" t="s">
        <v>33</v>
      </c>
      <c r="Z157" s="3">
        <f t="shared" si="84"/>
        <v>2.0399188092016234E-2</v>
      </c>
      <c r="AA157" t="s">
        <v>33</v>
      </c>
      <c r="AB157">
        <f>IFERROR(((X157*M157)/Z157), "NA")</f>
        <v>24.633333333333336</v>
      </c>
      <c r="AC157" s="1" t="str">
        <f t="shared" si="79"/>
        <v>NA</v>
      </c>
      <c r="AE157" s="3">
        <f t="shared" si="86"/>
        <v>90.527500000000003</v>
      </c>
      <c r="AF157">
        <v>73.900000000000006</v>
      </c>
      <c r="AG157" s="1" t="str">
        <f>IFERROR((N157*P157*Q157), "NA")</f>
        <v>NA</v>
      </c>
      <c r="AH157" s="1" t="str">
        <f>IFERROR((AG157*U157*AI157), "NA")</f>
        <v>NA</v>
      </c>
      <c r="AI157" s="1">
        <v>1</v>
      </c>
      <c r="AJ157" s="11" t="s">
        <v>31</v>
      </c>
      <c r="AK157">
        <v>1000</v>
      </c>
      <c r="AL157" t="s">
        <v>614</v>
      </c>
      <c r="AM157" s="3" t="s">
        <v>103</v>
      </c>
      <c r="AN157" t="s">
        <v>305</v>
      </c>
      <c r="AO157" t="s">
        <v>790</v>
      </c>
      <c r="AP157">
        <v>4.5</v>
      </c>
      <c r="AQ157" t="s">
        <v>33</v>
      </c>
      <c r="AR157" t="s">
        <v>33</v>
      </c>
      <c r="AS157">
        <v>8</v>
      </c>
      <c r="AT157">
        <f>AS157-AU157</f>
        <v>2.8</v>
      </c>
      <c r="AU157" s="6">
        <v>5.2</v>
      </c>
      <c r="AV157" t="b">
        <v>1</v>
      </c>
      <c r="AW157" t="s">
        <v>626</v>
      </c>
      <c r="AX157" t="s">
        <v>627</v>
      </c>
      <c r="AY157" t="s">
        <v>633</v>
      </c>
      <c r="AZ157" t="s">
        <v>33</v>
      </c>
      <c r="BA157" s="18" t="s">
        <v>800</v>
      </c>
      <c r="BB157" s="3" t="b">
        <v>0</v>
      </c>
      <c r="BC157" t="s">
        <v>81</v>
      </c>
      <c r="BD157">
        <v>24</v>
      </c>
      <c r="BE157" t="s">
        <v>80</v>
      </c>
      <c r="BF157">
        <v>48</v>
      </c>
      <c r="BG157" t="s">
        <v>569</v>
      </c>
      <c r="BH157" t="s">
        <v>31</v>
      </c>
      <c r="BI157" t="s">
        <v>32</v>
      </c>
      <c r="BJ157">
        <f t="shared" si="80"/>
        <v>5.2</v>
      </c>
      <c r="BK157" s="3">
        <f t="shared" si="81"/>
        <v>0.71600334363479923</v>
      </c>
      <c r="BL157">
        <v>2</v>
      </c>
      <c r="BM157" s="3">
        <f t="shared" si="83"/>
        <v>1.2407771834605779</v>
      </c>
      <c r="BN157" t="s">
        <v>33</v>
      </c>
      <c r="BO157" s="3">
        <f t="shared" si="72"/>
        <v>17.409134615384616</v>
      </c>
      <c r="BP157" t="s">
        <v>33</v>
      </c>
      <c r="BQ157" t="s">
        <v>33</v>
      </c>
      <c r="BR157" t="s">
        <v>33</v>
      </c>
      <c r="BS157" t="s">
        <v>33</v>
      </c>
      <c r="BT157" t="s">
        <v>31</v>
      </c>
      <c r="BU157" s="15" t="s">
        <v>255</v>
      </c>
      <c r="BV157">
        <v>2010</v>
      </c>
      <c r="BW157" t="s">
        <v>659</v>
      </c>
      <c r="BX157" t="s">
        <v>78</v>
      </c>
      <c r="BY157" s="13" t="s">
        <v>680</v>
      </c>
      <c r="CA157" t="str">
        <f t="shared" si="73"/>
        <v>high acid</v>
      </c>
    </row>
    <row r="158" spans="1:79">
      <c r="A158" t="s">
        <v>332</v>
      </c>
      <c r="B158" t="s">
        <v>565</v>
      </c>
      <c r="C158" t="s">
        <v>563</v>
      </c>
      <c r="D158" t="s">
        <v>118</v>
      </c>
      <c r="E158" t="s">
        <v>77</v>
      </c>
      <c r="F158" t="s">
        <v>32</v>
      </c>
      <c r="G158">
        <v>15</v>
      </c>
      <c r="H158">
        <v>30.4</v>
      </c>
      <c r="I158" t="b">
        <v>0</v>
      </c>
      <c r="J158" t="s">
        <v>33</v>
      </c>
      <c r="K158" t="s">
        <v>33</v>
      </c>
      <c r="L158">
        <v>20</v>
      </c>
      <c r="M158" s="4">
        <v>100</v>
      </c>
      <c r="N158" s="3">
        <f>IFERROR(AF158/((T158*X158/Y158)*O158*AI158),"NA")</f>
        <v>6909.4056514700696</v>
      </c>
      <c r="O158">
        <v>5</v>
      </c>
      <c r="P158" t="s">
        <v>33</v>
      </c>
      <c r="Q158" s="8">
        <f t="shared" si="78"/>
        <v>0.25000000000000006</v>
      </c>
      <c r="R158" t="s">
        <v>183</v>
      </c>
      <c r="S158" t="s">
        <v>613</v>
      </c>
      <c r="T158" s="11">
        <v>8</v>
      </c>
      <c r="U158">
        <v>2.9</v>
      </c>
      <c r="V158">
        <v>2.2999999999999998</v>
      </c>
      <c r="W158">
        <v>1.2E-2</v>
      </c>
      <c r="X158" s="8">
        <f t="shared" ref="X158:X164" si="87">IFERROR(((PI())*(((V158*10^-1)/2)^2)*(U158*10^-1)), "NA")</f>
        <v>1.204879322468025E-2</v>
      </c>
      <c r="Y158">
        <v>3.33</v>
      </c>
      <c r="Z158" s="3">
        <f t="shared" si="84"/>
        <v>4.8195172898720995E-2</v>
      </c>
      <c r="AA158" t="s">
        <v>33</v>
      </c>
      <c r="AB158" s="6">
        <f>IFERROR(((X158*M158)/Z158), "NA")</f>
        <v>25.000000000000004</v>
      </c>
      <c r="AC158" t="str">
        <f t="shared" si="79"/>
        <v>NA</v>
      </c>
      <c r="AD158" s="4">
        <f>AB158*T158*AI158</f>
        <v>200.00000000000003</v>
      </c>
      <c r="AE158" s="3">
        <f t="shared" si="86"/>
        <v>840.00000000000023</v>
      </c>
      <c r="AF158">
        <v>1000</v>
      </c>
      <c r="AG158" t="str">
        <f>IFERROR((M158*O158*P158), "NA")</f>
        <v>NA</v>
      </c>
      <c r="AH158" t="str">
        <f>IFERROR((AG158*T158*AI158), "NA")</f>
        <v>NA</v>
      </c>
      <c r="AI158">
        <v>1</v>
      </c>
      <c r="AJ158" t="s">
        <v>31</v>
      </c>
      <c r="AK158">
        <v>2100</v>
      </c>
      <c r="AL158" t="s">
        <v>551</v>
      </c>
      <c r="AM158" t="s">
        <v>86</v>
      </c>
      <c r="AN158" t="s">
        <v>205</v>
      </c>
      <c r="AO158" t="s">
        <v>789</v>
      </c>
      <c r="AP158">
        <v>3.79</v>
      </c>
      <c r="AQ158">
        <v>1060</v>
      </c>
      <c r="AR158" t="s">
        <v>33</v>
      </c>
      <c r="AS158" s="6">
        <f>LOG((10^6+10^7)/2)</f>
        <v>6.7403626894942441</v>
      </c>
      <c r="AT158" s="3">
        <f>IFERROR(AS158-AU158,"NA")</f>
        <v>2.8003626894942442</v>
      </c>
      <c r="AU158" s="6">
        <v>3.94</v>
      </c>
      <c r="AV158" t="b">
        <v>1</v>
      </c>
      <c r="AW158" t="s">
        <v>172</v>
      </c>
      <c r="AX158" t="s">
        <v>173</v>
      </c>
      <c r="AY158" t="s">
        <v>333</v>
      </c>
      <c r="AZ158" t="s">
        <v>33</v>
      </c>
      <c r="BA158" s="18" t="s">
        <v>799</v>
      </c>
      <c r="BB158" t="b">
        <v>0</v>
      </c>
      <c r="BC158" t="s">
        <v>81</v>
      </c>
      <c r="BD158">
        <v>72</v>
      </c>
      <c r="BE158" t="s">
        <v>80</v>
      </c>
      <c r="BF158" s="11">
        <v>168</v>
      </c>
      <c r="BG158" t="s">
        <v>334</v>
      </c>
      <c r="BH158" t="s">
        <v>31</v>
      </c>
      <c r="BI158" t="s">
        <v>31</v>
      </c>
      <c r="BJ158" s="3">
        <f t="shared" si="80"/>
        <v>3.94</v>
      </c>
      <c r="BK158" s="3">
        <f t="shared" si="81"/>
        <v>0.59549622182557416</v>
      </c>
      <c r="BL158">
        <v>2</v>
      </c>
      <c r="BM158" s="3">
        <f t="shared" si="83"/>
        <v>2.3287830642363079</v>
      </c>
      <c r="BN158" t="s">
        <v>33</v>
      </c>
      <c r="BO158" s="3">
        <f t="shared" si="72"/>
        <v>213.19796954314728</v>
      </c>
      <c r="BP158" t="s">
        <v>33</v>
      </c>
      <c r="BQ158" t="s">
        <v>33</v>
      </c>
      <c r="BR158" t="s">
        <v>33</v>
      </c>
      <c r="BS158" t="s">
        <v>33</v>
      </c>
      <c r="BT158" t="s">
        <v>31</v>
      </c>
      <c r="BU158" t="s">
        <v>330</v>
      </c>
      <c r="BV158">
        <v>2009</v>
      </c>
      <c r="BW158" t="s">
        <v>331</v>
      </c>
      <c r="BX158" t="s">
        <v>78</v>
      </c>
      <c r="BY158" t="s">
        <v>33</v>
      </c>
      <c r="BZ158" t="s">
        <v>33</v>
      </c>
      <c r="CA158" t="str">
        <f t="shared" si="73"/>
        <v>high acid</v>
      </c>
    </row>
    <row r="159" spans="1:79">
      <c r="A159" t="s">
        <v>261</v>
      </c>
      <c r="B159" t="s">
        <v>565</v>
      </c>
      <c r="C159" t="s">
        <v>563</v>
      </c>
      <c r="D159" t="s">
        <v>118</v>
      </c>
      <c r="E159" t="s">
        <v>77</v>
      </c>
      <c r="F159" t="s">
        <v>32</v>
      </c>
      <c r="G159">
        <v>5</v>
      </c>
      <c r="H159">
        <v>40</v>
      </c>
      <c r="I159" t="b">
        <v>0</v>
      </c>
      <c r="J159" t="s">
        <v>33</v>
      </c>
      <c r="K159" t="s">
        <v>33</v>
      </c>
      <c r="L159">
        <v>35</v>
      </c>
      <c r="M159" s="4">
        <v>100</v>
      </c>
      <c r="N159" s="3">
        <f>IFERROR(AF159/((T159*X159/Y159)*O159*AI159),"NA")</f>
        <v>5903.0038247230323</v>
      </c>
      <c r="O159">
        <v>4</v>
      </c>
      <c r="P159" t="s">
        <v>33</v>
      </c>
      <c r="Q159" s="8">
        <f t="shared" si="78"/>
        <v>0.39062499999999994</v>
      </c>
      <c r="R159" t="s">
        <v>183</v>
      </c>
      <c r="S159" t="s">
        <v>613</v>
      </c>
      <c r="T159" s="11">
        <v>8</v>
      </c>
      <c r="U159">
        <v>2.92</v>
      </c>
      <c r="V159">
        <v>2.2999999999999998</v>
      </c>
      <c r="W159">
        <v>1.21E-2</v>
      </c>
      <c r="X159" s="8">
        <f t="shared" si="87"/>
        <v>1.2131888350367701E-2</v>
      </c>
      <c r="Y159" s="6">
        <f>110/60</f>
        <v>1.8333333333333333</v>
      </c>
      <c r="Z159" s="3">
        <f t="shared" si="84"/>
        <v>3.1057634176941316E-2</v>
      </c>
      <c r="AA159" t="s">
        <v>33</v>
      </c>
      <c r="AB159" s="6">
        <f>IFERROR(((X159*M159)/Z159), "NA")</f>
        <v>39.0625</v>
      </c>
      <c r="AC159" t="str">
        <f t="shared" si="79"/>
        <v>NA</v>
      </c>
      <c r="AD159" s="4">
        <f>AB159*T159*AI159</f>
        <v>312.5</v>
      </c>
      <c r="AE159" s="3">
        <f t="shared" si="86"/>
        <v>7855.3124999999982</v>
      </c>
      <c r="AF159">
        <v>1250</v>
      </c>
      <c r="AG159" t="str">
        <f>IFERROR((M159*O159*P159), "NA")</f>
        <v>NA</v>
      </c>
      <c r="AH159" t="str">
        <f>IFERROR((AG159*T159*AI159), "NA")</f>
        <v>NA</v>
      </c>
      <c r="AI159">
        <v>1</v>
      </c>
      <c r="AJ159" t="s">
        <v>31</v>
      </c>
      <c r="AK159">
        <v>5130</v>
      </c>
      <c r="AL159" t="s">
        <v>547</v>
      </c>
      <c r="AM159" t="s">
        <v>86</v>
      </c>
      <c r="AN159" t="s">
        <v>205</v>
      </c>
      <c r="AO159" t="s">
        <v>789</v>
      </c>
      <c r="AP159">
        <v>3.16</v>
      </c>
      <c r="AQ159" t="s">
        <v>33</v>
      </c>
      <c r="AR159" t="s">
        <v>33</v>
      </c>
      <c r="AS159" s="6">
        <f>LOG((10^7+10^8)/2)</f>
        <v>7.7403626894942441</v>
      </c>
      <c r="AT159" s="3">
        <f>IFERROR(AS159-AU159,"NA")</f>
        <v>2.8023626894942444</v>
      </c>
      <c r="AU159" s="6">
        <v>4.9379999999999997</v>
      </c>
      <c r="AV159" t="b">
        <v>1</v>
      </c>
      <c r="AW159" t="s">
        <v>29</v>
      </c>
      <c r="AX159" t="s">
        <v>30</v>
      </c>
      <c r="AY159" t="s">
        <v>33</v>
      </c>
      <c r="AZ159" t="s">
        <v>134</v>
      </c>
      <c r="BA159" s="18" t="s">
        <v>798</v>
      </c>
      <c r="BB159" t="b">
        <v>0</v>
      </c>
      <c r="BC159" t="s">
        <v>81</v>
      </c>
      <c r="BD159">
        <v>15</v>
      </c>
      <c r="BE159" t="s">
        <v>80</v>
      </c>
      <c r="BF159" s="11">
        <v>24</v>
      </c>
      <c r="BG159" t="s">
        <v>262</v>
      </c>
      <c r="BH159" t="s">
        <v>31</v>
      </c>
      <c r="BI159" t="s">
        <v>31</v>
      </c>
      <c r="BJ159" s="3">
        <f t="shared" si="80"/>
        <v>4.9379999999999997</v>
      </c>
      <c r="BK159" s="3">
        <f t="shared" si="81"/>
        <v>0.6935510855959135</v>
      </c>
      <c r="BL159">
        <v>2</v>
      </c>
      <c r="BM159" s="3">
        <f t="shared" si="83"/>
        <v>3.2016123812245105</v>
      </c>
      <c r="BN159" t="s">
        <v>33</v>
      </c>
      <c r="BO159" s="3">
        <f t="shared" si="72"/>
        <v>1590.788274605103</v>
      </c>
      <c r="BP159" t="s">
        <v>33</v>
      </c>
      <c r="BQ159" t="s">
        <v>33</v>
      </c>
      <c r="BR159" t="s">
        <v>33</v>
      </c>
      <c r="BS159" t="s">
        <v>33</v>
      </c>
      <c r="BT159" t="s">
        <v>31</v>
      </c>
      <c r="BU159" t="s">
        <v>219</v>
      </c>
      <c r="BV159">
        <v>2008</v>
      </c>
      <c r="BW159" s="2" t="s">
        <v>257</v>
      </c>
      <c r="BX159" t="s">
        <v>78</v>
      </c>
      <c r="BY159" t="s">
        <v>33</v>
      </c>
      <c r="BZ159" t="s">
        <v>33</v>
      </c>
      <c r="CA159" t="str">
        <f t="shared" si="73"/>
        <v>high acid</v>
      </c>
    </row>
    <row r="160" spans="1:79">
      <c r="A160" t="s">
        <v>443</v>
      </c>
      <c r="B160" t="s">
        <v>565</v>
      </c>
      <c r="C160" t="s">
        <v>563</v>
      </c>
      <c r="D160" t="s">
        <v>368</v>
      </c>
      <c r="E160" t="s">
        <v>77</v>
      </c>
      <c r="F160" t="s">
        <v>32</v>
      </c>
      <c r="G160">
        <v>23</v>
      </c>
      <c r="H160">
        <v>43</v>
      </c>
      <c r="I160" t="b">
        <v>0</v>
      </c>
      <c r="J160" t="s">
        <v>33</v>
      </c>
      <c r="K160" t="s">
        <v>33</v>
      </c>
      <c r="L160">
        <v>45</v>
      </c>
      <c r="M160" s="4">
        <v>1000</v>
      </c>
      <c r="N160" s="3">
        <f>IFERROR(AF160/((T160*X160/Y160)*O160*AI160),"NA")</f>
        <v>805.8545285219634</v>
      </c>
      <c r="O160">
        <v>1.5</v>
      </c>
      <c r="P160" t="s">
        <v>33</v>
      </c>
      <c r="Q160" s="8">
        <f t="shared" si="78"/>
        <v>4.6666666666666669E-2</v>
      </c>
      <c r="R160" t="s">
        <v>183</v>
      </c>
      <c r="S160" t="s">
        <v>613</v>
      </c>
      <c r="T160" s="11">
        <v>1</v>
      </c>
      <c r="U160">
        <v>5</v>
      </c>
      <c r="V160">
        <v>8</v>
      </c>
      <c r="W160" t="s">
        <v>33</v>
      </c>
      <c r="X160" s="9">
        <f t="shared" si="87"/>
        <v>0.25132741228718347</v>
      </c>
      <c r="Y160" s="6">
        <v>4.34</v>
      </c>
      <c r="Z160" s="3">
        <f t="shared" si="84"/>
        <v>5.3855874061539311</v>
      </c>
      <c r="AA160">
        <v>46.3</v>
      </c>
      <c r="AB160" s="6">
        <f>IFERROR(((X160*M160)/Y160), "NA")</f>
        <v>57.909542001655183</v>
      </c>
      <c r="AC160" t="str">
        <f t="shared" si="79"/>
        <v>NA</v>
      </c>
      <c r="AD160" s="4">
        <f>AB160*T160*AI160</f>
        <v>57.909542001655183</v>
      </c>
      <c r="AE160" s="3">
        <f t="shared" si="86"/>
        <v>391.23</v>
      </c>
      <c r="AF160">
        <v>70</v>
      </c>
      <c r="AG160" t="str">
        <f>IFERROR((M160*O160*P160), "NA")</f>
        <v>NA</v>
      </c>
      <c r="AH160" t="str">
        <f>IFERROR((AG160*T160*AI160), "NA")</f>
        <v>NA</v>
      </c>
      <c r="AI160" s="11">
        <v>1</v>
      </c>
      <c r="AJ160" t="s">
        <v>31</v>
      </c>
      <c r="AK160">
        <v>2760</v>
      </c>
      <c r="AL160" t="s">
        <v>560</v>
      </c>
      <c r="AM160" t="s">
        <v>515</v>
      </c>
      <c r="AN160" t="s">
        <v>205</v>
      </c>
      <c r="AO160" t="s">
        <v>788</v>
      </c>
      <c r="AP160" s="4" t="s">
        <v>33</v>
      </c>
      <c r="AQ160" t="s">
        <v>33</v>
      </c>
      <c r="AR160" t="s">
        <v>33</v>
      </c>
      <c r="AS160">
        <f>LOG(10^5)</f>
        <v>5</v>
      </c>
      <c r="AT160" s="3">
        <f>IFERROR(AS160-AU160,"NA")</f>
        <v>2.8029999999999999</v>
      </c>
      <c r="AU160" s="6">
        <v>2.1970000000000001</v>
      </c>
      <c r="AV160" t="b">
        <v>1</v>
      </c>
      <c r="AW160" t="s">
        <v>172</v>
      </c>
      <c r="AX160" t="s">
        <v>173</v>
      </c>
      <c r="AY160" t="s">
        <v>444</v>
      </c>
      <c r="AZ160" t="s">
        <v>33</v>
      </c>
      <c r="BA160" s="18" t="s">
        <v>799</v>
      </c>
      <c r="BB160" t="b">
        <v>0</v>
      </c>
      <c r="BC160" t="s">
        <v>81</v>
      </c>
      <c r="BD160" t="s">
        <v>33</v>
      </c>
      <c r="BE160" t="s">
        <v>33</v>
      </c>
      <c r="BF160" s="11">
        <v>48</v>
      </c>
      <c r="BG160" t="s">
        <v>401</v>
      </c>
      <c r="BH160" t="s">
        <v>31</v>
      </c>
      <c r="BI160" t="s">
        <v>31</v>
      </c>
      <c r="BJ160" s="3">
        <f t="shared" si="80"/>
        <v>2.1970000000000001</v>
      </c>
      <c r="BK160" s="3">
        <f t="shared" si="81"/>
        <v>0.34183005692051033</v>
      </c>
      <c r="BL160">
        <v>2</v>
      </c>
      <c r="BM160" s="3">
        <f t="shared" si="83"/>
        <v>2.2506020927096517</v>
      </c>
      <c r="BN160" t="s">
        <v>33</v>
      </c>
      <c r="BO160" s="3">
        <f t="shared" si="72"/>
        <v>178.07464724624489</v>
      </c>
      <c r="BP160" t="s">
        <v>33</v>
      </c>
      <c r="BQ160" t="s">
        <v>33</v>
      </c>
      <c r="BR160" t="s">
        <v>33</v>
      </c>
      <c r="BS160" t="s">
        <v>33</v>
      </c>
      <c r="BT160" t="s">
        <v>31</v>
      </c>
      <c r="BU160" t="s">
        <v>445</v>
      </c>
      <c r="BV160">
        <v>2015</v>
      </c>
      <c r="BW160" t="s">
        <v>446</v>
      </c>
      <c r="BX160" t="s">
        <v>78</v>
      </c>
      <c r="BY160" t="s">
        <v>447</v>
      </c>
      <c r="CA160" t="str">
        <f t="shared" si="73"/>
        <v>high acid</v>
      </c>
    </row>
    <row r="161" spans="1:79">
      <c r="A161" s="3" t="s">
        <v>303</v>
      </c>
      <c r="B161" t="s">
        <v>566</v>
      </c>
      <c r="C161" t="s">
        <v>563</v>
      </c>
      <c r="D161" s="3" t="s">
        <v>279</v>
      </c>
      <c r="E161" s="3" t="s">
        <v>77</v>
      </c>
      <c r="F161" t="s">
        <v>32</v>
      </c>
      <c r="G161" s="11">
        <v>10</v>
      </c>
      <c r="H161" s="11">
        <v>30</v>
      </c>
      <c r="I161" s="3" t="b">
        <v>0</v>
      </c>
      <c r="J161" s="3" t="s">
        <v>33</v>
      </c>
      <c r="K161" s="3" t="s">
        <v>33</v>
      </c>
      <c r="L161" s="11">
        <v>20</v>
      </c>
      <c r="M161" s="4">
        <v>1000</v>
      </c>
      <c r="N161" s="3">
        <f>IFERROR(AF161/((T161*X161/Y161)*O161*AI161),"NA")</f>
        <v>5052.5378759331843</v>
      </c>
      <c r="O161" s="3">
        <v>16</v>
      </c>
      <c r="P161" s="3" t="s">
        <v>33</v>
      </c>
      <c r="Q161" s="3">
        <f t="shared" si="78"/>
        <v>0.15000000000000002</v>
      </c>
      <c r="R161" t="s">
        <v>183</v>
      </c>
      <c r="S161" t="s">
        <v>613</v>
      </c>
      <c r="T161" s="11">
        <v>1</v>
      </c>
      <c r="U161" s="3">
        <v>2.8</v>
      </c>
      <c r="V161" s="3">
        <v>3</v>
      </c>
      <c r="W161" s="3">
        <v>0.02</v>
      </c>
      <c r="X161" s="3">
        <f t="shared" si="87"/>
        <v>1.97920337176157E-2</v>
      </c>
      <c r="Y161" s="3">
        <f>40/60</f>
        <v>0.66666666666666663</v>
      </c>
      <c r="Z161" s="3">
        <f t="shared" si="84"/>
        <v>0.13194689145077132</v>
      </c>
      <c r="AA161" s="3" t="s">
        <v>33</v>
      </c>
      <c r="AB161" s="3">
        <f>IFERROR(((X161*M161)/Z161), "NA")</f>
        <v>150</v>
      </c>
      <c r="AC161" s="3" t="str">
        <f t="shared" si="79"/>
        <v>NA</v>
      </c>
      <c r="AD161" s="4">
        <f>AB161*T161*AI161</f>
        <v>150</v>
      </c>
      <c r="AE161" s="3">
        <f t="shared" si="86"/>
        <v>384.00000000000006</v>
      </c>
      <c r="AF161" s="3">
        <v>2400</v>
      </c>
      <c r="AG161" s="3" t="str">
        <f>IFERROR((M161*O161*P161), "NA")</f>
        <v>NA</v>
      </c>
      <c r="AH161" s="3" t="str">
        <f>IFERROR((AG161*T161*AI161), "NA")</f>
        <v>NA</v>
      </c>
      <c r="AI161" s="3">
        <v>1</v>
      </c>
      <c r="AJ161" t="s">
        <v>31</v>
      </c>
      <c r="AK161" s="3">
        <v>400</v>
      </c>
      <c r="AL161" s="3" t="s">
        <v>281</v>
      </c>
      <c r="AM161" s="3" t="s">
        <v>103</v>
      </c>
      <c r="AN161" t="s">
        <v>130</v>
      </c>
      <c r="AO161" t="s">
        <v>795</v>
      </c>
      <c r="AP161" s="3" t="s">
        <v>33</v>
      </c>
      <c r="AQ161" s="3" t="s">
        <v>33</v>
      </c>
      <c r="AR161" s="3" t="s">
        <v>33</v>
      </c>
      <c r="AS161" s="3">
        <f>4.049</f>
        <v>4.0490000000000004</v>
      </c>
      <c r="AT161" s="3">
        <f>IFERROR(AS161-AU161,"NA")</f>
        <v>2.806</v>
      </c>
      <c r="AU161" s="6">
        <v>1.2430000000000001</v>
      </c>
      <c r="AV161" s="3" t="b">
        <v>1</v>
      </c>
      <c r="AW161" s="3" t="s">
        <v>172</v>
      </c>
      <c r="AX161" s="3" t="s">
        <v>173</v>
      </c>
      <c r="AY161" s="3" t="s">
        <v>283</v>
      </c>
      <c r="AZ161" s="3" t="s">
        <v>33</v>
      </c>
      <c r="BA161" s="18" t="s">
        <v>799</v>
      </c>
      <c r="BB161" s="3" t="b">
        <v>0</v>
      </c>
      <c r="BC161" t="s">
        <v>81</v>
      </c>
      <c r="BD161" s="3">
        <v>2</v>
      </c>
      <c r="BE161" s="3" t="s">
        <v>252</v>
      </c>
      <c r="BF161" s="11">
        <v>72</v>
      </c>
      <c r="BG161" s="3" t="s">
        <v>574</v>
      </c>
      <c r="BH161" s="3" t="s">
        <v>31</v>
      </c>
      <c r="BI161" s="3" t="s">
        <v>31</v>
      </c>
      <c r="BJ161" s="3">
        <f t="shared" si="80"/>
        <v>1.2430000000000001</v>
      </c>
      <c r="BK161" s="3">
        <f t="shared" si="81"/>
        <v>9.4471128641644794E-2</v>
      </c>
      <c r="BL161" s="3">
        <v>2</v>
      </c>
      <c r="BM161" s="3">
        <f t="shared" si="83"/>
        <v>2.4898600957258861</v>
      </c>
      <c r="BN161" s="3" t="s">
        <v>33</v>
      </c>
      <c r="BO161" s="3">
        <f t="shared" si="72"/>
        <v>308.93000804505232</v>
      </c>
      <c r="BP161" s="3" t="s">
        <v>33</v>
      </c>
      <c r="BQ161" s="3" t="s">
        <v>33</v>
      </c>
      <c r="BR161" s="3" t="s">
        <v>33</v>
      </c>
      <c r="BS161" s="3" t="s">
        <v>33</v>
      </c>
      <c r="BT161" t="s">
        <v>31</v>
      </c>
      <c r="BU161" s="3" t="s">
        <v>247</v>
      </c>
      <c r="BV161" s="11">
        <v>2016</v>
      </c>
      <c r="BW161" s="3" t="s">
        <v>284</v>
      </c>
      <c r="BX161" t="s">
        <v>78</v>
      </c>
      <c r="BY161" s="3" t="s">
        <v>33</v>
      </c>
      <c r="BZ161" s="3" t="s">
        <v>296</v>
      </c>
      <c r="CA161" t="str">
        <f t="shared" si="73"/>
        <v>low acid</v>
      </c>
    </row>
    <row r="162" spans="1:79">
      <c r="A162" t="s">
        <v>581</v>
      </c>
      <c r="B162" t="s">
        <v>565</v>
      </c>
      <c r="C162" t="s">
        <v>563</v>
      </c>
      <c r="D162" t="s">
        <v>118</v>
      </c>
      <c r="E162" t="s">
        <v>77</v>
      </c>
      <c r="F162" t="s">
        <v>32</v>
      </c>
      <c r="G162">
        <v>5</v>
      </c>
      <c r="H162">
        <v>30.3</v>
      </c>
      <c r="I162" t="b">
        <v>0</v>
      </c>
      <c r="J162" t="s">
        <v>33</v>
      </c>
      <c r="K162" t="s">
        <v>33</v>
      </c>
      <c r="L162">
        <v>35</v>
      </c>
      <c r="M162" s="4">
        <v>175</v>
      </c>
      <c r="N162" t="e">
        <f>(#REF!*Y162)/(T162*X162*O162)</f>
        <v>#REF!</v>
      </c>
      <c r="O162">
        <v>4</v>
      </c>
      <c r="P162" t="s">
        <v>33</v>
      </c>
      <c r="Q162" s="1">
        <f t="shared" si="78"/>
        <v>0.22321428571428573</v>
      </c>
      <c r="R162" t="s">
        <v>183</v>
      </c>
      <c r="S162" t="s">
        <v>613</v>
      </c>
      <c r="T162">
        <v>8</v>
      </c>
      <c r="U162">
        <v>2.92</v>
      </c>
      <c r="V162">
        <v>2.2999999999999998</v>
      </c>
      <c r="W162">
        <v>1.21E-2</v>
      </c>
      <c r="X162">
        <f t="shared" si="87"/>
        <v>1.2131888350367701E-2</v>
      </c>
      <c r="Y162">
        <v>1.6666700000000001</v>
      </c>
      <c r="Z162" s="3">
        <f t="shared" si="84"/>
        <v>5.4350859809647295E-2</v>
      </c>
      <c r="AA162" t="s">
        <v>33</v>
      </c>
      <c r="AB162">
        <f>IFERROR(((X162*M162)/Z162), "NA")</f>
        <v>39.0625</v>
      </c>
      <c r="AC162" s="1" t="str">
        <f t="shared" si="79"/>
        <v>NA</v>
      </c>
      <c r="AE162" s="3">
        <f t="shared" si="86"/>
        <v>5604.375</v>
      </c>
      <c r="AF162">
        <v>1250</v>
      </c>
      <c r="AG162" s="1" t="str">
        <f>IFERROR((N162*P162*Q162), "NA")</f>
        <v>NA</v>
      </c>
      <c r="AH162" s="1" t="str">
        <f>IFERROR((AG162*U162*AI162), "NA")</f>
        <v>NA</v>
      </c>
      <c r="AI162" s="1">
        <v>1</v>
      </c>
      <c r="AJ162" s="11" t="s">
        <v>31</v>
      </c>
      <c r="AK162">
        <v>3660</v>
      </c>
      <c r="AL162" t="s">
        <v>541</v>
      </c>
      <c r="AM162" t="s">
        <v>86</v>
      </c>
      <c r="AN162" t="s">
        <v>186</v>
      </c>
      <c r="AO162" t="s">
        <v>794</v>
      </c>
      <c r="AP162">
        <v>5.46</v>
      </c>
      <c r="AQ162" t="s">
        <v>33</v>
      </c>
      <c r="AR162" t="s">
        <v>33</v>
      </c>
      <c r="AS162">
        <v>7.5</v>
      </c>
      <c r="AT162">
        <f>AS162-AU162</f>
        <v>2.8099999999999996</v>
      </c>
      <c r="AU162" s="6">
        <v>4.6900000000000004</v>
      </c>
      <c r="AV162" t="b">
        <v>1</v>
      </c>
      <c r="AW162" t="s">
        <v>617</v>
      </c>
      <c r="AX162" t="s">
        <v>618</v>
      </c>
      <c r="AY162" t="s">
        <v>33</v>
      </c>
      <c r="AZ162" t="s">
        <v>619</v>
      </c>
      <c r="BA162" s="18" t="s">
        <v>802</v>
      </c>
      <c r="BB162" s="3" t="b">
        <v>0</v>
      </c>
      <c r="BC162" t="s">
        <v>81</v>
      </c>
      <c r="BD162">
        <v>15</v>
      </c>
      <c r="BE162" t="s">
        <v>80</v>
      </c>
      <c r="BF162">
        <v>15</v>
      </c>
      <c r="BG162" t="s">
        <v>697</v>
      </c>
      <c r="BH162" t="s">
        <v>32</v>
      </c>
      <c r="BI162" t="s">
        <v>31</v>
      </c>
      <c r="BJ162">
        <f t="shared" si="80"/>
        <v>4.6900000000000004</v>
      </c>
      <c r="BK162" s="3">
        <f t="shared" si="81"/>
        <v>0.67117284271508326</v>
      </c>
      <c r="BL162">
        <v>2</v>
      </c>
      <c r="BM162" s="3">
        <f t="shared" si="83"/>
        <v>3.0773543443879352</v>
      </c>
      <c r="BN162" t="s">
        <v>33</v>
      </c>
      <c r="BO162" s="3">
        <f t="shared" si="72"/>
        <v>1194.9626865671642</v>
      </c>
      <c r="BP162" t="s">
        <v>33</v>
      </c>
      <c r="BQ162" t="s">
        <v>33</v>
      </c>
      <c r="BR162" t="s">
        <v>33</v>
      </c>
      <c r="BS162" t="s">
        <v>33</v>
      </c>
      <c r="BT162" t="s">
        <v>31</v>
      </c>
      <c r="BU162" t="s">
        <v>219</v>
      </c>
      <c r="BV162" s="14">
        <v>2007</v>
      </c>
      <c r="BW162" s="2" t="s">
        <v>648</v>
      </c>
      <c r="BX162" t="s">
        <v>78</v>
      </c>
      <c r="BY162" s="13" t="s">
        <v>671</v>
      </c>
      <c r="CA162" t="str">
        <f t="shared" si="73"/>
        <v>low acid</v>
      </c>
    </row>
    <row r="163" spans="1:79">
      <c r="A163" t="s">
        <v>590</v>
      </c>
      <c r="B163" t="s">
        <v>565</v>
      </c>
      <c r="C163" t="s">
        <v>564</v>
      </c>
      <c r="D163" t="s">
        <v>609</v>
      </c>
      <c r="E163" t="s">
        <v>77</v>
      </c>
      <c r="F163" t="s">
        <v>32</v>
      </c>
      <c r="G163">
        <v>40</v>
      </c>
      <c r="H163">
        <v>49</v>
      </c>
      <c r="I163" t="b">
        <v>0</v>
      </c>
      <c r="J163" t="s">
        <v>33</v>
      </c>
      <c r="K163" t="s">
        <v>33</v>
      </c>
      <c r="L163">
        <v>27</v>
      </c>
      <c r="M163" s="4">
        <v>120</v>
      </c>
      <c r="N163" t="e">
        <f>(#REF!*Y163)/(T163*X163*O163)</f>
        <v>#REF!</v>
      </c>
      <c r="O163">
        <v>3</v>
      </c>
      <c r="P163" t="s">
        <v>33</v>
      </c>
      <c r="Q163" s="1">
        <f t="shared" si="78"/>
        <v>0.12743055555555555</v>
      </c>
      <c r="R163" t="s">
        <v>183</v>
      </c>
      <c r="S163" t="s">
        <v>612</v>
      </c>
      <c r="T163">
        <v>4</v>
      </c>
      <c r="U163">
        <v>3</v>
      </c>
      <c r="V163">
        <v>2.6</v>
      </c>
      <c r="W163">
        <v>1.5900000000000001E-2</v>
      </c>
      <c r="X163">
        <f t="shared" si="87"/>
        <v>1.5927874753700257E-2</v>
      </c>
      <c r="Y163">
        <v>8.3333299999999999E-2</v>
      </c>
      <c r="Z163" s="3">
        <f t="shared" si="84"/>
        <v>0.1249925866230429</v>
      </c>
      <c r="AA163" t="s">
        <v>33</v>
      </c>
      <c r="AB163">
        <f>IFERROR(((X163*M163)/Z163), "NA")</f>
        <v>15.291666666666666</v>
      </c>
      <c r="AC163" s="1" t="str">
        <f t="shared" si="79"/>
        <v>NA</v>
      </c>
      <c r="AE163" s="3">
        <f t="shared" si="86"/>
        <v>153.83722499999999</v>
      </c>
      <c r="AF163">
        <v>183.5</v>
      </c>
      <c r="AG163" s="1" t="str">
        <f>IFERROR((N163*P163*Q163), "NA")</f>
        <v>NA</v>
      </c>
      <c r="AH163" s="1" t="str">
        <f>IFERROR((AG163*U163*AI163), "NA")</f>
        <v>NA</v>
      </c>
      <c r="AI163" s="1">
        <v>1</v>
      </c>
      <c r="AJ163" s="11" t="s">
        <v>31</v>
      </c>
      <c r="AK163">
        <v>1150</v>
      </c>
      <c r="AL163" t="s">
        <v>551</v>
      </c>
      <c r="AM163" t="s">
        <v>86</v>
      </c>
      <c r="AN163" t="s">
        <v>186</v>
      </c>
      <c r="AO163" t="s">
        <v>794</v>
      </c>
      <c r="AP163">
        <v>5.92</v>
      </c>
      <c r="AQ163" t="s">
        <v>33</v>
      </c>
      <c r="AR163" t="s">
        <v>33</v>
      </c>
      <c r="AS163">
        <v>6</v>
      </c>
      <c r="AT163">
        <f>AS163-AU163</f>
        <v>2.81</v>
      </c>
      <c r="AU163" s="6">
        <v>3.19</v>
      </c>
      <c r="AV163" t="b">
        <v>1</v>
      </c>
      <c r="AW163" t="s">
        <v>626</v>
      </c>
      <c r="AX163" t="s">
        <v>627</v>
      </c>
      <c r="AY163" t="s">
        <v>631</v>
      </c>
      <c r="AZ163" t="s">
        <v>33</v>
      </c>
      <c r="BA163" s="18" t="s">
        <v>800</v>
      </c>
      <c r="BB163" s="3" t="b">
        <v>0</v>
      </c>
      <c r="BC163" t="s">
        <v>81</v>
      </c>
      <c r="BD163">
        <v>20</v>
      </c>
      <c r="BE163" t="s">
        <v>80</v>
      </c>
      <c r="BF163">
        <v>20</v>
      </c>
      <c r="BG163" t="s">
        <v>695</v>
      </c>
      <c r="BH163" t="s">
        <v>32</v>
      </c>
      <c r="BI163" t="s">
        <v>31</v>
      </c>
      <c r="BJ163">
        <f t="shared" si="80"/>
        <v>3.19</v>
      </c>
      <c r="BK163" s="3">
        <f t="shared" si="81"/>
        <v>0.50379068305718111</v>
      </c>
      <c r="BL163">
        <v>2</v>
      </c>
      <c r="BM163" s="3">
        <f t="shared" si="83"/>
        <v>1.6832707542025134</v>
      </c>
      <c r="BN163" t="s">
        <v>33</v>
      </c>
      <c r="BO163" s="3">
        <f t="shared" si="72"/>
        <v>48.22483542319749</v>
      </c>
      <c r="BP163" t="s">
        <v>33</v>
      </c>
      <c r="BQ163" t="s">
        <v>33</v>
      </c>
      <c r="BR163" t="s">
        <v>33</v>
      </c>
      <c r="BS163" t="s">
        <v>33</v>
      </c>
      <c r="BT163" t="s">
        <v>32</v>
      </c>
      <c r="BU163" s="15" t="s">
        <v>207</v>
      </c>
      <c r="BV163">
        <v>2014</v>
      </c>
      <c r="BW163" t="s">
        <v>242</v>
      </c>
      <c r="BX163" t="s">
        <v>78</v>
      </c>
      <c r="BY163" s="13" t="s">
        <v>678</v>
      </c>
      <c r="CA163" t="str">
        <f t="shared" si="73"/>
        <v>low acid</v>
      </c>
    </row>
    <row r="164" spans="1:79">
      <c r="A164" t="s">
        <v>599</v>
      </c>
      <c r="B164" t="s">
        <v>565</v>
      </c>
      <c r="C164" t="s">
        <v>563</v>
      </c>
      <c r="D164" t="s">
        <v>118</v>
      </c>
      <c r="E164" t="s">
        <v>77</v>
      </c>
      <c r="F164" t="s">
        <v>32</v>
      </c>
      <c r="G164" t="s">
        <v>33</v>
      </c>
      <c r="H164" t="s">
        <v>33</v>
      </c>
      <c r="I164" t="b">
        <v>0</v>
      </c>
      <c r="J164" t="s">
        <v>33</v>
      </c>
      <c r="K164" t="s">
        <v>33</v>
      </c>
      <c r="L164">
        <v>30</v>
      </c>
      <c r="M164" s="4">
        <v>500</v>
      </c>
      <c r="N164" t="e">
        <f>(#REF!*Y164)/(T164*X164*O164)</f>
        <v>#REF!</v>
      </c>
      <c r="O164">
        <v>3</v>
      </c>
      <c r="P164" t="s">
        <v>33</v>
      </c>
      <c r="Q164" s="1">
        <f t="shared" si="78"/>
        <v>1.4555555555555554E-2</v>
      </c>
      <c r="R164" t="s">
        <v>183</v>
      </c>
      <c r="S164" t="s">
        <v>613</v>
      </c>
      <c r="T164">
        <v>6</v>
      </c>
      <c r="U164">
        <v>2.2999999999999998</v>
      </c>
      <c r="V164">
        <v>2.9</v>
      </c>
      <c r="W164">
        <v>0.36420000000000002</v>
      </c>
      <c r="X164">
        <f t="shared" si="87"/>
        <v>1.519195667459684E-2</v>
      </c>
      <c r="Y164">
        <v>0.83333299999999999</v>
      </c>
      <c r="Z164" s="3">
        <f t="shared" si="84"/>
        <v>1.0437222142852791</v>
      </c>
      <c r="AA164" t="s">
        <v>33</v>
      </c>
      <c r="AB164">
        <f>IFERROR(((X164*M164)/Z164), "NA")</f>
        <v>7.2777777777777777</v>
      </c>
      <c r="AC164" s="1" t="str">
        <f t="shared" si="79"/>
        <v>NA</v>
      </c>
      <c r="AE164" s="3">
        <f t="shared" si="86"/>
        <v>429.15599999999995</v>
      </c>
      <c r="AF164">
        <v>131</v>
      </c>
      <c r="AG164" s="1" t="str">
        <f>IFERROR((N164*P164*Q164), "NA")</f>
        <v>NA</v>
      </c>
      <c r="AH164" s="1" t="str">
        <f>IFERROR((AG164*U164*AI164), "NA")</f>
        <v>NA</v>
      </c>
      <c r="AI164" s="1">
        <v>1</v>
      </c>
      <c r="AJ164" s="11" t="s">
        <v>31</v>
      </c>
      <c r="AK164">
        <f>3.64*10^3</f>
        <v>3640</v>
      </c>
      <c r="AL164" t="s">
        <v>145</v>
      </c>
      <c r="AM164" t="s">
        <v>86</v>
      </c>
      <c r="AN164" t="s">
        <v>205</v>
      </c>
      <c r="AO164" t="s">
        <v>789</v>
      </c>
      <c r="AP164">
        <v>3.19</v>
      </c>
      <c r="AQ164" t="s">
        <v>33</v>
      </c>
      <c r="AR164" t="s">
        <v>33</v>
      </c>
      <c r="AS164">
        <v>7.13</v>
      </c>
      <c r="AT164">
        <v>2.82</v>
      </c>
      <c r="AU164" s="6">
        <f>AS164-AT164</f>
        <v>4.3100000000000005</v>
      </c>
      <c r="AV164" t="b">
        <v>1</v>
      </c>
      <c r="AW164" t="s">
        <v>632</v>
      </c>
      <c r="AX164" t="s">
        <v>639</v>
      </c>
      <c r="AY164" t="s">
        <v>33</v>
      </c>
      <c r="AZ164" t="s">
        <v>33</v>
      </c>
      <c r="BA164" s="18" t="s">
        <v>803</v>
      </c>
      <c r="BB164" s="3" t="b">
        <v>0</v>
      </c>
      <c r="BC164" t="s">
        <v>81</v>
      </c>
      <c r="BD164">
        <f>AVERAGE(24, 48)</f>
        <v>36</v>
      </c>
      <c r="BE164" t="s">
        <v>80</v>
      </c>
      <c r="BF164">
        <v>48</v>
      </c>
      <c r="BG164" t="s">
        <v>647</v>
      </c>
      <c r="BH164" t="s">
        <v>31</v>
      </c>
      <c r="BI164" t="s">
        <v>31</v>
      </c>
      <c r="BJ164" s="3">
        <f t="shared" si="80"/>
        <v>4.3100000000000005</v>
      </c>
      <c r="BK164" s="3">
        <f t="shared" si="81"/>
        <v>0.63447727016073163</v>
      </c>
      <c r="BL164">
        <v>2</v>
      </c>
      <c r="BM164" s="3">
        <f t="shared" si="83"/>
        <v>1.9981379185834134</v>
      </c>
      <c r="BN164" t="s">
        <v>33</v>
      </c>
      <c r="BO164" s="3">
        <f t="shared" si="72"/>
        <v>99.572157772621793</v>
      </c>
      <c r="BP164" t="s">
        <v>33</v>
      </c>
      <c r="BQ164" t="s">
        <v>33</v>
      </c>
      <c r="BR164" t="s">
        <v>33</v>
      </c>
      <c r="BS164" t="s">
        <v>33</v>
      </c>
      <c r="BT164" t="s">
        <v>31</v>
      </c>
      <c r="BU164" s="13" t="s">
        <v>135</v>
      </c>
      <c r="BV164" s="14">
        <v>2010</v>
      </c>
      <c r="BW164" s="13" t="s">
        <v>140</v>
      </c>
      <c r="BX164" t="s">
        <v>78</v>
      </c>
      <c r="BY164" s="13" t="s">
        <v>687</v>
      </c>
      <c r="CA164" t="str">
        <f t="shared" si="73"/>
        <v>high acid</v>
      </c>
    </row>
    <row r="165" spans="1:79">
      <c r="A165" t="s">
        <v>584</v>
      </c>
      <c r="B165" t="s">
        <v>566</v>
      </c>
      <c r="C165" t="s">
        <v>563</v>
      </c>
      <c r="D165" t="s">
        <v>607</v>
      </c>
      <c r="E165" t="s">
        <v>77</v>
      </c>
      <c r="F165" t="s">
        <v>33</v>
      </c>
      <c r="G165">
        <v>20</v>
      </c>
      <c r="H165">
        <v>35</v>
      </c>
      <c r="I165" t="b">
        <v>0</v>
      </c>
      <c r="J165">
        <v>1000</v>
      </c>
      <c r="K165">
        <v>200</v>
      </c>
      <c r="L165">
        <v>30</v>
      </c>
      <c r="M165" s="4">
        <v>1</v>
      </c>
      <c r="N165" t="e">
        <f>(#REF!*Y165)/(T165*X165*O165)</f>
        <v>#REF!</v>
      </c>
      <c r="O165">
        <v>3</v>
      </c>
      <c r="P165" t="s">
        <v>33</v>
      </c>
      <c r="Q165" s="1">
        <f t="shared" si="78"/>
        <v>166.66666666666666</v>
      </c>
      <c r="R165" t="s">
        <v>183</v>
      </c>
      <c r="S165" t="s">
        <v>33</v>
      </c>
      <c r="T165">
        <v>1</v>
      </c>
      <c r="U165">
        <v>2.5</v>
      </c>
      <c r="V165" t="s">
        <v>33</v>
      </c>
      <c r="W165">
        <v>0.50249999999999995</v>
      </c>
      <c r="X165">
        <f>W165</f>
        <v>0.50249999999999995</v>
      </c>
      <c r="Y165" t="s">
        <v>33</v>
      </c>
      <c r="Z165" s="3">
        <f t="shared" si="84"/>
        <v>3.0149999999999999E-3</v>
      </c>
      <c r="AA165" t="s">
        <v>33</v>
      </c>
      <c r="AB165">
        <f>IFERROR(((X165*M165)/Z165), "NA")</f>
        <v>166.66666666666666</v>
      </c>
      <c r="AC165" s="1" t="str">
        <f t="shared" si="79"/>
        <v>NA</v>
      </c>
      <c r="AE165" s="3">
        <f t="shared" si="86"/>
        <v>449.99999999999994</v>
      </c>
      <c r="AF165">
        <v>500</v>
      </c>
      <c r="AG165" s="1" t="str">
        <f>IFERROR((N165*P165*Q165), "NA")</f>
        <v>NA</v>
      </c>
      <c r="AH165" s="1" t="str">
        <f>IFERROR((AG165*U165*AI165), "NA")</f>
        <v>NA</v>
      </c>
      <c r="AI165" s="1">
        <v>1</v>
      </c>
      <c r="AJ165" s="11" t="s">
        <v>31</v>
      </c>
      <c r="AK165">
        <v>1000</v>
      </c>
      <c r="AL165" t="s">
        <v>614</v>
      </c>
      <c r="AM165" s="3" t="s">
        <v>103</v>
      </c>
      <c r="AN165" t="s">
        <v>305</v>
      </c>
      <c r="AO165" t="s">
        <v>790</v>
      </c>
      <c r="AP165">
        <v>3.5</v>
      </c>
      <c r="AQ165" t="s">
        <v>33</v>
      </c>
      <c r="AR165" t="s">
        <v>33</v>
      </c>
      <c r="AS165">
        <v>8</v>
      </c>
      <c r="AT165">
        <f>AS165-AU165</f>
        <v>2.8200000000000003</v>
      </c>
      <c r="AU165" s="6">
        <v>5.18</v>
      </c>
      <c r="AV165" t="b">
        <v>1</v>
      </c>
      <c r="AW165" t="s">
        <v>617</v>
      </c>
      <c r="AX165" t="s">
        <v>33</v>
      </c>
      <c r="AY165" t="s">
        <v>623</v>
      </c>
      <c r="AZ165" t="s">
        <v>621</v>
      </c>
      <c r="BA165" s="18" t="s">
        <v>802</v>
      </c>
      <c r="BB165" s="3" t="b">
        <v>0</v>
      </c>
      <c r="BC165" t="s">
        <v>81</v>
      </c>
      <c r="BD165">
        <v>18</v>
      </c>
      <c r="BE165" t="s">
        <v>80</v>
      </c>
      <c r="BF165">
        <v>24</v>
      </c>
      <c r="BG165" t="s">
        <v>642</v>
      </c>
      <c r="BH165" t="s">
        <v>32</v>
      </c>
      <c r="BI165" t="s">
        <v>32</v>
      </c>
      <c r="BJ165">
        <f t="shared" si="80"/>
        <v>5.18</v>
      </c>
      <c r="BK165" s="3">
        <f t="shared" si="81"/>
        <v>0.71432975974523305</v>
      </c>
      <c r="BL165">
        <v>2</v>
      </c>
      <c r="BM165" s="3">
        <f t="shared" si="83"/>
        <v>1.9388827540301106</v>
      </c>
      <c r="BN165" t="s">
        <v>33</v>
      </c>
      <c r="BO165" s="3">
        <f t="shared" si="72"/>
        <v>86.872586872586865</v>
      </c>
      <c r="BP165" t="s">
        <v>33</v>
      </c>
      <c r="BQ165" t="s">
        <v>33</v>
      </c>
      <c r="BR165" t="s">
        <v>33</v>
      </c>
      <c r="BS165" t="s">
        <v>33</v>
      </c>
      <c r="BT165" t="s">
        <v>31</v>
      </c>
      <c r="BU165" t="s">
        <v>255</v>
      </c>
      <c r="BV165">
        <v>2010</v>
      </c>
      <c r="BW165" t="s">
        <v>651</v>
      </c>
      <c r="BX165" t="s">
        <v>78</v>
      </c>
      <c r="BY165" s="13" t="s">
        <v>674</v>
      </c>
      <c r="CA165" t="str">
        <f t="shared" si="73"/>
        <v>high acid</v>
      </c>
    </row>
    <row r="166" spans="1:79">
      <c r="A166" t="s">
        <v>273</v>
      </c>
      <c r="B166" t="s">
        <v>565</v>
      </c>
      <c r="C166" t="s">
        <v>563</v>
      </c>
      <c r="D166" t="s">
        <v>118</v>
      </c>
      <c r="E166" t="s">
        <v>77</v>
      </c>
      <c r="F166" t="s">
        <v>32</v>
      </c>
      <c r="G166">
        <v>20</v>
      </c>
      <c r="H166">
        <v>55</v>
      </c>
      <c r="I166" t="b">
        <v>0</v>
      </c>
      <c r="J166" t="s">
        <v>33</v>
      </c>
      <c r="K166" t="s">
        <v>33</v>
      </c>
      <c r="L166">
        <v>40</v>
      </c>
      <c r="M166" s="4" t="s">
        <v>33</v>
      </c>
      <c r="N166" s="3">
        <f>IFERROR(AF166/((T166*X166/Y166)*O166*AI166),"NA")</f>
        <v>700.97985434600173</v>
      </c>
      <c r="O166">
        <v>2.5</v>
      </c>
      <c r="P166" t="s">
        <v>33</v>
      </c>
      <c r="Q166" s="8">
        <f t="shared" si="78"/>
        <v>1.2173435913211428E-2</v>
      </c>
      <c r="R166" t="s">
        <v>183</v>
      </c>
      <c r="S166" t="s">
        <v>613</v>
      </c>
      <c r="T166" s="11">
        <v>6</v>
      </c>
      <c r="U166">
        <v>2.93</v>
      </c>
      <c r="V166">
        <v>2.2999999999999998</v>
      </c>
      <c r="W166" t="s">
        <v>33</v>
      </c>
      <c r="X166" s="8">
        <f t="shared" ref="X166:X173" si="88">IFERROR(((PI())*(((V166*10^-1)/2)^2)*(U166*10^-1)), "NA")</f>
        <v>1.2173435913211428E-2</v>
      </c>
      <c r="Y166">
        <f>60/60</f>
        <v>1</v>
      </c>
      <c r="Z166" s="3">
        <f>IFERROR(X166*N166*O166*T166*AI166/AF166, "NA")</f>
        <v>1</v>
      </c>
      <c r="AA166" t="s">
        <v>33</v>
      </c>
      <c r="AB166" s="6">
        <f>IFERROR(((X166*N166)/Y166), "NA")</f>
        <v>8.5333333333333332</v>
      </c>
      <c r="AC166" t="str">
        <f t="shared" si="79"/>
        <v>NA</v>
      </c>
      <c r="AD166" s="4">
        <f>AB166*T166*AI166</f>
        <v>51.2</v>
      </c>
      <c r="AE166" s="3">
        <f>IFERROR(((L166^2)*N166*O166*AK166*10^-6*Q166*T166*AI166), "NA")</f>
        <v>595.96799999999985</v>
      </c>
      <c r="AF166">
        <v>128</v>
      </c>
      <c r="AG166" t="str">
        <f>IFERROR((M166*O166*P166), "NA")</f>
        <v>NA</v>
      </c>
      <c r="AH166" t="str">
        <f>IFERROR((AG166*T166*AI166), "NA")</f>
        <v>NA</v>
      </c>
      <c r="AI166">
        <v>1</v>
      </c>
      <c r="AJ166" t="s">
        <v>31</v>
      </c>
      <c r="AK166">
        <v>2910</v>
      </c>
      <c r="AL166" t="s">
        <v>543</v>
      </c>
      <c r="AM166" t="s">
        <v>86</v>
      </c>
      <c r="AN166" t="s">
        <v>205</v>
      </c>
      <c r="AO166" t="s">
        <v>789</v>
      </c>
      <c r="AP166">
        <v>4.05</v>
      </c>
      <c r="AQ166" t="s">
        <v>33</v>
      </c>
      <c r="AR166" t="s">
        <v>33</v>
      </c>
      <c r="AS166">
        <f>LOG(10^6)</f>
        <v>6</v>
      </c>
      <c r="AT166" s="3">
        <f>IFERROR(AS166-AU166,"NA")</f>
        <v>2.839</v>
      </c>
      <c r="AU166" s="6">
        <v>3.161</v>
      </c>
      <c r="AV166" t="b">
        <v>1</v>
      </c>
      <c r="AW166" t="s">
        <v>29</v>
      </c>
      <c r="AX166" t="s">
        <v>30</v>
      </c>
      <c r="AY166" t="s">
        <v>216</v>
      </c>
      <c r="AZ166" t="s">
        <v>33</v>
      </c>
      <c r="BA166" s="18" t="s">
        <v>798</v>
      </c>
      <c r="BB166" t="b">
        <v>0</v>
      </c>
      <c r="BC166" t="s">
        <v>81</v>
      </c>
      <c r="BD166">
        <v>4</v>
      </c>
      <c r="BE166" t="s">
        <v>159</v>
      </c>
      <c r="BF166" s="11">
        <v>24</v>
      </c>
      <c r="BG166" t="s">
        <v>572</v>
      </c>
      <c r="BH166" t="s">
        <v>31</v>
      </c>
      <c r="BI166" t="s">
        <v>31</v>
      </c>
      <c r="BJ166" s="3">
        <f t="shared" si="80"/>
        <v>3.161</v>
      </c>
      <c r="BK166" s="3">
        <f t="shared" si="81"/>
        <v>0.49982449583957972</v>
      </c>
      <c r="BL166">
        <v>2</v>
      </c>
      <c r="BM166" s="3">
        <f t="shared" si="83"/>
        <v>2.2753984454501208</v>
      </c>
      <c r="BN166" t="s">
        <v>33</v>
      </c>
      <c r="BO166" s="3">
        <f t="shared" si="72"/>
        <v>188.53780449224925</v>
      </c>
      <c r="BP166" t="s">
        <v>33</v>
      </c>
      <c r="BQ166" t="s">
        <v>33</v>
      </c>
      <c r="BR166" t="s">
        <v>33</v>
      </c>
      <c r="BS166" t="s">
        <v>33</v>
      </c>
      <c r="BT166" t="s">
        <v>31</v>
      </c>
      <c r="BU166" t="s">
        <v>274</v>
      </c>
      <c r="BV166">
        <v>2006</v>
      </c>
      <c r="BW166" t="s">
        <v>275</v>
      </c>
      <c r="BX166" t="s">
        <v>78</v>
      </c>
      <c r="BY166" t="s">
        <v>277</v>
      </c>
      <c r="BZ166" t="s">
        <v>33</v>
      </c>
      <c r="CA166" t="str">
        <f t="shared" si="73"/>
        <v>high acid</v>
      </c>
    </row>
    <row r="167" spans="1:79">
      <c r="A167" t="s">
        <v>580</v>
      </c>
      <c r="B167" t="s">
        <v>565</v>
      </c>
      <c r="C167" t="s">
        <v>563</v>
      </c>
      <c r="D167" t="s">
        <v>118</v>
      </c>
      <c r="E167" t="s">
        <v>77</v>
      </c>
      <c r="F167" t="s">
        <v>32</v>
      </c>
      <c r="G167">
        <v>22</v>
      </c>
      <c r="H167">
        <v>40</v>
      </c>
      <c r="I167" t="b">
        <v>0</v>
      </c>
      <c r="J167">
        <v>10220</v>
      </c>
      <c r="K167">
        <v>34.78</v>
      </c>
      <c r="L167">
        <v>35</v>
      </c>
      <c r="M167" s="4">
        <v>100</v>
      </c>
      <c r="N167" t="e">
        <f>(#REF!*Y167)/(T167*X167*O167)</f>
        <v>#REF!</v>
      </c>
      <c r="O167">
        <v>4</v>
      </c>
      <c r="P167">
        <f>AVERAGE(0.0066, 0.0091)</f>
        <v>7.8499999999999993E-3</v>
      </c>
      <c r="Q167" s="1">
        <f t="shared" si="78"/>
        <v>0.39062499999999994</v>
      </c>
      <c r="R167" t="s">
        <v>183</v>
      </c>
      <c r="S167" t="s">
        <v>613</v>
      </c>
      <c r="T167">
        <v>8</v>
      </c>
      <c r="U167">
        <v>2.92</v>
      </c>
      <c r="V167">
        <v>2.2999999999999998</v>
      </c>
      <c r="W167">
        <v>1.21E-2</v>
      </c>
      <c r="X167">
        <f t="shared" si="88"/>
        <v>1.2131888350367701E-2</v>
      </c>
      <c r="Y167">
        <v>1.5</v>
      </c>
      <c r="Z167" s="3">
        <f>IFERROR(X167*M167*O167*T167*AI167/AF167, "NA")</f>
        <v>3.1057634176941316E-2</v>
      </c>
      <c r="AA167" t="s">
        <v>33</v>
      </c>
      <c r="AB167">
        <f>IFERROR(((X167*M167)/Z167), "NA")</f>
        <v>39.0625</v>
      </c>
      <c r="AC167" s="1">
        <f t="shared" si="79"/>
        <v>0.78499999999999992</v>
      </c>
      <c r="AE167" s="3">
        <f>IFERROR(((L167^2)*M167*O167*AK167*10^-6*Q167*T167*AI167), "NA")</f>
        <v>4578.4374999999991</v>
      </c>
      <c r="AF167">
        <v>1250</v>
      </c>
      <c r="AG167" s="1" t="str">
        <f>IFERROR((N167*P167*Q167), "NA")</f>
        <v>NA</v>
      </c>
      <c r="AH167" s="1" t="str">
        <f>IFERROR((AG167*U167*AI167), "NA")</f>
        <v>NA</v>
      </c>
      <c r="AI167" s="1">
        <v>1</v>
      </c>
      <c r="AJ167" s="11" t="s">
        <v>31</v>
      </c>
      <c r="AK167">
        <v>2990</v>
      </c>
      <c r="AL167" t="s">
        <v>544</v>
      </c>
      <c r="AM167" t="s">
        <v>86</v>
      </c>
      <c r="AN167" t="s">
        <v>205</v>
      </c>
      <c r="AO167" t="s">
        <v>789</v>
      </c>
      <c r="AP167">
        <v>4.4000000000000004</v>
      </c>
      <c r="AQ167" t="s">
        <v>33</v>
      </c>
      <c r="AR167" t="s">
        <v>33</v>
      </c>
      <c r="AS167">
        <v>7.5</v>
      </c>
      <c r="AT167">
        <f>AS167-AU167</f>
        <v>2.84</v>
      </c>
      <c r="AU167" s="6">
        <v>4.66</v>
      </c>
      <c r="AV167" t="b">
        <v>1</v>
      </c>
      <c r="AW167" t="s">
        <v>617</v>
      </c>
      <c r="AX167" t="s">
        <v>33</v>
      </c>
      <c r="AY167" t="s">
        <v>33</v>
      </c>
      <c r="AZ167" t="s">
        <v>619</v>
      </c>
      <c r="BA167" s="18" t="s">
        <v>802</v>
      </c>
      <c r="BB167" s="3" t="b">
        <v>0</v>
      </c>
      <c r="BC167" t="s">
        <v>81</v>
      </c>
      <c r="BD167">
        <v>15</v>
      </c>
      <c r="BE167" t="s">
        <v>80</v>
      </c>
      <c r="BF167">
        <v>24</v>
      </c>
      <c r="BG167" t="s">
        <v>697</v>
      </c>
      <c r="BH167" t="s">
        <v>32</v>
      </c>
      <c r="BI167" t="s">
        <v>31</v>
      </c>
      <c r="BJ167">
        <f t="shared" si="80"/>
        <v>4.66</v>
      </c>
      <c r="BK167" s="3">
        <f t="shared" si="81"/>
        <v>0.66838591669000014</v>
      </c>
      <c r="BL167">
        <v>2</v>
      </c>
      <c r="BM167" s="3">
        <f t="shared" si="83"/>
        <v>2.992331373343037</v>
      </c>
      <c r="BN167" t="s">
        <v>33</v>
      </c>
      <c r="BO167" s="3">
        <f t="shared" si="72"/>
        <v>982.49731759656629</v>
      </c>
      <c r="BP167" t="s">
        <v>33</v>
      </c>
      <c r="BQ167" t="s">
        <v>33</v>
      </c>
      <c r="BR167" t="s">
        <v>33</v>
      </c>
      <c r="BS167" t="s">
        <v>33</v>
      </c>
      <c r="BT167" t="s">
        <v>31</v>
      </c>
      <c r="BU167" t="s">
        <v>219</v>
      </c>
      <c r="BV167" s="14">
        <v>2008</v>
      </c>
      <c r="BW167" t="s">
        <v>257</v>
      </c>
      <c r="BX167" t="s">
        <v>78</v>
      </c>
      <c r="BY167" s="13" t="s">
        <v>670</v>
      </c>
      <c r="CA167" t="str">
        <f t="shared" si="73"/>
        <v>high acid</v>
      </c>
    </row>
    <row r="168" spans="1:79">
      <c r="A168" t="s">
        <v>588</v>
      </c>
      <c r="B168" t="s">
        <v>565</v>
      </c>
      <c r="C168" t="s">
        <v>563</v>
      </c>
      <c r="D168" t="s">
        <v>608</v>
      </c>
      <c r="E168" t="s">
        <v>77</v>
      </c>
      <c r="F168" t="s">
        <v>32</v>
      </c>
      <c r="G168" t="s">
        <v>33</v>
      </c>
      <c r="H168">
        <v>40</v>
      </c>
      <c r="I168" t="b">
        <v>0</v>
      </c>
      <c r="J168" t="s">
        <v>33</v>
      </c>
      <c r="K168" t="s">
        <v>33</v>
      </c>
      <c r="L168">
        <v>35</v>
      </c>
      <c r="M168" s="4">
        <v>250</v>
      </c>
      <c r="N168" t="e">
        <f>(#REF!*Y168)/(T168*X168*O168)</f>
        <v>#REF!</v>
      </c>
      <c r="O168">
        <v>3.7</v>
      </c>
      <c r="P168" t="s">
        <v>33</v>
      </c>
      <c r="Q168" s="1">
        <f t="shared" si="78"/>
        <v>8.1081081081081072E-2</v>
      </c>
      <c r="R168" t="s">
        <v>183</v>
      </c>
      <c r="S168" t="s">
        <v>613</v>
      </c>
      <c r="T168">
        <v>6</v>
      </c>
      <c r="U168">
        <v>1.9</v>
      </c>
      <c r="V168">
        <v>2.2999999999999998</v>
      </c>
      <c r="W168" t="s">
        <v>33</v>
      </c>
      <c r="X168">
        <f t="shared" si="88"/>
        <v>7.8940369403077502E-3</v>
      </c>
      <c r="Y168">
        <v>1</v>
      </c>
      <c r="Z168" s="3">
        <f>IFERROR(X168*M168*O168*T168*AI168/AF168, "NA")</f>
        <v>9.7359788930462265E-2</v>
      </c>
      <c r="AA168" t="s">
        <v>33</v>
      </c>
      <c r="AB168">
        <f>IFERROR(((X168*M168)/Z168), "NA")</f>
        <v>20.27027027027027</v>
      </c>
      <c r="AC168" s="1" t="str">
        <f t="shared" si="79"/>
        <v>NA</v>
      </c>
      <c r="AE168" s="3">
        <f>IFERROR(((L168^2)*M168*O168*AK168*10^-6*Q168*T168*AI168), "NA")</f>
        <v>2645.9999999999995</v>
      </c>
      <c r="AF168">
        <v>450</v>
      </c>
      <c r="AG168" s="1" t="str">
        <f>IFERROR((N168*P168*Q168), "NA")</f>
        <v>NA</v>
      </c>
      <c r="AH168" s="1" t="str">
        <f>IFERROR((AG168*U168*AI168), "NA")</f>
        <v>NA</v>
      </c>
      <c r="AI168" s="1">
        <v>1</v>
      </c>
      <c r="AJ168" s="11" t="s">
        <v>31</v>
      </c>
      <c r="AK168">
        <v>4800</v>
      </c>
      <c r="AL168" t="s">
        <v>156</v>
      </c>
      <c r="AM168" t="s">
        <v>157</v>
      </c>
      <c r="AN168" t="s">
        <v>186</v>
      </c>
      <c r="AO168" t="s">
        <v>792</v>
      </c>
      <c r="AP168">
        <v>6.53</v>
      </c>
      <c r="AQ168" t="s">
        <v>33</v>
      </c>
      <c r="AR168" t="s">
        <v>33</v>
      </c>
      <c r="AS168">
        <v>6.5</v>
      </c>
      <c r="AT168">
        <v>2.84</v>
      </c>
      <c r="AU168" s="6">
        <f>AS168-AT168</f>
        <v>3.66</v>
      </c>
      <c r="AV168" t="b">
        <v>1</v>
      </c>
      <c r="AW168" t="s">
        <v>626</v>
      </c>
      <c r="AX168" t="s">
        <v>627</v>
      </c>
      <c r="AY168" t="s">
        <v>625</v>
      </c>
      <c r="AZ168" t="s">
        <v>33</v>
      </c>
      <c r="BA168" s="18" t="s">
        <v>800</v>
      </c>
      <c r="BB168" s="3" t="b">
        <v>0</v>
      </c>
      <c r="BC168" t="s">
        <v>81</v>
      </c>
      <c r="BD168">
        <v>12</v>
      </c>
      <c r="BE168" t="s">
        <v>80</v>
      </c>
      <c r="BF168">
        <v>48</v>
      </c>
      <c r="BG168" t="s">
        <v>568</v>
      </c>
      <c r="BH168" t="s">
        <v>31</v>
      </c>
      <c r="BI168" t="s">
        <v>31</v>
      </c>
      <c r="BJ168">
        <f t="shared" si="80"/>
        <v>3.66</v>
      </c>
      <c r="BK168" s="3">
        <f t="shared" si="81"/>
        <v>0.56348108539441066</v>
      </c>
      <c r="BL168">
        <v>2</v>
      </c>
      <c r="BM168" s="3">
        <f t="shared" si="83"/>
        <v>2.8591087544570715</v>
      </c>
      <c r="BN168" t="s">
        <v>33</v>
      </c>
      <c r="BO168" s="3">
        <f t="shared" si="72"/>
        <v>722.95081967213105</v>
      </c>
      <c r="BP168" t="s">
        <v>33</v>
      </c>
      <c r="BQ168" t="s">
        <v>33</v>
      </c>
      <c r="BR168" t="s">
        <v>33</v>
      </c>
      <c r="BS168" t="s">
        <v>33</v>
      </c>
      <c r="BT168" t="s">
        <v>31</v>
      </c>
      <c r="BU168" s="13" t="s">
        <v>163</v>
      </c>
      <c r="BV168">
        <v>2004</v>
      </c>
      <c r="BW168" t="s">
        <v>654</v>
      </c>
      <c r="BX168" t="s">
        <v>78</v>
      </c>
      <c r="BY168" s="13" t="s">
        <v>677</v>
      </c>
      <c r="CA168" t="str">
        <f t="shared" si="73"/>
        <v>low acid</v>
      </c>
    </row>
    <row r="169" spans="1:79">
      <c r="A169" t="s">
        <v>604</v>
      </c>
      <c r="B169" t="s">
        <v>565</v>
      </c>
      <c r="C169" t="s">
        <v>563</v>
      </c>
      <c r="D169" t="s">
        <v>118</v>
      </c>
      <c r="E169" t="s">
        <v>77</v>
      </c>
      <c r="F169" t="s">
        <v>33</v>
      </c>
      <c r="G169">
        <v>20</v>
      </c>
      <c r="H169">
        <v>25</v>
      </c>
      <c r="I169" t="b">
        <v>0</v>
      </c>
      <c r="J169" t="s">
        <v>33</v>
      </c>
      <c r="K169" t="s">
        <v>33</v>
      </c>
      <c r="L169">
        <v>38.4</v>
      </c>
      <c r="M169" s="4">
        <v>667</v>
      </c>
      <c r="N169" t="e">
        <f>(#REF!*Y169)/(T169*X169*O169)</f>
        <v>#REF!</v>
      </c>
      <c r="O169">
        <v>2</v>
      </c>
      <c r="P169" t="s">
        <v>33</v>
      </c>
      <c r="Q169" s="1">
        <f t="shared" si="78"/>
        <v>1.4992503748125939E-2</v>
      </c>
      <c r="R169" t="s">
        <v>183</v>
      </c>
      <c r="S169" t="s">
        <v>613</v>
      </c>
      <c r="T169">
        <v>6</v>
      </c>
      <c r="U169">
        <v>2.92</v>
      </c>
      <c r="V169">
        <v>2.2999999999999998</v>
      </c>
      <c r="W169" t="s">
        <v>33</v>
      </c>
      <c r="X169">
        <f t="shared" si="88"/>
        <v>1.2131888350367701E-2</v>
      </c>
      <c r="Y169" t="s">
        <v>33</v>
      </c>
      <c r="Z169" s="3">
        <f>IFERROR(X169*M169*O169*T169*AI169/AF169, "NA")</f>
        <v>0.80919695296952554</v>
      </c>
      <c r="AA169" t="s">
        <v>33</v>
      </c>
      <c r="AB169">
        <f>IFERROR(((X169*M169)/Z169), "NA")</f>
        <v>10</v>
      </c>
      <c r="AC169" s="1" t="str">
        <f t="shared" si="79"/>
        <v>NA</v>
      </c>
      <c r="AE169" s="3">
        <f>IFERROR(((L169^2)*M169*O169*AK169*10^-6*Q169*T169*AI169), "NA")</f>
        <v>176.94720000000001</v>
      </c>
      <c r="AF169">
        <v>120</v>
      </c>
      <c r="AG169" s="1" t="str">
        <f>IFERROR((N169*P169*Q169), "NA")</f>
        <v>NA</v>
      </c>
      <c r="AH169" s="1" t="str">
        <f>IFERROR((O169*Q169*R169), "NA")</f>
        <v>NA</v>
      </c>
      <c r="AI169" s="1">
        <v>1</v>
      </c>
      <c r="AJ169" s="11" t="s">
        <v>31</v>
      </c>
      <c r="AK169">
        <v>1000</v>
      </c>
      <c r="AL169" t="s">
        <v>430</v>
      </c>
      <c r="AM169" t="s">
        <v>530</v>
      </c>
      <c r="AN169" t="s">
        <v>186</v>
      </c>
      <c r="AO169" t="s">
        <v>796</v>
      </c>
      <c r="AP169">
        <v>6</v>
      </c>
      <c r="AQ169" t="s">
        <v>33</v>
      </c>
      <c r="AR169" t="s">
        <v>33</v>
      </c>
      <c r="AS169">
        <v>6.5</v>
      </c>
      <c r="AT169">
        <f>AS169-AU169</f>
        <v>2.84</v>
      </c>
      <c r="AU169" s="6">
        <v>3.66</v>
      </c>
      <c r="AV169" t="b">
        <v>1</v>
      </c>
      <c r="AW169" t="s">
        <v>626</v>
      </c>
      <c r="AX169" t="s">
        <v>627</v>
      </c>
      <c r="AY169" t="s">
        <v>625</v>
      </c>
      <c r="AZ169" t="s">
        <v>33</v>
      </c>
      <c r="BA169" s="18" t="s">
        <v>800</v>
      </c>
      <c r="BB169" s="3" t="b">
        <v>0</v>
      </c>
      <c r="BC169" t="s">
        <v>81</v>
      </c>
      <c r="BD169">
        <v>15</v>
      </c>
      <c r="BE169" t="s">
        <v>80</v>
      </c>
      <c r="BF169">
        <v>48</v>
      </c>
      <c r="BG169" t="s">
        <v>568</v>
      </c>
      <c r="BH169" t="s">
        <v>31</v>
      </c>
      <c r="BI169" t="s">
        <v>31</v>
      </c>
      <c r="BJ169">
        <f t="shared" si="80"/>
        <v>3.66</v>
      </c>
      <c r="BK169" s="3">
        <f t="shared" si="81"/>
        <v>0.56348108539441066</v>
      </c>
      <c r="BL169">
        <v>2</v>
      </c>
      <c r="BM169" s="3">
        <f t="shared" si="83"/>
        <v>1.6843626093882758</v>
      </c>
      <c r="BN169" t="s">
        <v>33</v>
      </c>
      <c r="BO169" s="3">
        <f t="shared" si="72"/>
        <v>48.346229508196721</v>
      </c>
      <c r="BP169" t="s">
        <v>33</v>
      </c>
      <c r="BQ169" t="s">
        <v>33</v>
      </c>
      <c r="BR169" t="s">
        <v>33</v>
      </c>
      <c r="BS169" t="s">
        <v>33</v>
      </c>
      <c r="BT169" t="s">
        <v>32</v>
      </c>
      <c r="BU169" s="15" t="s">
        <v>344</v>
      </c>
      <c r="BV169" s="14">
        <v>2008</v>
      </c>
      <c r="BW169" t="s">
        <v>432</v>
      </c>
      <c r="BX169" t="s">
        <v>78</v>
      </c>
      <c r="BY169" s="13" t="s">
        <v>691</v>
      </c>
      <c r="BZ169" s="13" t="s">
        <v>781</v>
      </c>
      <c r="CA169" t="str">
        <f t="shared" si="73"/>
        <v>low acid</v>
      </c>
    </row>
    <row r="170" spans="1:79">
      <c r="A170" t="s">
        <v>332</v>
      </c>
      <c r="B170" t="s">
        <v>565</v>
      </c>
      <c r="C170" t="s">
        <v>563</v>
      </c>
      <c r="D170" t="s">
        <v>118</v>
      </c>
      <c r="E170" t="s">
        <v>77</v>
      </c>
      <c r="F170" t="s">
        <v>32</v>
      </c>
      <c r="G170">
        <v>15</v>
      </c>
      <c r="H170">
        <v>30.4</v>
      </c>
      <c r="I170" t="b">
        <v>0</v>
      </c>
      <c r="J170" t="s">
        <v>33</v>
      </c>
      <c r="K170" t="s">
        <v>33</v>
      </c>
      <c r="L170">
        <v>27.5</v>
      </c>
      <c r="M170" s="4">
        <v>200</v>
      </c>
      <c r="N170" s="3">
        <f>IFERROR(AF170/((T170*X170/Y170)*O170*AI170),"NA")</f>
        <v>6909.4056514700696</v>
      </c>
      <c r="O170">
        <v>5</v>
      </c>
      <c r="P170" t="s">
        <v>33</v>
      </c>
      <c r="Q170" s="8">
        <f t="shared" si="78"/>
        <v>0.12500000000000003</v>
      </c>
      <c r="R170" t="s">
        <v>183</v>
      </c>
      <c r="S170" t="s">
        <v>613</v>
      </c>
      <c r="T170" s="11">
        <v>8</v>
      </c>
      <c r="U170">
        <v>2.9</v>
      </c>
      <c r="V170">
        <v>2.2999999999999998</v>
      </c>
      <c r="W170">
        <v>1.2E-2</v>
      </c>
      <c r="X170" s="8">
        <f t="shared" si="88"/>
        <v>1.204879322468025E-2</v>
      </c>
      <c r="Y170">
        <v>3.33</v>
      </c>
      <c r="Z170" s="3">
        <f>IFERROR(X170*M170*O170*T170*AI170/AF170, "NA")</f>
        <v>9.639034579744199E-2</v>
      </c>
      <c r="AA170" t="s">
        <v>33</v>
      </c>
      <c r="AB170" s="6">
        <f>IFERROR(((X170*M170)/Z170), "NA")</f>
        <v>25.000000000000004</v>
      </c>
      <c r="AC170" t="str">
        <f t="shared" si="79"/>
        <v>NA</v>
      </c>
      <c r="AD170" s="4">
        <f>AB170*T170*AI170</f>
        <v>200.00000000000003</v>
      </c>
      <c r="AE170" s="3">
        <f>IFERROR(((L170^2)*M170*O170*AK170*10^-6*Q170*T170*AI170), "NA")</f>
        <v>1588.1250000000005</v>
      </c>
      <c r="AF170">
        <v>1000</v>
      </c>
      <c r="AG170" t="str">
        <f>IFERROR((M170*O170*P170), "NA")</f>
        <v>NA</v>
      </c>
      <c r="AH170" t="str">
        <f>IFERROR((AG170*T170*AI170), "NA")</f>
        <v>NA</v>
      </c>
      <c r="AI170">
        <v>1</v>
      </c>
      <c r="AJ170" t="s">
        <v>31</v>
      </c>
      <c r="AK170">
        <v>2100</v>
      </c>
      <c r="AL170" t="s">
        <v>551</v>
      </c>
      <c r="AM170" t="s">
        <v>86</v>
      </c>
      <c r="AN170" t="s">
        <v>205</v>
      </c>
      <c r="AO170" t="s">
        <v>789</v>
      </c>
      <c r="AP170">
        <v>3.79</v>
      </c>
      <c r="AQ170">
        <v>1060</v>
      </c>
      <c r="AR170" t="s">
        <v>33</v>
      </c>
      <c r="AS170" s="6">
        <f>LOG((10^6+10^7)/2)</f>
        <v>6.7403626894942441</v>
      </c>
      <c r="AT170" s="3">
        <f>IFERROR(AS170-AU170,"NA")</f>
        <v>2.8403626894942442</v>
      </c>
      <c r="AU170" s="6">
        <v>3.9</v>
      </c>
      <c r="AV170" t="b">
        <v>1</v>
      </c>
      <c r="AW170" t="s">
        <v>172</v>
      </c>
      <c r="AX170" t="s">
        <v>173</v>
      </c>
      <c r="AY170" t="s">
        <v>333</v>
      </c>
      <c r="AZ170" t="s">
        <v>33</v>
      </c>
      <c r="BA170" s="18" t="s">
        <v>799</v>
      </c>
      <c r="BB170" t="b">
        <v>0</v>
      </c>
      <c r="BC170" t="s">
        <v>81</v>
      </c>
      <c r="BD170">
        <v>72</v>
      </c>
      <c r="BE170" t="s">
        <v>80</v>
      </c>
      <c r="BF170" s="11">
        <v>168</v>
      </c>
      <c r="BG170" t="s">
        <v>334</v>
      </c>
      <c r="BH170" t="s">
        <v>31</v>
      </c>
      <c r="BI170" t="s">
        <v>31</v>
      </c>
      <c r="BJ170" s="3">
        <f t="shared" si="80"/>
        <v>3.9</v>
      </c>
      <c r="BK170" s="3">
        <f t="shared" si="81"/>
        <v>0.59106460702649921</v>
      </c>
      <c r="BL170">
        <v>2</v>
      </c>
      <c r="BM170" s="3">
        <f t="shared" si="83"/>
        <v>2.6098200753679457</v>
      </c>
      <c r="BN170" t="s">
        <v>33</v>
      </c>
      <c r="BO170" s="3">
        <f t="shared" si="72"/>
        <v>407.21153846153857</v>
      </c>
      <c r="BP170" t="s">
        <v>33</v>
      </c>
      <c r="BQ170" t="s">
        <v>33</v>
      </c>
      <c r="BR170" t="s">
        <v>33</v>
      </c>
      <c r="BS170" t="s">
        <v>33</v>
      </c>
      <c r="BT170" t="s">
        <v>31</v>
      </c>
      <c r="BU170" t="s">
        <v>330</v>
      </c>
      <c r="BV170">
        <v>2009</v>
      </c>
      <c r="BW170" t="s">
        <v>331</v>
      </c>
      <c r="BX170" t="s">
        <v>78</v>
      </c>
      <c r="BY170" t="s">
        <v>33</v>
      </c>
      <c r="BZ170" t="s">
        <v>33</v>
      </c>
      <c r="CA170" t="str">
        <f t="shared" si="73"/>
        <v>high acid</v>
      </c>
    </row>
    <row r="171" spans="1:79">
      <c r="A171" t="s">
        <v>332</v>
      </c>
      <c r="B171" t="s">
        <v>565</v>
      </c>
      <c r="C171" t="s">
        <v>563</v>
      </c>
      <c r="D171" t="s">
        <v>118</v>
      </c>
      <c r="E171" t="s">
        <v>77</v>
      </c>
      <c r="F171" t="s">
        <v>32</v>
      </c>
      <c r="G171">
        <v>15</v>
      </c>
      <c r="H171">
        <v>30.4</v>
      </c>
      <c r="I171" t="b">
        <v>0</v>
      </c>
      <c r="J171" t="s">
        <v>33</v>
      </c>
      <c r="K171" t="s">
        <v>33</v>
      </c>
      <c r="L171">
        <v>35</v>
      </c>
      <c r="M171" s="4">
        <v>100</v>
      </c>
      <c r="N171" s="3">
        <f>IFERROR(AF171/((T171*X171/Y171)*O171*AI171),"NA")</f>
        <v>6909.4056514700696</v>
      </c>
      <c r="O171">
        <v>5</v>
      </c>
      <c r="P171" t="s">
        <v>33</v>
      </c>
      <c r="Q171" s="8">
        <f t="shared" si="78"/>
        <v>0.25000000000000006</v>
      </c>
      <c r="R171" t="s">
        <v>183</v>
      </c>
      <c r="S171" t="s">
        <v>613</v>
      </c>
      <c r="T171" s="11">
        <v>8</v>
      </c>
      <c r="U171">
        <v>2.9</v>
      </c>
      <c r="V171">
        <v>2.2999999999999998</v>
      </c>
      <c r="W171">
        <v>1.2E-2</v>
      </c>
      <c r="X171" s="8">
        <f t="shared" si="88"/>
        <v>1.204879322468025E-2</v>
      </c>
      <c r="Y171">
        <v>3.33</v>
      </c>
      <c r="Z171" s="3">
        <f>IFERROR(X171*M171*O171*T171*AI171/AF171, "NA")</f>
        <v>4.8195172898720995E-2</v>
      </c>
      <c r="AA171" t="s">
        <v>33</v>
      </c>
      <c r="AB171" s="6">
        <f>IFERROR(((X171*M171)/Z171), "NA")</f>
        <v>25.000000000000004</v>
      </c>
      <c r="AC171" t="str">
        <f t="shared" si="79"/>
        <v>NA</v>
      </c>
      <c r="AD171" s="4">
        <f>AB171*T171*AI171</f>
        <v>200.00000000000003</v>
      </c>
      <c r="AE171" s="3">
        <f>IFERROR(((L171^2)*M171*O171*AK171*10^-6*Q171*T171*AI171), "NA")</f>
        <v>2572.5000000000005</v>
      </c>
      <c r="AF171">
        <v>1000</v>
      </c>
      <c r="AG171" t="str">
        <f>IFERROR((M171*O171*P171), "NA")</f>
        <v>NA</v>
      </c>
      <c r="AH171" t="str">
        <f>IFERROR((AG171*T171*AI171), "NA")</f>
        <v>NA</v>
      </c>
      <c r="AI171">
        <v>1</v>
      </c>
      <c r="AJ171" t="s">
        <v>31</v>
      </c>
      <c r="AK171">
        <v>2100</v>
      </c>
      <c r="AL171" t="s">
        <v>551</v>
      </c>
      <c r="AM171" t="s">
        <v>86</v>
      </c>
      <c r="AN171" t="s">
        <v>205</v>
      </c>
      <c r="AO171" t="s">
        <v>789</v>
      </c>
      <c r="AP171">
        <v>3.79</v>
      </c>
      <c r="AQ171">
        <v>1060</v>
      </c>
      <c r="AR171" t="s">
        <v>33</v>
      </c>
      <c r="AS171" s="6">
        <f>LOG((10^6+10^7)/2)</f>
        <v>6.7403626894942441</v>
      </c>
      <c r="AT171" s="3">
        <f>IFERROR(AS171-AU171,"NA")</f>
        <v>2.8403626894942442</v>
      </c>
      <c r="AU171" s="6">
        <v>3.9</v>
      </c>
      <c r="AV171" t="b">
        <v>1</v>
      </c>
      <c r="AW171" t="s">
        <v>172</v>
      </c>
      <c r="AX171" t="s">
        <v>173</v>
      </c>
      <c r="AY171" t="s">
        <v>333</v>
      </c>
      <c r="AZ171" t="s">
        <v>33</v>
      </c>
      <c r="BA171" s="18" t="s">
        <v>799</v>
      </c>
      <c r="BB171" t="b">
        <v>0</v>
      </c>
      <c r="BC171" t="s">
        <v>81</v>
      </c>
      <c r="BD171">
        <v>72</v>
      </c>
      <c r="BE171" t="s">
        <v>80</v>
      </c>
      <c r="BF171" s="11">
        <v>168</v>
      </c>
      <c r="BG171" t="s">
        <v>334</v>
      </c>
      <c r="BH171" t="s">
        <v>31</v>
      </c>
      <c r="BI171" t="s">
        <v>31</v>
      </c>
      <c r="BJ171" s="3">
        <f t="shared" si="80"/>
        <v>3.9</v>
      </c>
      <c r="BK171" s="3">
        <f t="shared" si="81"/>
        <v>0.59106460702649921</v>
      </c>
      <c r="BL171">
        <v>2</v>
      </c>
      <c r="BM171" s="3">
        <f t="shared" si="83"/>
        <v>2.8192907764079713</v>
      </c>
      <c r="BN171" t="s">
        <v>33</v>
      </c>
      <c r="BO171" s="3">
        <f t="shared" si="72"/>
        <v>659.61538461538476</v>
      </c>
      <c r="BP171" t="s">
        <v>33</v>
      </c>
      <c r="BQ171" t="s">
        <v>33</v>
      </c>
      <c r="BR171" t="s">
        <v>33</v>
      </c>
      <c r="BS171" t="s">
        <v>33</v>
      </c>
      <c r="BT171" t="s">
        <v>31</v>
      </c>
      <c r="BU171" t="s">
        <v>330</v>
      </c>
      <c r="BV171">
        <v>2009</v>
      </c>
      <c r="BW171" t="s">
        <v>331</v>
      </c>
      <c r="BX171" t="s">
        <v>78</v>
      </c>
      <c r="BY171" t="s">
        <v>33</v>
      </c>
      <c r="BZ171" t="s">
        <v>33</v>
      </c>
      <c r="CA171" t="str">
        <f t="shared" si="73"/>
        <v>high acid</v>
      </c>
    </row>
    <row r="172" spans="1:79">
      <c r="A172" t="s">
        <v>273</v>
      </c>
      <c r="B172" t="s">
        <v>565</v>
      </c>
      <c r="C172" t="s">
        <v>563</v>
      </c>
      <c r="D172" t="s">
        <v>118</v>
      </c>
      <c r="E172" t="s">
        <v>77</v>
      </c>
      <c r="F172" t="s">
        <v>32</v>
      </c>
      <c r="G172">
        <v>20</v>
      </c>
      <c r="H172">
        <v>55</v>
      </c>
      <c r="I172" t="b">
        <v>0</v>
      </c>
      <c r="J172" t="s">
        <v>33</v>
      </c>
      <c r="K172" t="s">
        <v>33</v>
      </c>
      <c r="L172">
        <v>25</v>
      </c>
      <c r="M172" s="4" t="s">
        <v>33</v>
      </c>
      <c r="N172" s="3">
        <f>IFERROR(AF172/((T172*X172/Y172)*O172*AI172),"NA")</f>
        <v>1686.7327745200666</v>
      </c>
      <c r="O172">
        <v>2.5</v>
      </c>
      <c r="P172" t="s">
        <v>33</v>
      </c>
      <c r="Q172" s="8">
        <f t="shared" si="78"/>
        <v>1.2173435913211428E-2</v>
      </c>
      <c r="R172" t="s">
        <v>183</v>
      </c>
      <c r="S172" t="s">
        <v>613</v>
      </c>
      <c r="T172" s="11">
        <v>6</v>
      </c>
      <c r="U172">
        <v>2.93</v>
      </c>
      <c r="V172">
        <v>2.2999999999999998</v>
      </c>
      <c r="W172" t="s">
        <v>33</v>
      </c>
      <c r="X172" s="8">
        <f t="shared" si="88"/>
        <v>1.2173435913211428E-2</v>
      </c>
      <c r="Y172">
        <f>60/60</f>
        <v>1</v>
      </c>
      <c r="Z172" s="3">
        <f>IFERROR(X172*N172*O172*T172*AI172/AF172, "NA")</f>
        <v>1</v>
      </c>
      <c r="AA172" t="s">
        <v>33</v>
      </c>
      <c r="AB172" s="6">
        <f>IFERROR(((X172*N172)/Y172), "NA")</f>
        <v>20.533333333333335</v>
      </c>
      <c r="AC172" t="str">
        <f t="shared" si="79"/>
        <v>NA</v>
      </c>
      <c r="AD172" s="4">
        <f>AB172*T172*AI172</f>
        <v>123.20000000000002</v>
      </c>
      <c r="AE172" s="3">
        <f>IFERROR(((L172^2)*N172*O172*AK172*10^-6*Q172*T172*AI172), "NA")</f>
        <v>560.17499999999995</v>
      </c>
      <c r="AF172">
        <v>308</v>
      </c>
      <c r="AG172" t="str">
        <f>IFERROR((M172*O172*P172), "NA")</f>
        <v>NA</v>
      </c>
      <c r="AH172" t="str">
        <f>IFERROR((AG172*T172*AI172), "NA")</f>
        <v>NA</v>
      </c>
      <c r="AI172">
        <v>1</v>
      </c>
      <c r="AJ172" t="s">
        <v>31</v>
      </c>
      <c r="AK172">
        <v>2910</v>
      </c>
      <c r="AL172" t="s">
        <v>543</v>
      </c>
      <c r="AM172" t="s">
        <v>86</v>
      </c>
      <c r="AN172" t="s">
        <v>205</v>
      </c>
      <c r="AO172" t="s">
        <v>789</v>
      </c>
      <c r="AP172">
        <v>4.05</v>
      </c>
      <c r="AQ172" t="s">
        <v>33</v>
      </c>
      <c r="AR172" t="s">
        <v>33</v>
      </c>
      <c r="AS172">
        <f>LOG(10^6)</f>
        <v>6</v>
      </c>
      <c r="AT172" s="3">
        <f>IFERROR(AS172-AU172,"NA")</f>
        <v>2.8420000000000001</v>
      </c>
      <c r="AU172" s="6">
        <v>3.1579999999999999</v>
      </c>
      <c r="AV172" t="b">
        <v>1</v>
      </c>
      <c r="AW172" t="s">
        <v>29</v>
      </c>
      <c r="AX172" t="s">
        <v>30</v>
      </c>
      <c r="AY172" t="s">
        <v>216</v>
      </c>
      <c r="AZ172" t="s">
        <v>33</v>
      </c>
      <c r="BA172" s="18" t="s">
        <v>798</v>
      </c>
      <c r="BB172" t="b">
        <v>0</v>
      </c>
      <c r="BC172" t="s">
        <v>81</v>
      </c>
      <c r="BD172">
        <v>4</v>
      </c>
      <c r="BE172" t="s">
        <v>159</v>
      </c>
      <c r="BF172" s="11">
        <v>24</v>
      </c>
      <c r="BG172" t="s">
        <v>572</v>
      </c>
      <c r="BH172" t="s">
        <v>31</v>
      </c>
      <c r="BI172" t="s">
        <v>31</v>
      </c>
      <c r="BJ172" s="3">
        <f t="shared" si="80"/>
        <v>3.1579999999999999</v>
      </c>
      <c r="BK172" s="3">
        <f t="shared" si="81"/>
        <v>0.49941212567227544</v>
      </c>
      <c r="BL172">
        <v>2</v>
      </c>
      <c r="BM172" s="3">
        <f t="shared" si="83"/>
        <v>2.2489115971581515</v>
      </c>
      <c r="BN172" t="s">
        <v>33</v>
      </c>
      <c r="BO172" s="3">
        <f t="shared" si="72"/>
        <v>177.3828372387587</v>
      </c>
      <c r="BP172" t="s">
        <v>33</v>
      </c>
      <c r="BQ172" t="s">
        <v>33</v>
      </c>
      <c r="BR172" t="s">
        <v>33</v>
      </c>
      <c r="BS172" t="s">
        <v>33</v>
      </c>
      <c r="BT172" t="s">
        <v>31</v>
      </c>
      <c r="BU172" t="s">
        <v>274</v>
      </c>
      <c r="BV172">
        <v>2006</v>
      </c>
      <c r="BW172" t="s">
        <v>275</v>
      </c>
      <c r="BX172" t="s">
        <v>78</v>
      </c>
      <c r="BY172" t="s">
        <v>277</v>
      </c>
      <c r="BZ172" t="s">
        <v>33</v>
      </c>
      <c r="CA172" t="str">
        <f t="shared" si="73"/>
        <v>high acid</v>
      </c>
    </row>
    <row r="173" spans="1:79">
      <c r="A173" t="s">
        <v>237</v>
      </c>
      <c r="B173" t="s">
        <v>565</v>
      </c>
      <c r="C173" t="s">
        <v>563</v>
      </c>
      <c r="D173" t="s">
        <v>118</v>
      </c>
      <c r="E173" t="s">
        <v>77</v>
      </c>
      <c r="F173" t="s">
        <v>32</v>
      </c>
      <c r="G173">
        <v>4</v>
      </c>
      <c r="H173">
        <v>32.5</v>
      </c>
      <c r="I173" t="b">
        <v>0</v>
      </c>
      <c r="J173" t="s">
        <v>33</v>
      </c>
      <c r="K173" t="s">
        <v>33</v>
      </c>
      <c r="L173">
        <v>35</v>
      </c>
      <c r="M173" s="4">
        <v>200</v>
      </c>
      <c r="N173" s="3">
        <f>IFERROR(AF173/((T173*X173/Y173)*O173*AI173),"NA")</f>
        <v>2575.8562144245957</v>
      </c>
      <c r="O173">
        <v>4</v>
      </c>
      <c r="P173" t="s">
        <v>33</v>
      </c>
      <c r="Q173" s="9">
        <f t="shared" si="78"/>
        <v>0.15625</v>
      </c>
      <c r="R173" t="s">
        <v>183</v>
      </c>
      <c r="S173" t="s">
        <v>613</v>
      </c>
      <c r="T173" s="11">
        <v>8</v>
      </c>
      <c r="U173">
        <v>2.92</v>
      </c>
      <c r="V173">
        <v>2.2999999999999998</v>
      </c>
      <c r="W173">
        <v>1.2E-2</v>
      </c>
      <c r="X173" s="8">
        <f t="shared" si="88"/>
        <v>1.2131888350367701E-2</v>
      </c>
      <c r="Y173" s="6">
        <f>60/60</f>
        <v>1</v>
      </c>
      <c r="Z173" s="3">
        <f t="shared" ref="Z173:Z182" si="89">IFERROR(X173*M173*O173*T173*AI173/AF173, "NA")</f>
        <v>7.7644085442353281E-2</v>
      </c>
      <c r="AA173" t="s">
        <v>33</v>
      </c>
      <c r="AB173" s="6">
        <f t="shared" ref="AB173:AB182" si="90">IFERROR(((X173*M173)/Z173), "NA")</f>
        <v>31.250000000000004</v>
      </c>
      <c r="AC173" t="str">
        <f t="shared" si="79"/>
        <v>NA</v>
      </c>
      <c r="AD173" s="4">
        <f>AB173*T173*AI173</f>
        <v>250.00000000000003</v>
      </c>
      <c r="AE173" s="3">
        <f t="shared" ref="AE173:AE182" si="91">IFERROR(((L173^2)*M173*O173*AK173*10^-6*Q173*T173*AI173), "NA")</f>
        <v>5194</v>
      </c>
      <c r="AF173">
        <v>1000</v>
      </c>
      <c r="AG173" t="str">
        <f>IFERROR((M173*O173*P173), "NA")</f>
        <v>NA</v>
      </c>
      <c r="AH173" t="str">
        <f>IFERROR((AG173*T173*AI173), "NA")</f>
        <v>NA</v>
      </c>
      <c r="AI173">
        <v>1</v>
      </c>
      <c r="AJ173" t="s">
        <v>31</v>
      </c>
      <c r="AK173">
        <v>4240</v>
      </c>
      <c r="AL173" t="s">
        <v>238</v>
      </c>
      <c r="AM173" t="s">
        <v>86</v>
      </c>
      <c r="AN173" t="s">
        <v>205</v>
      </c>
      <c r="AO173" t="s">
        <v>789</v>
      </c>
      <c r="AP173">
        <v>3.56</v>
      </c>
      <c r="AQ173" t="s">
        <v>33</v>
      </c>
      <c r="AR173" t="s">
        <v>33</v>
      </c>
      <c r="AS173">
        <f>LOG(10^8)</f>
        <v>8</v>
      </c>
      <c r="AT173" s="3">
        <f>IFERROR(AS173-AU173,"NA")</f>
        <v>2.8479999999999999</v>
      </c>
      <c r="AU173" s="6">
        <v>5.1520000000000001</v>
      </c>
      <c r="AV173" t="b">
        <v>1</v>
      </c>
      <c r="AW173" t="s">
        <v>172</v>
      </c>
      <c r="AX173" t="s">
        <v>173</v>
      </c>
      <c r="AY173" t="s">
        <v>239</v>
      </c>
      <c r="AZ173" t="s">
        <v>33</v>
      </c>
      <c r="BA173" s="18" t="s">
        <v>799</v>
      </c>
      <c r="BB173" t="b">
        <v>0</v>
      </c>
      <c r="BC173" t="s">
        <v>81</v>
      </c>
      <c r="BD173">
        <v>48</v>
      </c>
      <c r="BE173" t="s">
        <v>80</v>
      </c>
      <c r="BF173" s="11">
        <v>120</v>
      </c>
      <c r="BG173" t="s">
        <v>571</v>
      </c>
      <c r="BH173" t="s">
        <v>31</v>
      </c>
      <c r="BI173" t="s">
        <v>32</v>
      </c>
      <c r="BJ173" s="3">
        <f t="shared" si="80"/>
        <v>5.1520000000000001</v>
      </c>
      <c r="BK173" s="3">
        <f t="shared" si="81"/>
        <v>0.7119758543517557</v>
      </c>
      <c r="BL173">
        <v>2</v>
      </c>
      <c r="BM173" s="3">
        <f t="shared" si="83"/>
        <v>3.003526090941528</v>
      </c>
      <c r="BN173" t="s">
        <v>33</v>
      </c>
      <c r="BO173" s="3">
        <f t="shared" si="72"/>
        <v>1008.1521739130435</v>
      </c>
      <c r="BP173" t="s">
        <v>33</v>
      </c>
      <c r="BQ173" t="s">
        <v>33</v>
      </c>
      <c r="BR173" t="s">
        <v>33</v>
      </c>
      <c r="BS173" t="s">
        <v>33</v>
      </c>
      <c r="BT173" t="s">
        <v>31</v>
      </c>
      <c r="BU173" t="s">
        <v>240</v>
      </c>
      <c r="BV173">
        <v>2004</v>
      </c>
      <c r="BW173" t="s">
        <v>241</v>
      </c>
      <c r="BX173" t="s">
        <v>78</v>
      </c>
      <c r="BY173" t="s">
        <v>33</v>
      </c>
      <c r="BZ173" t="s">
        <v>33</v>
      </c>
      <c r="CA173" t="str">
        <f t="shared" si="73"/>
        <v>high acid</v>
      </c>
    </row>
    <row r="174" spans="1:79">
      <c r="A174" t="s">
        <v>584</v>
      </c>
      <c r="B174" t="s">
        <v>566</v>
      </c>
      <c r="C174" t="s">
        <v>563</v>
      </c>
      <c r="D174" t="s">
        <v>607</v>
      </c>
      <c r="E174" t="s">
        <v>77</v>
      </c>
      <c r="F174" t="s">
        <v>33</v>
      </c>
      <c r="G174">
        <v>20</v>
      </c>
      <c r="H174">
        <v>35</v>
      </c>
      <c r="I174" t="b">
        <v>0</v>
      </c>
      <c r="J174">
        <v>1000</v>
      </c>
      <c r="K174">
        <v>200</v>
      </c>
      <c r="L174">
        <v>35</v>
      </c>
      <c r="M174" s="4">
        <v>1</v>
      </c>
      <c r="N174" t="e">
        <f>(#REF!*Y174)/(T174*X174*O174)</f>
        <v>#REF!</v>
      </c>
      <c r="O174">
        <v>3</v>
      </c>
      <c r="P174" t="s">
        <v>33</v>
      </c>
      <c r="Q174" s="1">
        <f t="shared" ref="Q174:Q199" si="92">IFERROR(X174/Z174, "NA")</f>
        <v>100.00000000000001</v>
      </c>
      <c r="R174" t="s">
        <v>183</v>
      </c>
      <c r="S174" t="s">
        <v>33</v>
      </c>
      <c r="T174">
        <v>1</v>
      </c>
      <c r="U174">
        <v>2.5</v>
      </c>
      <c r="V174" t="s">
        <v>33</v>
      </c>
      <c r="W174">
        <v>0.50249999999999995</v>
      </c>
      <c r="X174">
        <f>W174</f>
        <v>0.50249999999999995</v>
      </c>
      <c r="Y174" t="s">
        <v>33</v>
      </c>
      <c r="Z174" s="3">
        <f t="shared" si="89"/>
        <v>5.0249999999999991E-3</v>
      </c>
      <c r="AA174" t="s">
        <v>33</v>
      </c>
      <c r="AB174">
        <f t="shared" si="90"/>
        <v>100.00000000000001</v>
      </c>
      <c r="AC174" s="1" t="str">
        <f t="shared" si="79"/>
        <v>NA</v>
      </c>
      <c r="AE174" s="3">
        <f t="shared" si="91"/>
        <v>367.50000000000006</v>
      </c>
      <c r="AF174">
        <v>300</v>
      </c>
      <c r="AG174" s="1" t="str">
        <f>IFERROR((N174*P174*Q174), "NA")</f>
        <v>NA</v>
      </c>
      <c r="AH174" s="1" t="str">
        <f>IFERROR((AG174*U174*AI174), "NA")</f>
        <v>NA</v>
      </c>
      <c r="AI174" s="1">
        <v>1</v>
      </c>
      <c r="AJ174" s="11" t="s">
        <v>31</v>
      </c>
      <c r="AK174">
        <v>1000</v>
      </c>
      <c r="AL174" t="s">
        <v>614</v>
      </c>
      <c r="AM174" s="3" t="s">
        <v>103</v>
      </c>
      <c r="AN174" t="s">
        <v>305</v>
      </c>
      <c r="AO174" t="s">
        <v>790</v>
      </c>
      <c r="AP174">
        <v>3.5</v>
      </c>
      <c r="AQ174" t="s">
        <v>33</v>
      </c>
      <c r="AR174" t="s">
        <v>33</v>
      </c>
      <c r="AS174">
        <v>8</v>
      </c>
      <c r="AT174">
        <f>AS174-AU174</f>
        <v>2.8499999999999996</v>
      </c>
      <c r="AU174" s="6">
        <v>5.15</v>
      </c>
      <c r="AV174" t="b">
        <v>1</v>
      </c>
      <c r="AW174" t="s">
        <v>617</v>
      </c>
      <c r="AX174" t="s">
        <v>33</v>
      </c>
      <c r="AY174" t="s">
        <v>623</v>
      </c>
      <c r="AZ174" t="s">
        <v>621</v>
      </c>
      <c r="BA174" s="18" t="s">
        <v>802</v>
      </c>
      <c r="BB174" s="3" t="b">
        <v>0</v>
      </c>
      <c r="BC174" t="s">
        <v>81</v>
      </c>
      <c r="BD174">
        <v>18</v>
      </c>
      <c r="BE174" t="s">
        <v>80</v>
      </c>
      <c r="BF174">
        <v>24</v>
      </c>
      <c r="BG174" t="s">
        <v>642</v>
      </c>
      <c r="BH174" t="s">
        <v>32</v>
      </c>
      <c r="BI174" t="s">
        <v>32</v>
      </c>
      <c r="BJ174">
        <f t="shared" si="80"/>
        <v>5.15</v>
      </c>
      <c r="BK174" s="3">
        <f t="shared" si="81"/>
        <v>0.71180722904119109</v>
      </c>
      <c r="BL174">
        <v>2</v>
      </c>
      <c r="BM174" s="3">
        <f t="shared" si="83"/>
        <v>1.8534501143790227</v>
      </c>
      <c r="BN174" t="s">
        <v>33</v>
      </c>
      <c r="BO174" s="3">
        <f t="shared" si="72"/>
        <v>71.359223300970882</v>
      </c>
      <c r="BP174" t="s">
        <v>33</v>
      </c>
      <c r="BQ174" t="s">
        <v>33</v>
      </c>
      <c r="BR174" t="s">
        <v>33</v>
      </c>
      <c r="BS174" t="s">
        <v>33</v>
      </c>
      <c r="BT174" t="s">
        <v>31</v>
      </c>
      <c r="BU174" t="s">
        <v>255</v>
      </c>
      <c r="BV174">
        <v>2010</v>
      </c>
      <c r="BW174" t="s">
        <v>651</v>
      </c>
      <c r="BX174" t="s">
        <v>78</v>
      </c>
      <c r="BY174" s="13" t="s">
        <v>674</v>
      </c>
      <c r="CA174" t="str">
        <f t="shared" si="73"/>
        <v>high acid</v>
      </c>
    </row>
    <row r="175" spans="1:79">
      <c r="A175" t="s">
        <v>260</v>
      </c>
      <c r="B175" t="s">
        <v>565</v>
      </c>
      <c r="C175" t="s">
        <v>563</v>
      </c>
      <c r="D175" t="s">
        <v>118</v>
      </c>
      <c r="E175" t="s">
        <v>77</v>
      </c>
      <c r="F175" t="s">
        <v>32</v>
      </c>
      <c r="G175">
        <v>5</v>
      </c>
      <c r="H175">
        <v>40</v>
      </c>
      <c r="I175" t="b">
        <v>0</v>
      </c>
      <c r="J175" t="s">
        <v>33</v>
      </c>
      <c r="K175" t="s">
        <v>33</v>
      </c>
      <c r="L175">
        <v>35</v>
      </c>
      <c r="M175" s="4">
        <v>175</v>
      </c>
      <c r="N175" s="3">
        <f>IFERROR(AF175/((T175*X175/Y175)*O175*AI175),"NA")</f>
        <v>9444.8061195568516</v>
      </c>
      <c r="O175">
        <v>4</v>
      </c>
      <c r="P175" t="s">
        <v>33</v>
      </c>
      <c r="Q175" s="8">
        <f t="shared" si="92"/>
        <v>0.35714285714285715</v>
      </c>
      <c r="R175" t="s">
        <v>183</v>
      </c>
      <c r="S175" t="s">
        <v>613</v>
      </c>
      <c r="T175" s="11">
        <v>8</v>
      </c>
      <c r="U175">
        <v>2.92</v>
      </c>
      <c r="V175">
        <v>2.2999999999999998</v>
      </c>
      <c r="W175">
        <v>1.21E-2</v>
      </c>
      <c r="X175" s="8">
        <f t="shared" ref="X175:X182" si="93">IFERROR(((PI())*(((V175*10^-1)/2)^2)*(U175*10^-1)), "NA")</f>
        <v>1.2131888350367701E-2</v>
      </c>
      <c r="Y175" s="6">
        <f>110/60</f>
        <v>1.8333333333333333</v>
      </c>
      <c r="Z175" s="3">
        <f t="shared" si="89"/>
        <v>3.3969287381029563E-2</v>
      </c>
      <c r="AA175" t="s">
        <v>33</v>
      </c>
      <c r="AB175" s="6">
        <f t="shared" si="90"/>
        <v>62.499999999999993</v>
      </c>
      <c r="AC175" t="str">
        <f t="shared" si="79"/>
        <v>NA</v>
      </c>
      <c r="AD175" s="4">
        <f>AB175*T175*AI175</f>
        <v>499.99999999999994</v>
      </c>
      <c r="AE175" s="3">
        <f t="shared" si="91"/>
        <v>13230</v>
      </c>
      <c r="AF175">
        <v>2000</v>
      </c>
      <c r="AG175" t="str">
        <f>IFERROR((M175*O175*P175), "NA")</f>
        <v>NA</v>
      </c>
      <c r="AH175" t="str">
        <f>IFERROR((AG175*T175*AI175), "NA")</f>
        <v>NA</v>
      </c>
      <c r="AI175">
        <v>1</v>
      </c>
      <c r="AJ175" t="s">
        <v>31</v>
      </c>
      <c r="AK175">
        <v>5400</v>
      </c>
      <c r="AL175" t="s">
        <v>238</v>
      </c>
      <c r="AM175" t="s">
        <v>86</v>
      </c>
      <c r="AN175" t="s">
        <v>205</v>
      </c>
      <c r="AO175" t="s">
        <v>789</v>
      </c>
      <c r="AP175">
        <v>3.44</v>
      </c>
      <c r="AQ175" t="s">
        <v>33</v>
      </c>
      <c r="AR175" t="s">
        <v>33</v>
      </c>
      <c r="AS175" s="6">
        <f>LOG((10^7+10^8)/2)</f>
        <v>7.7403626894942441</v>
      </c>
      <c r="AT175" s="3">
        <f>IFERROR(AS175-AU175,"NA")</f>
        <v>2.8513626894942439</v>
      </c>
      <c r="AU175" s="6">
        <v>4.8890000000000002</v>
      </c>
      <c r="AV175" t="b">
        <v>1</v>
      </c>
      <c r="AW175" t="s">
        <v>29</v>
      </c>
      <c r="AX175" t="s">
        <v>30</v>
      </c>
      <c r="AY175" t="s">
        <v>33</v>
      </c>
      <c r="AZ175" t="s">
        <v>134</v>
      </c>
      <c r="BA175" s="18" t="s">
        <v>798</v>
      </c>
      <c r="BB175" t="b">
        <v>0</v>
      </c>
      <c r="BC175" t="s">
        <v>81</v>
      </c>
      <c r="BD175">
        <v>15</v>
      </c>
      <c r="BE175" t="s">
        <v>80</v>
      </c>
      <c r="BF175" s="11">
        <v>24</v>
      </c>
      <c r="BG175" t="s">
        <v>262</v>
      </c>
      <c r="BH175" t="s">
        <v>31</v>
      </c>
      <c r="BI175" t="s">
        <v>31</v>
      </c>
      <c r="BJ175" s="3">
        <f t="shared" si="80"/>
        <v>4.8890000000000002</v>
      </c>
      <c r="BK175" s="3">
        <f t="shared" si="81"/>
        <v>0.68922003726383563</v>
      </c>
      <c r="BL175">
        <v>2</v>
      </c>
      <c r="BM175" s="3">
        <f t="shared" si="83"/>
        <v>3.4323398069236655</v>
      </c>
      <c r="BN175" t="s">
        <v>33</v>
      </c>
      <c r="BO175" s="3">
        <f t="shared" si="72"/>
        <v>2706.0748619349561</v>
      </c>
      <c r="BP175" t="s">
        <v>33</v>
      </c>
      <c r="BQ175" t="s">
        <v>33</v>
      </c>
      <c r="BR175" t="s">
        <v>33</v>
      </c>
      <c r="BS175" t="s">
        <v>33</v>
      </c>
      <c r="BT175" t="s">
        <v>31</v>
      </c>
      <c r="BU175" t="s">
        <v>219</v>
      </c>
      <c r="BV175">
        <v>2008</v>
      </c>
      <c r="BW175" s="2" t="s">
        <v>257</v>
      </c>
      <c r="BX175" t="s">
        <v>78</v>
      </c>
      <c r="BY175" t="s">
        <v>33</v>
      </c>
      <c r="BZ175" t="s">
        <v>33</v>
      </c>
      <c r="CA175" t="str">
        <f t="shared" si="73"/>
        <v>high acid</v>
      </c>
    </row>
    <row r="176" spans="1:79">
      <c r="A176" t="s">
        <v>260</v>
      </c>
      <c r="B176" t="s">
        <v>565</v>
      </c>
      <c r="C176" t="s">
        <v>563</v>
      </c>
      <c r="D176" t="s">
        <v>118</v>
      </c>
      <c r="E176" t="s">
        <v>77</v>
      </c>
      <c r="F176" t="s">
        <v>32</v>
      </c>
      <c r="G176">
        <v>5</v>
      </c>
      <c r="H176">
        <v>40</v>
      </c>
      <c r="I176" t="b">
        <v>0</v>
      </c>
      <c r="J176" t="s">
        <v>33</v>
      </c>
      <c r="K176" t="s">
        <v>33</v>
      </c>
      <c r="L176">
        <v>35</v>
      </c>
      <c r="M176" s="4">
        <v>250</v>
      </c>
      <c r="N176" s="3">
        <f>IFERROR(AF176/((T176*X176/Y176)*O176*AI176),"NA")</f>
        <v>5903.0038247230323</v>
      </c>
      <c r="O176">
        <v>4</v>
      </c>
      <c r="P176" t="s">
        <v>33</v>
      </c>
      <c r="Q176">
        <f t="shared" si="92"/>
        <v>0.15625</v>
      </c>
      <c r="R176" t="s">
        <v>183</v>
      </c>
      <c r="S176" t="s">
        <v>613</v>
      </c>
      <c r="T176" s="11">
        <v>8</v>
      </c>
      <c r="U176">
        <v>2.92</v>
      </c>
      <c r="V176">
        <v>2.2999999999999998</v>
      </c>
      <c r="W176">
        <v>1.21E-2</v>
      </c>
      <c r="X176" s="8">
        <f t="shared" si="93"/>
        <v>1.2131888350367701E-2</v>
      </c>
      <c r="Y176" s="6">
        <f>110/60</f>
        <v>1.8333333333333333</v>
      </c>
      <c r="Z176" s="3">
        <f t="shared" si="89"/>
        <v>7.7644085442353281E-2</v>
      </c>
      <c r="AA176" t="s">
        <v>33</v>
      </c>
      <c r="AB176" s="6">
        <f t="shared" si="90"/>
        <v>39.0625</v>
      </c>
      <c r="AC176" t="str">
        <f t="shared" si="79"/>
        <v>NA</v>
      </c>
      <c r="AD176" s="4">
        <f>AB176*T176*AI176</f>
        <v>312.5</v>
      </c>
      <c r="AE176" s="3">
        <f t="shared" si="91"/>
        <v>8268.75</v>
      </c>
      <c r="AF176">
        <v>1250</v>
      </c>
      <c r="AG176" t="str">
        <f>IFERROR((M176*O176*P176), "NA")</f>
        <v>NA</v>
      </c>
      <c r="AH176" t="str">
        <f>IFERROR((AG176*T176*AI176), "NA")</f>
        <v>NA</v>
      </c>
      <c r="AI176">
        <v>1</v>
      </c>
      <c r="AJ176" t="s">
        <v>31</v>
      </c>
      <c r="AK176">
        <v>5400</v>
      </c>
      <c r="AL176" t="s">
        <v>238</v>
      </c>
      <c r="AM176" t="s">
        <v>86</v>
      </c>
      <c r="AN176" t="s">
        <v>205</v>
      </c>
      <c r="AO176" t="s">
        <v>789</v>
      </c>
      <c r="AP176">
        <v>3.44</v>
      </c>
      <c r="AQ176" t="s">
        <v>33</v>
      </c>
      <c r="AR176" t="s">
        <v>33</v>
      </c>
      <c r="AS176" s="6">
        <f>LOG((10^7+10^8)/2)</f>
        <v>7.7403626894942441</v>
      </c>
      <c r="AT176" s="3">
        <f>IFERROR(AS176-AU176,"NA")</f>
        <v>2.8603626894942442</v>
      </c>
      <c r="AU176" s="6">
        <v>4.88</v>
      </c>
      <c r="AV176" t="b">
        <v>1</v>
      </c>
      <c r="AW176" t="s">
        <v>29</v>
      </c>
      <c r="AX176" t="s">
        <v>30</v>
      </c>
      <c r="AY176" t="s">
        <v>33</v>
      </c>
      <c r="AZ176" t="s">
        <v>134</v>
      </c>
      <c r="BA176" s="18" t="s">
        <v>798</v>
      </c>
      <c r="BB176" t="b">
        <v>0</v>
      </c>
      <c r="BC176" t="s">
        <v>81</v>
      </c>
      <c r="BD176">
        <v>15</v>
      </c>
      <c r="BE176" t="s">
        <v>80</v>
      </c>
      <c r="BF176" s="11">
        <v>24</v>
      </c>
      <c r="BG176" t="s">
        <v>262</v>
      </c>
      <c r="BH176" t="s">
        <v>31</v>
      </c>
      <c r="BI176" t="s">
        <v>31</v>
      </c>
      <c r="BJ176" s="3">
        <f t="shared" si="80"/>
        <v>4.88</v>
      </c>
      <c r="BK176" s="3">
        <f t="shared" si="81"/>
        <v>0.68841982200271057</v>
      </c>
      <c r="BL176">
        <v>2</v>
      </c>
      <c r="BM176" s="3">
        <f t="shared" si="83"/>
        <v>3.2290200395288657</v>
      </c>
      <c r="BN176" t="s">
        <v>33</v>
      </c>
      <c r="BO176" s="3">
        <f t="shared" si="72"/>
        <v>1694.4159836065573</v>
      </c>
      <c r="BP176" t="s">
        <v>33</v>
      </c>
      <c r="BQ176" t="s">
        <v>33</v>
      </c>
      <c r="BR176" t="s">
        <v>33</v>
      </c>
      <c r="BS176" t="s">
        <v>33</v>
      </c>
      <c r="BT176" t="s">
        <v>31</v>
      </c>
      <c r="BU176" t="s">
        <v>219</v>
      </c>
      <c r="BV176">
        <v>2008</v>
      </c>
      <c r="BW176" s="2" t="s">
        <v>257</v>
      </c>
      <c r="BX176" t="s">
        <v>78</v>
      </c>
      <c r="BY176" t="s">
        <v>33</v>
      </c>
      <c r="BZ176" t="s">
        <v>33</v>
      </c>
      <c r="CA176" t="str">
        <f t="shared" si="73"/>
        <v>high acid</v>
      </c>
    </row>
    <row r="177" spans="1:79">
      <c r="A177" t="s">
        <v>535</v>
      </c>
      <c r="B177" t="s">
        <v>565</v>
      </c>
      <c r="C177" t="s">
        <v>564</v>
      </c>
      <c r="D177" t="s">
        <v>243</v>
      </c>
      <c r="E177" t="s">
        <v>77</v>
      </c>
      <c r="F177" t="s">
        <v>32</v>
      </c>
      <c r="G177">
        <v>40</v>
      </c>
      <c r="H177">
        <v>43</v>
      </c>
      <c r="I177" t="b">
        <v>0</v>
      </c>
      <c r="J177" t="s">
        <v>33</v>
      </c>
      <c r="K177" t="s">
        <v>33</v>
      </c>
      <c r="L177">
        <v>15</v>
      </c>
      <c r="M177" s="4">
        <v>120</v>
      </c>
      <c r="N177" s="3">
        <f>IFERROR(AF177/((T177*X177/Y177)*O177*AI177),"NA")</f>
        <v>200.55685355651937</v>
      </c>
      <c r="O177">
        <v>3</v>
      </c>
      <c r="P177" t="s">
        <v>33</v>
      </c>
      <c r="Q177" s="9">
        <f t="shared" si="92"/>
        <v>6.3888888888888884E-2</v>
      </c>
      <c r="R177" t="s">
        <v>183</v>
      </c>
      <c r="S177" t="s">
        <v>612</v>
      </c>
      <c r="T177" s="11">
        <v>4</v>
      </c>
      <c r="U177">
        <v>3</v>
      </c>
      <c r="V177">
        <v>2.6</v>
      </c>
      <c r="W177">
        <v>1.5900000000000001E-2</v>
      </c>
      <c r="X177" s="8">
        <f t="shared" si="93"/>
        <v>1.5927874753700257E-2</v>
      </c>
      <c r="Y177" s="6">
        <f>25/60</f>
        <v>0.41666666666666669</v>
      </c>
      <c r="Z177" s="3">
        <f t="shared" si="89"/>
        <v>0.249305865710091</v>
      </c>
      <c r="AA177" t="s">
        <v>33</v>
      </c>
      <c r="AB177" s="6">
        <f t="shared" si="90"/>
        <v>7.6666666666666661</v>
      </c>
      <c r="AC177" t="str">
        <f t="shared" si="79"/>
        <v>NA</v>
      </c>
      <c r="AD177" s="4">
        <f>IFERROR(AB177*T177*AI177, "NA")</f>
        <v>30.666666666666664</v>
      </c>
      <c r="AE177" s="3">
        <f t="shared" si="91"/>
        <v>19.043999999999997</v>
      </c>
      <c r="AF177">
        <v>92</v>
      </c>
      <c r="AG177" t="str">
        <f>IFERROR((M177*O177*P177), "NA")</f>
        <v>NA</v>
      </c>
      <c r="AH177" t="str">
        <f>IFERROR((AG177*T177*AI177), "NA")</f>
        <v>NA</v>
      </c>
      <c r="AI177" s="11">
        <v>1</v>
      </c>
      <c r="AJ177" t="s">
        <v>31</v>
      </c>
      <c r="AK177">
        <v>920</v>
      </c>
      <c r="AL177" t="s">
        <v>551</v>
      </c>
      <c r="AM177" t="s">
        <v>86</v>
      </c>
      <c r="AN177" t="s">
        <v>186</v>
      </c>
      <c r="AO177" t="s">
        <v>794</v>
      </c>
      <c r="AP177">
        <v>5.92</v>
      </c>
      <c r="AQ177" t="s">
        <v>33</v>
      </c>
      <c r="AR177" t="s">
        <v>33</v>
      </c>
      <c r="AS177" s="6">
        <f>LOG(1.1*10^7)</f>
        <v>7.0413926851582254</v>
      </c>
      <c r="AT177" s="3">
        <f>IFERROR(AS177-AU177,"NA")</f>
        <v>2.8693926851582257</v>
      </c>
      <c r="AU177" s="6">
        <v>4.1719999999999997</v>
      </c>
      <c r="AV177" t="b">
        <v>1</v>
      </c>
      <c r="AW177" t="s">
        <v>172</v>
      </c>
      <c r="AX177" t="s">
        <v>173</v>
      </c>
      <c r="AY177" t="s">
        <v>246</v>
      </c>
      <c r="AZ177" t="s">
        <v>33</v>
      </c>
      <c r="BA177" s="18" t="s">
        <v>799</v>
      </c>
      <c r="BB177" t="b">
        <v>0</v>
      </c>
      <c r="BC177" t="s">
        <v>81</v>
      </c>
      <c r="BD177">
        <v>72</v>
      </c>
      <c r="BE177" t="s">
        <v>80</v>
      </c>
      <c r="BF177" s="11">
        <v>72</v>
      </c>
      <c r="BG177" t="s">
        <v>522</v>
      </c>
      <c r="BH177" t="s">
        <v>31</v>
      </c>
      <c r="BI177" t="s">
        <v>31</v>
      </c>
      <c r="BJ177" s="3">
        <f t="shared" si="80"/>
        <v>4.1719999999999997</v>
      </c>
      <c r="BK177" s="3">
        <f t="shared" si="81"/>
        <v>0.62034429975449323</v>
      </c>
      <c r="BL177">
        <v>2</v>
      </c>
      <c r="BM177" s="3">
        <f t="shared" si="83"/>
        <v>0.65941387304797972</v>
      </c>
      <c r="BN177" t="s">
        <v>33</v>
      </c>
      <c r="BO177" s="3">
        <f t="shared" si="72"/>
        <v>4.5647171620325979</v>
      </c>
      <c r="BP177" t="s">
        <v>33</v>
      </c>
      <c r="BQ177" t="s">
        <v>33</v>
      </c>
      <c r="BR177" t="s">
        <v>33</v>
      </c>
      <c r="BS177" t="s">
        <v>33</v>
      </c>
      <c r="BT177" t="s">
        <v>32</v>
      </c>
      <c r="BU177" t="s">
        <v>207</v>
      </c>
      <c r="BV177">
        <v>2014</v>
      </c>
      <c r="BW177" s="2" t="s">
        <v>242</v>
      </c>
      <c r="BX177" t="s">
        <v>78</v>
      </c>
      <c r="BY177" t="s">
        <v>33</v>
      </c>
      <c r="BZ177" t="s">
        <v>33</v>
      </c>
      <c r="CA177" t="str">
        <f t="shared" si="73"/>
        <v>low acid</v>
      </c>
    </row>
    <row r="178" spans="1:79">
      <c r="A178" s="3" t="s">
        <v>303</v>
      </c>
      <c r="B178" t="s">
        <v>566</v>
      </c>
      <c r="C178" t="s">
        <v>563</v>
      </c>
      <c r="D178" s="3" t="s">
        <v>279</v>
      </c>
      <c r="E178" s="3" t="s">
        <v>77</v>
      </c>
      <c r="F178" t="s">
        <v>32</v>
      </c>
      <c r="G178" s="11">
        <v>10</v>
      </c>
      <c r="H178" s="11">
        <v>30</v>
      </c>
      <c r="I178" s="3" t="b">
        <v>0</v>
      </c>
      <c r="J178" s="3" t="s">
        <v>33</v>
      </c>
      <c r="K178" s="3" t="s">
        <v>33</v>
      </c>
      <c r="L178" s="11">
        <v>20</v>
      </c>
      <c r="M178" s="4">
        <v>1000</v>
      </c>
      <c r="N178" s="3">
        <f>IFERROR(AF178/((T178*X178/Y178)*O178*AI178),"NA")</f>
        <v>5052.5378759331843</v>
      </c>
      <c r="O178" s="3">
        <v>16</v>
      </c>
      <c r="P178" s="3" t="s">
        <v>33</v>
      </c>
      <c r="Q178" s="3">
        <f t="shared" si="92"/>
        <v>0.15000000000000002</v>
      </c>
      <c r="R178" t="s">
        <v>183</v>
      </c>
      <c r="S178" t="s">
        <v>613</v>
      </c>
      <c r="T178" s="11">
        <v>1</v>
      </c>
      <c r="U178" s="3">
        <v>2.8</v>
      </c>
      <c r="V178" s="3">
        <v>3</v>
      </c>
      <c r="W178" s="3">
        <v>0.02</v>
      </c>
      <c r="X178" s="3">
        <f t="shared" si="93"/>
        <v>1.97920337176157E-2</v>
      </c>
      <c r="Y178" s="3">
        <f>40/60</f>
        <v>0.66666666666666663</v>
      </c>
      <c r="Z178" s="3">
        <f t="shared" si="89"/>
        <v>0.13194689145077132</v>
      </c>
      <c r="AA178" s="3" t="s">
        <v>33</v>
      </c>
      <c r="AB178" s="3">
        <f t="shared" si="90"/>
        <v>150</v>
      </c>
      <c r="AC178" s="3" t="str">
        <f t="shared" si="79"/>
        <v>NA</v>
      </c>
      <c r="AD178" s="4">
        <f>IFERROR(AB178*T178*AI178, "NA")</f>
        <v>150</v>
      </c>
      <c r="AE178" s="3">
        <f t="shared" si="91"/>
        <v>192.00000000000003</v>
      </c>
      <c r="AF178" s="3">
        <v>2400</v>
      </c>
      <c r="AG178" s="3" t="str">
        <f>IFERROR((M178*O178*P178), "NA")</f>
        <v>NA</v>
      </c>
      <c r="AH178" s="3" t="str">
        <f>IFERROR((AG178*T178*AI178), "NA")</f>
        <v>NA</v>
      </c>
      <c r="AI178" s="11">
        <v>1</v>
      </c>
      <c r="AJ178" t="s">
        <v>31</v>
      </c>
      <c r="AK178" s="11">
        <v>200</v>
      </c>
      <c r="AL178" s="3" t="s">
        <v>526</v>
      </c>
      <c r="AM178" s="3" t="s">
        <v>103</v>
      </c>
      <c r="AN178" t="s">
        <v>130</v>
      </c>
      <c r="AO178" t="s">
        <v>795</v>
      </c>
      <c r="AP178" s="3" t="s">
        <v>33</v>
      </c>
      <c r="AQ178" s="3" t="s">
        <v>33</v>
      </c>
      <c r="AR178" s="3" t="s">
        <v>33</v>
      </c>
      <c r="AS178" s="3">
        <f>4.049</f>
        <v>4.0490000000000004</v>
      </c>
      <c r="AT178" s="3">
        <f>IFERROR(AS178-AU178,"NA")</f>
        <v>2.8790000000000004</v>
      </c>
      <c r="AU178" s="6">
        <v>1.17</v>
      </c>
      <c r="AV178" s="3" t="b">
        <v>1</v>
      </c>
      <c r="AW178" s="3" t="s">
        <v>172</v>
      </c>
      <c r="AX178" s="3" t="s">
        <v>173</v>
      </c>
      <c r="AY178" s="3" t="s">
        <v>283</v>
      </c>
      <c r="AZ178" s="3" t="s">
        <v>33</v>
      </c>
      <c r="BA178" s="18" t="s">
        <v>799</v>
      </c>
      <c r="BB178" s="3" t="b">
        <v>0</v>
      </c>
      <c r="BC178" t="s">
        <v>81</v>
      </c>
      <c r="BD178" s="3">
        <v>2</v>
      </c>
      <c r="BE178" s="3" t="s">
        <v>252</v>
      </c>
      <c r="BF178" s="11">
        <v>72</v>
      </c>
      <c r="BG178" s="3" t="s">
        <v>574</v>
      </c>
      <c r="BH178" s="3" t="s">
        <v>31</v>
      </c>
      <c r="BI178" s="3" t="s">
        <v>31</v>
      </c>
      <c r="BJ178" s="3">
        <f t="shared" si="80"/>
        <v>1.17</v>
      </c>
      <c r="BK178" s="3">
        <f t="shared" si="81"/>
        <v>6.8185861746161619E-2</v>
      </c>
      <c r="BL178" s="3">
        <v>2</v>
      </c>
      <c r="BM178" s="3">
        <f t="shared" si="83"/>
        <v>2.215115366957388</v>
      </c>
      <c r="BN178" s="3" t="s">
        <v>33</v>
      </c>
      <c r="BO178" s="3">
        <f t="shared" si="72"/>
        <v>164.10256410256414</v>
      </c>
      <c r="BP178" s="3" t="s">
        <v>33</v>
      </c>
      <c r="BQ178" s="3" t="s">
        <v>33</v>
      </c>
      <c r="BR178" s="3" t="s">
        <v>33</v>
      </c>
      <c r="BS178" s="3" t="s">
        <v>33</v>
      </c>
      <c r="BT178" t="s">
        <v>31</v>
      </c>
      <c r="BU178" s="3" t="s">
        <v>247</v>
      </c>
      <c r="BV178" s="11">
        <v>2016</v>
      </c>
      <c r="BW178" s="3" t="s">
        <v>284</v>
      </c>
      <c r="BX178" t="s">
        <v>78</v>
      </c>
      <c r="BY178" s="3" t="s">
        <v>33</v>
      </c>
      <c r="BZ178" s="3" t="s">
        <v>290</v>
      </c>
      <c r="CA178" t="str">
        <f t="shared" si="73"/>
        <v>low acid</v>
      </c>
    </row>
    <row r="179" spans="1:79">
      <c r="A179" t="s">
        <v>580</v>
      </c>
      <c r="B179" t="s">
        <v>565</v>
      </c>
      <c r="C179" t="s">
        <v>563</v>
      </c>
      <c r="D179" t="s">
        <v>118</v>
      </c>
      <c r="E179" t="s">
        <v>77</v>
      </c>
      <c r="F179" t="s">
        <v>32</v>
      </c>
      <c r="G179">
        <v>22</v>
      </c>
      <c r="H179">
        <v>40</v>
      </c>
      <c r="I179" t="b">
        <v>0</v>
      </c>
      <c r="J179">
        <v>10220</v>
      </c>
      <c r="K179">
        <v>34.78</v>
      </c>
      <c r="L179">
        <v>35</v>
      </c>
      <c r="M179" s="4">
        <v>100</v>
      </c>
      <c r="N179" t="e">
        <f>(#REF!*Y179)/(T179*X179*O179)</f>
        <v>#REF!</v>
      </c>
      <c r="O179">
        <v>4</v>
      </c>
      <c r="P179">
        <f>AVERAGE(0.0066, 0.0091)</f>
        <v>7.8499999999999993E-3</v>
      </c>
      <c r="Q179" s="1">
        <f t="shared" si="92"/>
        <v>0.625</v>
      </c>
      <c r="R179" t="s">
        <v>183</v>
      </c>
      <c r="S179" t="s">
        <v>613</v>
      </c>
      <c r="T179">
        <v>8</v>
      </c>
      <c r="U179">
        <v>2.92</v>
      </c>
      <c r="V179">
        <v>2.2999999999999998</v>
      </c>
      <c r="W179">
        <v>1.21E-2</v>
      </c>
      <c r="X179">
        <f t="shared" si="93"/>
        <v>1.2131888350367701E-2</v>
      </c>
      <c r="Y179">
        <v>1.5</v>
      </c>
      <c r="Z179" s="3">
        <f t="shared" si="89"/>
        <v>1.941102136058832E-2</v>
      </c>
      <c r="AA179" t="s">
        <v>33</v>
      </c>
      <c r="AB179">
        <f t="shared" si="90"/>
        <v>62.500000000000007</v>
      </c>
      <c r="AC179" s="1">
        <f t="shared" si="79"/>
        <v>0.78499999999999992</v>
      </c>
      <c r="AE179" s="3">
        <f t="shared" si="91"/>
        <v>7325.5</v>
      </c>
      <c r="AF179">
        <v>2000</v>
      </c>
      <c r="AG179" s="1" t="str">
        <f>IFERROR((N179*P179*Q179), "NA")</f>
        <v>NA</v>
      </c>
      <c r="AH179" s="1" t="str">
        <f>IFERROR((AG179*U179*AI179), "NA")</f>
        <v>NA</v>
      </c>
      <c r="AI179" s="1">
        <v>1</v>
      </c>
      <c r="AJ179" s="11" t="s">
        <v>31</v>
      </c>
      <c r="AK179">
        <v>2990</v>
      </c>
      <c r="AL179" t="s">
        <v>544</v>
      </c>
      <c r="AM179" t="s">
        <v>86</v>
      </c>
      <c r="AN179" t="s">
        <v>205</v>
      </c>
      <c r="AO179" t="s">
        <v>789</v>
      </c>
      <c r="AP179">
        <v>4.4000000000000004</v>
      </c>
      <c r="AQ179" t="s">
        <v>33</v>
      </c>
      <c r="AR179" t="s">
        <v>33</v>
      </c>
      <c r="AS179">
        <v>7.5</v>
      </c>
      <c r="AT179">
        <f>AS179-AU179</f>
        <v>2.88</v>
      </c>
      <c r="AU179" s="6">
        <v>4.62</v>
      </c>
      <c r="AV179" t="b">
        <v>1</v>
      </c>
      <c r="AW179" t="s">
        <v>617</v>
      </c>
      <c r="AX179" t="s">
        <v>33</v>
      </c>
      <c r="AY179" t="s">
        <v>33</v>
      </c>
      <c r="AZ179" t="s">
        <v>619</v>
      </c>
      <c r="BA179" s="18" t="s">
        <v>802</v>
      </c>
      <c r="BB179" s="3" t="b">
        <v>0</v>
      </c>
      <c r="BC179" t="s">
        <v>81</v>
      </c>
      <c r="BD179">
        <v>15</v>
      </c>
      <c r="BE179" t="s">
        <v>80</v>
      </c>
      <c r="BF179">
        <v>24</v>
      </c>
      <c r="BG179" t="s">
        <v>697</v>
      </c>
      <c r="BH179" t="s">
        <v>32</v>
      </c>
      <c r="BI179" t="s">
        <v>31</v>
      </c>
      <c r="BJ179">
        <f t="shared" si="80"/>
        <v>4.62</v>
      </c>
      <c r="BK179" s="3">
        <f t="shared" si="81"/>
        <v>0.66464197555612547</v>
      </c>
      <c r="BL179">
        <v>2</v>
      </c>
      <c r="BM179" s="3">
        <f t="shared" si="83"/>
        <v>3.2001952971328365</v>
      </c>
      <c r="BN179" t="s">
        <v>33</v>
      </c>
      <c r="BO179" s="3">
        <f t="shared" si="72"/>
        <v>1585.6060606060605</v>
      </c>
      <c r="BP179" t="s">
        <v>33</v>
      </c>
      <c r="BQ179" t="s">
        <v>33</v>
      </c>
      <c r="BR179" t="s">
        <v>33</v>
      </c>
      <c r="BS179" t="s">
        <v>33</v>
      </c>
      <c r="BT179" t="s">
        <v>31</v>
      </c>
      <c r="BU179" t="s">
        <v>219</v>
      </c>
      <c r="BV179" s="14">
        <v>2008</v>
      </c>
      <c r="BW179" t="s">
        <v>257</v>
      </c>
      <c r="BX179" t="s">
        <v>78</v>
      </c>
      <c r="BY179" s="13" t="s">
        <v>670</v>
      </c>
      <c r="CA179" t="str">
        <f t="shared" si="73"/>
        <v>high acid</v>
      </c>
    </row>
    <row r="180" spans="1:79">
      <c r="A180" s="3" t="s">
        <v>303</v>
      </c>
      <c r="B180" t="s">
        <v>566</v>
      </c>
      <c r="C180" t="s">
        <v>563</v>
      </c>
      <c r="D180" s="3" t="s">
        <v>279</v>
      </c>
      <c r="E180" s="3" t="s">
        <v>77</v>
      </c>
      <c r="F180" t="s">
        <v>32</v>
      </c>
      <c r="G180" s="11">
        <v>10</v>
      </c>
      <c r="H180" s="11">
        <v>30</v>
      </c>
      <c r="I180" s="3" t="b">
        <v>0</v>
      </c>
      <c r="J180" s="3" t="s">
        <v>33</v>
      </c>
      <c r="K180" s="3" t="s">
        <v>33</v>
      </c>
      <c r="L180" s="11">
        <v>20</v>
      </c>
      <c r="M180" s="4">
        <v>1000</v>
      </c>
      <c r="N180" s="3">
        <f>IFERROR(AF180/((T180*X180/Y180)*O180*AI180),"NA")</f>
        <v>10105.075751866369</v>
      </c>
      <c r="O180" s="3">
        <v>16</v>
      </c>
      <c r="P180" s="3" t="s">
        <v>33</v>
      </c>
      <c r="Q180" s="3">
        <f t="shared" si="92"/>
        <v>0.30000000000000004</v>
      </c>
      <c r="R180" t="s">
        <v>183</v>
      </c>
      <c r="S180" t="s">
        <v>613</v>
      </c>
      <c r="T180" s="11">
        <v>1</v>
      </c>
      <c r="U180" s="3">
        <v>2.8</v>
      </c>
      <c r="V180" s="3">
        <v>3</v>
      </c>
      <c r="W180" s="3">
        <v>0.02</v>
      </c>
      <c r="X180" s="3">
        <f t="shared" si="93"/>
        <v>1.97920337176157E-2</v>
      </c>
      <c r="Y180" s="3">
        <f>40/60</f>
        <v>0.66666666666666663</v>
      </c>
      <c r="Z180" s="3">
        <f t="shared" si="89"/>
        <v>6.597344572538566E-2</v>
      </c>
      <c r="AA180" s="3" t="s">
        <v>33</v>
      </c>
      <c r="AB180" s="3">
        <f t="shared" si="90"/>
        <v>300</v>
      </c>
      <c r="AC180" s="3" t="str">
        <f t="shared" si="79"/>
        <v>NA</v>
      </c>
      <c r="AD180" s="4">
        <f>AB180*T180*AI180</f>
        <v>300</v>
      </c>
      <c r="AE180" s="3">
        <f t="shared" si="91"/>
        <v>576.00000000000011</v>
      </c>
      <c r="AF180" s="3">
        <v>4800</v>
      </c>
      <c r="AG180" s="3" t="str">
        <f>IFERROR((M180*O180*P180), "NA")</f>
        <v>NA</v>
      </c>
      <c r="AH180" s="3" t="str">
        <f>IFERROR((AG180*T180*AI180), "NA")</f>
        <v>NA</v>
      </c>
      <c r="AI180" s="3">
        <v>1</v>
      </c>
      <c r="AJ180" t="s">
        <v>31</v>
      </c>
      <c r="AK180" s="3">
        <v>300</v>
      </c>
      <c r="AL180" s="3" t="s">
        <v>281</v>
      </c>
      <c r="AM180" s="3" t="s">
        <v>103</v>
      </c>
      <c r="AN180" t="s">
        <v>130</v>
      </c>
      <c r="AO180" t="s">
        <v>795</v>
      </c>
      <c r="AP180" s="3" t="s">
        <v>33</v>
      </c>
      <c r="AQ180" s="3" t="s">
        <v>33</v>
      </c>
      <c r="AR180" s="3" t="s">
        <v>33</v>
      </c>
      <c r="AS180" s="3">
        <f>4.049</f>
        <v>4.0490000000000004</v>
      </c>
      <c r="AT180" s="3">
        <f>IFERROR(AS180-AU180,"NA")</f>
        <v>2.8830000000000005</v>
      </c>
      <c r="AU180" s="6">
        <v>1.1659999999999999</v>
      </c>
      <c r="AV180" s="3" t="b">
        <v>1</v>
      </c>
      <c r="AW180" s="3" t="s">
        <v>172</v>
      </c>
      <c r="AX180" s="3" t="s">
        <v>173</v>
      </c>
      <c r="AY180" s="3" t="s">
        <v>283</v>
      </c>
      <c r="AZ180" s="3" t="s">
        <v>33</v>
      </c>
      <c r="BA180" s="18" t="s">
        <v>799</v>
      </c>
      <c r="BB180" s="3" t="b">
        <v>0</v>
      </c>
      <c r="BC180" t="s">
        <v>81</v>
      </c>
      <c r="BD180" s="3">
        <v>2</v>
      </c>
      <c r="BE180" s="3" t="s">
        <v>252</v>
      </c>
      <c r="BF180" s="11">
        <v>72</v>
      </c>
      <c r="BG180" s="3" t="s">
        <v>574</v>
      </c>
      <c r="BH180" s="3" t="s">
        <v>31</v>
      </c>
      <c r="BI180" s="3" t="s">
        <v>31</v>
      </c>
      <c r="BJ180" s="3">
        <f t="shared" si="80"/>
        <v>1.1659999999999999</v>
      </c>
      <c r="BK180" s="3">
        <f t="shared" si="81"/>
        <v>6.6698550422995259E-2</v>
      </c>
      <c r="BL180" s="3">
        <v>2</v>
      </c>
      <c r="BM180" s="3">
        <f t="shared" si="83"/>
        <v>2.693723933000217</v>
      </c>
      <c r="BN180" s="3" t="s">
        <v>33</v>
      </c>
      <c r="BO180" s="3">
        <f t="shared" si="72"/>
        <v>493.99656946826769</v>
      </c>
      <c r="BP180" s="3" t="s">
        <v>33</v>
      </c>
      <c r="BQ180" s="3" t="s">
        <v>33</v>
      </c>
      <c r="BR180" s="3" t="s">
        <v>33</v>
      </c>
      <c r="BS180" s="3" t="s">
        <v>33</v>
      </c>
      <c r="BT180" t="s">
        <v>31</v>
      </c>
      <c r="BU180" s="3" t="s">
        <v>247</v>
      </c>
      <c r="BV180" s="11">
        <v>2016</v>
      </c>
      <c r="BW180" s="3" t="s">
        <v>284</v>
      </c>
      <c r="BX180" t="s">
        <v>78</v>
      </c>
      <c r="BY180" s="3" t="s">
        <v>33</v>
      </c>
      <c r="BZ180" s="3" t="s">
        <v>294</v>
      </c>
      <c r="CA180" t="str">
        <f t="shared" si="73"/>
        <v>low acid</v>
      </c>
    </row>
    <row r="181" spans="1:79">
      <c r="A181" t="s">
        <v>596</v>
      </c>
      <c r="B181" t="s">
        <v>565</v>
      </c>
      <c r="C181" t="s">
        <v>563</v>
      </c>
      <c r="D181" t="s">
        <v>610</v>
      </c>
      <c r="E181" t="s">
        <v>77</v>
      </c>
      <c r="F181" t="s">
        <v>33</v>
      </c>
      <c r="G181">
        <v>20</v>
      </c>
      <c r="H181" t="s">
        <v>33</v>
      </c>
      <c r="I181" t="b">
        <v>0</v>
      </c>
      <c r="J181">
        <v>14000</v>
      </c>
      <c r="K181" t="s">
        <v>33</v>
      </c>
      <c r="L181">
        <v>35</v>
      </c>
      <c r="M181" s="4">
        <v>12</v>
      </c>
      <c r="N181" t="e">
        <f>(#REF!*Y181)/(T181*X181*O181)</f>
        <v>#REF!</v>
      </c>
      <c r="O181">
        <v>5</v>
      </c>
      <c r="P181" t="s">
        <v>33</v>
      </c>
      <c r="Q181" s="1">
        <f t="shared" si="92"/>
        <v>0.93333333333333335</v>
      </c>
      <c r="R181" t="s">
        <v>183</v>
      </c>
      <c r="S181" t="s">
        <v>613</v>
      </c>
      <c r="T181">
        <v>1</v>
      </c>
      <c r="U181">
        <v>4</v>
      </c>
      <c r="V181">
        <v>4</v>
      </c>
      <c r="W181" t="s">
        <v>33</v>
      </c>
      <c r="X181">
        <f t="shared" si="93"/>
        <v>5.02654824574367E-2</v>
      </c>
      <c r="Y181">
        <v>0.106667</v>
      </c>
      <c r="Z181" s="3">
        <f t="shared" si="89"/>
        <v>5.385587406153932E-2</v>
      </c>
      <c r="AA181" t="s">
        <v>33</v>
      </c>
      <c r="AB181">
        <f t="shared" si="90"/>
        <v>11.200000000000001</v>
      </c>
      <c r="AC181" s="1" t="str">
        <f t="shared" si="79"/>
        <v>NA</v>
      </c>
      <c r="AE181" s="3">
        <f t="shared" si="91"/>
        <v>137.19999999999999</v>
      </c>
      <c r="AF181">
        <v>56</v>
      </c>
      <c r="AG181" s="1" t="str">
        <f>IFERROR((N181*P181*Q181), "NA")</f>
        <v>NA</v>
      </c>
      <c r="AH181" s="1" t="str">
        <f>IFERROR((AG181*U181*AI181), "NA")</f>
        <v>NA</v>
      </c>
      <c r="AI181" s="1">
        <v>1</v>
      </c>
      <c r="AJ181" s="11" t="s">
        <v>31</v>
      </c>
      <c r="AK181">
        <v>2000</v>
      </c>
      <c r="AL181" t="s">
        <v>149</v>
      </c>
      <c r="AM181" t="s">
        <v>86</v>
      </c>
      <c r="AN181" t="s">
        <v>205</v>
      </c>
      <c r="AO181" t="s">
        <v>789</v>
      </c>
      <c r="AP181" t="s">
        <v>33</v>
      </c>
      <c r="AQ181" t="s">
        <v>33</v>
      </c>
      <c r="AR181" t="s">
        <v>33</v>
      </c>
      <c r="AS181">
        <f>AVERAGE(6,8)</f>
        <v>7</v>
      </c>
      <c r="AT181">
        <f>AS181-AU181</f>
        <v>2.8899999999999997</v>
      </c>
      <c r="AU181" s="6">
        <v>4.1100000000000003</v>
      </c>
      <c r="AV181" t="b">
        <v>1</v>
      </c>
      <c r="AW181" t="s">
        <v>626</v>
      </c>
      <c r="AX181" t="s">
        <v>627</v>
      </c>
      <c r="AY181" t="s">
        <v>634</v>
      </c>
      <c r="AZ181" t="s">
        <v>33</v>
      </c>
      <c r="BA181" s="18" t="s">
        <v>800</v>
      </c>
      <c r="BB181" s="3" t="b">
        <v>0</v>
      </c>
      <c r="BC181" t="s">
        <v>81</v>
      </c>
      <c r="BD181">
        <v>18</v>
      </c>
      <c r="BE181" t="s">
        <v>80</v>
      </c>
      <c r="BF181">
        <v>24</v>
      </c>
      <c r="BG181" t="s">
        <v>644</v>
      </c>
      <c r="BH181" t="s">
        <v>31</v>
      </c>
      <c r="BI181" t="s">
        <v>31</v>
      </c>
      <c r="BJ181">
        <f t="shared" si="80"/>
        <v>4.1100000000000003</v>
      </c>
      <c r="BK181" s="3">
        <f t="shared" si="81"/>
        <v>0.61384182187606928</v>
      </c>
      <c r="BL181">
        <v>2</v>
      </c>
      <c r="BM181" s="3">
        <f t="shared" si="83"/>
        <v>1.5235122894946636</v>
      </c>
      <c r="BN181" t="s">
        <v>33</v>
      </c>
      <c r="BO181" s="3">
        <f t="shared" si="72"/>
        <v>33.381995133819949</v>
      </c>
      <c r="BP181" t="s">
        <v>33</v>
      </c>
      <c r="BQ181" t="s">
        <v>33</v>
      </c>
      <c r="BR181" t="s">
        <v>33</v>
      </c>
      <c r="BS181" t="s">
        <v>33</v>
      </c>
      <c r="BT181" t="s">
        <v>32</v>
      </c>
      <c r="BU181" t="s">
        <v>661</v>
      </c>
      <c r="BV181">
        <v>2013</v>
      </c>
      <c r="BW181" t="s">
        <v>662</v>
      </c>
      <c r="BX181" s="13" t="s">
        <v>663</v>
      </c>
      <c r="BY181" s="13" t="s">
        <v>684</v>
      </c>
      <c r="CA181" t="str">
        <f t="shared" si="73"/>
        <v>high acid</v>
      </c>
    </row>
    <row r="182" spans="1:79">
      <c r="A182" t="s">
        <v>392</v>
      </c>
      <c r="B182" t="s">
        <v>565</v>
      </c>
      <c r="C182" t="s">
        <v>563</v>
      </c>
      <c r="D182" t="s">
        <v>118</v>
      </c>
      <c r="E182" t="s">
        <v>77</v>
      </c>
      <c r="F182" t="s">
        <v>32</v>
      </c>
      <c r="G182">
        <v>25</v>
      </c>
      <c r="H182">
        <v>36</v>
      </c>
      <c r="I182" t="b">
        <v>0</v>
      </c>
      <c r="J182" t="s">
        <v>33</v>
      </c>
      <c r="K182" t="s">
        <v>33</v>
      </c>
      <c r="L182">
        <v>35</v>
      </c>
      <c r="M182" s="4">
        <v>200</v>
      </c>
      <c r="N182" s="3" t="str">
        <f>IFERROR(AF182/((T182*X182/Y182)*O182*AI182),"NA")</f>
        <v>NA</v>
      </c>
      <c r="O182">
        <v>4</v>
      </c>
      <c r="P182" t="s">
        <v>33</v>
      </c>
      <c r="Q182" s="8">
        <f t="shared" si="92"/>
        <v>9.3750000000000014E-2</v>
      </c>
      <c r="R182" t="s">
        <v>183</v>
      </c>
      <c r="S182" t="s">
        <v>613</v>
      </c>
      <c r="T182" s="11">
        <v>8</v>
      </c>
      <c r="U182">
        <v>2.9</v>
      </c>
      <c r="V182">
        <v>2.2999999999999998</v>
      </c>
      <c r="W182">
        <v>1.2E-2</v>
      </c>
      <c r="X182" s="8">
        <f t="shared" si="93"/>
        <v>1.204879322468025E-2</v>
      </c>
      <c r="Y182" t="s">
        <v>33</v>
      </c>
      <c r="Z182" s="3">
        <f t="shared" si="89"/>
        <v>0.12852046106325599</v>
      </c>
      <c r="AA182" t="s">
        <v>33</v>
      </c>
      <c r="AB182" s="6">
        <f t="shared" si="90"/>
        <v>18.75</v>
      </c>
      <c r="AC182" t="str">
        <f t="shared" si="79"/>
        <v>NA</v>
      </c>
      <c r="AD182" s="4">
        <f>AB182*T182*AI182</f>
        <v>150</v>
      </c>
      <c r="AE182" s="3">
        <f t="shared" si="91"/>
        <v>3116.4000000000005</v>
      </c>
      <c r="AF182">
        <v>600</v>
      </c>
      <c r="AG182" t="str">
        <f>IFERROR((M182*O182*P182), "NA")</f>
        <v>NA</v>
      </c>
      <c r="AH182" t="str">
        <f>IFERROR((AG182*T182*AI182), "NA")</f>
        <v>NA</v>
      </c>
      <c r="AI182">
        <v>1</v>
      </c>
      <c r="AJ182" t="s">
        <v>31</v>
      </c>
      <c r="AK182">
        <v>4240</v>
      </c>
      <c r="AL182" t="s">
        <v>238</v>
      </c>
      <c r="AM182" t="s">
        <v>86</v>
      </c>
      <c r="AN182" t="s">
        <v>205</v>
      </c>
      <c r="AO182" t="s">
        <v>789</v>
      </c>
      <c r="AP182">
        <v>3.56</v>
      </c>
      <c r="AQ182" t="s">
        <v>33</v>
      </c>
      <c r="AR182" t="s">
        <v>33</v>
      </c>
      <c r="AS182" s="6">
        <f>LOG(10^8)</f>
        <v>8</v>
      </c>
      <c r="AT182" s="3">
        <f>IFERROR(AS182-AU182,"NA")</f>
        <v>2.9020000000000001</v>
      </c>
      <c r="AU182" s="6">
        <v>5.0979999999999999</v>
      </c>
      <c r="AV182" t="b">
        <v>1</v>
      </c>
      <c r="AW182" t="s">
        <v>123</v>
      </c>
      <c r="AX182" t="s">
        <v>393</v>
      </c>
      <c r="AY182" t="s">
        <v>394</v>
      </c>
      <c r="AZ182" t="s">
        <v>33</v>
      </c>
      <c r="BA182" s="18" t="s">
        <v>579</v>
      </c>
      <c r="BB182" t="b">
        <v>1</v>
      </c>
      <c r="BC182" t="s">
        <v>81</v>
      </c>
      <c r="BD182">
        <v>72</v>
      </c>
      <c r="BE182" t="s">
        <v>80</v>
      </c>
      <c r="BF182" s="11">
        <v>72</v>
      </c>
      <c r="BG182" t="s">
        <v>395</v>
      </c>
      <c r="BH182" t="s">
        <v>31</v>
      </c>
      <c r="BI182" t="s">
        <v>32</v>
      </c>
      <c r="BJ182" s="3">
        <f t="shared" si="80"/>
        <v>5.0979999999999999</v>
      </c>
      <c r="BK182" s="3">
        <f t="shared" si="81"/>
        <v>0.70739983113324867</v>
      </c>
      <c r="BL182">
        <v>2</v>
      </c>
      <c r="BM182" s="3">
        <f t="shared" si="83"/>
        <v>2.7862533645436787</v>
      </c>
      <c r="BN182" t="s">
        <v>33</v>
      </c>
      <c r="BO182" s="3">
        <f t="shared" si="72"/>
        <v>611.29854845037278</v>
      </c>
      <c r="BP182" t="s">
        <v>33</v>
      </c>
      <c r="BQ182" t="s">
        <v>33</v>
      </c>
      <c r="BR182" t="s">
        <v>33</v>
      </c>
      <c r="BS182" t="s">
        <v>33</v>
      </c>
      <c r="BT182" t="s">
        <v>31</v>
      </c>
      <c r="BU182" t="s">
        <v>240</v>
      </c>
      <c r="BV182">
        <v>2005</v>
      </c>
      <c r="BW182" t="s">
        <v>396</v>
      </c>
      <c r="BX182" t="s">
        <v>78</v>
      </c>
      <c r="BY182" t="s">
        <v>33</v>
      </c>
      <c r="BZ182" t="s">
        <v>33</v>
      </c>
      <c r="CA182" t="str">
        <f t="shared" si="73"/>
        <v>high acid</v>
      </c>
    </row>
    <row r="183" spans="1:79">
      <c r="A183" t="s">
        <v>273</v>
      </c>
      <c r="B183" t="s">
        <v>565</v>
      </c>
      <c r="C183" t="s">
        <v>563</v>
      </c>
      <c r="D183" t="s">
        <v>118</v>
      </c>
      <c r="E183" t="s">
        <v>77</v>
      </c>
      <c r="F183" t="s">
        <v>32</v>
      </c>
      <c r="G183">
        <v>20</v>
      </c>
      <c r="H183">
        <v>55</v>
      </c>
      <c r="I183" t="b">
        <v>0</v>
      </c>
      <c r="J183" t="s">
        <v>33</v>
      </c>
      <c r="K183" t="s">
        <v>33</v>
      </c>
      <c r="L183">
        <v>25</v>
      </c>
      <c r="M183" s="4" t="s">
        <v>33</v>
      </c>
      <c r="N183" s="3">
        <f>IFERROR(AF183/((T183*X183/Y183)*O183*AI183),"NA")</f>
        <v>1533.3934313818788</v>
      </c>
      <c r="O183">
        <v>2.5</v>
      </c>
      <c r="P183" t="s">
        <v>33</v>
      </c>
      <c r="Q183" s="8">
        <f t="shared" si="92"/>
        <v>1.2173435913211428E-2</v>
      </c>
      <c r="R183" t="s">
        <v>183</v>
      </c>
      <c r="S183" t="s">
        <v>613</v>
      </c>
      <c r="T183" s="11">
        <v>6</v>
      </c>
      <c r="U183">
        <v>2.93</v>
      </c>
      <c r="V183">
        <v>2.2999999999999998</v>
      </c>
      <c r="W183" t="s">
        <v>33</v>
      </c>
      <c r="X183" s="8">
        <f>IFERROR(((PI())*(((V183*10^-1)/2)^2)*(U183*10^-1)), "NA")</f>
        <v>1.2173435913211428E-2</v>
      </c>
      <c r="Y183">
        <f>60/60</f>
        <v>1</v>
      </c>
      <c r="Z183" s="3">
        <f>IFERROR(X183*N183*O183*T183*AI183/AF183, "NA")</f>
        <v>1</v>
      </c>
      <c r="AA183" t="s">
        <v>33</v>
      </c>
      <c r="AB183" s="6">
        <f>IFERROR(((X183*N183)/Y183), "NA")</f>
        <v>18.666666666666668</v>
      </c>
      <c r="AC183" t="str">
        <f t="shared" si="79"/>
        <v>NA</v>
      </c>
      <c r="AD183" s="4">
        <f>AB183*T183*AI183</f>
        <v>112</v>
      </c>
      <c r="AE183" s="3">
        <f>IFERROR(((L183^2)*N183*O183*AK183*10^-6*Q183*T183*AI183), "NA")</f>
        <v>509.25000000000011</v>
      </c>
      <c r="AF183">
        <v>280</v>
      </c>
      <c r="AG183" t="str">
        <f>IFERROR((M183*O183*P183), "NA")</f>
        <v>NA</v>
      </c>
      <c r="AH183" t="str">
        <f>IFERROR((AG183*T183*AI183), "NA")</f>
        <v>NA</v>
      </c>
      <c r="AI183">
        <v>1</v>
      </c>
      <c r="AJ183" t="s">
        <v>31</v>
      </c>
      <c r="AK183">
        <v>2910</v>
      </c>
      <c r="AL183" t="s">
        <v>543</v>
      </c>
      <c r="AM183" t="s">
        <v>86</v>
      </c>
      <c r="AN183" t="s">
        <v>205</v>
      </c>
      <c r="AO183" t="s">
        <v>789</v>
      </c>
      <c r="AP183">
        <v>4.05</v>
      </c>
      <c r="AQ183" t="s">
        <v>33</v>
      </c>
      <c r="AR183" t="s">
        <v>33</v>
      </c>
      <c r="AS183">
        <f>LOG(10^6)</f>
        <v>6</v>
      </c>
      <c r="AT183" s="3">
        <f>IFERROR(AS183-AU183,"NA")</f>
        <v>2.91</v>
      </c>
      <c r="AU183" s="6">
        <v>3.09</v>
      </c>
      <c r="AV183" t="b">
        <v>1</v>
      </c>
      <c r="AW183" t="s">
        <v>29</v>
      </c>
      <c r="AX183" t="s">
        <v>30</v>
      </c>
      <c r="AY183" t="s">
        <v>216</v>
      </c>
      <c r="AZ183" t="s">
        <v>33</v>
      </c>
      <c r="BA183" s="18" t="s">
        <v>798</v>
      </c>
      <c r="BB183" t="b">
        <v>0</v>
      </c>
      <c r="BC183" t="s">
        <v>81</v>
      </c>
      <c r="BD183">
        <v>4</v>
      </c>
      <c r="BE183" t="s">
        <v>159</v>
      </c>
      <c r="BF183" s="11">
        <v>24</v>
      </c>
      <c r="BG183" t="s">
        <v>572</v>
      </c>
      <c r="BH183" t="s">
        <v>31</v>
      </c>
      <c r="BI183" t="s">
        <v>31</v>
      </c>
      <c r="BJ183" s="3">
        <f t="shared" si="80"/>
        <v>3.09</v>
      </c>
      <c r="BK183" s="3">
        <f t="shared" si="81"/>
        <v>0.48995847942483461</v>
      </c>
      <c r="BL183">
        <v>2</v>
      </c>
      <c r="BM183" s="3">
        <f t="shared" si="83"/>
        <v>2.2169725582473672</v>
      </c>
      <c r="BN183" t="s">
        <v>33</v>
      </c>
      <c r="BO183" s="3">
        <f t="shared" si="72"/>
        <v>164.8058252427185</v>
      </c>
      <c r="BP183" t="s">
        <v>33</v>
      </c>
      <c r="BQ183" t="s">
        <v>33</v>
      </c>
      <c r="BR183" t="s">
        <v>33</v>
      </c>
      <c r="BS183" t="s">
        <v>33</v>
      </c>
      <c r="BT183" t="s">
        <v>31</v>
      </c>
      <c r="BU183" t="s">
        <v>274</v>
      </c>
      <c r="BV183">
        <v>2006</v>
      </c>
      <c r="BW183" t="s">
        <v>275</v>
      </c>
      <c r="BX183" t="s">
        <v>78</v>
      </c>
      <c r="BY183" t="s">
        <v>277</v>
      </c>
      <c r="BZ183" t="s">
        <v>33</v>
      </c>
      <c r="CA183" t="str">
        <f t="shared" si="73"/>
        <v>high acid</v>
      </c>
    </row>
    <row r="184" spans="1:79">
      <c r="A184" t="s">
        <v>596</v>
      </c>
      <c r="B184" t="s">
        <v>565</v>
      </c>
      <c r="C184" t="s">
        <v>563</v>
      </c>
      <c r="D184" t="s">
        <v>610</v>
      </c>
      <c r="E184" t="s">
        <v>77</v>
      </c>
      <c r="F184" t="s">
        <v>33</v>
      </c>
      <c r="G184">
        <v>20</v>
      </c>
      <c r="H184" t="s">
        <v>33</v>
      </c>
      <c r="I184" t="b">
        <v>0</v>
      </c>
      <c r="J184">
        <v>12000</v>
      </c>
      <c r="K184" t="s">
        <v>33</v>
      </c>
      <c r="L184">
        <v>30</v>
      </c>
      <c r="M184" s="4">
        <v>31.831088090218493</v>
      </c>
      <c r="N184" t="e">
        <f>(#REF!*Y184)/(T184*X184*O184)</f>
        <v>#REF!</v>
      </c>
      <c r="O184">
        <v>5</v>
      </c>
      <c r="P184" t="s">
        <v>33</v>
      </c>
      <c r="Q184" s="1">
        <f t="shared" si="92"/>
        <v>0.4712374254215147</v>
      </c>
      <c r="R184" t="s">
        <v>183</v>
      </c>
      <c r="S184" t="s">
        <v>613</v>
      </c>
      <c r="T184">
        <v>1</v>
      </c>
      <c r="U184">
        <v>4</v>
      </c>
      <c r="V184">
        <v>4</v>
      </c>
      <c r="W184" t="s">
        <v>33</v>
      </c>
      <c r="X184">
        <f>IFERROR(((PI())*(((V184*10^-1)/2)^2)*(U184*10^-1)), "NA")</f>
        <v>5.02654824574367E-2</v>
      </c>
      <c r="Y184">
        <v>0.106667</v>
      </c>
      <c r="Z184" s="3">
        <f>IFERROR(X184*M184*O184*T184*AI184/AF184, "NA")</f>
        <v>0.10666699999999998</v>
      </c>
      <c r="AA184" t="s">
        <v>33</v>
      </c>
      <c r="AB184">
        <f>IFERROR(((X184*M184)/Z184), "NA")</f>
        <v>15.000000000000002</v>
      </c>
      <c r="AC184" s="1" t="str">
        <f t="shared" si="79"/>
        <v>NA</v>
      </c>
      <c r="AE184" s="3">
        <f>IFERROR(((L184^2)*M184*O184*AK184*10^-6*Q184*T184*AI184), "NA")</f>
        <v>101.25000000000001</v>
      </c>
      <c r="AF184">
        <v>75</v>
      </c>
      <c r="AG184" s="1" t="str">
        <f>IFERROR((N184*P184*Q184), "NA")</f>
        <v>NA</v>
      </c>
      <c r="AH184" s="1" t="str">
        <f>IFERROR((AG184*U184*AI184), "NA")</f>
        <v>NA</v>
      </c>
      <c r="AI184" s="1">
        <v>1</v>
      </c>
      <c r="AJ184" s="11" t="s">
        <v>31</v>
      </c>
      <c r="AK184">
        <v>1500</v>
      </c>
      <c r="AL184" t="s">
        <v>149</v>
      </c>
      <c r="AM184" t="s">
        <v>86</v>
      </c>
      <c r="AN184" t="s">
        <v>205</v>
      </c>
      <c r="AO184" t="s">
        <v>789</v>
      </c>
      <c r="AP184" t="s">
        <v>33</v>
      </c>
      <c r="AQ184" t="s">
        <v>33</v>
      </c>
      <c r="AR184" t="s">
        <v>33</v>
      </c>
      <c r="AS184">
        <f>AVERAGE(6,8)</f>
        <v>7</v>
      </c>
      <c r="AT184">
        <f>AS184-AU184</f>
        <v>2.91</v>
      </c>
      <c r="AU184" s="6">
        <v>4.09</v>
      </c>
      <c r="AV184" t="b">
        <v>1</v>
      </c>
      <c r="AW184" t="s">
        <v>626</v>
      </c>
      <c r="AX184" t="s">
        <v>627</v>
      </c>
      <c r="AY184" t="s">
        <v>634</v>
      </c>
      <c r="AZ184" t="s">
        <v>33</v>
      </c>
      <c r="BA184" s="18" t="s">
        <v>800</v>
      </c>
      <c r="BB184" s="3" t="b">
        <v>0</v>
      </c>
      <c r="BC184" t="s">
        <v>81</v>
      </c>
      <c r="BD184">
        <v>18</v>
      </c>
      <c r="BE184" t="s">
        <v>80</v>
      </c>
      <c r="BF184">
        <v>24</v>
      </c>
      <c r="BG184" t="s">
        <v>644</v>
      </c>
      <c r="BH184" t="s">
        <v>31</v>
      </c>
      <c r="BI184" t="s">
        <v>31</v>
      </c>
      <c r="BJ184">
        <f t="shared" si="80"/>
        <v>4.09</v>
      </c>
      <c r="BK184" s="3">
        <f t="shared" si="81"/>
        <v>0.61172330800734176</v>
      </c>
      <c r="BL184">
        <v>2</v>
      </c>
      <c r="BM184" s="3">
        <f t="shared" si="83"/>
        <v>1.3936717238793643</v>
      </c>
      <c r="BN184" t="s">
        <v>33</v>
      </c>
      <c r="BO184" s="3">
        <f t="shared" si="72"/>
        <v>24.755501222493891</v>
      </c>
      <c r="BP184" t="s">
        <v>33</v>
      </c>
      <c r="BQ184" t="s">
        <v>33</v>
      </c>
      <c r="BR184" t="s">
        <v>33</v>
      </c>
      <c r="BS184" t="s">
        <v>33</v>
      </c>
      <c r="BT184" t="s">
        <v>32</v>
      </c>
      <c r="BU184" t="s">
        <v>661</v>
      </c>
      <c r="BV184">
        <v>2013</v>
      </c>
      <c r="BW184" t="s">
        <v>662</v>
      </c>
      <c r="BX184" s="13" t="s">
        <v>663</v>
      </c>
      <c r="BY184" s="13" t="s">
        <v>684</v>
      </c>
      <c r="CA184" t="str">
        <f t="shared" si="73"/>
        <v>high acid</v>
      </c>
    </row>
    <row r="185" spans="1:79">
      <c r="A185" t="s">
        <v>237</v>
      </c>
      <c r="B185" t="s">
        <v>565</v>
      </c>
      <c r="C185" t="s">
        <v>563</v>
      </c>
      <c r="D185" t="s">
        <v>118</v>
      </c>
      <c r="E185" t="s">
        <v>77</v>
      </c>
      <c r="F185" t="s">
        <v>32</v>
      </c>
      <c r="G185">
        <v>4</v>
      </c>
      <c r="H185">
        <v>32.5</v>
      </c>
      <c r="I185" t="b">
        <v>0</v>
      </c>
      <c r="J185" t="s">
        <v>33</v>
      </c>
      <c r="K185" t="s">
        <v>33</v>
      </c>
      <c r="L185">
        <v>30</v>
      </c>
      <c r="M185" s="4">
        <v>200</v>
      </c>
      <c r="N185" s="3">
        <f>IFERROR(AF185/((T185*X185/Y185)*O185*AI185),"NA")</f>
        <v>2575.8562144245957</v>
      </c>
      <c r="O185">
        <v>4</v>
      </c>
      <c r="P185" t="s">
        <v>33</v>
      </c>
      <c r="Q185" s="9">
        <f t="shared" si="92"/>
        <v>0.15625</v>
      </c>
      <c r="R185" t="s">
        <v>183</v>
      </c>
      <c r="S185" t="s">
        <v>613</v>
      </c>
      <c r="T185" s="11">
        <v>8</v>
      </c>
      <c r="U185">
        <v>2.92</v>
      </c>
      <c r="V185">
        <v>2.2999999999999998</v>
      </c>
      <c r="W185">
        <v>1.2E-2</v>
      </c>
      <c r="X185" s="8">
        <f>IFERROR(((PI())*(((V185*10^-1)/2)^2)*(U185*10^-1)), "NA")</f>
        <v>1.2131888350367701E-2</v>
      </c>
      <c r="Y185" s="6">
        <f>60/60</f>
        <v>1</v>
      </c>
      <c r="Z185" s="3">
        <f>IFERROR(X185*M185*O185*T185*AI185/AF185, "NA")</f>
        <v>7.7644085442353281E-2</v>
      </c>
      <c r="AA185" t="s">
        <v>33</v>
      </c>
      <c r="AB185" s="6">
        <f>IFERROR(((X185*M185)/Z185), "NA")</f>
        <v>31.250000000000004</v>
      </c>
      <c r="AC185" t="str">
        <f t="shared" si="79"/>
        <v>NA</v>
      </c>
      <c r="AD185" s="4">
        <f>AB185*T185*AI185</f>
        <v>250.00000000000003</v>
      </c>
      <c r="AE185" s="3">
        <f>IFERROR(((L185^2)*M185*O185*AK185*10^-6*Q185*T185*AI185), "NA")</f>
        <v>3815.9999999999995</v>
      </c>
      <c r="AF185">
        <v>1000</v>
      </c>
      <c r="AG185" t="str">
        <f>IFERROR((M185*O185*P185), "NA")</f>
        <v>NA</v>
      </c>
      <c r="AH185" t="str">
        <f>IFERROR((AG185*T185*AI185), "NA")</f>
        <v>NA</v>
      </c>
      <c r="AI185">
        <v>1</v>
      </c>
      <c r="AJ185" t="s">
        <v>31</v>
      </c>
      <c r="AK185">
        <v>4240</v>
      </c>
      <c r="AL185" t="s">
        <v>238</v>
      </c>
      <c r="AM185" t="s">
        <v>86</v>
      </c>
      <c r="AN185" t="s">
        <v>205</v>
      </c>
      <c r="AO185" t="s">
        <v>789</v>
      </c>
      <c r="AP185">
        <v>3.56</v>
      </c>
      <c r="AQ185" t="s">
        <v>33</v>
      </c>
      <c r="AR185" t="s">
        <v>33</v>
      </c>
      <c r="AS185">
        <f>LOG(10^8)</f>
        <v>8</v>
      </c>
      <c r="AT185" s="3">
        <f>IFERROR(AS185-AU185,"NA")</f>
        <v>2.9109999999999996</v>
      </c>
      <c r="AU185" s="6">
        <v>5.0890000000000004</v>
      </c>
      <c r="AV185" t="b">
        <v>1</v>
      </c>
      <c r="AW185" t="s">
        <v>172</v>
      </c>
      <c r="AX185" t="s">
        <v>173</v>
      </c>
      <c r="AY185" t="s">
        <v>239</v>
      </c>
      <c r="AZ185" t="s">
        <v>33</v>
      </c>
      <c r="BA185" s="18" t="s">
        <v>799</v>
      </c>
      <c r="BB185" t="b">
        <v>0</v>
      </c>
      <c r="BC185" t="s">
        <v>81</v>
      </c>
      <c r="BD185">
        <v>48</v>
      </c>
      <c r="BE185" t="s">
        <v>80</v>
      </c>
      <c r="BF185" s="11">
        <v>120</v>
      </c>
      <c r="BG185" t="s">
        <v>571</v>
      </c>
      <c r="BH185" t="s">
        <v>31</v>
      </c>
      <c r="BI185" t="s">
        <v>32</v>
      </c>
      <c r="BJ185" s="3">
        <f t="shared" si="80"/>
        <v>5.0890000000000004</v>
      </c>
      <c r="BK185" s="3">
        <f t="shared" si="81"/>
        <v>0.70663245087329474</v>
      </c>
      <c r="BL185">
        <v>2</v>
      </c>
      <c r="BM185" s="3">
        <f t="shared" si="83"/>
        <v>2.8749759151587626</v>
      </c>
      <c r="BN185" t="s">
        <v>33</v>
      </c>
      <c r="BO185" s="3">
        <f t="shared" si="72"/>
        <v>749.85262330516787</v>
      </c>
      <c r="BP185" t="s">
        <v>33</v>
      </c>
      <c r="BQ185" t="s">
        <v>33</v>
      </c>
      <c r="BR185" t="s">
        <v>33</v>
      </c>
      <c r="BS185" t="s">
        <v>33</v>
      </c>
      <c r="BT185" t="s">
        <v>31</v>
      </c>
      <c r="BU185" t="s">
        <v>240</v>
      </c>
      <c r="BV185">
        <v>2004</v>
      </c>
      <c r="BW185" t="s">
        <v>241</v>
      </c>
      <c r="BX185" t="s">
        <v>78</v>
      </c>
      <c r="BY185" t="s">
        <v>33</v>
      </c>
      <c r="BZ185" t="s">
        <v>33</v>
      </c>
      <c r="CA185" t="str">
        <f t="shared" si="73"/>
        <v>high acid</v>
      </c>
    </row>
    <row r="186" spans="1:79">
      <c r="A186" t="s">
        <v>273</v>
      </c>
      <c r="B186" t="s">
        <v>565</v>
      </c>
      <c r="C186" t="s">
        <v>563</v>
      </c>
      <c r="D186" t="s">
        <v>118</v>
      </c>
      <c r="E186" t="s">
        <v>77</v>
      </c>
      <c r="F186" t="s">
        <v>32</v>
      </c>
      <c r="G186">
        <v>20</v>
      </c>
      <c r="H186">
        <v>55</v>
      </c>
      <c r="I186" t="b">
        <v>0</v>
      </c>
      <c r="J186" t="s">
        <v>33</v>
      </c>
      <c r="K186" t="s">
        <v>33</v>
      </c>
      <c r="L186">
        <v>35</v>
      </c>
      <c r="M186" s="4" t="s">
        <v>33</v>
      </c>
      <c r="N186" s="3">
        <f>IFERROR(AF186/((T186*X186/Y186)*O186*AI186),"NA")</f>
        <v>980.27651506198686</v>
      </c>
      <c r="O186">
        <v>2.5</v>
      </c>
      <c r="P186" t="s">
        <v>33</v>
      </c>
      <c r="Q186" s="8">
        <f t="shared" si="92"/>
        <v>1.2173435913211428E-2</v>
      </c>
      <c r="R186" t="s">
        <v>183</v>
      </c>
      <c r="S186" t="s">
        <v>613</v>
      </c>
      <c r="T186" s="11">
        <v>6</v>
      </c>
      <c r="U186">
        <v>2.93</v>
      </c>
      <c r="V186">
        <v>2.2999999999999998</v>
      </c>
      <c r="W186" t="s">
        <v>33</v>
      </c>
      <c r="X186" s="8">
        <f>IFERROR(((PI())*(((V186*10^-1)/2)^2)*(U186*10^-1)), "NA")</f>
        <v>1.2173435913211428E-2</v>
      </c>
      <c r="Y186">
        <f>60/60</f>
        <v>1</v>
      </c>
      <c r="Z186" s="3">
        <f>IFERROR(X186*N186*O186*T186*AI186/AF186, "NA")</f>
        <v>1</v>
      </c>
      <c r="AA186" t="s">
        <v>33</v>
      </c>
      <c r="AB186" s="6">
        <f>IFERROR(((X186*N186)/Y186), "NA")</f>
        <v>11.933333333333334</v>
      </c>
      <c r="AC186" t="str">
        <f t="shared" si="79"/>
        <v>NA</v>
      </c>
      <c r="AD186" s="4">
        <f>AB186*T186*AI186</f>
        <v>71.599999999999994</v>
      </c>
      <c r="AE186" s="3">
        <f>IFERROR(((L186^2)*N186*O186*AK186*10^-6*Q186*T186*AI186), "NA")</f>
        <v>638.09024999999997</v>
      </c>
      <c r="AF186">
        <v>179</v>
      </c>
      <c r="AG186" t="str">
        <f>IFERROR((M186*O186*P186), "NA")</f>
        <v>NA</v>
      </c>
      <c r="AH186" t="str">
        <f>IFERROR((AG186*T186*AI186), "NA")</f>
        <v>NA</v>
      </c>
      <c r="AI186">
        <v>1</v>
      </c>
      <c r="AJ186" t="s">
        <v>31</v>
      </c>
      <c r="AK186">
        <v>2910</v>
      </c>
      <c r="AL186" t="s">
        <v>543</v>
      </c>
      <c r="AM186" t="s">
        <v>86</v>
      </c>
      <c r="AN186" t="s">
        <v>205</v>
      </c>
      <c r="AO186" t="s">
        <v>789</v>
      </c>
      <c r="AP186">
        <v>4.05</v>
      </c>
      <c r="AQ186" t="s">
        <v>33</v>
      </c>
      <c r="AR186" t="s">
        <v>33</v>
      </c>
      <c r="AS186">
        <f>LOG(10^6)</f>
        <v>6</v>
      </c>
      <c r="AT186" s="3">
        <f>IFERROR(AS186-AU186,"NA")</f>
        <v>2.9169999999999998</v>
      </c>
      <c r="AU186" s="6">
        <v>3.0830000000000002</v>
      </c>
      <c r="AV186" t="b">
        <v>1</v>
      </c>
      <c r="AW186" t="s">
        <v>29</v>
      </c>
      <c r="AX186" t="s">
        <v>30</v>
      </c>
      <c r="AY186" t="s">
        <v>216</v>
      </c>
      <c r="AZ186" t="s">
        <v>33</v>
      </c>
      <c r="BA186" s="18" t="s">
        <v>798</v>
      </c>
      <c r="BB186" t="b">
        <v>0</v>
      </c>
      <c r="BC186" t="s">
        <v>81</v>
      </c>
      <c r="BD186">
        <v>4</v>
      </c>
      <c r="BE186" t="s">
        <v>159</v>
      </c>
      <c r="BF186" s="11">
        <v>24</v>
      </c>
      <c r="BG186" t="s">
        <v>572</v>
      </c>
      <c r="BH186" t="s">
        <v>31</v>
      </c>
      <c r="BI186" t="s">
        <v>31</v>
      </c>
      <c r="BJ186" s="3">
        <f t="shared" si="80"/>
        <v>3.0830000000000002</v>
      </c>
      <c r="BK186" s="3">
        <f t="shared" si="81"/>
        <v>0.48897352472650829</v>
      </c>
      <c r="BL186">
        <v>2</v>
      </c>
      <c r="BM186" s="3">
        <f t="shared" si="83"/>
        <v>2.3159085839398434</v>
      </c>
      <c r="BN186" t="s">
        <v>33</v>
      </c>
      <c r="BO186" s="3">
        <f t="shared" si="72"/>
        <v>206.97056438533895</v>
      </c>
      <c r="BP186" t="s">
        <v>33</v>
      </c>
      <c r="BQ186" t="s">
        <v>33</v>
      </c>
      <c r="BR186" t="s">
        <v>33</v>
      </c>
      <c r="BS186" t="s">
        <v>33</v>
      </c>
      <c r="BT186" t="s">
        <v>31</v>
      </c>
      <c r="BU186" t="s">
        <v>274</v>
      </c>
      <c r="BV186">
        <v>2006</v>
      </c>
      <c r="BW186" t="s">
        <v>275</v>
      </c>
      <c r="BX186" t="s">
        <v>78</v>
      </c>
      <c r="BY186" t="s">
        <v>277</v>
      </c>
      <c r="BZ186" t="s">
        <v>33</v>
      </c>
      <c r="CA186" t="str">
        <f t="shared" si="73"/>
        <v>high acid</v>
      </c>
    </row>
    <row r="187" spans="1:79">
      <c r="A187" t="s">
        <v>584</v>
      </c>
      <c r="B187" t="s">
        <v>566</v>
      </c>
      <c r="C187" t="s">
        <v>563</v>
      </c>
      <c r="D187" t="s">
        <v>607</v>
      </c>
      <c r="E187" t="s">
        <v>77</v>
      </c>
      <c r="F187" t="s">
        <v>33</v>
      </c>
      <c r="G187">
        <v>20</v>
      </c>
      <c r="H187">
        <v>35</v>
      </c>
      <c r="I187" t="b">
        <v>0</v>
      </c>
      <c r="J187">
        <v>1000</v>
      </c>
      <c r="K187">
        <v>200</v>
      </c>
      <c r="L187">
        <v>35</v>
      </c>
      <c r="M187" s="4">
        <v>1</v>
      </c>
      <c r="N187" t="e">
        <f>(#REF!*Y187)/(T187*X187*O187)</f>
        <v>#REF!</v>
      </c>
      <c r="O187">
        <v>3</v>
      </c>
      <c r="P187" t="s">
        <v>33</v>
      </c>
      <c r="Q187" s="1">
        <f t="shared" si="92"/>
        <v>166.66666666666666</v>
      </c>
      <c r="R187" t="s">
        <v>183</v>
      </c>
      <c r="S187" t="s">
        <v>33</v>
      </c>
      <c r="T187">
        <v>1</v>
      </c>
      <c r="U187">
        <v>2.5</v>
      </c>
      <c r="V187" t="s">
        <v>33</v>
      </c>
      <c r="W187">
        <v>0.50249999999999995</v>
      </c>
      <c r="X187">
        <f>W187</f>
        <v>0.50249999999999995</v>
      </c>
      <c r="Y187" t="s">
        <v>33</v>
      </c>
      <c r="Z187" s="3">
        <f t="shared" ref="Z187:Z194" si="94">IFERROR(X187*M187*O187*T187*AI187/AF187, "NA")</f>
        <v>3.0149999999999999E-3</v>
      </c>
      <c r="AA187" t="s">
        <v>33</v>
      </c>
      <c r="AB187">
        <f>IFERROR(((X187*M187)/Z187), "NA")</f>
        <v>166.66666666666666</v>
      </c>
      <c r="AC187" s="1" t="str">
        <f t="shared" si="79"/>
        <v>NA</v>
      </c>
      <c r="AE187" s="3">
        <f t="shared" ref="AE187:AE194" si="95">IFERROR(((L187^2)*M187*O187*AK187*10^-6*Q187*T187*AI187), "NA")</f>
        <v>612.49999999999989</v>
      </c>
      <c r="AF187">
        <v>500</v>
      </c>
      <c r="AG187" s="1" t="str">
        <f>IFERROR((N187*P187*Q187), "NA")</f>
        <v>NA</v>
      </c>
      <c r="AH187" s="1" t="str">
        <f>IFERROR((AG187*U187*AI187), "NA")</f>
        <v>NA</v>
      </c>
      <c r="AI187" s="1">
        <v>1</v>
      </c>
      <c r="AJ187" s="11" t="s">
        <v>31</v>
      </c>
      <c r="AK187">
        <v>1000</v>
      </c>
      <c r="AL187" t="s">
        <v>614</v>
      </c>
      <c r="AM187" s="3" t="s">
        <v>103</v>
      </c>
      <c r="AN187" t="s">
        <v>305</v>
      </c>
      <c r="AO187" t="s">
        <v>790</v>
      </c>
      <c r="AP187">
        <v>3.5</v>
      </c>
      <c r="AQ187" t="s">
        <v>33</v>
      </c>
      <c r="AR187" t="s">
        <v>33</v>
      </c>
      <c r="AS187">
        <v>8</v>
      </c>
      <c r="AT187">
        <f>AS187-AU187</f>
        <v>2.92</v>
      </c>
      <c r="AU187" s="6">
        <v>5.08</v>
      </c>
      <c r="AV187" t="b">
        <v>1</v>
      </c>
      <c r="AW187" t="s">
        <v>617</v>
      </c>
      <c r="AX187" t="s">
        <v>33</v>
      </c>
      <c r="AY187" t="s">
        <v>623</v>
      </c>
      <c r="AZ187" t="s">
        <v>621</v>
      </c>
      <c r="BA187" s="18" t="s">
        <v>802</v>
      </c>
      <c r="BB187" s="3" t="b">
        <v>0</v>
      </c>
      <c r="BC187" t="s">
        <v>81</v>
      </c>
      <c r="BD187">
        <v>18</v>
      </c>
      <c r="BE187" t="s">
        <v>80</v>
      </c>
      <c r="BF187">
        <v>24</v>
      </c>
      <c r="BG187" t="s">
        <v>569</v>
      </c>
      <c r="BH187" t="s">
        <v>31</v>
      </c>
      <c r="BI187" t="s">
        <v>32</v>
      </c>
      <c r="BJ187">
        <f t="shared" si="80"/>
        <v>5.08</v>
      </c>
      <c r="BK187" s="3">
        <f t="shared" si="81"/>
        <v>0.70586371228391931</v>
      </c>
      <c r="BL187">
        <v>2</v>
      </c>
      <c r="BM187" s="3">
        <f t="shared" si="83"/>
        <v>2.0812423807526508</v>
      </c>
      <c r="BN187" t="s">
        <v>33</v>
      </c>
      <c r="BO187" s="3">
        <f t="shared" si="72"/>
        <v>120.57086614173225</v>
      </c>
      <c r="BP187" t="s">
        <v>33</v>
      </c>
      <c r="BQ187" t="s">
        <v>33</v>
      </c>
      <c r="BR187" t="s">
        <v>33</v>
      </c>
      <c r="BS187" t="s">
        <v>33</v>
      </c>
      <c r="BT187" t="s">
        <v>31</v>
      </c>
      <c r="BU187" t="s">
        <v>255</v>
      </c>
      <c r="BV187">
        <v>2010</v>
      </c>
      <c r="BW187" t="s">
        <v>651</v>
      </c>
      <c r="BX187" t="s">
        <v>78</v>
      </c>
      <c r="BY187" s="13" t="s">
        <v>674</v>
      </c>
      <c r="CA187" t="str">
        <f t="shared" si="73"/>
        <v>high acid</v>
      </c>
    </row>
    <row r="188" spans="1:79">
      <c r="A188" t="s">
        <v>501</v>
      </c>
      <c r="B188" t="s">
        <v>565</v>
      </c>
      <c r="C188" t="s">
        <v>563</v>
      </c>
      <c r="D188" t="s">
        <v>118</v>
      </c>
      <c r="E188" t="s">
        <v>77</v>
      </c>
      <c r="F188" t="s">
        <v>32</v>
      </c>
      <c r="G188">
        <v>4</v>
      </c>
      <c r="H188">
        <v>40</v>
      </c>
      <c r="I188" t="b">
        <v>0</v>
      </c>
      <c r="J188" t="s">
        <v>33</v>
      </c>
      <c r="K188" t="s">
        <v>33</v>
      </c>
      <c r="L188">
        <v>35</v>
      </c>
      <c r="M188" s="4">
        <v>200</v>
      </c>
      <c r="N188" s="3" t="str">
        <f>IFERROR(AF188/((T188*X188/Y188)*O188*AI188),"NA")</f>
        <v>NA</v>
      </c>
      <c r="O188">
        <v>4</v>
      </c>
      <c r="P188" s="9" t="s">
        <v>33</v>
      </c>
      <c r="Q188" s="8">
        <f t="shared" si="92"/>
        <v>0.21875</v>
      </c>
      <c r="R188" t="s">
        <v>183</v>
      </c>
      <c r="S188" t="s">
        <v>613</v>
      </c>
      <c r="T188" s="11">
        <v>8</v>
      </c>
      <c r="U188">
        <v>2.92</v>
      </c>
      <c r="V188">
        <v>2.2999999999999998</v>
      </c>
      <c r="W188">
        <v>1.21E-2</v>
      </c>
      <c r="X188" s="9">
        <f t="shared" ref="X188:X194" si="96">IFERROR(((PI())*(((V188*10^-1)/2)^2)*(U188*10^-1)), "NA")</f>
        <v>1.2131888350367701E-2</v>
      </c>
      <c r="Y188" s="6" t="s">
        <v>33</v>
      </c>
      <c r="Z188" s="3">
        <f t="shared" si="94"/>
        <v>5.5460061030252347E-2</v>
      </c>
      <c r="AA188" t="s">
        <v>33</v>
      </c>
      <c r="AB188" s="4" t="str">
        <f>IFERROR(((X188*M188)/Y188), "NA")</f>
        <v>NA</v>
      </c>
      <c r="AC188" s="4" t="str">
        <f t="shared" si="79"/>
        <v>NA</v>
      </c>
      <c r="AD188" s="4" t="e">
        <f>AB188*T188*AI188</f>
        <v>#VALUE!</v>
      </c>
      <c r="AE188" s="3">
        <f t="shared" si="95"/>
        <v>6448.4</v>
      </c>
      <c r="AF188">
        <v>1400</v>
      </c>
      <c r="AG188" s="4" t="str">
        <f>IFERROR((M188*O188*P188), "NA")</f>
        <v>NA</v>
      </c>
      <c r="AH188" s="4" t="str">
        <f>IFERROR((AG188*T188*AI188), "NA")</f>
        <v>NA</v>
      </c>
      <c r="AI188">
        <v>1</v>
      </c>
      <c r="AJ188" t="s">
        <v>31</v>
      </c>
      <c r="AK188">
        <v>3760</v>
      </c>
      <c r="AL188" t="s">
        <v>553</v>
      </c>
      <c r="AM188" t="s">
        <v>86</v>
      </c>
      <c r="AN188" t="s">
        <v>205</v>
      </c>
      <c r="AO188" t="s">
        <v>789</v>
      </c>
      <c r="AP188">
        <v>3.31</v>
      </c>
      <c r="AQ188" t="s">
        <v>33</v>
      </c>
      <c r="AR188" t="s">
        <v>33</v>
      </c>
      <c r="AS188" s="6">
        <f>LOG((10^7+10^8)/2)</f>
        <v>7.7403626894942441</v>
      </c>
      <c r="AT188" s="3">
        <f>IFERROR(AS188-AU188,"NA")</f>
        <v>2.9273626894942444</v>
      </c>
      <c r="AU188" s="6">
        <v>4.8129999999999997</v>
      </c>
      <c r="AV188" t="b">
        <v>1</v>
      </c>
      <c r="AW188" t="s">
        <v>92</v>
      </c>
      <c r="AX188" t="s">
        <v>119</v>
      </c>
      <c r="AY188" t="s">
        <v>425</v>
      </c>
      <c r="AZ188" t="s">
        <v>33</v>
      </c>
      <c r="BA188" s="18" t="s">
        <v>801</v>
      </c>
      <c r="BB188" t="b">
        <v>0</v>
      </c>
      <c r="BC188" t="s">
        <v>81</v>
      </c>
      <c r="BD188">
        <v>15</v>
      </c>
      <c r="BE188" t="s">
        <v>80</v>
      </c>
      <c r="BF188" s="11">
        <v>36</v>
      </c>
      <c r="BG188" t="s">
        <v>573</v>
      </c>
      <c r="BH188" t="s">
        <v>31</v>
      </c>
      <c r="BI188" t="s">
        <v>31</v>
      </c>
      <c r="BJ188" s="3">
        <f t="shared" si="80"/>
        <v>4.8129999999999997</v>
      </c>
      <c r="BK188" s="3">
        <f t="shared" si="81"/>
        <v>0.68241586167735846</v>
      </c>
      <c r="BL188">
        <v>2</v>
      </c>
      <c r="BM188" s="3">
        <f t="shared" si="83"/>
        <v>3.1270361076290918</v>
      </c>
      <c r="BN188" t="s">
        <v>33</v>
      </c>
      <c r="BO188" s="3">
        <f t="shared" si="72"/>
        <v>1339.7880739663412</v>
      </c>
      <c r="BP188" t="s">
        <v>33</v>
      </c>
      <c r="BQ188" t="s">
        <v>33</v>
      </c>
      <c r="BR188" t="s">
        <v>33</v>
      </c>
      <c r="BS188" t="s">
        <v>33</v>
      </c>
      <c r="BT188" t="s">
        <v>31</v>
      </c>
      <c r="BU188" t="s">
        <v>503</v>
      </c>
      <c r="BV188">
        <v>2011</v>
      </c>
      <c r="BW188" t="s">
        <v>504</v>
      </c>
      <c r="BX188" t="s">
        <v>78</v>
      </c>
      <c r="BY188" t="s">
        <v>33</v>
      </c>
      <c r="BZ188" t="s">
        <v>33</v>
      </c>
      <c r="CA188" t="str">
        <f t="shared" si="73"/>
        <v>high acid</v>
      </c>
    </row>
    <row r="189" spans="1:79">
      <c r="A189" t="s">
        <v>89</v>
      </c>
      <c r="B189" t="s">
        <v>565</v>
      </c>
      <c r="C189" t="s">
        <v>563</v>
      </c>
      <c r="D189" t="s">
        <v>118</v>
      </c>
      <c r="E189" t="s">
        <v>77</v>
      </c>
      <c r="F189" t="s">
        <v>32</v>
      </c>
      <c r="G189">
        <v>50</v>
      </c>
      <c r="H189">
        <f>(53+60)/2</f>
        <v>56.5</v>
      </c>
      <c r="I189" t="b">
        <v>0</v>
      </c>
      <c r="J189" t="s">
        <v>33</v>
      </c>
      <c r="K189" t="s">
        <v>33</v>
      </c>
      <c r="L189">
        <v>22</v>
      </c>
      <c r="M189" s="4">
        <v>548</v>
      </c>
      <c r="N189" s="3">
        <f>IFERROR(AF189/((T189*X189/Y189)*O189*AI189),"NA")</f>
        <v>553.30575787548105</v>
      </c>
      <c r="O189">
        <v>2.5</v>
      </c>
      <c r="P189" t="s">
        <v>33</v>
      </c>
      <c r="Q189" s="8">
        <f t="shared" si="92"/>
        <v>6.0827250608272501E-3</v>
      </c>
      <c r="R189" t="s">
        <v>183</v>
      </c>
      <c r="S189" t="s">
        <v>612</v>
      </c>
      <c r="T189" s="11">
        <v>6</v>
      </c>
      <c r="U189">
        <v>2.9</v>
      </c>
      <c r="V189">
        <v>2.2999999999999998</v>
      </c>
      <c r="W189" t="s">
        <v>33</v>
      </c>
      <c r="X189" s="8">
        <f t="shared" si="96"/>
        <v>1.204879322468025E-2</v>
      </c>
      <c r="Y189">
        <f>120/60</f>
        <v>2</v>
      </c>
      <c r="Z189" s="9">
        <f t="shared" si="94"/>
        <v>1.9808216061374333</v>
      </c>
      <c r="AA189">
        <v>3.3</v>
      </c>
      <c r="AB189" s="6">
        <f t="shared" ref="AB189:AB194" si="97">IFERROR(((X189*M189)/Z189), "NA")</f>
        <v>3.333333333333333</v>
      </c>
      <c r="AC189" t="str">
        <f t="shared" si="79"/>
        <v>NA</v>
      </c>
      <c r="AD189" s="4">
        <f>IFERROR(AB189*T189*AI189, "NA")</f>
        <v>20</v>
      </c>
      <c r="AE189">
        <f t="shared" si="95"/>
        <v>78.649999999999977</v>
      </c>
      <c r="AF189">
        <v>50</v>
      </c>
      <c r="AG189" t="str">
        <f>IFERROR((M189*O189*P189), "NA")</f>
        <v>NA</v>
      </c>
      <c r="AH189" t="str">
        <f>IFERROR((AG189*T189*AI189), "NA")</f>
        <v>NA</v>
      </c>
      <c r="AI189" s="11">
        <v>1</v>
      </c>
      <c r="AJ189" t="s">
        <v>31</v>
      </c>
      <c r="AK189">
        <v>3250</v>
      </c>
      <c r="AL189" t="s">
        <v>238</v>
      </c>
      <c r="AM189" t="s">
        <v>86</v>
      </c>
      <c r="AN189" t="s">
        <v>205</v>
      </c>
      <c r="AO189" t="s">
        <v>789</v>
      </c>
      <c r="AP189">
        <v>4.16</v>
      </c>
      <c r="AQ189" t="s">
        <v>33</v>
      </c>
      <c r="AR189" t="s">
        <v>33</v>
      </c>
      <c r="AS189" s="3">
        <f>LOG(3.8*10^6)</f>
        <v>6.5797835966168101</v>
      </c>
      <c r="AT189" s="3">
        <f>IFERROR(AS189-AU189,"NA")</f>
        <v>2.9497835966168102</v>
      </c>
      <c r="AU189" s="6">
        <v>3.63</v>
      </c>
      <c r="AV189" t="b">
        <v>1</v>
      </c>
      <c r="AW189" t="s">
        <v>123</v>
      </c>
      <c r="AX189" t="s">
        <v>88</v>
      </c>
      <c r="AY189" t="s">
        <v>518</v>
      </c>
      <c r="AZ189" t="s">
        <v>33</v>
      </c>
      <c r="BA189" s="18" t="s">
        <v>579</v>
      </c>
      <c r="BB189" t="b">
        <v>1</v>
      </c>
      <c r="BC189" t="s">
        <v>81</v>
      </c>
      <c r="BD189">
        <v>24</v>
      </c>
      <c r="BE189" t="s">
        <v>80</v>
      </c>
      <c r="BF189" s="11">
        <v>72</v>
      </c>
      <c r="BG189" t="s">
        <v>395</v>
      </c>
      <c r="BH189" t="s">
        <v>31</v>
      </c>
      <c r="BI189" t="s">
        <v>31</v>
      </c>
      <c r="BJ189">
        <f t="shared" si="80"/>
        <v>3.63</v>
      </c>
      <c r="BK189" s="3">
        <f t="shared" si="81"/>
        <v>0.55990662503611255</v>
      </c>
      <c r="BL189">
        <v>2</v>
      </c>
      <c r="BM189" s="3">
        <f>LOG(BO189)</f>
        <v>1.3357921019231931</v>
      </c>
      <c r="BN189" t="s">
        <v>33</v>
      </c>
      <c r="BO189" s="3">
        <f t="shared" si="72"/>
        <v>21.666666666666661</v>
      </c>
      <c r="BP189" t="s">
        <v>33</v>
      </c>
      <c r="BQ189" t="s">
        <v>33</v>
      </c>
      <c r="BR189" t="s">
        <v>33</v>
      </c>
      <c r="BS189" t="s">
        <v>33</v>
      </c>
      <c r="BT189" t="s">
        <v>32</v>
      </c>
      <c r="BU189" t="s">
        <v>84</v>
      </c>
      <c r="BV189">
        <v>2013</v>
      </c>
      <c r="BW189" t="s">
        <v>83</v>
      </c>
      <c r="BX189" t="s">
        <v>78</v>
      </c>
      <c r="BY189" t="s">
        <v>33</v>
      </c>
      <c r="BZ189" t="s">
        <v>33</v>
      </c>
      <c r="CA189" t="str">
        <f t="shared" si="73"/>
        <v>high acid</v>
      </c>
    </row>
    <row r="190" spans="1:79">
      <c r="A190" t="s">
        <v>153</v>
      </c>
      <c r="B190" t="s">
        <v>565</v>
      </c>
      <c r="C190" t="s">
        <v>563</v>
      </c>
      <c r="D190" t="s">
        <v>118</v>
      </c>
      <c r="E190" t="s">
        <v>77</v>
      </c>
      <c r="F190" t="s">
        <v>32</v>
      </c>
      <c r="G190">
        <v>5</v>
      </c>
      <c r="H190">
        <v>50</v>
      </c>
      <c r="I190" t="b">
        <v>0</v>
      </c>
      <c r="J190" t="s">
        <v>33</v>
      </c>
      <c r="K190" t="s">
        <v>33</v>
      </c>
      <c r="L190">
        <v>34</v>
      </c>
      <c r="M190" s="4">
        <v>1000</v>
      </c>
      <c r="N190" s="3">
        <f>IFERROR(AF190/((T190*X190/Y190)*O190*AI190),"NA")</f>
        <v>1002.8666861493093</v>
      </c>
      <c r="O190">
        <v>2</v>
      </c>
      <c r="P190" t="s">
        <v>33</v>
      </c>
      <c r="Q190" s="8">
        <f t="shared" si="92"/>
        <v>1.2083333333333333E-2</v>
      </c>
      <c r="R190" t="s">
        <v>183</v>
      </c>
      <c r="S190" t="s">
        <v>613</v>
      </c>
      <c r="T190" s="11">
        <v>6</v>
      </c>
      <c r="U190">
        <v>2.9</v>
      </c>
      <c r="V190">
        <v>2.2999999999999998</v>
      </c>
      <c r="W190" t="s">
        <v>33</v>
      </c>
      <c r="X190" s="8">
        <f t="shared" si="96"/>
        <v>1.204879322468025E-2</v>
      </c>
      <c r="Y190" s="6">
        <f>60/60</f>
        <v>1</v>
      </c>
      <c r="Z190" s="3">
        <f t="shared" si="94"/>
        <v>0.99714150824940007</v>
      </c>
      <c r="AA190" t="s">
        <v>33</v>
      </c>
      <c r="AB190" s="6">
        <f t="shared" si="97"/>
        <v>12.083333333333334</v>
      </c>
      <c r="AC190" t="str">
        <f t="shared" si="79"/>
        <v>NA</v>
      </c>
      <c r="AD190" s="4">
        <f>AB190*T190*AI190</f>
        <v>72.5</v>
      </c>
      <c r="AE190" s="3">
        <f t="shared" si="95"/>
        <v>269.53296</v>
      </c>
      <c r="AF190">
        <v>145</v>
      </c>
      <c r="AG190" t="str">
        <f>IFERROR((M190*O190*P190), "NA")</f>
        <v>NA</v>
      </c>
      <c r="AH190" t="str">
        <f>IFERROR((AG190*T190*AI190), "NA")</f>
        <v>NA</v>
      </c>
      <c r="AI190">
        <v>1</v>
      </c>
      <c r="AJ190" t="s">
        <v>31</v>
      </c>
      <c r="AK190">
        <v>1608</v>
      </c>
      <c r="AL190" t="s">
        <v>149</v>
      </c>
      <c r="AM190" t="s">
        <v>86</v>
      </c>
      <c r="AN190" t="s">
        <v>205</v>
      </c>
      <c r="AO190" t="s">
        <v>789</v>
      </c>
      <c r="AP190">
        <v>3.41</v>
      </c>
      <c r="AQ190" t="s">
        <v>33</v>
      </c>
      <c r="AR190" t="s">
        <v>33</v>
      </c>
      <c r="AS190" s="3">
        <v>9</v>
      </c>
      <c r="AT190" s="3">
        <f>IFERROR(AS190-AU190,"NA")</f>
        <v>2.95</v>
      </c>
      <c r="AU190" s="6">
        <v>6.05</v>
      </c>
      <c r="AV190" t="b">
        <v>1</v>
      </c>
      <c r="AW190" t="s">
        <v>29</v>
      </c>
      <c r="AX190" t="s">
        <v>30</v>
      </c>
      <c r="AY190" t="s">
        <v>33</v>
      </c>
      <c r="AZ190" t="s">
        <v>134</v>
      </c>
      <c r="BA190" s="18" t="s">
        <v>798</v>
      </c>
      <c r="BB190" t="b">
        <v>0</v>
      </c>
      <c r="BC190" t="s">
        <v>81</v>
      </c>
      <c r="BD190">
        <f>18</f>
        <v>18</v>
      </c>
      <c r="BE190" t="s">
        <v>80</v>
      </c>
      <c r="BF190" s="11">
        <v>24</v>
      </c>
      <c r="BG190" t="s">
        <v>262</v>
      </c>
      <c r="BH190" t="s">
        <v>31</v>
      </c>
      <c r="BI190" t="s">
        <v>32</v>
      </c>
      <c r="BJ190" s="3">
        <f t="shared" si="80"/>
        <v>6.05</v>
      </c>
      <c r="BK190" s="3">
        <f t="shared" si="81"/>
        <v>0.78175537465246892</v>
      </c>
      <c r="BL190">
        <v>2</v>
      </c>
      <c r="BM190" s="3">
        <f t="shared" ref="BM190:BM195" si="98">IFERROR(LOG(BO190),"NA")</f>
        <v>1.6488565060794487</v>
      </c>
      <c r="BN190" t="s">
        <v>33</v>
      </c>
      <c r="BO190" s="3">
        <f t="shared" si="72"/>
        <v>44.550902479338845</v>
      </c>
      <c r="BP190" t="s">
        <v>33</v>
      </c>
      <c r="BQ190" t="s">
        <v>33</v>
      </c>
      <c r="BR190" t="s">
        <v>33</v>
      </c>
      <c r="BS190" t="s">
        <v>33</v>
      </c>
      <c r="BT190" t="s">
        <v>31</v>
      </c>
      <c r="BU190" t="s">
        <v>190</v>
      </c>
      <c r="BV190">
        <v>2021</v>
      </c>
      <c r="BW190" s="5" t="s">
        <v>191</v>
      </c>
      <c r="BX190" t="s">
        <v>78</v>
      </c>
      <c r="BY190" t="s">
        <v>33</v>
      </c>
      <c r="BZ190" t="s">
        <v>150</v>
      </c>
      <c r="CA190" t="str">
        <f t="shared" si="73"/>
        <v>high acid</v>
      </c>
    </row>
    <row r="191" spans="1:79">
      <c r="A191" t="s">
        <v>332</v>
      </c>
      <c r="B191" t="s">
        <v>565</v>
      </c>
      <c r="C191" t="s">
        <v>563</v>
      </c>
      <c r="D191" t="s">
        <v>118</v>
      </c>
      <c r="E191" t="s">
        <v>77</v>
      </c>
      <c r="F191" t="s">
        <v>32</v>
      </c>
      <c r="G191">
        <v>15</v>
      </c>
      <c r="H191">
        <v>30.4</v>
      </c>
      <c r="I191" t="b">
        <v>0</v>
      </c>
      <c r="J191" t="s">
        <v>33</v>
      </c>
      <c r="K191" t="s">
        <v>33</v>
      </c>
      <c r="L191">
        <v>27.5</v>
      </c>
      <c r="M191" s="4">
        <v>200</v>
      </c>
      <c r="N191" s="3">
        <f>IFERROR(AF191/((T191*X191/Y191)*O191*AI191),"NA")</f>
        <v>3454.7028257350348</v>
      </c>
      <c r="O191">
        <v>5</v>
      </c>
      <c r="P191" t="s">
        <v>33</v>
      </c>
      <c r="Q191" s="8">
        <f t="shared" si="92"/>
        <v>6.2500000000000014E-2</v>
      </c>
      <c r="R191" t="s">
        <v>183</v>
      </c>
      <c r="S191" t="s">
        <v>613</v>
      </c>
      <c r="T191" s="11">
        <v>8</v>
      </c>
      <c r="U191">
        <v>2.9</v>
      </c>
      <c r="V191">
        <v>2.2999999999999998</v>
      </c>
      <c r="W191">
        <v>1.2E-2</v>
      </c>
      <c r="X191" s="8">
        <f t="shared" si="96"/>
        <v>1.204879322468025E-2</v>
      </c>
      <c r="Y191">
        <v>3.33</v>
      </c>
      <c r="Z191" s="3">
        <f t="shared" si="94"/>
        <v>0.19278069159488398</v>
      </c>
      <c r="AA191" t="s">
        <v>33</v>
      </c>
      <c r="AB191" s="6">
        <f t="shared" si="97"/>
        <v>12.500000000000002</v>
      </c>
      <c r="AC191" t="str">
        <f t="shared" si="79"/>
        <v>NA</v>
      </c>
      <c r="AD191" s="4">
        <f>AB191*T191*AI191</f>
        <v>100.00000000000001</v>
      </c>
      <c r="AE191" s="3">
        <f t="shared" si="95"/>
        <v>794.06250000000023</v>
      </c>
      <c r="AF191">
        <v>500</v>
      </c>
      <c r="AG191" t="str">
        <f>IFERROR((M191*O191*P191), "NA")</f>
        <v>NA</v>
      </c>
      <c r="AH191" t="str">
        <f>IFERROR((AG191*T191*AI191), "NA")</f>
        <v>NA</v>
      </c>
      <c r="AI191">
        <v>1</v>
      </c>
      <c r="AJ191" t="s">
        <v>31</v>
      </c>
      <c r="AK191">
        <v>2100</v>
      </c>
      <c r="AL191" t="s">
        <v>551</v>
      </c>
      <c r="AM191" t="s">
        <v>86</v>
      </c>
      <c r="AN191" t="s">
        <v>205</v>
      </c>
      <c r="AO191" t="s">
        <v>789</v>
      </c>
      <c r="AP191">
        <v>3.79</v>
      </c>
      <c r="AQ191">
        <v>1060</v>
      </c>
      <c r="AR191" t="s">
        <v>33</v>
      </c>
      <c r="AS191" s="6">
        <f>LOG((10^6+10^7)/2)</f>
        <v>6.7403626894942441</v>
      </c>
      <c r="AT191" s="3">
        <f>IFERROR(AS191-AU191,"NA")</f>
        <v>2.9503626894942441</v>
      </c>
      <c r="AU191" s="6">
        <v>3.79</v>
      </c>
      <c r="AV191" t="b">
        <v>1</v>
      </c>
      <c r="AW191" t="s">
        <v>172</v>
      </c>
      <c r="AX191" t="s">
        <v>173</v>
      </c>
      <c r="AY191" t="s">
        <v>333</v>
      </c>
      <c r="AZ191" t="s">
        <v>33</v>
      </c>
      <c r="BA191" s="18" t="s">
        <v>799</v>
      </c>
      <c r="BB191" t="b">
        <v>0</v>
      </c>
      <c r="BC191" t="s">
        <v>81</v>
      </c>
      <c r="BD191">
        <v>72</v>
      </c>
      <c r="BE191" t="s">
        <v>80</v>
      </c>
      <c r="BF191" s="11">
        <v>168</v>
      </c>
      <c r="BG191" t="s">
        <v>334</v>
      </c>
      <c r="BH191" t="s">
        <v>31</v>
      </c>
      <c r="BI191" t="s">
        <v>31</v>
      </c>
      <c r="BJ191" s="3">
        <f t="shared" si="80"/>
        <v>3.79</v>
      </c>
      <c r="BK191" s="3">
        <f t="shared" si="81"/>
        <v>0.57863920996807239</v>
      </c>
      <c r="BL191">
        <v>2</v>
      </c>
      <c r="BM191" s="3">
        <f t="shared" si="98"/>
        <v>2.3212154767623914</v>
      </c>
      <c r="BN191" t="s">
        <v>33</v>
      </c>
      <c r="BO191" s="3">
        <f t="shared" si="72"/>
        <v>209.51517150395784</v>
      </c>
      <c r="BP191" t="s">
        <v>33</v>
      </c>
      <c r="BQ191" t="s">
        <v>33</v>
      </c>
      <c r="BR191" t="s">
        <v>33</v>
      </c>
      <c r="BS191" t="s">
        <v>33</v>
      </c>
      <c r="BT191" t="s">
        <v>31</v>
      </c>
      <c r="BU191" t="s">
        <v>330</v>
      </c>
      <c r="BV191">
        <v>2009</v>
      </c>
      <c r="BW191" t="s">
        <v>331</v>
      </c>
      <c r="BX191" t="s">
        <v>78</v>
      </c>
      <c r="BY191" t="s">
        <v>33</v>
      </c>
      <c r="BZ191" t="s">
        <v>33</v>
      </c>
      <c r="CA191" t="str">
        <f t="shared" si="73"/>
        <v>high acid</v>
      </c>
    </row>
    <row r="192" spans="1:79">
      <c r="A192" t="s">
        <v>580</v>
      </c>
      <c r="B192" t="s">
        <v>565</v>
      </c>
      <c r="C192" t="s">
        <v>563</v>
      </c>
      <c r="D192" t="s">
        <v>118</v>
      </c>
      <c r="E192" t="s">
        <v>77</v>
      </c>
      <c r="F192" t="s">
        <v>32</v>
      </c>
      <c r="G192">
        <v>22</v>
      </c>
      <c r="H192">
        <v>40</v>
      </c>
      <c r="I192" t="b">
        <v>0</v>
      </c>
      <c r="J192">
        <v>10220</v>
      </c>
      <c r="K192">
        <v>34.78</v>
      </c>
      <c r="L192">
        <v>35</v>
      </c>
      <c r="M192" s="4">
        <v>175</v>
      </c>
      <c r="N192" t="e">
        <f>(#REF!*Y192)/(T192*X192*O192)</f>
        <v>#REF!</v>
      </c>
      <c r="O192">
        <v>4</v>
      </c>
      <c r="P192">
        <f>AVERAGE(0.0066, 0.0091)</f>
        <v>7.8499999999999993E-3</v>
      </c>
      <c r="Q192" s="1">
        <f t="shared" si="92"/>
        <v>0.35714285714285715</v>
      </c>
      <c r="R192" t="s">
        <v>183</v>
      </c>
      <c r="S192" t="s">
        <v>613</v>
      </c>
      <c r="T192">
        <v>8</v>
      </c>
      <c r="U192">
        <v>2.92</v>
      </c>
      <c r="V192">
        <v>2.2999999999999998</v>
      </c>
      <c r="W192">
        <v>1.21E-2</v>
      </c>
      <c r="X192">
        <f t="shared" si="96"/>
        <v>1.2131888350367701E-2</v>
      </c>
      <c r="Y192">
        <v>1.5</v>
      </c>
      <c r="Z192" s="3">
        <f t="shared" si="94"/>
        <v>3.3969287381029563E-2</v>
      </c>
      <c r="AA192" t="s">
        <v>33</v>
      </c>
      <c r="AB192">
        <f t="shared" si="97"/>
        <v>62.499999999999993</v>
      </c>
      <c r="AC192" s="1">
        <f t="shared" si="79"/>
        <v>1.3737499999999998</v>
      </c>
      <c r="AE192" s="3">
        <f t="shared" si="95"/>
        <v>7325.4999999999991</v>
      </c>
      <c r="AF192">
        <v>2000</v>
      </c>
      <c r="AG192" s="1" t="str">
        <f>IFERROR((N192*P192*Q192), "NA")</f>
        <v>NA</v>
      </c>
      <c r="AH192" s="1" t="str">
        <f>IFERROR((AG192*U192*AI192), "NA")</f>
        <v>NA</v>
      </c>
      <c r="AI192" s="1">
        <v>1</v>
      </c>
      <c r="AJ192" s="11" t="s">
        <v>31</v>
      </c>
      <c r="AK192">
        <v>2990</v>
      </c>
      <c r="AL192" t="s">
        <v>544</v>
      </c>
      <c r="AM192" t="s">
        <v>86</v>
      </c>
      <c r="AN192" t="s">
        <v>205</v>
      </c>
      <c r="AO192" t="s">
        <v>789</v>
      </c>
      <c r="AP192">
        <v>4.4000000000000004</v>
      </c>
      <c r="AQ192" t="s">
        <v>33</v>
      </c>
      <c r="AR192" t="s">
        <v>33</v>
      </c>
      <c r="AS192">
        <v>7.5</v>
      </c>
      <c r="AT192">
        <f>AS192-AU192</f>
        <v>2.96</v>
      </c>
      <c r="AU192" s="6">
        <v>4.54</v>
      </c>
      <c r="AV192" t="b">
        <v>1</v>
      </c>
      <c r="AW192" t="s">
        <v>617</v>
      </c>
      <c r="AX192" t="s">
        <v>33</v>
      </c>
      <c r="AY192" t="s">
        <v>33</v>
      </c>
      <c r="AZ192" t="s">
        <v>619</v>
      </c>
      <c r="BA192" s="18" t="s">
        <v>802</v>
      </c>
      <c r="BB192" s="3" t="b">
        <v>0</v>
      </c>
      <c r="BC192" t="s">
        <v>81</v>
      </c>
      <c r="BD192">
        <v>15</v>
      </c>
      <c r="BE192" t="s">
        <v>80</v>
      </c>
      <c r="BF192">
        <v>24</v>
      </c>
      <c r="BG192" t="s">
        <v>697</v>
      </c>
      <c r="BH192" t="s">
        <v>32</v>
      </c>
      <c r="BI192" t="s">
        <v>31</v>
      </c>
      <c r="BJ192">
        <f t="shared" si="80"/>
        <v>4.54</v>
      </c>
      <c r="BK192" s="3">
        <f t="shared" si="81"/>
        <v>0.65705585285710388</v>
      </c>
      <c r="BL192">
        <v>2</v>
      </c>
      <c r="BM192" s="3">
        <f t="shared" si="98"/>
        <v>3.2077814198318579</v>
      </c>
      <c r="BN192" t="s">
        <v>33</v>
      </c>
      <c r="BO192" s="3">
        <f t="shared" si="72"/>
        <v>1613.5462555066076</v>
      </c>
      <c r="BP192" t="s">
        <v>33</v>
      </c>
      <c r="BQ192" t="s">
        <v>33</v>
      </c>
      <c r="BR192" t="s">
        <v>33</v>
      </c>
      <c r="BS192" t="s">
        <v>33</v>
      </c>
      <c r="BT192" t="s">
        <v>31</v>
      </c>
      <c r="BU192" t="s">
        <v>219</v>
      </c>
      <c r="BV192" s="14">
        <v>2008</v>
      </c>
      <c r="BW192" t="s">
        <v>257</v>
      </c>
      <c r="BX192" t="s">
        <v>78</v>
      </c>
      <c r="BY192" s="13" t="s">
        <v>670</v>
      </c>
      <c r="CA192" t="str">
        <f t="shared" si="73"/>
        <v>high acid</v>
      </c>
    </row>
    <row r="193" spans="1:79">
      <c r="A193" t="s">
        <v>581</v>
      </c>
      <c r="B193" t="s">
        <v>565</v>
      </c>
      <c r="C193" t="s">
        <v>563</v>
      </c>
      <c r="D193" t="s">
        <v>118</v>
      </c>
      <c r="E193" t="s">
        <v>77</v>
      </c>
      <c r="F193" t="s">
        <v>32</v>
      </c>
      <c r="G193">
        <v>5</v>
      </c>
      <c r="H193">
        <v>30.3</v>
      </c>
      <c r="I193" t="b">
        <v>0</v>
      </c>
      <c r="J193" t="s">
        <v>33</v>
      </c>
      <c r="K193" t="s">
        <v>33</v>
      </c>
      <c r="L193">
        <v>35</v>
      </c>
      <c r="M193" s="4">
        <v>250</v>
      </c>
      <c r="N193" t="e">
        <f>(#REF!*Y193)/(T193*X193*O193)</f>
        <v>#REF!</v>
      </c>
      <c r="O193">
        <v>4</v>
      </c>
      <c r="P193" t="s">
        <v>33</v>
      </c>
      <c r="Q193" s="1">
        <f t="shared" si="92"/>
        <v>0.25</v>
      </c>
      <c r="R193" t="s">
        <v>183</v>
      </c>
      <c r="S193" t="s">
        <v>613</v>
      </c>
      <c r="T193">
        <v>8</v>
      </c>
      <c r="U193">
        <v>2.92</v>
      </c>
      <c r="V193">
        <v>2.2999999999999998</v>
      </c>
      <c r="W193">
        <v>1.21E-2</v>
      </c>
      <c r="X193">
        <f t="shared" si="96"/>
        <v>1.2131888350367701E-2</v>
      </c>
      <c r="Y193">
        <v>1.6666700000000001</v>
      </c>
      <c r="Z193" s="3">
        <f t="shared" si="94"/>
        <v>4.8527553401470802E-2</v>
      </c>
      <c r="AA193" t="s">
        <v>33</v>
      </c>
      <c r="AB193">
        <f t="shared" si="97"/>
        <v>62.5</v>
      </c>
      <c r="AC193" s="1" t="str">
        <f t="shared" si="79"/>
        <v>NA</v>
      </c>
      <c r="AE193" s="3">
        <f t="shared" si="95"/>
        <v>8967</v>
      </c>
      <c r="AF193">
        <v>2000</v>
      </c>
      <c r="AG193" s="1" t="str">
        <f>IFERROR((N193*P193*Q193), "NA")</f>
        <v>NA</v>
      </c>
      <c r="AH193" s="1" t="str">
        <f>IFERROR((AG193*U193*AI193), "NA")</f>
        <v>NA</v>
      </c>
      <c r="AI193" s="1">
        <v>1</v>
      </c>
      <c r="AJ193" s="11" t="s">
        <v>31</v>
      </c>
      <c r="AK193">
        <v>3660</v>
      </c>
      <c r="AL193" t="s">
        <v>541</v>
      </c>
      <c r="AM193" t="s">
        <v>86</v>
      </c>
      <c r="AN193" t="s">
        <v>186</v>
      </c>
      <c r="AO193" t="s">
        <v>794</v>
      </c>
      <c r="AP193">
        <v>5.46</v>
      </c>
      <c r="AQ193" t="s">
        <v>33</v>
      </c>
      <c r="AR193" t="s">
        <v>33</v>
      </c>
      <c r="AS193">
        <v>7.5</v>
      </c>
      <c r="AT193">
        <f>AS193-AU193</f>
        <v>2.96</v>
      </c>
      <c r="AU193" s="6">
        <v>4.54</v>
      </c>
      <c r="AV193" t="b">
        <v>1</v>
      </c>
      <c r="AW193" t="s">
        <v>617</v>
      </c>
      <c r="AX193" t="s">
        <v>618</v>
      </c>
      <c r="AY193" t="s">
        <v>33</v>
      </c>
      <c r="AZ193" t="s">
        <v>619</v>
      </c>
      <c r="BA193" s="18" t="s">
        <v>802</v>
      </c>
      <c r="BB193" s="3" t="b">
        <v>0</v>
      </c>
      <c r="BC193" t="s">
        <v>81</v>
      </c>
      <c r="BD193">
        <v>15</v>
      </c>
      <c r="BE193" t="s">
        <v>80</v>
      </c>
      <c r="BF193">
        <v>15</v>
      </c>
      <c r="BG193" t="s">
        <v>697</v>
      </c>
      <c r="BH193" t="s">
        <v>32</v>
      </c>
      <c r="BI193" t="s">
        <v>31</v>
      </c>
      <c r="BJ193">
        <f t="shared" si="80"/>
        <v>4.54</v>
      </c>
      <c r="BK193" s="3">
        <f t="shared" si="81"/>
        <v>0.65705585285710388</v>
      </c>
      <c r="BL193">
        <v>2</v>
      </c>
      <c r="BM193" s="3">
        <f t="shared" si="98"/>
        <v>3.2955913169018394</v>
      </c>
      <c r="BN193" t="s">
        <v>33</v>
      </c>
      <c r="BO193" s="3">
        <f t="shared" si="72"/>
        <v>1975.1101321585902</v>
      </c>
      <c r="BP193" t="s">
        <v>33</v>
      </c>
      <c r="BQ193" t="s">
        <v>33</v>
      </c>
      <c r="BR193" t="s">
        <v>33</v>
      </c>
      <c r="BS193" t="s">
        <v>33</v>
      </c>
      <c r="BT193" t="s">
        <v>31</v>
      </c>
      <c r="BU193" t="s">
        <v>219</v>
      </c>
      <c r="BV193" s="14">
        <v>2007</v>
      </c>
      <c r="BW193" s="2" t="s">
        <v>648</v>
      </c>
      <c r="BX193" t="s">
        <v>78</v>
      </c>
      <c r="BY193" s="13" t="s">
        <v>671</v>
      </c>
      <c r="CA193" t="str">
        <f t="shared" si="73"/>
        <v>low acid</v>
      </c>
    </row>
    <row r="194" spans="1:79">
      <c r="A194" t="s">
        <v>581</v>
      </c>
      <c r="B194" t="s">
        <v>565</v>
      </c>
      <c r="C194" t="s">
        <v>563</v>
      </c>
      <c r="D194" t="s">
        <v>118</v>
      </c>
      <c r="E194" t="s">
        <v>77</v>
      </c>
      <c r="F194" t="s">
        <v>32</v>
      </c>
      <c r="G194">
        <v>5</v>
      </c>
      <c r="H194">
        <v>39.1</v>
      </c>
      <c r="I194" t="b">
        <v>0</v>
      </c>
      <c r="J194" t="s">
        <v>33</v>
      </c>
      <c r="K194" t="s">
        <v>33</v>
      </c>
      <c r="L194">
        <v>35</v>
      </c>
      <c r="M194" s="4">
        <v>175</v>
      </c>
      <c r="N194" t="e">
        <f>(#REF!*Y194)/(T194*X194*O194)</f>
        <v>#REF!</v>
      </c>
      <c r="O194">
        <v>4</v>
      </c>
      <c r="P194" t="s">
        <v>33</v>
      </c>
      <c r="Q194" s="1">
        <f t="shared" si="92"/>
        <v>0.35714285714285715</v>
      </c>
      <c r="R194" t="s">
        <v>183</v>
      </c>
      <c r="S194" t="s">
        <v>613</v>
      </c>
      <c r="T194">
        <v>8</v>
      </c>
      <c r="U194">
        <v>2.92</v>
      </c>
      <c r="V194">
        <v>2.2999999999999998</v>
      </c>
      <c r="W194">
        <v>1.21E-2</v>
      </c>
      <c r="X194">
        <f t="shared" si="96"/>
        <v>1.2131888350367701E-2</v>
      </c>
      <c r="Y194">
        <v>1.6666700000000001</v>
      </c>
      <c r="Z194" s="3">
        <f t="shared" si="94"/>
        <v>3.3969287381029563E-2</v>
      </c>
      <c r="AA194" t="s">
        <v>33</v>
      </c>
      <c r="AB194">
        <f t="shared" si="97"/>
        <v>62.499999999999993</v>
      </c>
      <c r="AC194" s="1" t="str">
        <f t="shared" si="79"/>
        <v>NA</v>
      </c>
      <c r="AE194" s="3">
        <f t="shared" si="95"/>
        <v>12813.499999999998</v>
      </c>
      <c r="AF194">
        <v>2000</v>
      </c>
      <c r="AG194" s="1" t="str">
        <f>IFERROR((N194*P194*Q194), "NA")</f>
        <v>NA</v>
      </c>
      <c r="AH194" s="1" t="str">
        <f>IFERROR((AG194*U194*AI194), "NA")</f>
        <v>NA</v>
      </c>
      <c r="AI194" s="1">
        <v>1</v>
      </c>
      <c r="AJ194" s="11" t="s">
        <v>31</v>
      </c>
      <c r="AK194">
        <v>5230</v>
      </c>
      <c r="AL194" t="s">
        <v>542</v>
      </c>
      <c r="AM194" t="s">
        <v>86</v>
      </c>
      <c r="AN194" t="s">
        <v>186</v>
      </c>
      <c r="AO194" t="s">
        <v>794</v>
      </c>
      <c r="AP194">
        <v>5.82</v>
      </c>
      <c r="AQ194" t="s">
        <v>33</v>
      </c>
      <c r="AR194" t="s">
        <v>33</v>
      </c>
      <c r="AS194">
        <v>7.5</v>
      </c>
      <c r="AT194">
        <f>AS194-AU194</f>
        <v>2.9800000000000004</v>
      </c>
      <c r="AU194" s="6">
        <v>4.5199999999999996</v>
      </c>
      <c r="AV194" t="b">
        <v>1</v>
      </c>
      <c r="AW194" t="s">
        <v>617</v>
      </c>
      <c r="AX194" t="s">
        <v>618</v>
      </c>
      <c r="AY194" t="s">
        <v>33</v>
      </c>
      <c r="AZ194" t="s">
        <v>619</v>
      </c>
      <c r="BA194" s="18" t="s">
        <v>802</v>
      </c>
      <c r="BB194" s="3" t="b">
        <v>0</v>
      </c>
      <c r="BC194" t="s">
        <v>81</v>
      </c>
      <c r="BD194">
        <v>15</v>
      </c>
      <c r="BE194" t="s">
        <v>80</v>
      </c>
      <c r="BF194">
        <v>15</v>
      </c>
      <c r="BG194" t="s">
        <v>697</v>
      </c>
      <c r="BH194" t="s">
        <v>32</v>
      </c>
      <c r="BI194" t="s">
        <v>31</v>
      </c>
      <c r="BJ194">
        <f t="shared" si="80"/>
        <v>4.5199999999999996</v>
      </c>
      <c r="BK194" s="3">
        <f t="shared" si="81"/>
        <v>0.65513843481138212</v>
      </c>
      <c r="BL194">
        <v>2</v>
      </c>
      <c r="BM194" s="3">
        <f t="shared" si="98"/>
        <v>3.4525293384204248</v>
      </c>
      <c r="BN194" t="s">
        <v>33</v>
      </c>
      <c r="BO194" s="3">
        <f t="shared" ref="BO194:BO257" si="99">IFERROR((AE194/BJ194),"NA")</f>
        <v>2834.8451327433627</v>
      </c>
      <c r="BP194" t="s">
        <v>33</v>
      </c>
      <c r="BQ194" t="s">
        <v>33</v>
      </c>
      <c r="BR194" t="s">
        <v>33</v>
      </c>
      <c r="BS194" t="s">
        <v>33</v>
      </c>
      <c r="BT194" t="s">
        <v>31</v>
      </c>
      <c r="BU194" t="s">
        <v>219</v>
      </c>
      <c r="BV194" s="14">
        <v>2007</v>
      </c>
      <c r="BW194" s="2" t="s">
        <v>648</v>
      </c>
      <c r="BX194" t="s">
        <v>78</v>
      </c>
      <c r="BY194" s="13" t="s">
        <v>671</v>
      </c>
      <c r="CA194" t="str">
        <f t="shared" si="73"/>
        <v>low acid</v>
      </c>
    </row>
    <row r="195" spans="1:79">
      <c r="A195" t="s">
        <v>273</v>
      </c>
      <c r="B195" t="s">
        <v>565</v>
      </c>
      <c r="C195" t="s">
        <v>563</v>
      </c>
      <c r="D195" t="s">
        <v>118</v>
      </c>
      <c r="E195" t="s">
        <v>77</v>
      </c>
      <c r="F195" t="s">
        <v>32</v>
      </c>
      <c r="G195">
        <v>20</v>
      </c>
      <c r="H195">
        <v>55</v>
      </c>
      <c r="I195" t="b">
        <v>0</v>
      </c>
      <c r="J195" t="s">
        <v>33</v>
      </c>
      <c r="K195" t="s">
        <v>33</v>
      </c>
      <c r="L195">
        <v>40</v>
      </c>
      <c r="M195" s="4" t="s">
        <v>33</v>
      </c>
      <c r="N195" s="3">
        <f>IFERROR(AF195/((T195*X195/Y195)*O195*AI195),"NA")</f>
        <v>596.92815721651709</v>
      </c>
      <c r="O195">
        <v>2.5</v>
      </c>
      <c r="P195" t="s">
        <v>33</v>
      </c>
      <c r="Q195" s="8">
        <f t="shared" si="92"/>
        <v>1.2173435913211428E-2</v>
      </c>
      <c r="R195" t="s">
        <v>183</v>
      </c>
      <c r="S195" t="s">
        <v>613</v>
      </c>
      <c r="T195" s="11">
        <v>6</v>
      </c>
      <c r="U195">
        <v>2.93</v>
      </c>
      <c r="V195">
        <v>2.2999999999999998</v>
      </c>
      <c r="W195" t="s">
        <v>33</v>
      </c>
      <c r="X195" s="8">
        <f>IFERROR(((PI())*(((V195*10^-1)/2)^2)*(U195*10^-1)), "NA")</f>
        <v>1.2173435913211428E-2</v>
      </c>
      <c r="Y195">
        <f>60/60</f>
        <v>1</v>
      </c>
      <c r="Z195" s="3">
        <f>IFERROR(X195*N195*O195*T195*AI195/AF195, "NA")</f>
        <v>1</v>
      </c>
      <c r="AA195" t="s">
        <v>33</v>
      </c>
      <c r="AB195" s="6">
        <f>IFERROR(((X195*N195)/Y195), "NA")</f>
        <v>7.2666666666666666</v>
      </c>
      <c r="AC195" t="str">
        <f t="shared" si="79"/>
        <v>NA</v>
      </c>
      <c r="AD195" s="4">
        <f>AB195*T195*AI195</f>
        <v>43.6</v>
      </c>
      <c r="AE195" s="3">
        <f>IFERROR(((L195^2)*N195*O195*AK195*10^-6*Q195*T195*AI195), "NA")</f>
        <v>507.50399999999991</v>
      </c>
      <c r="AF195">
        <v>109</v>
      </c>
      <c r="AG195" t="str">
        <f>IFERROR((M195*O195*P195), "NA")</f>
        <v>NA</v>
      </c>
      <c r="AH195" t="str">
        <f>IFERROR((AG195*T195*AI195), "NA")</f>
        <v>NA</v>
      </c>
      <c r="AI195">
        <v>1</v>
      </c>
      <c r="AJ195" t="s">
        <v>31</v>
      </c>
      <c r="AK195">
        <v>2910</v>
      </c>
      <c r="AL195" t="s">
        <v>543</v>
      </c>
      <c r="AM195" t="s">
        <v>86</v>
      </c>
      <c r="AN195" t="s">
        <v>205</v>
      </c>
      <c r="AO195" t="s">
        <v>789</v>
      </c>
      <c r="AP195">
        <v>4.05</v>
      </c>
      <c r="AQ195" t="s">
        <v>33</v>
      </c>
      <c r="AR195" t="s">
        <v>33</v>
      </c>
      <c r="AS195">
        <f>LOG(10^6)</f>
        <v>6</v>
      </c>
      <c r="AT195" s="3">
        <f t="shared" ref="AT195:AT197" si="100">IFERROR(AS195-AU195,"NA")</f>
        <v>2.9910000000000001</v>
      </c>
      <c r="AU195" s="6">
        <v>3.0089999999999999</v>
      </c>
      <c r="AV195" t="b">
        <v>1</v>
      </c>
      <c r="AW195" t="s">
        <v>29</v>
      </c>
      <c r="AX195" t="s">
        <v>30</v>
      </c>
      <c r="AY195" t="s">
        <v>216</v>
      </c>
      <c r="AZ195" t="s">
        <v>33</v>
      </c>
      <c r="BA195" s="18" t="s">
        <v>798</v>
      </c>
      <c r="BB195" t="b">
        <v>0</v>
      </c>
      <c r="BC195" t="s">
        <v>81</v>
      </c>
      <c r="BD195">
        <v>4</v>
      </c>
      <c r="BE195" t="s">
        <v>159</v>
      </c>
      <c r="BF195" s="11">
        <v>24</v>
      </c>
      <c r="BG195" t="s">
        <v>572</v>
      </c>
      <c r="BH195" t="s">
        <v>31</v>
      </c>
      <c r="BI195" t="s">
        <v>31</v>
      </c>
      <c r="BJ195" s="3">
        <f t="shared" si="80"/>
        <v>3.0089999999999999</v>
      </c>
      <c r="BK195" s="3">
        <f t="shared" si="81"/>
        <v>0.47842218774008055</v>
      </c>
      <c r="BL195">
        <v>2</v>
      </c>
      <c r="BM195" s="3">
        <f t="shared" si="98"/>
        <v>2.2270172818423752</v>
      </c>
      <c r="BN195" t="s">
        <v>33</v>
      </c>
      <c r="BO195" s="3">
        <f t="shared" si="99"/>
        <v>168.66201395812558</v>
      </c>
      <c r="BP195" t="s">
        <v>33</v>
      </c>
      <c r="BQ195" t="s">
        <v>33</v>
      </c>
      <c r="BR195" t="s">
        <v>33</v>
      </c>
      <c r="BS195" t="s">
        <v>33</v>
      </c>
      <c r="BT195" t="s">
        <v>31</v>
      </c>
      <c r="BU195" t="s">
        <v>274</v>
      </c>
      <c r="BV195">
        <v>2006</v>
      </c>
      <c r="BW195" t="s">
        <v>275</v>
      </c>
      <c r="BX195" t="s">
        <v>78</v>
      </c>
      <c r="BY195" t="s">
        <v>277</v>
      </c>
      <c r="BZ195" t="s">
        <v>33</v>
      </c>
      <c r="CA195" t="str">
        <f t="shared" ref="CA195:CA258" si="101">IF(OR(AN195="low acidic liquid medium", AN195="low acidic food product"), "low acid",
    IF(OR(AN195="high acidic food product", AN195="high acidic liquid medium"), "high acid", "NA"))</f>
        <v>high acid</v>
      </c>
    </row>
    <row r="196" spans="1:79">
      <c r="A196" t="s">
        <v>143</v>
      </c>
      <c r="B196" t="s">
        <v>565</v>
      </c>
      <c r="C196" t="s">
        <v>563</v>
      </c>
      <c r="D196" t="s">
        <v>118</v>
      </c>
      <c r="E196" t="s">
        <v>77</v>
      </c>
      <c r="F196" t="s">
        <v>32</v>
      </c>
      <c r="G196">
        <v>10</v>
      </c>
      <c r="H196" t="s">
        <v>33</v>
      </c>
      <c r="I196" t="b">
        <v>0</v>
      </c>
      <c r="J196" t="s">
        <v>33</v>
      </c>
      <c r="K196" t="s">
        <v>33</v>
      </c>
      <c r="L196">
        <v>30</v>
      </c>
      <c r="M196" s="4">
        <v>500</v>
      </c>
      <c r="N196" s="3">
        <f>IFERROR(AF196/((T196*X196/Y196)*O196*AI196),"NA")</f>
        <v>503.35454362283343</v>
      </c>
      <c r="O196">
        <v>3</v>
      </c>
      <c r="P196" t="s">
        <v>33</v>
      </c>
      <c r="Q196" s="8">
        <f t="shared" si="92"/>
        <v>1.4555555555555556E-2</v>
      </c>
      <c r="R196" t="s">
        <v>183</v>
      </c>
      <c r="S196" t="s">
        <v>613</v>
      </c>
      <c r="T196" s="11">
        <v>6</v>
      </c>
      <c r="U196">
        <v>2.9</v>
      </c>
      <c r="V196">
        <v>2.2999999999999998</v>
      </c>
      <c r="W196" t="s">
        <v>33</v>
      </c>
      <c r="X196">
        <f>IFERROR(((PI())*(((V196*10^-1)/2)^2)*(U196*10^-1)), "NA")</f>
        <v>1.204879322468025E-2</v>
      </c>
      <c r="Y196" s="8">
        <f>50/60</f>
        <v>0.83333333333333337</v>
      </c>
      <c r="Z196" s="9">
        <f>IFERROR(X196*M196*O196*T196*AI196/AF196, "NA")</f>
        <v>0.82777968719177286</v>
      </c>
      <c r="AA196" t="s">
        <v>33</v>
      </c>
      <c r="AB196" s="6">
        <f>IFERROR(((X196*M196)/Z196), "NA")</f>
        <v>7.2777777777777786</v>
      </c>
      <c r="AC196" t="str">
        <f t="shared" si="79"/>
        <v>NA</v>
      </c>
      <c r="AD196" s="4">
        <f>AB196*T196*AI196</f>
        <v>43.666666666666671</v>
      </c>
      <c r="AE196" s="3">
        <f>IFERROR(((L196^2)*M196*O196*AK196*10^-6*Q196*T196*AI196), "NA")</f>
        <v>429.15599999999995</v>
      </c>
      <c r="AF196">
        <v>131</v>
      </c>
      <c r="AG196" t="str">
        <f>IFERROR((M196*O196*P196), "NA")</f>
        <v>NA</v>
      </c>
      <c r="AH196" t="str">
        <f>IFERROR((AG196*T196*AI196), "NA")</f>
        <v>NA</v>
      </c>
      <c r="AI196">
        <v>1</v>
      </c>
      <c r="AJ196" t="s">
        <v>31</v>
      </c>
      <c r="AK196">
        <v>3640</v>
      </c>
      <c r="AL196" t="s">
        <v>145</v>
      </c>
      <c r="AM196" t="s">
        <v>86</v>
      </c>
      <c r="AN196" t="s">
        <v>205</v>
      </c>
      <c r="AO196" t="s">
        <v>789</v>
      </c>
      <c r="AP196">
        <v>3.21</v>
      </c>
      <c r="AQ196" t="s">
        <v>33</v>
      </c>
      <c r="AR196" t="s">
        <v>33</v>
      </c>
      <c r="AS196" s="3">
        <v>6.5919999999999996</v>
      </c>
      <c r="AT196" s="3">
        <f t="shared" si="100"/>
        <v>2.9919999999999995</v>
      </c>
      <c r="AU196" s="6">
        <v>3.6</v>
      </c>
      <c r="AV196" t="b">
        <v>1</v>
      </c>
      <c r="AW196" t="s">
        <v>92</v>
      </c>
      <c r="AX196" t="s">
        <v>93</v>
      </c>
      <c r="AY196" t="s">
        <v>137</v>
      </c>
      <c r="AZ196" t="s">
        <v>33</v>
      </c>
      <c r="BA196" s="18" t="s">
        <v>801</v>
      </c>
      <c r="BB196" t="b">
        <v>0</v>
      </c>
      <c r="BC196" t="s">
        <v>81</v>
      </c>
      <c r="BD196">
        <f>(48+24)/2</f>
        <v>36</v>
      </c>
      <c r="BE196" t="s">
        <v>80</v>
      </c>
      <c r="BF196" s="11">
        <f>(48+24)/2</f>
        <v>36</v>
      </c>
      <c r="BG196" t="s">
        <v>139</v>
      </c>
      <c r="BH196" t="s">
        <v>31</v>
      </c>
      <c r="BI196" t="s">
        <v>31</v>
      </c>
      <c r="BJ196">
        <f t="shared" si="80"/>
        <v>3.6</v>
      </c>
      <c r="BK196" s="3">
        <f t="shared" si="81"/>
        <v>0.55630250076728727</v>
      </c>
      <c r="BL196">
        <v>2</v>
      </c>
      <c r="BM196" s="3">
        <f>LOG(BO196)</f>
        <v>2.0763126879768579</v>
      </c>
      <c r="BN196" t="s">
        <v>33</v>
      </c>
      <c r="BO196" s="3">
        <f t="shared" si="99"/>
        <v>119.20999999999998</v>
      </c>
      <c r="BP196" t="s">
        <v>33</v>
      </c>
      <c r="BQ196" t="s">
        <v>33</v>
      </c>
      <c r="BR196" t="s">
        <v>33</v>
      </c>
      <c r="BS196" t="s">
        <v>33</v>
      </c>
      <c r="BT196" t="s">
        <v>31</v>
      </c>
      <c r="BU196" t="s">
        <v>135</v>
      </c>
      <c r="BV196">
        <v>2010</v>
      </c>
      <c r="BW196" t="s">
        <v>140</v>
      </c>
      <c r="BX196" t="s">
        <v>78</v>
      </c>
      <c r="BY196" t="s">
        <v>33</v>
      </c>
      <c r="BZ196" t="s">
        <v>33</v>
      </c>
      <c r="CA196" t="str">
        <f t="shared" si="101"/>
        <v>high acid</v>
      </c>
    </row>
    <row r="197" spans="1:79">
      <c r="A197" t="s">
        <v>538</v>
      </c>
      <c r="B197" t="s">
        <v>565</v>
      </c>
      <c r="C197" t="s">
        <v>563</v>
      </c>
      <c r="D197" t="s">
        <v>118</v>
      </c>
      <c r="E197" t="s">
        <v>77</v>
      </c>
      <c r="F197" t="s">
        <v>32</v>
      </c>
      <c r="G197">
        <v>20</v>
      </c>
      <c r="H197">
        <v>55</v>
      </c>
      <c r="I197" t="b">
        <v>0</v>
      </c>
      <c r="J197" t="s">
        <v>33</v>
      </c>
      <c r="K197" t="s">
        <v>33</v>
      </c>
      <c r="L197">
        <v>15</v>
      </c>
      <c r="M197" s="4" t="s">
        <v>33</v>
      </c>
      <c r="N197" s="3">
        <f>IFERROR(AF197/((T197*X197/Y197)*O197*AI197),"NA")</f>
        <v>1642.9215336234415</v>
      </c>
      <c r="O197">
        <v>2.5</v>
      </c>
      <c r="P197" t="s">
        <v>33</v>
      </c>
      <c r="Q197" s="8">
        <f t="shared" si="92"/>
        <v>1.2173435913211428E-2</v>
      </c>
      <c r="R197" t="s">
        <v>183</v>
      </c>
      <c r="S197" t="s">
        <v>613</v>
      </c>
      <c r="T197" s="11">
        <v>6</v>
      </c>
      <c r="U197">
        <v>2.93</v>
      </c>
      <c r="V197">
        <v>2.2999999999999998</v>
      </c>
      <c r="W197" t="s">
        <v>33</v>
      </c>
      <c r="X197" s="8">
        <f>IFERROR(((PI())*(((V197*10^-1)/2)^2)*(U197*10^-1)), "NA")</f>
        <v>1.2173435913211428E-2</v>
      </c>
      <c r="Y197">
        <f>60/60</f>
        <v>1</v>
      </c>
      <c r="Z197" s="3">
        <f>IFERROR(X197*N197*O197*T197*AI197/AF197, "NA")</f>
        <v>1</v>
      </c>
      <c r="AA197" t="s">
        <v>33</v>
      </c>
      <c r="AB197" s="6">
        <f>IFERROR(((X197*N197)/Y197), "NA")</f>
        <v>20</v>
      </c>
      <c r="AC197" t="str">
        <f t="shared" si="79"/>
        <v>NA</v>
      </c>
      <c r="AD197" s="4">
        <f>IFERROR(AB197*T197*AI197, "NA")</f>
        <v>120</v>
      </c>
      <c r="AE197" s="3">
        <f>IFERROR(((L197^2)*N197*O197*AK197*10^-6*Q197*T197*AI197), "NA")</f>
        <v>196.42499999999998</v>
      </c>
      <c r="AF197">
        <v>300</v>
      </c>
      <c r="AG197" t="str">
        <f>IFERROR((M197*O197*P197), "NA")</f>
        <v>NA</v>
      </c>
      <c r="AH197" t="str">
        <f>IFERROR((AG197*T197*AI197), "NA")</f>
        <v>NA</v>
      </c>
      <c r="AI197" s="11">
        <v>1</v>
      </c>
      <c r="AJ197" t="s">
        <v>31</v>
      </c>
      <c r="AK197">
        <v>2910</v>
      </c>
      <c r="AL197" t="s">
        <v>543</v>
      </c>
      <c r="AM197" t="s">
        <v>86</v>
      </c>
      <c r="AN197" t="s">
        <v>205</v>
      </c>
      <c r="AO197" t="s">
        <v>789</v>
      </c>
      <c r="AP197">
        <v>4.05</v>
      </c>
      <c r="AQ197" t="s">
        <v>33</v>
      </c>
      <c r="AR197" t="s">
        <v>33</v>
      </c>
      <c r="AS197">
        <f>LOG(10^6)</f>
        <v>6</v>
      </c>
      <c r="AT197" s="3">
        <f t="shared" si="100"/>
        <v>2.9940000000000002</v>
      </c>
      <c r="AU197" s="6">
        <v>3.0059999999999998</v>
      </c>
      <c r="AV197" t="b">
        <v>1</v>
      </c>
      <c r="AW197" t="s">
        <v>29</v>
      </c>
      <c r="AX197" t="s">
        <v>30</v>
      </c>
      <c r="AY197" t="s">
        <v>216</v>
      </c>
      <c r="AZ197" t="s">
        <v>33</v>
      </c>
      <c r="BA197" s="18" t="s">
        <v>798</v>
      </c>
      <c r="BB197" t="b">
        <v>0</v>
      </c>
      <c r="BC197" t="s">
        <v>81</v>
      </c>
      <c r="BD197">
        <v>4</v>
      </c>
      <c r="BE197" t="s">
        <v>159</v>
      </c>
      <c r="BF197" s="11">
        <v>24</v>
      </c>
      <c r="BG197" t="s">
        <v>572</v>
      </c>
      <c r="BH197" t="s">
        <v>31</v>
      </c>
      <c r="BI197" t="s">
        <v>31</v>
      </c>
      <c r="BJ197" s="3">
        <f t="shared" si="80"/>
        <v>3.0059999999999998</v>
      </c>
      <c r="BK197" s="3">
        <f t="shared" si="81"/>
        <v>0.47798897625088932</v>
      </c>
      <c r="BL197">
        <v>2</v>
      </c>
      <c r="BM197" s="3">
        <f t="shared" ref="BM197:BM225" si="102">IFERROR(LOG(BO197),"NA")</f>
        <v>1.8152077855660429</v>
      </c>
      <c r="BN197" t="s">
        <v>33</v>
      </c>
      <c r="BO197" s="3">
        <f t="shared" si="99"/>
        <v>65.344311377245504</v>
      </c>
      <c r="BP197" t="s">
        <v>33</v>
      </c>
      <c r="BQ197" t="s">
        <v>33</v>
      </c>
      <c r="BR197" t="s">
        <v>33</v>
      </c>
      <c r="BS197" t="s">
        <v>33</v>
      </c>
      <c r="BT197" t="s">
        <v>31</v>
      </c>
      <c r="BU197" t="s">
        <v>274</v>
      </c>
      <c r="BV197">
        <v>2006</v>
      </c>
      <c r="BW197" t="s">
        <v>275</v>
      </c>
      <c r="BX197" t="s">
        <v>78</v>
      </c>
      <c r="BY197" t="s">
        <v>277</v>
      </c>
      <c r="BZ197" t="s">
        <v>33</v>
      </c>
      <c r="CA197" t="str">
        <f t="shared" si="101"/>
        <v>high acid</v>
      </c>
    </row>
    <row r="198" spans="1:79">
      <c r="A198" t="s">
        <v>602</v>
      </c>
      <c r="B198" t="s">
        <v>565</v>
      </c>
      <c r="C198" t="s">
        <v>563</v>
      </c>
      <c r="D198" t="s">
        <v>118</v>
      </c>
      <c r="E198" t="s">
        <v>77</v>
      </c>
      <c r="F198" t="s">
        <v>33</v>
      </c>
      <c r="G198">
        <v>35</v>
      </c>
      <c r="H198">
        <v>5</v>
      </c>
      <c r="I198" t="b">
        <v>1</v>
      </c>
      <c r="J198">
        <v>8790</v>
      </c>
      <c r="K198">
        <v>13.3</v>
      </c>
      <c r="L198">
        <v>30</v>
      </c>
      <c r="M198" s="4">
        <v>500</v>
      </c>
      <c r="N198" t="e">
        <f>(#REF!*Y198)/(T198*X198*O198)</f>
        <v>#REF!</v>
      </c>
      <c r="O198">
        <v>3</v>
      </c>
      <c r="P198" t="s">
        <v>33</v>
      </c>
      <c r="Q198" s="1">
        <f t="shared" si="92"/>
        <v>1.2044444444444444E-2</v>
      </c>
      <c r="R198" t="s">
        <v>183</v>
      </c>
      <c r="S198" t="s">
        <v>613</v>
      </c>
      <c r="T198">
        <v>6</v>
      </c>
      <c r="U198">
        <v>2.92</v>
      </c>
      <c r="V198">
        <v>2.2999999999999998</v>
      </c>
      <c r="W198" t="s">
        <v>33</v>
      </c>
      <c r="X198">
        <f>IFERROR(((PI())*(((V198*10^-1)/2)^2)*(U198*10^-1)), "NA")</f>
        <v>1.2131888350367701E-2</v>
      </c>
      <c r="Y198">
        <v>1</v>
      </c>
      <c r="Z198" s="3">
        <f t="shared" ref="Z198:Z225" si="103">IFERROR(X198*M198*O198*T198*AI198/AF198, "NA")</f>
        <v>1.0072601028903072</v>
      </c>
      <c r="AA198" t="s">
        <v>33</v>
      </c>
      <c r="AB198">
        <f>IFERROR(((X198*M198)/Z198), "NA")</f>
        <v>6.022222222222223</v>
      </c>
      <c r="AC198" s="1" t="str">
        <f t="shared" si="79"/>
        <v>NA</v>
      </c>
      <c r="AE198" s="3">
        <f t="shared" ref="AE198:AE225" si="104">IFERROR(((L198^2)*M198*O198*AK198*10^-6*Q198*T198*AI198), "NA")</f>
        <v>505.36079999999998</v>
      </c>
      <c r="AF198">
        <v>108.4</v>
      </c>
      <c r="AG198" s="1" t="str">
        <f>IFERROR((N198*P198*Q198), "NA")</f>
        <v>NA</v>
      </c>
      <c r="AH198" s="1" t="str">
        <f>IFERROR((O198*Q198*R198), "NA")</f>
        <v>NA</v>
      </c>
      <c r="AI198" s="1">
        <v>1</v>
      </c>
      <c r="AJ198" s="11" t="s">
        <v>31</v>
      </c>
      <c r="AK198">
        <v>5180</v>
      </c>
      <c r="AL198" t="s">
        <v>265</v>
      </c>
      <c r="AM198" t="s">
        <v>86</v>
      </c>
      <c r="AN198" t="s">
        <v>205</v>
      </c>
      <c r="AO198" t="s">
        <v>789</v>
      </c>
      <c r="AP198">
        <v>3.27</v>
      </c>
      <c r="AQ198" t="s">
        <v>33</v>
      </c>
      <c r="AR198" t="s">
        <v>33</v>
      </c>
      <c r="AS198">
        <v>6.5</v>
      </c>
      <c r="AT198">
        <v>3</v>
      </c>
      <c r="AU198" s="6">
        <f>AS198-AT198</f>
        <v>3.5</v>
      </c>
      <c r="AV198" t="b">
        <v>1</v>
      </c>
      <c r="AW198" t="s">
        <v>626</v>
      </c>
      <c r="AX198" t="s">
        <v>627</v>
      </c>
      <c r="AY198">
        <v>95047</v>
      </c>
      <c r="AZ198" t="s">
        <v>33</v>
      </c>
      <c r="BA198" s="18" t="s">
        <v>800</v>
      </c>
      <c r="BB198" s="3" t="b">
        <v>0</v>
      </c>
      <c r="BC198" t="s">
        <v>81</v>
      </c>
      <c r="BD198">
        <v>24</v>
      </c>
      <c r="BE198" t="s">
        <v>80</v>
      </c>
      <c r="BF198">
        <v>48</v>
      </c>
      <c r="BG198" t="s">
        <v>697</v>
      </c>
      <c r="BH198" t="s">
        <v>32</v>
      </c>
      <c r="BI198" t="s">
        <v>31</v>
      </c>
      <c r="BJ198" s="3">
        <f t="shared" si="80"/>
        <v>3.5</v>
      </c>
      <c r="BK198" s="3">
        <f t="shared" si="81"/>
        <v>0.54406804435027567</v>
      </c>
      <c r="BL198">
        <v>2</v>
      </c>
      <c r="BM198" s="3">
        <f t="shared" si="102"/>
        <v>2.1595335070366506</v>
      </c>
      <c r="BN198" t="s">
        <v>33</v>
      </c>
      <c r="BO198" s="3">
        <f t="shared" si="99"/>
        <v>144.3888</v>
      </c>
      <c r="BP198" t="s">
        <v>33</v>
      </c>
      <c r="BQ198" t="s">
        <v>33</v>
      </c>
      <c r="BR198" t="s">
        <v>33</v>
      </c>
      <c r="BS198" t="s">
        <v>33</v>
      </c>
      <c r="BT198" t="s">
        <v>31</v>
      </c>
      <c r="BU198" s="13" t="s">
        <v>163</v>
      </c>
      <c r="BV198" s="14">
        <v>2017</v>
      </c>
      <c r="BW198" t="s">
        <v>266</v>
      </c>
      <c r="BX198" t="s">
        <v>78</v>
      </c>
      <c r="BY198" s="13" t="s">
        <v>690</v>
      </c>
      <c r="CA198" t="str">
        <f t="shared" si="101"/>
        <v>high acid</v>
      </c>
    </row>
    <row r="199" spans="1:79">
      <c r="A199" t="s">
        <v>589</v>
      </c>
      <c r="B199" t="s">
        <v>566</v>
      </c>
      <c r="C199" t="s">
        <v>563</v>
      </c>
      <c r="D199" t="s">
        <v>33</v>
      </c>
      <c r="E199" t="s">
        <v>77</v>
      </c>
      <c r="F199" t="s">
        <v>33</v>
      </c>
      <c r="G199" t="s">
        <v>33</v>
      </c>
      <c r="H199">
        <v>35</v>
      </c>
      <c r="I199" t="b">
        <v>0</v>
      </c>
      <c r="J199" t="s">
        <v>33</v>
      </c>
      <c r="K199" t="s">
        <v>33</v>
      </c>
      <c r="L199">
        <v>22</v>
      </c>
      <c r="M199" s="4">
        <v>1</v>
      </c>
      <c r="N199" t="e">
        <f>(#REF!*Y199)/(T199*X199*O199)</f>
        <v>#REF!</v>
      </c>
      <c r="O199">
        <v>2</v>
      </c>
      <c r="P199" t="s">
        <v>33</v>
      </c>
      <c r="Q199" s="1">
        <f t="shared" si="92"/>
        <v>698.5</v>
      </c>
      <c r="R199" t="s">
        <v>183</v>
      </c>
      <c r="S199" t="s">
        <v>613</v>
      </c>
      <c r="T199">
        <v>1</v>
      </c>
      <c r="U199">
        <v>2.5</v>
      </c>
      <c r="V199" t="s">
        <v>33</v>
      </c>
      <c r="W199">
        <v>0.50249999999999995</v>
      </c>
      <c r="X199">
        <f>W199</f>
        <v>0.50249999999999995</v>
      </c>
      <c r="Y199" t="s">
        <v>33</v>
      </c>
      <c r="Z199" s="3">
        <f t="shared" si="103"/>
        <v>7.1939871152469572E-4</v>
      </c>
      <c r="AA199" t="s">
        <v>33</v>
      </c>
      <c r="AB199">
        <f>IFERROR(((X199*M199)/Z199), "NA")</f>
        <v>698.5</v>
      </c>
      <c r="AC199" s="1" t="str">
        <f t="shared" si="79"/>
        <v>NA</v>
      </c>
      <c r="AE199" s="3">
        <f t="shared" si="104"/>
        <v>1352.296</v>
      </c>
      <c r="AF199">
        <v>1397</v>
      </c>
      <c r="AG199" s="1" t="str">
        <f>IFERROR((N199*P199*Q199), "NA")</f>
        <v>NA</v>
      </c>
      <c r="AH199" s="1" t="str">
        <f>IFERROR((AG199*U199*AI199), "NA")</f>
        <v>NA</v>
      </c>
      <c r="AI199" s="1">
        <v>1</v>
      </c>
      <c r="AJ199" s="11" t="s">
        <v>31</v>
      </c>
      <c r="AK199">
        <v>2000</v>
      </c>
      <c r="AL199" t="s">
        <v>616</v>
      </c>
      <c r="AM199" s="3" t="s">
        <v>103</v>
      </c>
      <c r="AN199" t="s">
        <v>130</v>
      </c>
      <c r="AO199" t="s">
        <v>795</v>
      </c>
      <c r="AP199">
        <v>7</v>
      </c>
      <c r="AQ199" t="s">
        <v>33</v>
      </c>
      <c r="AR199" t="s">
        <v>33</v>
      </c>
      <c r="AS199">
        <v>9</v>
      </c>
      <c r="AT199">
        <f>AS199-AU199</f>
        <v>3</v>
      </c>
      <c r="AU199" s="6">
        <v>6</v>
      </c>
      <c r="AV199" t="b">
        <v>1</v>
      </c>
      <c r="AW199" t="s">
        <v>617</v>
      </c>
      <c r="AX199" t="s">
        <v>33</v>
      </c>
      <c r="AY199" t="s">
        <v>628</v>
      </c>
      <c r="AZ199" t="s">
        <v>619</v>
      </c>
      <c r="BA199" s="18" t="s">
        <v>802</v>
      </c>
      <c r="BB199" s="3" t="b">
        <v>0</v>
      </c>
      <c r="BC199" t="s">
        <v>81</v>
      </c>
      <c r="BD199">
        <v>24</v>
      </c>
      <c r="BE199" t="s">
        <v>80</v>
      </c>
      <c r="BF199">
        <v>24</v>
      </c>
      <c r="BG199" t="s">
        <v>644</v>
      </c>
      <c r="BH199" t="s">
        <v>31</v>
      </c>
      <c r="BI199" t="s">
        <v>32</v>
      </c>
      <c r="BJ199">
        <f t="shared" si="80"/>
        <v>6</v>
      </c>
      <c r="BK199" s="3">
        <f t="shared" si="81"/>
        <v>0.77815125038364363</v>
      </c>
      <c r="BL199">
        <v>2</v>
      </c>
      <c r="BM199" s="3">
        <f t="shared" si="102"/>
        <v>2.3529205130389319</v>
      </c>
      <c r="BN199" t="s">
        <v>33</v>
      </c>
      <c r="BO199" s="3">
        <f t="shared" si="99"/>
        <v>225.38266666666667</v>
      </c>
      <c r="BP199" t="s">
        <v>33</v>
      </c>
      <c r="BQ199" t="s">
        <v>33</v>
      </c>
      <c r="BR199" t="s">
        <v>33</v>
      </c>
      <c r="BS199" t="s">
        <v>33</v>
      </c>
      <c r="BT199" t="s">
        <v>31</v>
      </c>
      <c r="BU199" s="15" t="s">
        <v>655</v>
      </c>
      <c r="BV199">
        <v>2003</v>
      </c>
      <c r="BW199" t="s">
        <v>656</v>
      </c>
      <c r="BX199" t="s">
        <v>78</v>
      </c>
      <c r="BY199" s="13" t="s">
        <v>677</v>
      </c>
      <c r="CA199" t="str">
        <f t="shared" si="101"/>
        <v>low acid</v>
      </c>
    </row>
    <row r="200" spans="1:79">
      <c r="A200" t="s">
        <v>751</v>
      </c>
      <c r="B200" t="s">
        <v>565</v>
      </c>
      <c r="C200" t="s">
        <v>563</v>
      </c>
      <c r="D200" t="s">
        <v>118</v>
      </c>
      <c r="E200" t="s">
        <v>77</v>
      </c>
      <c r="F200" t="s">
        <v>32</v>
      </c>
      <c r="G200">
        <v>4</v>
      </c>
      <c r="H200" t="s">
        <v>33</v>
      </c>
      <c r="I200" t="b">
        <v>0</v>
      </c>
      <c r="J200" t="s">
        <v>33</v>
      </c>
      <c r="K200" t="s">
        <v>33</v>
      </c>
      <c r="L200">
        <v>41</v>
      </c>
      <c r="M200" s="4">
        <v>600</v>
      </c>
      <c r="N200" s="3" t="str">
        <f>IFERROR(AF200/((T200*X200/Y200)*O200*AI200),"NA")</f>
        <v>NA</v>
      </c>
      <c r="O200">
        <v>4</v>
      </c>
      <c r="P200" s="8">
        <f>Q200</f>
        <v>1.5402223470901606E-2</v>
      </c>
      <c r="Q200" s="8">
        <f>IFERROR(X200/Y200, "NA")</f>
        <v>1.5402223470901606E-2</v>
      </c>
      <c r="R200" t="s">
        <v>183</v>
      </c>
      <c r="S200" t="s">
        <v>613</v>
      </c>
      <c r="T200" s="11">
        <v>6</v>
      </c>
      <c r="U200">
        <v>2.2999999999999998</v>
      </c>
      <c r="V200">
        <v>2.92</v>
      </c>
      <c r="W200" s="9" t="s">
        <v>33</v>
      </c>
      <c r="X200">
        <f>IFERROR(((PI())*(((V200*10^-1)/2)^2)*(U200*10^-1)), "NA")</f>
        <v>1.5402223470901606E-2</v>
      </c>
      <c r="Y200">
        <v>1</v>
      </c>
      <c r="Z200" s="3" t="str">
        <f t="shared" si="103"/>
        <v>NA</v>
      </c>
      <c r="AA200" t="s">
        <v>33</v>
      </c>
      <c r="AB200" s="4">
        <f>IFERROR(((X200*M200)/Y200), "NA")</f>
        <v>9.2413340825409627</v>
      </c>
      <c r="AC200" s="4">
        <f t="shared" si="79"/>
        <v>9.2413340825409627</v>
      </c>
      <c r="AD200" s="4">
        <f>AB200*T200*AI200</f>
        <v>55.448004495245776</v>
      </c>
      <c r="AE200" s="3">
        <f t="shared" si="104"/>
        <v>589.07516391713159</v>
      </c>
      <c r="AF200" t="s">
        <v>33</v>
      </c>
      <c r="AG200" s="4">
        <f>IFERROR((M200*O200*P200), "NA")</f>
        <v>36.965336330163851</v>
      </c>
      <c r="AH200" s="4">
        <f>IFERROR((AG200*T200*AI200), "NA")</f>
        <v>221.7920179809831</v>
      </c>
      <c r="AI200">
        <v>1</v>
      </c>
      <c r="AJ200" s="11" t="s">
        <v>31</v>
      </c>
      <c r="AK200">
        <v>1580</v>
      </c>
      <c r="AL200" t="s">
        <v>753</v>
      </c>
      <c r="AM200" t="s">
        <v>515</v>
      </c>
      <c r="AN200" t="s">
        <v>205</v>
      </c>
      <c r="AO200" t="s">
        <v>788</v>
      </c>
      <c r="AP200" t="s">
        <v>33</v>
      </c>
      <c r="AQ200" t="s">
        <v>33</v>
      </c>
      <c r="AR200" t="s">
        <v>33</v>
      </c>
      <c r="AS200">
        <v>7.6829999999999998</v>
      </c>
      <c r="AT200" s="3">
        <f>IFERROR(AS200-AU200,"NA")</f>
        <v>3.0089999999999995</v>
      </c>
      <c r="AU200" s="6">
        <v>4.6740000000000004</v>
      </c>
      <c r="AV200" t="b">
        <v>1</v>
      </c>
      <c r="AW200" t="s">
        <v>123</v>
      </c>
      <c r="AX200" t="s">
        <v>88</v>
      </c>
      <c r="AY200" t="s">
        <v>33</v>
      </c>
      <c r="AZ200" t="s">
        <v>33</v>
      </c>
      <c r="BA200" s="18" t="s">
        <v>579</v>
      </c>
      <c r="BB200" s="3" t="b">
        <v>1</v>
      </c>
      <c r="BC200" t="s">
        <v>81</v>
      </c>
      <c r="BD200">
        <v>72</v>
      </c>
      <c r="BE200" t="s">
        <v>80</v>
      </c>
      <c r="BF200">
        <v>96</v>
      </c>
      <c r="BG200" t="s">
        <v>755</v>
      </c>
      <c r="BH200" t="s">
        <v>31</v>
      </c>
      <c r="BI200" t="s">
        <v>31</v>
      </c>
      <c r="BJ200" s="3">
        <f t="shared" si="80"/>
        <v>4.6740000000000004</v>
      </c>
      <c r="BK200" s="3">
        <f t="shared" si="81"/>
        <v>0.66968870805620817</v>
      </c>
      <c r="BL200">
        <v>2</v>
      </c>
      <c r="BM200" s="3">
        <f t="shared" si="102"/>
        <v>2.1004820047135362</v>
      </c>
      <c r="BN200" t="s">
        <v>33</v>
      </c>
      <c r="BO200" s="3">
        <f t="shared" si="99"/>
        <v>126.03234144568496</v>
      </c>
      <c r="BP200" t="s">
        <v>33</v>
      </c>
      <c r="BQ200" t="s">
        <v>33</v>
      </c>
      <c r="BR200" t="s">
        <v>33</v>
      </c>
      <c r="BS200" t="s">
        <v>33</v>
      </c>
      <c r="BT200" t="s">
        <v>31</v>
      </c>
      <c r="BU200" t="s">
        <v>163</v>
      </c>
      <c r="BV200">
        <v>2004</v>
      </c>
      <c r="BW200" t="s">
        <v>756</v>
      </c>
      <c r="BX200" t="s">
        <v>78</v>
      </c>
      <c r="BY200" t="s">
        <v>757</v>
      </c>
      <c r="CA200" t="str">
        <f t="shared" si="101"/>
        <v>high acid</v>
      </c>
    </row>
    <row r="201" spans="1:79">
      <c r="A201" t="s">
        <v>733</v>
      </c>
      <c r="B201" t="s">
        <v>566</v>
      </c>
      <c r="C201" t="s">
        <v>563</v>
      </c>
      <c r="D201" t="s">
        <v>699</v>
      </c>
      <c r="E201" t="s">
        <v>77</v>
      </c>
      <c r="F201" t="s">
        <v>32</v>
      </c>
      <c r="G201">
        <v>20</v>
      </c>
      <c r="H201">
        <v>64</v>
      </c>
      <c r="I201" t="b">
        <v>1</v>
      </c>
      <c r="J201" t="s">
        <v>33</v>
      </c>
      <c r="K201" t="s">
        <v>33</v>
      </c>
      <c r="L201">
        <v>20</v>
      </c>
      <c r="M201" s="4">
        <v>64</v>
      </c>
      <c r="N201" s="3">
        <f>IFERROR(AF201/((T201*X201/Y201)*O201*AI201),"NA")</f>
        <v>63.657407407407391</v>
      </c>
      <c r="O201">
        <v>5</v>
      </c>
      <c r="P201">
        <v>0.43</v>
      </c>
      <c r="Q201" s="8">
        <f>IFERROR(X201/Y201, "NA")</f>
        <v>0.43200000000000011</v>
      </c>
      <c r="R201" t="s">
        <v>183</v>
      </c>
      <c r="S201" t="s">
        <v>612</v>
      </c>
      <c r="T201" s="11">
        <v>1</v>
      </c>
      <c r="U201">
        <v>4</v>
      </c>
      <c r="V201" t="s">
        <v>33</v>
      </c>
      <c r="W201">
        <f>0.4*3*0.5</f>
        <v>0.60000000000000009</v>
      </c>
      <c r="X201" s="9">
        <f>W201</f>
        <v>0.60000000000000009</v>
      </c>
      <c r="Y201" s="6">
        <f>5000/3600</f>
        <v>1.3888888888888888</v>
      </c>
      <c r="Z201" s="3">
        <f t="shared" si="103"/>
        <v>1.3963636363636365</v>
      </c>
      <c r="AA201" t="s">
        <v>33</v>
      </c>
      <c r="AB201" s="4">
        <f>IFERROR(((X201*M201)/Y201), "NA")</f>
        <v>27.648000000000007</v>
      </c>
      <c r="AC201" s="4">
        <f t="shared" si="79"/>
        <v>27.52</v>
      </c>
      <c r="AD201" s="4">
        <f>AB201*T201*AI201</f>
        <v>27.648000000000007</v>
      </c>
      <c r="AE201" s="3">
        <f t="shared" si="104"/>
        <v>110.59200000000003</v>
      </c>
      <c r="AF201">
        <v>137.5</v>
      </c>
      <c r="AG201" s="4">
        <f>IFERROR((M201*O201*P201), "NA")</f>
        <v>137.6</v>
      </c>
      <c r="AH201" s="4">
        <f>IFERROR((AG201*T201*AI201), "NA")</f>
        <v>137.6</v>
      </c>
      <c r="AI201">
        <v>1</v>
      </c>
      <c r="AJ201" s="11" t="s">
        <v>31</v>
      </c>
      <c r="AK201">
        <v>2000</v>
      </c>
      <c r="AL201" t="s">
        <v>784</v>
      </c>
      <c r="AM201" t="s">
        <v>103</v>
      </c>
      <c r="AN201" t="s">
        <v>130</v>
      </c>
      <c r="AO201" t="s">
        <v>795</v>
      </c>
      <c r="AP201">
        <v>7</v>
      </c>
      <c r="AQ201" t="s">
        <v>33</v>
      </c>
      <c r="AR201" t="s">
        <v>33</v>
      </c>
      <c r="AS201" s="6">
        <f>LOG(AVERAGE(10^8, 10^9))</f>
        <v>8.7403626894942441</v>
      </c>
      <c r="AT201" s="3">
        <f>IFERROR(AS201-AU201,"NA")</f>
        <v>3.0093626894942442</v>
      </c>
      <c r="AU201" s="6">
        <v>5.7309999999999999</v>
      </c>
      <c r="AV201" t="b">
        <v>1</v>
      </c>
      <c r="AW201" t="s">
        <v>172</v>
      </c>
      <c r="AX201" t="s">
        <v>173</v>
      </c>
      <c r="AY201">
        <v>28.040400000000002</v>
      </c>
      <c r="AZ201" t="s">
        <v>33</v>
      </c>
      <c r="BA201" s="18" t="s">
        <v>799</v>
      </c>
      <c r="BB201" s="3" t="b">
        <v>0</v>
      </c>
      <c r="BC201" t="s">
        <v>81</v>
      </c>
      <c r="BD201">
        <v>24</v>
      </c>
      <c r="BE201" t="s">
        <v>80</v>
      </c>
      <c r="BF201">
        <v>48</v>
      </c>
      <c r="BG201" t="s">
        <v>734</v>
      </c>
      <c r="BH201" t="s">
        <v>31</v>
      </c>
      <c r="BI201" t="s">
        <v>31</v>
      </c>
      <c r="BJ201" s="3">
        <f t="shared" si="80"/>
        <v>5.7309999999999999</v>
      </c>
      <c r="BK201" s="3">
        <f t="shared" si="81"/>
        <v>0.75823040845774947</v>
      </c>
      <c r="BL201">
        <v>2</v>
      </c>
      <c r="BM201" s="3">
        <f t="shared" si="102"/>
        <v>1.2854933036690122</v>
      </c>
      <c r="BN201" t="s">
        <v>33</v>
      </c>
      <c r="BO201" s="3">
        <f t="shared" si="99"/>
        <v>19.29715581922876</v>
      </c>
      <c r="BP201" t="s">
        <v>33</v>
      </c>
      <c r="BQ201" t="s">
        <v>33</v>
      </c>
      <c r="BR201" t="s">
        <v>33</v>
      </c>
      <c r="BS201" t="s">
        <v>33</v>
      </c>
      <c r="BT201" t="s">
        <v>32</v>
      </c>
      <c r="BU201" t="s">
        <v>709</v>
      </c>
      <c r="BV201">
        <v>2024</v>
      </c>
      <c r="BW201" t="s">
        <v>710</v>
      </c>
      <c r="BX201" t="s">
        <v>78</v>
      </c>
      <c r="BY201" t="s">
        <v>711</v>
      </c>
      <c r="CA201" t="str">
        <f t="shared" si="101"/>
        <v>low acid</v>
      </c>
    </row>
    <row r="202" spans="1:79">
      <c r="A202" t="s">
        <v>584</v>
      </c>
      <c r="B202" t="s">
        <v>566</v>
      </c>
      <c r="C202" t="s">
        <v>563</v>
      </c>
      <c r="D202" t="s">
        <v>607</v>
      </c>
      <c r="E202" t="s">
        <v>77</v>
      </c>
      <c r="F202" t="s">
        <v>33</v>
      </c>
      <c r="G202">
        <v>20</v>
      </c>
      <c r="H202">
        <v>35</v>
      </c>
      <c r="I202" t="b">
        <v>0</v>
      </c>
      <c r="J202">
        <v>1000</v>
      </c>
      <c r="K202">
        <v>200</v>
      </c>
      <c r="L202">
        <v>30</v>
      </c>
      <c r="M202" s="4">
        <v>1</v>
      </c>
      <c r="N202" t="e">
        <f>(#REF!*Y202)/(T202*X202*O202)</f>
        <v>#REF!</v>
      </c>
      <c r="O202">
        <v>3</v>
      </c>
      <c r="P202" t="s">
        <v>33</v>
      </c>
      <c r="Q202" s="1">
        <f t="shared" ref="Q202:Q213" si="105">IFERROR(X202/Z202, "NA")</f>
        <v>166.66666666666666</v>
      </c>
      <c r="R202" t="s">
        <v>183</v>
      </c>
      <c r="S202" t="s">
        <v>33</v>
      </c>
      <c r="T202">
        <v>1</v>
      </c>
      <c r="U202">
        <v>2.5</v>
      </c>
      <c r="V202" t="s">
        <v>33</v>
      </c>
      <c r="W202">
        <v>0.50249999999999995</v>
      </c>
      <c r="X202">
        <f>W202</f>
        <v>0.50249999999999995</v>
      </c>
      <c r="Y202" t="s">
        <v>33</v>
      </c>
      <c r="Z202" s="3">
        <f t="shared" si="103"/>
        <v>3.0149999999999999E-3</v>
      </c>
      <c r="AA202" t="s">
        <v>33</v>
      </c>
      <c r="AB202">
        <f t="shared" ref="AB202:AB207" si="106">IFERROR(((X202*M202)/Z202), "NA")</f>
        <v>166.66666666666666</v>
      </c>
      <c r="AC202" s="1" t="str">
        <f t="shared" ref="AC202:AC261" si="107">IFERROR(M202*P202,"NA")</f>
        <v>NA</v>
      </c>
      <c r="AE202" s="3">
        <f t="shared" si="104"/>
        <v>449.99999999999994</v>
      </c>
      <c r="AF202">
        <v>500</v>
      </c>
      <c r="AG202" s="1" t="str">
        <f t="shared" ref="AG202:AG207" si="108">IFERROR((N202*P202*Q202), "NA")</f>
        <v>NA</v>
      </c>
      <c r="AH202" s="1" t="str">
        <f t="shared" ref="AH202:AH207" si="109">IFERROR((AG202*U202*AI202), "NA")</f>
        <v>NA</v>
      </c>
      <c r="AI202" s="1">
        <v>1</v>
      </c>
      <c r="AJ202" s="11" t="s">
        <v>31</v>
      </c>
      <c r="AK202">
        <v>1000</v>
      </c>
      <c r="AL202" t="s">
        <v>614</v>
      </c>
      <c r="AM202" s="3" t="s">
        <v>103</v>
      </c>
      <c r="AN202" t="s">
        <v>305</v>
      </c>
      <c r="AO202" t="s">
        <v>790</v>
      </c>
      <c r="AP202">
        <v>3.5</v>
      </c>
      <c r="AQ202" t="s">
        <v>33</v>
      </c>
      <c r="AR202" t="s">
        <v>33</v>
      </c>
      <c r="AS202">
        <v>8</v>
      </c>
      <c r="AT202">
        <f t="shared" ref="AT202:AT207" si="110">AS202-AU202</f>
        <v>3.01</v>
      </c>
      <c r="AU202" s="6">
        <v>4.99</v>
      </c>
      <c r="AV202" t="b">
        <v>1</v>
      </c>
      <c r="AW202" t="s">
        <v>617</v>
      </c>
      <c r="AX202" t="s">
        <v>33</v>
      </c>
      <c r="AY202" t="s">
        <v>623</v>
      </c>
      <c r="AZ202" t="s">
        <v>621</v>
      </c>
      <c r="BA202" s="18" t="s">
        <v>802</v>
      </c>
      <c r="BB202" s="3" t="b">
        <v>0</v>
      </c>
      <c r="BC202" t="s">
        <v>81</v>
      </c>
      <c r="BD202">
        <v>18</v>
      </c>
      <c r="BE202" t="s">
        <v>80</v>
      </c>
      <c r="BF202">
        <v>24</v>
      </c>
      <c r="BG202" t="s">
        <v>569</v>
      </c>
      <c r="BH202" t="s">
        <v>31</v>
      </c>
      <c r="BI202" t="s">
        <v>31</v>
      </c>
      <c r="BJ202">
        <f t="shared" ref="BJ202:BJ261" si="111">AU202</f>
        <v>4.99</v>
      </c>
      <c r="BK202" s="3">
        <f t="shared" ref="BK202:BK261" si="112">LOG10(BJ202)</f>
        <v>0.69810054562338997</v>
      </c>
      <c r="BL202">
        <v>2</v>
      </c>
      <c r="BM202" s="3">
        <f t="shared" si="102"/>
        <v>1.9551119681519538</v>
      </c>
      <c r="BN202" t="s">
        <v>33</v>
      </c>
      <c r="BO202" s="3">
        <f t="shared" si="99"/>
        <v>90.180360721442867</v>
      </c>
      <c r="BP202" t="s">
        <v>33</v>
      </c>
      <c r="BQ202" t="s">
        <v>33</v>
      </c>
      <c r="BR202" t="s">
        <v>33</v>
      </c>
      <c r="BS202" t="s">
        <v>33</v>
      </c>
      <c r="BT202" t="s">
        <v>31</v>
      </c>
      <c r="BU202" t="s">
        <v>255</v>
      </c>
      <c r="BV202">
        <v>2010</v>
      </c>
      <c r="BW202" t="s">
        <v>651</v>
      </c>
      <c r="BX202" t="s">
        <v>78</v>
      </c>
      <c r="BY202" s="13" t="s">
        <v>674</v>
      </c>
      <c r="CA202" t="str">
        <f t="shared" si="101"/>
        <v>high acid</v>
      </c>
    </row>
    <row r="203" spans="1:79">
      <c r="A203" t="s">
        <v>584</v>
      </c>
      <c r="B203" t="s">
        <v>566</v>
      </c>
      <c r="C203" t="s">
        <v>563</v>
      </c>
      <c r="D203" t="s">
        <v>607</v>
      </c>
      <c r="E203" t="s">
        <v>77</v>
      </c>
      <c r="F203" t="s">
        <v>33</v>
      </c>
      <c r="G203">
        <v>20</v>
      </c>
      <c r="H203">
        <v>35</v>
      </c>
      <c r="I203" t="b">
        <v>0</v>
      </c>
      <c r="J203">
        <v>1000</v>
      </c>
      <c r="K203">
        <v>200</v>
      </c>
      <c r="L203">
        <v>35</v>
      </c>
      <c r="M203" s="4">
        <v>1</v>
      </c>
      <c r="N203" t="e">
        <f>(#REF!*Y203)/(T203*X203*O203)</f>
        <v>#REF!</v>
      </c>
      <c r="O203">
        <v>3</v>
      </c>
      <c r="P203" t="s">
        <v>33</v>
      </c>
      <c r="Q203" s="1">
        <f t="shared" si="105"/>
        <v>166.66666666666666</v>
      </c>
      <c r="R203" t="s">
        <v>183</v>
      </c>
      <c r="S203" t="s">
        <v>33</v>
      </c>
      <c r="T203">
        <v>1</v>
      </c>
      <c r="U203">
        <v>2.5</v>
      </c>
      <c r="V203" t="s">
        <v>33</v>
      </c>
      <c r="W203">
        <v>0.50249999999999995</v>
      </c>
      <c r="X203">
        <f>W203</f>
        <v>0.50249999999999995</v>
      </c>
      <c r="Y203" t="s">
        <v>33</v>
      </c>
      <c r="Z203" s="3">
        <f t="shared" si="103"/>
        <v>3.0149999999999999E-3</v>
      </c>
      <c r="AA203" t="s">
        <v>33</v>
      </c>
      <c r="AB203">
        <f t="shared" si="106"/>
        <v>166.66666666666666</v>
      </c>
      <c r="AC203" s="1" t="str">
        <f t="shared" si="107"/>
        <v>NA</v>
      </c>
      <c r="AE203" s="3">
        <f t="shared" si="104"/>
        <v>612.49999999999989</v>
      </c>
      <c r="AF203">
        <v>500</v>
      </c>
      <c r="AG203" s="1" t="str">
        <f t="shared" si="108"/>
        <v>NA</v>
      </c>
      <c r="AH203" s="1" t="str">
        <f t="shared" si="109"/>
        <v>NA</v>
      </c>
      <c r="AI203" s="1">
        <v>1</v>
      </c>
      <c r="AJ203" s="11" t="s">
        <v>31</v>
      </c>
      <c r="AK203">
        <v>1000</v>
      </c>
      <c r="AL203" t="s">
        <v>614</v>
      </c>
      <c r="AM203" s="3" t="s">
        <v>103</v>
      </c>
      <c r="AN203" t="s">
        <v>305</v>
      </c>
      <c r="AO203" t="s">
        <v>790</v>
      </c>
      <c r="AP203">
        <v>3.5</v>
      </c>
      <c r="AQ203" t="s">
        <v>33</v>
      </c>
      <c r="AR203" t="s">
        <v>33</v>
      </c>
      <c r="AS203">
        <v>8</v>
      </c>
      <c r="AT203">
        <f t="shared" si="110"/>
        <v>3.01</v>
      </c>
      <c r="AU203" s="6">
        <v>4.99</v>
      </c>
      <c r="AV203" t="b">
        <v>1</v>
      </c>
      <c r="AW203" t="s">
        <v>617</v>
      </c>
      <c r="AX203" t="s">
        <v>33</v>
      </c>
      <c r="AY203" t="s">
        <v>623</v>
      </c>
      <c r="AZ203" t="s">
        <v>621</v>
      </c>
      <c r="BA203" s="18" t="s">
        <v>802</v>
      </c>
      <c r="BB203" s="3" t="b">
        <v>0</v>
      </c>
      <c r="BC203" t="s">
        <v>81</v>
      </c>
      <c r="BD203">
        <v>18</v>
      </c>
      <c r="BE203" t="s">
        <v>80</v>
      </c>
      <c r="BF203">
        <v>24</v>
      </c>
      <c r="BG203" t="s">
        <v>642</v>
      </c>
      <c r="BH203" t="s">
        <v>32</v>
      </c>
      <c r="BI203" t="s">
        <v>31</v>
      </c>
      <c r="BJ203">
        <f t="shared" si="111"/>
        <v>4.99</v>
      </c>
      <c r="BK203" s="3">
        <f t="shared" si="112"/>
        <v>0.69810054562338997</v>
      </c>
      <c r="BL203">
        <v>2</v>
      </c>
      <c r="BM203" s="3">
        <f t="shared" si="102"/>
        <v>2.0890055474131799</v>
      </c>
      <c r="BN203" t="s">
        <v>33</v>
      </c>
      <c r="BO203" s="3">
        <f t="shared" si="99"/>
        <v>122.7454909819639</v>
      </c>
      <c r="BP203" t="s">
        <v>33</v>
      </c>
      <c r="BQ203" t="s">
        <v>33</v>
      </c>
      <c r="BR203" t="s">
        <v>33</v>
      </c>
      <c r="BS203" t="s">
        <v>33</v>
      </c>
      <c r="BT203" t="s">
        <v>31</v>
      </c>
      <c r="BU203" t="s">
        <v>255</v>
      </c>
      <c r="BV203">
        <v>2010</v>
      </c>
      <c r="BW203" t="s">
        <v>651</v>
      </c>
      <c r="BX203" t="s">
        <v>78</v>
      </c>
      <c r="BY203" s="13" t="s">
        <v>674</v>
      </c>
      <c r="CA203" t="str">
        <f t="shared" si="101"/>
        <v>high acid</v>
      </c>
    </row>
    <row r="204" spans="1:79">
      <c r="A204" t="s">
        <v>593</v>
      </c>
      <c r="B204" t="s">
        <v>565</v>
      </c>
      <c r="C204" t="s">
        <v>563</v>
      </c>
      <c r="D204" t="s">
        <v>118</v>
      </c>
      <c r="E204" t="s">
        <v>77</v>
      </c>
      <c r="F204" t="s">
        <v>32</v>
      </c>
      <c r="G204" t="s">
        <v>33</v>
      </c>
      <c r="H204">
        <v>35</v>
      </c>
      <c r="I204" t="b">
        <v>0</v>
      </c>
      <c r="J204" t="s">
        <v>33</v>
      </c>
      <c r="K204" t="s">
        <v>33</v>
      </c>
      <c r="L204">
        <v>40</v>
      </c>
      <c r="M204" s="4">
        <v>400</v>
      </c>
      <c r="N204" t="e">
        <f>(#REF!*Y204)/(T204*X204*O204)</f>
        <v>#REF!</v>
      </c>
      <c r="O204">
        <v>2</v>
      </c>
      <c r="P204" t="s">
        <v>33</v>
      </c>
      <c r="Q204" s="1">
        <f t="shared" si="105"/>
        <v>0.11395833333333333</v>
      </c>
      <c r="R204" t="s">
        <v>183</v>
      </c>
      <c r="S204" t="s">
        <v>613</v>
      </c>
      <c r="T204">
        <v>6</v>
      </c>
      <c r="U204">
        <v>2.92</v>
      </c>
      <c r="V204">
        <v>2.2999999999999998</v>
      </c>
      <c r="W204" t="s">
        <v>33</v>
      </c>
      <c r="X204">
        <f>IFERROR(((PI())*(((V204*10^-1)/2)^2)*(U204*10^-1)), "NA")</f>
        <v>1.2131888350367701E-2</v>
      </c>
      <c r="Y204">
        <v>1</v>
      </c>
      <c r="Z204" s="3">
        <f t="shared" si="103"/>
        <v>0.10645898369609683</v>
      </c>
      <c r="AA204" t="s">
        <v>33</v>
      </c>
      <c r="AB204">
        <f t="shared" si="106"/>
        <v>45.583333333333336</v>
      </c>
      <c r="AC204" s="1" t="str">
        <f t="shared" si="107"/>
        <v>NA</v>
      </c>
      <c r="AE204" s="3">
        <f t="shared" si="104"/>
        <v>1837.92</v>
      </c>
      <c r="AF204">
        <v>547</v>
      </c>
      <c r="AG204" s="1" t="str">
        <f t="shared" si="108"/>
        <v>NA</v>
      </c>
      <c r="AH204" s="1" t="str">
        <f t="shared" si="109"/>
        <v>NA</v>
      </c>
      <c r="AI204">
        <v>1</v>
      </c>
      <c r="AJ204" s="11" t="s">
        <v>31</v>
      </c>
      <c r="AK204">
        <v>2100</v>
      </c>
      <c r="AL204" t="s">
        <v>693</v>
      </c>
      <c r="AM204" t="s">
        <v>530</v>
      </c>
      <c r="AN204" t="s">
        <v>186</v>
      </c>
      <c r="AO204" t="s">
        <v>796</v>
      </c>
      <c r="AP204">
        <v>7.21</v>
      </c>
      <c r="AQ204" t="s">
        <v>33</v>
      </c>
      <c r="AR204" t="s">
        <v>33</v>
      </c>
      <c r="AS204">
        <v>6.5</v>
      </c>
      <c r="AT204">
        <f t="shared" si="110"/>
        <v>3.02</v>
      </c>
      <c r="AU204" s="6">
        <v>3.48</v>
      </c>
      <c r="AV204" t="b">
        <v>1</v>
      </c>
      <c r="AW204" t="s">
        <v>626</v>
      </c>
      <c r="AX204" t="s">
        <v>627</v>
      </c>
      <c r="AY204" t="s">
        <v>625</v>
      </c>
      <c r="AZ204" t="s">
        <v>33</v>
      </c>
      <c r="BA204" s="18" t="s">
        <v>800</v>
      </c>
      <c r="BB204" s="3" t="b">
        <v>0</v>
      </c>
      <c r="BC204" t="s">
        <v>81</v>
      </c>
      <c r="BD204">
        <f>AVERAGE(14, 16)</f>
        <v>15</v>
      </c>
      <c r="BE204" t="s">
        <v>80</v>
      </c>
      <c r="BF204">
        <v>48</v>
      </c>
      <c r="BG204" t="s">
        <v>568</v>
      </c>
      <c r="BH204" t="s">
        <v>31</v>
      </c>
      <c r="BI204" t="s">
        <v>31</v>
      </c>
      <c r="BJ204">
        <f t="shared" si="111"/>
        <v>3.48</v>
      </c>
      <c r="BK204" s="3">
        <f t="shared" si="112"/>
        <v>0.54157924394658097</v>
      </c>
      <c r="BL204">
        <v>2</v>
      </c>
      <c r="BM204" s="3">
        <f t="shared" si="102"/>
        <v>2.7227473597766938</v>
      </c>
      <c r="BN204" t="s">
        <v>33</v>
      </c>
      <c r="BO204" s="3">
        <f t="shared" si="99"/>
        <v>528.13793103448279</v>
      </c>
      <c r="BP204" t="s">
        <v>33</v>
      </c>
      <c r="BQ204" t="s">
        <v>33</v>
      </c>
      <c r="BR204" t="s">
        <v>33</v>
      </c>
      <c r="BS204" t="s">
        <v>33</v>
      </c>
      <c r="BT204" t="s">
        <v>31</v>
      </c>
      <c r="BU204" s="15" t="s">
        <v>217</v>
      </c>
      <c r="BV204">
        <v>2012</v>
      </c>
      <c r="BW204" t="s">
        <v>660</v>
      </c>
      <c r="BX204" t="s">
        <v>78</v>
      </c>
      <c r="BY204" s="13" t="s">
        <v>681</v>
      </c>
      <c r="CA204" t="str">
        <f t="shared" si="101"/>
        <v>low acid</v>
      </c>
    </row>
    <row r="205" spans="1:79">
      <c r="A205" t="s">
        <v>596</v>
      </c>
      <c r="B205" t="s">
        <v>565</v>
      </c>
      <c r="C205" t="s">
        <v>563</v>
      </c>
      <c r="D205" t="s">
        <v>610</v>
      </c>
      <c r="E205" t="s">
        <v>77</v>
      </c>
      <c r="F205" t="s">
        <v>33</v>
      </c>
      <c r="G205">
        <v>20</v>
      </c>
      <c r="H205" t="s">
        <v>33</v>
      </c>
      <c r="I205" t="b">
        <v>0</v>
      </c>
      <c r="J205">
        <v>12000</v>
      </c>
      <c r="K205" t="s">
        <v>33</v>
      </c>
      <c r="L205">
        <v>30</v>
      </c>
      <c r="M205" s="4">
        <v>14</v>
      </c>
      <c r="N205" t="e">
        <f>(#REF!*Y205)/(T205*X205*O205)</f>
        <v>#REF!</v>
      </c>
      <c r="O205">
        <v>5</v>
      </c>
      <c r="P205" t="s">
        <v>33</v>
      </c>
      <c r="Q205" s="1">
        <f t="shared" si="105"/>
        <v>0.92857142857142849</v>
      </c>
      <c r="R205" t="s">
        <v>183</v>
      </c>
      <c r="S205" t="s">
        <v>613</v>
      </c>
      <c r="T205">
        <v>1</v>
      </c>
      <c r="U205">
        <v>4</v>
      </c>
      <c r="V205">
        <v>4</v>
      </c>
      <c r="W205" t="s">
        <v>33</v>
      </c>
      <c r="X205">
        <f>IFERROR(((PI())*(((V205*10^-1)/2)^2)*(U205*10^-1)), "NA")</f>
        <v>5.02654824574367E-2</v>
      </c>
      <c r="Y205">
        <v>0.106667</v>
      </c>
      <c r="Z205" s="3">
        <f t="shared" si="103"/>
        <v>5.4132058031085679E-2</v>
      </c>
      <c r="AA205" t="s">
        <v>33</v>
      </c>
      <c r="AB205">
        <f t="shared" si="106"/>
        <v>13</v>
      </c>
      <c r="AC205" s="1" t="str">
        <f t="shared" si="107"/>
        <v>NA</v>
      </c>
      <c r="AE205" s="3">
        <f t="shared" si="104"/>
        <v>116.99999999999999</v>
      </c>
      <c r="AF205">
        <v>65</v>
      </c>
      <c r="AG205" s="1" t="str">
        <f t="shared" si="108"/>
        <v>NA</v>
      </c>
      <c r="AH205" s="1" t="str">
        <f t="shared" si="109"/>
        <v>NA</v>
      </c>
      <c r="AI205" s="1">
        <v>1</v>
      </c>
      <c r="AJ205" s="11" t="s">
        <v>31</v>
      </c>
      <c r="AK205">
        <v>2000</v>
      </c>
      <c r="AL205" t="s">
        <v>149</v>
      </c>
      <c r="AM205" t="s">
        <v>86</v>
      </c>
      <c r="AN205" t="s">
        <v>205</v>
      </c>
      <c r="AO205" t="s">
        <v>789</v>
      </c>
      <c r="AP205" t="s">
        <v>33</v>
      </c>
      <c r="AQ205" t="s">
        <v>33</v>
      </c>
      <c r="AR205" t="s">
        <v>33</v>
      </c>
      <c r="AS205">
        <f>AVERAGE(6,8)</f>
        <v>7</v>
      </c>
      <c r="AT205">
        <f t="shared" si="110"/>
        <v>3.03</v>
      </c>
      <c r="AU205" s="6">
        <v>3.97</v>
      </c>
      <c r="AV205" t="b">
        <v>1</v>
      </c>
      <c r="AW205" t="s">
        <v>626</v>
      </c>
      <c r="AX205" t="s">
        <v>627</v>
      </c>
      <c r="AY205" t="s">
        <v>634</v>
      </c>
      <c r="AZ205" t="s">
        <v>33</v>
      </c>
      <c r="BA205" s="18" t="s">
        <v>800</v>
      </c>
      <c r="BB205" s="3" t="b">
        <v>0</v>
      </c>
      <c r="BC205" t="s">
        <v>81</v>
      </c>
      <c r="BD205">
        <v>18</v>
      </c>
      <c r="BE205" t="s">
        <v>80</v>
      </c>
      <c r="BF205">
        <v>24</v>
      </c>
      <c r="BG205" t="s">
        <v>644</v>
      </c>
      <c r="BH205" t="s">
        <v>31</v>
      </c>
      <c r="BI205" t="s">
        <v>31</v>
      </c>
      <c r="BJ205">
        <f t="shared" si="111"/>
        <v>3.97</v>
      </c>
      <c r="BK205" s="3">
        <f t="shared" si="112"/>
        <v>0.59879050676311507</v>
      </c>
      <c r="BL205">
        <v>2</v>
      </c>
      <c r="BM205" s="3">
        <f t="shared" si="102"/>
        <v>1.4693953549830465</v>
      </c>
      <c r="BN205" t="s">
        <v>33</v>
      </c>
      <c r="BO205" s="3">
        <f t="shared" si="99"/>
        <v>29.471032745591934</v>
      </c>
      <c r="BP205" t="s">
        <v>33</v>
      </c>
      <c r="BQ205" t="s">
        <v>33</v>
      </c>
      <c r="BR205" t="s">
        <v>33</v>
      </c>
      <c r="BS205" t="s">
        <v>33</v>
      </c>
      <c r="BT205" t="s">
        <v>32</v>
      </c>
      <c r="BU205" t="s">
        <v>661</v>
      </c>
      <c r="BV205">
        <v>2013</v>
      </c>
      <c r="BW205" t="s">
        <v>662</v>
      </c>
      <c r="BX205" s="13" t="s">
        <v>663</v>
      </c>
      <c r="BY205" s="13" t="s">
        <v>684</v>
      </c>
      <c r="CA205" t="str">
        <f t="shared" si="101"/>
        <v>high acid</v>
      </c>
    </row>
    <row r="206" spans="1:79">
      <c r="A206" t="s">
        <v>580</v>
      </c>
      <c r="B206" t="s">
        <v>565</v>
      </c>
      <c r="C206" t="s">
        <v>563</v>
      </c>
      <c r="D206" t="s">
        <v>118</v>
      </c>
      <c r="E206" t="s">
        <v>77</v>
      </c>
      <c r="F206" t="s">
        <v>32</v>
      </c>
      <c r="G206">
        <v>22</v>
      </c>
      <c r="H206">
        <v>40</v>
      </c>
      <c r="I206" t="b">
        <v>0</v>
      </c>
      <c r="J206">
        <v>10220</v>
      </c>
      <c r="K206">
        <v>34.78</v>
      </c>
      <c r="L206">
        <v>35</v>
      </c>
      <c r="M206" s="4">
        <v>250</v>
      </c>
      <c r="N206" t="e">
        <f>(#REF!*Y206)/(T206*X206*O206)</f>
        <v>#REF!</v>
      </c>
      <c r="O206">
        <v>4</v>
      </c>
      <c r="P206">
        <f>AVERAGE(0.0066, 0.0091)</f>
        <v>7.8499999999999993E-3</v>
      </c>
      <c r="Q206" s="1">
        <f t="shared" si="105"/>
        <v>0.15625</v>
      </c>
      <c r="R206" t="s">
        <v>183</v>
      </c>
      <c r="S206" t="s">
        <v>613</v>
      </c>
      <c r="T206">
        <v>8</v>
      </c>
      <c r="U206">
        <v>2.92</v>
      </c>
      <c r="V206">
        <v>2.2999999999999998</v>
      </c>
      <c r="W206">
        <v>1.21E-2</v>
      </c>
      <c r="X206">
        <f>IFERROR(((PI())*(((V206*10^-1)/2)^2)*(U206*10^-1)), "NA")</f>
        <v>1.2131888350367701E-2</v>
      </c>
      <c r="Y206">
        <v>1.5</v>
      </c>
      <c r="Z206" s="3">
        <f t="shared" si="103"/>
        <v>7.7644085442353281E-2</v>
      </c>
      <c r="AA206" t="s">
        <v>33</v>
      </c>
      <c r="AB206">
        <f t="shared" si="106"/>
        <v>39.0625</v>
      </c>
      <c r="AC206" s="1">
        <f t="shared" si="107"/>
        <v>1.9624999999999999</v>
      </c>
      <c r="AE206" s="3">
        <f t="shared" si="104"/>
        <v>4578.4375</v>
      </c>
      <c r="AF206">
        <v>1250</v>
      </c>
      <c r="AG206" s="1" t="str">
        <f t="shared" si="108"/>
        <v>NA</v>
      </c>
      <c r="AH206" s="1" t="str">
        <f t="shared" si="109"/>
        <v>NA</v>
      </c>
      <c r="AI206" s="1">
        <v>1</v>
      </c>
      <c r="AJ206" s="11" t="s">
        <v>31</v>
      </c>
      <c r="AK206">
        <v>2990</v>
      </c>
      <c r="AL206" t="s">
        <v>544</v>
      </c>
      <c r="AM206" t="s">
        <v>86</v>
      </c>
      <c r="AN206" t="s">
        <v>205</v>
      </c>
      <c r="AO206" t="s">
        <v>789</v>
      </c>
      <c r="AP206">
        <v>4.4000000000000004</v>
      </c>
      <c r="AQ206" t="s">
        <v>33</v>
      </c>
      <c r="AR206" t="s">
        <v>33</v>
      </c>
      <c r="AS206">
        <v>7.5</v>
      </c>
      <c r="AT206">
        <f t="shared" si="110"/>
        <v>3.0300000000000002</v>
      </c>
      <c r="AU206" s="6">
        <v>4.47</v>
      </c>
      <c r="AV206" t="b">
        <v>1</v>
      </c>
      <c r="AW206" t="s">
        <v>617</v>
      </c>
      <c r="AX206" t="s">
        <v>33</v>
      </c>
      <c r="AY206" t="s">
        <v>33</v>
      </c>
      <c r="AZ206" t="s">
        <v>619</v>
      </c>
      <c r="BA206" s="18" t="s">
        <v>802</v>
      </c>
      <c r="BB206" s="3" t="b">
        <v>0</v>
      </c>
      <c r="BC206" t="s">
        <v>81</v>
      </c>
      <c r="BD206">
        <v>15</v>
      </c>
      <c r="BE206" t="s">
        <v>80</v>
      </c>
      <c r="BF206">
        <v>24</v>
      </c>
      <c r="BG206" t="s">
        <v>697</v>
      </c>
      <c r="BH206" t="s">
        <v>32</v>
      </c>
      <c r="BI206" t="s">
        <v>31</v>
      </c>
      <c r="BJ206">
        <f t="shared" si="111"/>
        <v>4.47</v>
      </c>
      <c r="BK206" s="3">
        <f t="shared" si="112"/>
        <v>0.6503075231319364</v>
      </c>
      <c r="BL206">
        <v>2</v>
      </c>
      <c r="BM206" s="3">
        <f t="shared" si="102"/>
        <v>3.010409766901101</v>
      </c>
      <c r="BN206" t="s">
        <v>33</v>
      </c>
      <c r="BO206" s="3">
        <f t="shared" si="99"/>
        <v>1024.2589485458614</v>
      </c>
      <c r="BP206" t="s">
        <v>33</v>
      </c>
      <c r="BQ206" t="s">
        <v>33</v>
      </c>
      <c r="BR206" t="s">
        <v>33</v>
      </c>
      <c r="BS206" t="s">
        <v>33</v>
      </c>
      <c r="BT206" t="s">
        <v>31</v>
      </c>
      <c r="BU206" t="s">
        <v>219</v>
      </c>
      <c r="BV206" s="14">
        <v>2008</v>
      </c>
      <c r="BW206" t="s">
        <v>257</v>
      </c>
      <c r="BX206" t="s">
        <v>78</v>
      </c>
      <c r="BY206" s="13" t="s">
        <v>670</v>
      </c>
      <c r="CA206" t="str">
        <f t="shared" si="101"/>
        <v>high acid</v>
      </c>
    </row>
    <row r="207" spans="1:79">
      <c r="A207" t="s">
        <v>584</v>
      </c>
      <c r="B207" t="s">
        <v>566</v>
      </c>
      <c r="C207" t="s">
        <v>563</v>
      </c>
      <c r="D207" t="s">
        <v>607</v>
      </c>
      <c r="E207" t="s">
        <v>77</v>
      </c>
      <c r="F207" t="s">
        <v>33</v>
      </c>
      <c r="G207">
        <v>20</v>
      </c>
      <c r="H207">
        <v>35</v>
      </c>
      <c r="I207" t="b">
        <v>0</v>
      </c>
      <c r="J207">
        <v>1000</v>
      </c>
      <c r="K207">
        <v>200</v>
      </c>
      <c r="L207">
        <v>35</v>
      </c>
      <c r="M207" s="4">
        <v>1</v>
      </c>
      <c r="N207" t="e">
        <f>(#REF!*Y207)/(T207*X207*O207)</f>
        <v>#REF!</v>
      </c>
      <c r="O207">
        <v>3</v>
      </c>
      <c r="P207" t="s">
        <v>33</v>
      </c>
      <c r="Q207" s="1">
        <f t="shared" si="105"/>
        <v>50.000000000000007</v>
      </c>
      <c r="R207" t="s">
        <v>183</v>
      </c>
      <c r="S207" t="s">
        <v>33</v>
      </c>
      <c r="T207">
        <v>1</v>
      </c>
      <c r="U207">
        <v>2.5</v>
      </c>
      <c r="V207" t="s">
        <v>33</v>
      </c>
      <c r="W207">
        <v>0.50249999999999995</v>
      </c>
      <c r="X207">
        <f>W207</f>
        <v>0.50249999999999995</v>
      </c>
      <c r="Y207" t="s">
        <v>33</v>
      </c>
      <c r="Z207" s="3">
        <f t="shared" si="103"/>
        <v>1.0049999999999998E-2</v>
      </c>
      <c r="AA207" t="s">
        <v>33</v>
      </c>
      <c r="AB207">
        <f t="shared" si="106"/>
        <v>50.000000000000007</v>
      </c>
      <c r="AC207" s="1" t="str">
        <f t="shared" si="107"/>
        <v>NA</v>
      </c>
      <c r="AE207" s="3">
        <f t="shared" si="104"/>
        <v>183.75000000000003</v>
      </c>
      <c r="AF207">
        <v>150</v>
      </c>
      <c r="AG207" s="1" t="str">
        <f t="shared" si="108"/>
        <v>NA</v>
      </c>
      <c r="AH207" s="1" t="str">
        <f t="shared" si="109"/>
        <v>NA</v>
      </c>
      <c r="AI207" s="1">
        <v>1</v>
      </c>
      <c r="AJ207" s="11" t="s">
        <v>31</v>
      </c>
      <c r="AK207">
        <v>1000</v>
      </c>
      <c r="AL207" t="s">
        <v>614</v>
      </c>
      <c r="AM207" s="3" t="s">
        <v>103</v>
      </c>
      <c r="AN207" t="s">
        <v>305</v>
      </c>
      <c r="AO207" t="s">
        <v>790</v>
      </c>
      <c r="AP207">
        <v>3.5</v>
      </c>
      <c r="AQ207" t="s">
        <v>33</v>
      </c>
      <c r="AR207" t="s">
        <v>33</v>
      </c>
      <c r="AS207">
        <v>8</v>
      </c>
      <c r="AT207">
        <f t="shared" si="110"/>
        <v>3.0300000000000002</v>
      </c>
      <c r="AU207" s="6">
        <v>4.97</v>
      </c>
      <c r="AV207" t="b">
        <v>1</v>
      </c>
      <c r="AW207" t="s">
        <v>617</v>
      </c>
      <c r="AX207" t="s">
        <v>33</v>
      </c>
      <c r="AY207" t="s">
        <v>623</v>
      </c>
      <c r="AZ207" t="s">
        <v>621</v>
      </c>
      <c r="BA207" s="18" t="s">
        <v>802</v>
      </c>
      <c r="BB207" s="3" t="b">
        <v>0</v>
      </c>
      <c r="BC207" t="s">
        <v>81</v>
      </c>
      <c r="BD207">
        <v>18</v>
      </c>
      <c r="BE207" t="s">
        <v>80</v>
      </c>
      <c r="BF207">
        <v>24</v>
      </c>
      <c r="BG207" t="s">
        <v>642</v>
      </c>
      <c r="BH207" t="s">
        <v>32</v>
      </c>
      <c r="BI207" t="s">
        <v>31</v>
      </c>
      <c r="BJ207">
        <f t="shared" si="111"/>
        <v>4.97</v>
      </c>
      <c r="BK207" s="3">
        <f t="shared" si="112"/>
        <v>0.69635638873333205</v>
      </c>
      <c r="BL207">
        <v>2</v>
      </c>
      <c r="BM207" s="3">
        <f t="shared" si="102"/>
        <v>1.5678709590229005</v>
      </c>
      <c r="BN207" t="s">
        <v>33</v>
      </c>
      <c r="BO207" s="3">
        <f t="shared" si="99"/>
        <v>36.971830985915503</v>
      </c>
      <c r="BP207" t="s">
        <v>33</v>
      </c>
      <c r="BQ207" t="s">
        <v>33</v>
      </c>
      <c r="BR207" t="s">
        <v>33</v>
      </c>
      <c r="BS207" t="s">
        <v>33</v>
      </c>
      <c r="BT207" t="s">
        <v>31</v>
      </c>
      <c r="BU207" t="s">
        <v>255</v>
      </c>
      <c r="BV207">
        <v>2010</v>
      </c>
      <c r="BW207" t="s">
        <v>651</v>
      </c>
      <c r="BX207" t="s">
        <v>78</v>
      </c>
      <c r="BY207" s="13" t="s">
        <v>674</v>
      </c>
      <c r="CA207" t="str">
        <f t="shared" si="101"/>
        <v>high acid</v>
      </c>
    </row>
    <row r="208" spans="1:79">
      <c r="A208" t="s">
        <v>502</v>
      </c>
      <c r="B208" t="s">
        <v>565</v>
      </c>
      <c r="C208" t="s">
        <v>563</v>
      </c>
      <c r="D208" t="s">
        <v>118</v>
      </c>
      <c r="E208" t="s">
        <v>77</v>
      </c>
      <c r="F208" t="s">
        <v>32</v>
      </c>
      <c r="G208">
        <v>4</v>
      </c>
      <c r="H208">
        <v>40</v>
      </c>
      <c r="I208" t="b">
        <v>0</v>
      </c>
      <c r="J208" t="s">
        <v>33</v>
      </c>
      <c r="K208" t="s">
        <v>33</v>
      </c>
      <c r="L208">
        <v>35</v>
      </c>
      <c r="M208" s="4">
        <v>200</v>
      </c>
      <c r="N208" s="3" t="str">
        <f>IFERROR(AF208/((T208*X208/Y208)*O208*AI208),"NA")</f>
        <v>NA</v>
      </c>
      <c r="O208">
        <v>4</v>
      </c>
      <c r="P208" s="9" t="s">
        <v>33</v>
      </c>
      <c r="Q208" s="8">
        <f t="shared" si="105"/>
        <v>0.21875</v>
      </c>
      <c r="R208" t="s">
        <v>183</v>
      </c>
      <c r="S208" t="s">
        <v>613</v>
      </c>
      <c r="T208" s="11">
        <v>8</v>
      </c>
      <c r="U208">
        <v>2.92</v>
      </c>
      <c r="V208">
        <v>2.2999999999999998</v>
      </c>
      <c r="W208">
        <v>1.21E-2</v>
      </c>
      <c r="X208" s="9">
        <f>IFERROR(((PI())*(((V208*10^-1)/2)^2)*(U208*10^-1)), "NA")</f>
        <v>1.2131888350367701E-2</v>
      </c>
      <c r="Y208" s="6" t="s">
        <v>33</v>
      </c>
      <c r="Z208" s="3">
        <f t="shared" si="103"/>
        <v>5.5460061030252347E-2</v>
      </c>
      <c r="AA208" t="s">
        <v>33</v>
      </c>
      <c r="AB208" s="4" t="str">
        <f>IFERROR(((X208*M208)/Y208), "NA")</f>
        <v>NA</v>
      </c>
      <c r="AC208" s="4" t="str">
        <f t="shared" si="107"/>
        <v>NA</v>
      </c>
      <c r="AD208" s="4" t="e">
        <f>AB208*T208*AI208</f>
        <v>#VALUE!</v>
      </c>
      <c r="AE208" s="3">
        <f t="shared" si="104"/>
        <v>6482.6999999999989</v>
      </c>
      <c r="AF208">
        <v>1400</v>
      </c>
      <c r="AG208" s="4" t="str">
        <f>IFERROR((M208*O208*P208), "NA")</f>
        <v>NA</v>
      </c>
      <c r="AH208" s="4" t="str">
        <f>IFERROR((AG208*T208*AI208), "NA")</f>
        <v>NA</v>
      </c>
      <c r="AI208">
        <v>1</v>
      </c>
      <c r="AJ208" t="s">
        <v>31</v>
      </c>
      <c r="AK208">
        <v>3780</v>
      </c>
      <c r="AL208" t="s">
        <v>552</v>
      </c>
      <c r="AM208" t="s">
        <v>86</v>
      </c>
      <c r="AN208" t="s">
        <v>205</v>
      </c>
      <c r="AO208" t="s">
        <v>789</v>
      </c>
      <c r="AP208">
        <v>3.32</v>
      </c>
      <c r="AQ208" t="s">
        <v>33</v>
      </c>
      <c r="AR208" t="s">
        <v>33</v>
      </c>
      <c r="AS208" s="6">
        <f>LOG((10^7+10^8)/2)</f>
        <v>7.7403626894942441</v>
      </c>
      <c r="AT208" s="3">
        <f>IFERROR(AS208-AU208,"NA")</f>
        <v>3.0383626894942442</v>
      </c>
      <c r="AU208" s="6">
        <v>4.702</v>
      </c>
      <c r="AV208" t="b">
        <v>1</v>
      </c>
      <c r="AW208" t="s">
        <v>92</v>
      </c>
      <c r="AX208" t="s">
        <v>119</v>
      </c>
      <c r="AY208" t="s">
        <v>425</v>
      </c>
      <c r="AZ208" t="s">
        <v>33</v>
      </c>
      <c r="BA208" s="18" t="s">
        <v>801</v>
      </c>
      <c r="BB208" t="b">
        <v>0</v>
      </c>
      <c r="BC208" t="s">
        <v>81</v>
      </c>
      <c r="BD208">
        <v>15</v>
      </c>
      <c r="BE208" t="s">
        <v>80</v>
      </c>
      <c r="BF208" s="11">
        <v>36</v>
      </c>
      <c r="BG208" t="s">
        <v>573</v>
      </c>
      <c r="BH208" t="s">
        <v>31</v>
      </c>
      <c r="BI208" t="s">
        <v>31</v>
      </c>
      <c r="BJ208" s="3">
        <f t="shared" si="111"/>
        <v>4.702</v>
      </c>
      <c r="BK208" s="3">
        <f t="shared" si="112"/>
        <v>0.67228262478892054</v>
      </c>
      <c r="BL208">
        <v>2</v>
      </c>
      <c r="BM208" s="3">
        <f t="shared" si="102"/>
        <v>3.139473299427094</v>
      </c>
      <c r="BN208" t="s">
        <v>33</v>
      </c>
      <c r="BO208" s="3">
        <f t="shared" si="99"/>
        <v>1378.7111867290512</v>
      </c>
      <c r="BP208" t="s">
        <v>33</v>
      </c>
      <c r="BQ208" t="s">
        <v>33</v>
      </c>
      <c r="BR208" t="s">
        <v>33</v>
      </c>
      <c r="BS208" t="s">
        <v>33</v>
      </c>
      <c r="BT208" t="s">
        <v>31</v>
      </c>
      <c r="BU208" t="s">
        <v>503</v>
      </c>
      <c r="BV208">
        <v>2011</v>
      </c>
      <c r="BW208" t="s">
        <v>504</v>
      </c>
      <c r="BX208" t="s">
        <v>78</v>
      </c>
      <c r="BY208" t="s">
        <v>33</v>
      </c>
      <c r="BZ208" t="s">
        <v>33</v>
      </c>
      <c r="CA208" t="str">
        <f t="shared" si="101"/>
        <v>high acid</v>
      </c>
    </row>
    <row r="209" spans="1:79">
      <c r="A209" t="s">
        <v>596</v>
      </c>
      <c r="B209" t="s">
        <v>565</v>
      </c>
      <c r="C209" t="s">
        <v>563</v>
      </c>
      <c r="D209" t="s">
        <v>610</v>
      </c>
      <c r="E209" t="s">
        <v>77</v>
      </c>
      <c r="F209" t="s">
        <v>33</v>
      </c>
      <c r="G209">
        <v>20</v>
      </c>
      <c r="H209" t="s">
        <v>33</v>
      </c>
      <c r="I209" t="b">
        <v>0</v>
      </c>
      <c r="J209">
        <v>14000</v>
      </c>
      <c r="K209" t="s">
        <v>33</v>
      </c>
      <c r="L209">
        <v>35</v>
      </c>
      <c r="M209" s="4">
        <v>10</v>
      </c>
      <c r="N209" t="e">
        <f>(#REF!*Y209)/(T209*X209*O209)</f>
        <v>#REF!</v>
      </c>
      <c r="O209">
        <v>5</v>
      </c>
      <c r="P209" t="s">
        <v>33</v>
      </c>
      <c r="Q209" s="1">
        <f t="shared" si="105"/>
        <v>0.92000000000000015</v>
      </c>
      <c r="R209" t="s">
        <v>183</v>
      </c>
      <c r="S209" t="s">
        <v>613</v>
      </c>
      <c r="T209">
        <v>1</v>
      </c>
      <c r="U209">
        <v>4</v>
      </c>
      <c r="V209">
        <v>4</v>
      </c>
      <c r="W209" t="s">
        <v>33</v>
      </c>
      <c r="X209">
        <f>IFERROR(((PI())*(((V209*10^-1)/2)^2)*(U209*10^-1)), "NA")</f>
        <v>5.02654824574367E-2</v>
      </c>
      <c r="Y209">
        <v>0.106667</v>
      </c>
      <c r="Z209" s="3">
        <f t="shared" si="103"/>
        <v>5.4636393975474665E-2</v>
      </c>
      <c r="AA209" t="s">
        <v>33</v>
      </c>
      <c r="AB209">
        <f>IFERROR(((X209*M209)/Z209), "NA")</f>
        <v>9.2000000000000011</v>
      </c>
      <c r="AC209" s="1" t="str">
        <f t="shared" si="107"/>
        <v>NA</v>
      </c>
      <c r="AE209" s="3">
        <f t="shared" si="104"/>
        <v>112.70000000000002</v>
      </c>
      <c r="AF209">
        <v>46</v>
      </c>
      <c r="AG209" s="1" t="str">
        <f>IFERROR((N209*P209*Q209), "NA")</f>
        <v>NA</v>
      </c>
      <c r="AH209" s="1" t="str">
        <f>IFERROR((AG209*U209*AI209), "NA")</f>
        <v>NA</v>
      </c>
      <c r="AI209" s="1">
        <v>1</v>
      </c>
      <c r="AJ209" s="11" t="s">
        <v>31</v>
      </c>
      <c r="AK209">
        <v>2000</v>
      </c>
      <c r="AL209" t="s">
        <v>149</v>
      </c>
      <c r="AM209" t="s">
        <v>86</v>
      </c>
      <c r="AN209" t="s">
        <v>205</v>
      </c>
      <c r="AO209" t="s">
        <v>789</v>
      </c>
      <c r="AP209" t="s">
        <v>33</v>
      </c>
      <c r="AQ209" t="s">
        <v>33</v>
      </c>
      <c r="AR209" t="s">
        <v>33</v>
      </c>
      <c r="AS209">
        <f>AVERAGE(6,8)</f>
        <v>7</v>
      </c>
      <c r="AT209">
        <f>AS209-AU209</f>
        <v>3.04</v>
      </c>
      <c r="AU209" s="6">
        <v>3.96</v>
      </c>
      <c r="AV209" t="b">
        <v>1</v>
      </c>
      <c r="AW209" t="s">
        <v>626</v>
      </c>
      <c r="AX209" t="s">
        <v>627</v>
      </c>
      <c r="AY209" t="s">
        <v>634</v>
      </c>
      <c r="AZ209" t="s">
        <v>33</v>
      </c>
      <c r="BA209" s="18" t="s">
        <v>800</v>
      </c>
      <c r="BB209" s="3" t="b">
        <v>0</v>
      </c>
      <c r="BC209" t="s">
        <v>81</v>
      </c>
      <c r="BD209">
        <v>18</v>
      </c>
      <c r="BE209" t="s">
        <v>80</v>
      </c>
      <c r="BF209">
        <v>24</v>
      </c>
      <c r="BG209" t="s">
        <v>644</v>
      </c>
      <c r="BH209" t="s">
        <v>31</v>
      </c>
      <c r="BI209" t="s">
        <v>31</v>
      </c>
      <c r="BJ209">
        <f t="shared" si="111"/>
        <v>3.96</v>
      </c>
      <c r="BK209" s="3">
        <f t="shared" si="112"/>
        <v>0.5976951859255123</v>
      </c>
      <c r="BL209">
        <v>2</v>
      </c>
      <c r="BM209" s="3">
        <f t="shared" si="102"/>
        <v>1.4542287301205943</v>
      </c>
      <c r="BN209" t="s">
        <v>33</v>
      </c>
      <c r="BO209" s="3">
        <f t="shared" si="99"/>
        <v>28.459595959595966</v>
      </c>
      <c r="BP209" t="s">
        <v>33</v>
      </c>
      <c r="BQ209" t="s">
        <v>33</v>
      </c>
      <c r="BR209" t="s">
        <v>33</v>
      </c>
      <c r="BS209" t="s">
        <v>33</v>
      </c>
      <c r="BT209" t="s">
        <v>32</v>
      </c>
      <c r="BU209" t="s">
        <v>661</v>
      </c>
      <c r="BV209">
        <v>2013</v>
      </c>
      <c r="BW209" t="s">
        <v>662</v>
      </c>
      <c r="BX209" s="13" t="s">
        <v>663</v>
      </c>
      <c r="BY209" s="13" t="s">
        <v>684</v>
      </c>
      <c r="CA209" t="str">
        <f t="shared" si="101"/>
        <v>high acid</v>
      </c>
    </row>
    <row r="210" spans="1:79">
      <c r="A210" t="s">
        <v>324</v>
      </c>
      <c r="B210" t="s">
        <v>565</v>
      </c>
      <c r="C210" t="s">
        <v>563</v>
      </c>
      <c r="D210" t="s">
        <v>304</v>
      </c>
      <c r="E210" t="s">
        <v>77</v>
      </c>
      <c r="F210" t="s">
        <v>32</v>
      </c>
      <c r="G210">
        <v>30</v>
      </c>
      <c r="H210">
        <v>37</v>
      </c>
      <c r="I210" t="b">
        <v>1</v>
      </c>
      <c r="J210">
        <v>12600</v>
      </c>
      <c r="K210">
        <v>50.4</v>
      </c>
      <c r="L210">
        <v>25</v>
      </c>
      <c r="M210" s="4">
        <v>400</v>
      </c>
      <c r="N210" s="3">
        <f>IFERROR(AF210/((T210*X210/Y210)*O210*AI210),"NA")</f>
        <v>399.44770030907051</v>
      </c>
      <c r="O210">
        <v>5</v>
      </c>
      <c r="P210">
        <v>2.4E-2</v>
      </c>
      <c r="Q210" s="8">
        <f t="shared" si="105"/>
        <v>2.3999999999999997E-2</v>
      </c>
      <c r="R210" t="s">
        <v>183</v>
      </c>
      <c r="S210" t="s">
        <v>612</v>
      </c>
      <c r="T210" s="11">
        <v>1</v>
      </c>
      <c r="U210">
        <v>3.4</v>
      </c>
      <c r="V210">
        <v>3</v>
      </c>
      <c r="W210">
        <v>2.4E-2</v>
      </c>
      <c r="X210" s="8">
        <f>IFERROR(((PI())*(((V210*10^-1)/2)^2)*(U210*10^-1)), "NA")</f>
        <v>2.4033183799961926E-2</v>
      </c>
      <c r="Y210" s="6">
        <f>1</f>
        <v>1</v>
      </c>
      <c r="Z210" s="3">
        <f t="shared" si="103"/>
        <v>1.0013826583317471</v>
      </c>
      <c r="AA210">
        <v>9.6</v>
      </c>
      <c r="AB210" s="6">
        <f>IFERROR(((X210*M210)/Z210), "NA")</f>
        <v>9.6</v>
      </c>
      <c r="AC210">
        <f t="shared" si="107"/>
        <v>9.6</v>
      </c>
      <c r="AD210" s="4">
        <f>IFERROR(AB210*T210*AI210, "NA")</f>
        <v>9.6</v>
      </c>
      <c r="AE210" s="3">
        <f t="shared" si="104"/>
        <v>29.999999999999996</v>
      </c>
      <c r="AF210">
        <v>48</v>
      </c>
      <c r="AG210">
        <f>IFERROR((M210*O210*P210), "NA")</f>
        <v>48</v>
      </c>
      <c r="AH210">
        <f>IFERROR((AG210*T210*AI210), "NA")</f>
        <v>48</v>
      </c>
      <c r="AI210" s="11">
        <v>1</v>
      </c>
      <c r="AJ210" t="s">
        <v>31</v>
      </c>
      <c r="AK210">
        <v>1000</v>
      </c>
      <c r="AL210" t="s">
        <v>169</v>
      </c>
      <c r="AM210" t="s">
        <v>103</v>
      </c>
      <c r="AN210" t="s">
        <v>305</v>
      </c>
      <c r="AO210" t="s">
        <v>790</v>
      </c>
      <c r="AP210">
        <v>4.5</v>
      </c>
      <c r="AQ210" t="s">
        <v>33</v>
      </c>
      <c r="AR210" t="s">
        <v>33</v>
      </c>
      <c r="AS210" s="6">
        <f>LOG(3*10^7)</f>
        <v>7.4771212547196626</v>
      </c>
      <c r="AT210" s="3">
        <f>IFERROR(AS210-AU210,"NA")</f>
        <v>3.0471212547196629</v>
      </c>
      <c r="AU210" s="6">
        <v>4.43</v>
      </c>
      <c r="AV210" t="b">
        <v>1</v>
      </c>
      <c r="AW210" t="s">
        <v>123</v>
      </c>
      <c r="AX210" t="s">
        <v>88</v>
      </c>
      <c r="AY210" t="s">
        <v>306</v>
      </c>
      <c r="AZ210" t="s">
        <v>33</v>
      </c>
      <c r="BA210" s="18" t="s">
        <v>579</v>
      </c>
      <c r="BB210" t="b">
        <v>1</v>
      </c>
      <c r="BC210" t="s">
        <v>81</v>
      </c>
      <c r="BD210">
        <v>48</v>
      </c>
      <c r="BE210" t="s">
        <v>80</v>
      </c>
      <c r="BF210" s="11">
        <v>120</v>
      </c>
      <c r="BG210" t="s">
        <v>395</v>
      </c>
      <c r="BH210" t="s">
        <v>31</v>
      </c>
      <c r="BI210" t="s">
        <v>31</v>
      </c>
      <c r="BJ210" s="3">
        <f t="shared" si="111"/>
        <v>4.43</v>
      </c>
      <c r="BK210" s="3">
        <f t="shared" si="112"/>
        <v>0.64640372622306952</v>
      </c>
      <c r="BL210">
        <v>2</v>
      </c>
      <c r="BM210" s="3">
        <f t="shared" si="102"/>
        <v>0.83071752849659286</v>
      </c>
      <c r="BN210" t="s">
        <v>33</v>
      </c>
      <c r="BO210" s="3">
        <f t="shared" si="99"/>
        <v>6.7720090293453721</v>
      </c>
      <c r="BP210" t="s">
        <v>33</v>
      </c>
      <c r="BQ210" t="s">
        <v>33</v>
      </c>
      <c r="BR210" t="s">
        <v>33</v>
      </c>
      <c r="BS210" t="s">
        <v>33</v>
      </c>
      <c r="BT210" t="s">
        <v>32</v>
      </c>
      <c r="BU210" t="s">
        <v>323</v>
      </c>
      <c r="BV210">
        <v>2003</v>
      </c>
      <c r="BW210" s="2" t="s">
        <v>322</v>
      </c>
      <c r="BX210" t="s">
        <v>78</v>
      </c>
      <c r="BY210" t="s">
        <v>33</v>
      </c>
      <c r="BZ210" t="s">
        <v>33</v>
      </c>
      <c r="CA210" t="str">
        <f t="shared" si="101"/>
        <v>high acid</v>
      </c>
    </row>
    <row r="211" spans="1:79">
      <c r="A211" t="s">
        <v>332</v>
      </c>
      <c r="B211" t="s">
        <v>565</v>
      </c>
      <c r="C211" t="s">
        <v>563</v>
      </c>
      <c r="D211" t="s">
        <v>118</v>
      </c>
      <c r="E211" t="s">
        <v>77</v>
      </c>
      <c r="F211" t="s">
        <v>32</v>
      </c>
      <c r="G211">
        <v>15</v>
      </c>
      <c r="H211">
        <v>30.4</v>
      </c>
      <c r="I211" t="b">
        <v>0</v>
      </c>
      <c r="J211" t="s">
        <v>33</v>
      </c>
      <c r="K211" t="s">
        <v>33</v>
      </c>
      <c r="L211">
        <v>35</v>
      </c>
      <c r="M211" s="4">
        <v>200</v>
      </c>
      <c r="N211" s="3">
        <f>IFERROR(AF211/((T211*X211/Y211)*O211*AI211),"NA")</f>
        <v>3454.7028257350348</v>
      </c>
      <c r="O211">
        <v>5</v>
      </c>
      <c r="P211" t="s">
        <v>33</v>
      </c>
      <c r="Q211" s="8">
        <f t="shared" si="105"/>
        <v>6.2500000000000014E-2</v>
      </c>
      <c r="R211" t="s">
        <v>183</v>
      </c>
      <c r="S211" t="s">
        <v>613</v>
      </c>
      <c r="T211" s="11">
        <v>8</v>
      </c>
      <c r="U211">
        <v>2.9</v>
      </c>
      <c r="V211">
        <v>2.2999999999999998</v>
      </c>
      <c r="W211">
        <v>1.2E-2</v>
      </c>
      <c r="X211" s="8">
        <f>IFERROR(((PI())*(((V211*10^-1)/2)^2)*(U211*10^-1)), "NA")</f>
        <v>1.204879322468025E-2</v>
      </c>
      <c r="Y211">
        <v>3.33</v>
      </c>
      <c r="Z211" s="3">
        <f t="shared" si="103"/>
        <v>0.19278069159488398</v>
      </c>
      <c r="AA211" t="s">
        <v>33</v>
      </c>
      <c r="AB211" s="6">
        <f>IFERROR(((X211*M211)/Z211), "NA")</f>
        <v>12.500000000000002</v>
      </c>
      <c r="AC211" t="str">
        <f t="shared" si="107"/>
        <v>NA</v>
      </c>
      <c r="AD211" s="4">
        <f>AB211*T211*AI211</f>
        <v>100.00000000000001</v>
      </c>
      <c r="AE211" s="3">
        <f t="shared" si="104"/>
        <v>1286.2500000000002</v>
      </c>
      <c r="AF211">
        <v>500</v>
      </c>
      <c r="AG211" t="str">
        <f>IFERROR((M211*O211*P211), "NA")</f>
        <v>NA</v>
      </c>
      <c r="AH211" t="str">
        <f>IFERROR((AG211*T211*AI211), "NA")</f>
        <v>NA</v>
      </c>
      <c r="AI211">
        <v>1</v>
      </c>
      <c r="AJ211" t="s">
        <v>31</v>
      </c>
      <c r="AK211">
        <v>2100</v>
      </c>
      <c r="AL211" t="s">
        <v>551</v>
      </c>
      <c r="AM211" t="s">
        <v>86</v>
      </c>
      <c r="AN211" t="s">
        <v>205</v>
      </c>
      <c r="AO211" t="s">
        <v>789</v>
      </c>
      <c r="AP211">
        <v>3.79</v>
      </c>
      <c r="AQ211">
        <v>1060</v>
      </c>
      <c r="AR211" t="s">
        <v>33</v>
      </c>
      <c r="AS211" s="6">
        <f>LOG((10^6+10^7)/2)</f>
        <v>6.7403626894942441</v>
      </c>
      <c r="AT211" s="3">
        <f>IFERROR(AS211-AU211,"NA")</f>
        <v>3.0603626894942439</v>
      </c>
      <c r="AU211" s="6">
        <v>3.68</v>
      </c>
      <c r="AV211" t="b">
        <v>1</v>
      </c>
      <c r="AW211" t="s">
        <v>172</v>
      </c>
      <c r="AX211" t="s">
        <v>173</v>
      </c>
      <c r="AY211" t="s">
        <v>333</v>
      </c>
      <c r="AZ211" t="s">
        <v>33</v>
      </c>
      <c r="BA211" s="18" t="s">
        <v>799</v>
      </c>
      <c r="BB211" t="b">
        <v>0</v>
      </c>
      <c r="BC211" t="s">
        <v>81</v>
      </c>
      <c r="BD211">
        <v>72</v>
      </c>
      <c r="BE211" t="s">
        <v>80</v>
      </c>
      <c r="BF211" s="11">
        <v>168</v>
      </c>
      <c r="BG211" t="s">
        <v>334</v>
      </c>
      <c r="BH211" t="s">
        <v>31</v>
      </c>
      <c r="BI211" t="s">
        <v>31</v>
      </c>
      <c r="BJ211" s="3">
        <f t="shared" si="111"/>
        <v>3.68</v>
      </c>
      <c r="BK211" s="3">
        <f t="shared" si="112"/>
        <v>0.56584781867351763</v>
      </c>
      <c r="BL211">
        <v>2</v>
      </c>
      <c r="BM211" s="3">
        <f t="shared" si="102"/>
        <v>2.5434775690969715</v>
      </c>
      <c r="BN211" t="s">
        <v>33</v>
      </c>
      <c r="BO211" s="3">
        <f t="shared" si="99"/>
        <v>349.52445652173918</v>
      </c>
      <c r="BP211" t="s">
        <v>33</v>
      </c>
      <c r="BQ211" t="s">
        <v>33</v>
      </c>
      <c r="BR211" t="s">
        <v>33</v>
      </c>
      <c r="BS211" t="s">
        <v>33</v>
      </c>
      <c r="BT211" t="s">
        <v>31</v>
      </c>
      <c r="BU211" t="s">
        <v>330</v>
      </c>
      <c r="BV211">
        <v>2009</v>
      </c>
      <c r="BW211" t="s">
        <v>331</v>
      </c>
      <c r="BX211" t="s">
        <v>78</v>
      </c>
      <c r="BY211" t="s">
        <v>33</v>
      </c>
      <c r="BZ211" t="s">
        <v>33</v>
      </c>
      <c r="CA211" t="str">
        <f t="shared" si="101"/>
        <v>high acid</v>
      </c>
    </row>
    <row r="212" spans="1:79">
      <c r="A212" t="s">
        <v>580</v>
      </c>
      <c r="B212" t="s">
        <v>565</v>
      </c>
      <c r="C212" t="s">
        <v>563</v>
      </c>
      <c r="D212" t="s">
        <v>118</v>
      </c>
      <c r="E212" t="s">
        <v>77</v>
      </c>
      <c r="F212" t="s">
        <v>32</v>
      </c>
      <c r="G212">
        <v>22</v>
      </c>
      <c r="H212">
        <v>40</v>
      </c>
      <c r="I212" t="b">
        <v>0</v>
      </c>
      <c r="J212">
        <v>10220</v>
      </c>
      <c r="K212">
        <v>62.82</v>
      </c>
      <c r="L212">
        <v>35</v>
      </c>
      <c r="M212" s="4">
        <v>100</v>
      </c>
      <c r="N212" t="e">
        <f>(#REF!*Y212)/(T212*X212*O212)</f>
        <v>#REF!</v>
      </c>
      <c r="O212">
        <v>4</v>
      </c>
      <c r="P212">
        <f>AVERAGE(0.0066, 0.0091)</f>
        <v>7.8499999999999993E-3</v>
      </c>
      <c r="Q212" s="1">
        <f t="shared" si="105"/>
        <v>0.625</v>
      </c>
      <c r="R212" t="s">
        <v>183</v>
      </c>
      <c r="S212" t="s">
        <v>613</v>
      </c>
      <c r="T212">
        <v>8</v>
      </c>
      <c r="U212">
        <v>2.92</v>
      </c>
      <c r="V212">
        <v>2.2999999999999998</v>
      </c>
      <c r="W212">
        <v>1.21E-2</v>
      </c>
      <c r="X212">
        <f>IFERROR(((PI())*(((V212*10^-1)/2)^2)*(U212*10^-1)), "NA")</f>
        <v>1.2131888350367701E-2</v>
      </c>
      <c r="Y212">
        <v>1.8333299999999999</v>
      </c>
      <c r="Z212" s="3">
        <f t="shared" si="103"/>
        <v>1.941102136058832E-2</v>
      </c>
      <c r="AA212" t="s">
        <v>33</v>
      </c>
      <c r="AB212">
        <f>IFERROR(((X212*M212)/Z212), "NA")</f>
        <v>62.500000000000007</v>
      </c>
      <c r="AC212" s="1">
        <f t="shared" si="107"/>
        <v>0.78499999999999992</v>
      </c>
      <c r="AE212" s="3">
        <f t="shared" si="104"/>
        <v>13230</v>
      </c>
      <c r="AF212">
        <v>2000</v>
      </c>
      <c r="AG212" s="1" t="str">
        <f>IFERROR((N212*P212*Q212), "NA")</f>
        <v>NA</v>
      </c>
      <c r="AH212" s="1" t="str">
        <f>IFERROR((AG212*U212*AI212), "NA")</f>
        <v>NA</v>
      </c>
      <c r="AI212" s="1">
        <v>1</v>
      </c>
      <c r="AJ212" s="11" t="s">
        <v>31</v>
      </c>
      <c r="AK212">
        <v>5400</v>
      </c>
      <c r="AL212" t="s">
        <v>238</v>
      </c>
      <c r="AM212" t="s">
        <v>86</v>
      </c>
      <c r="AN212" t="s">
        <v>205</v>
      </c>
      <c r="AO212" t="s">
        <v>789</v>
      </c>
      <c r="AP212">
        <v>3.44</v>
      </c>
      <c r="AQ212" t="s">
        <v>33</v>
      </c>
      <c r="AR212" t="s">
        <v>33</v>
      </c>
      <c r="AS212">
        <v>7.5</v>
      </c>
      <c r="AT212">
        <f>AS212-AU212</f>
        <v>3.0700000000000003</v>
      </c>
      <c r="AU212" s="6">
        <v>4.43</v>
      </c>
      <c r="AV212" t="b">
        <v>1</v>
      </c>
      <c r="AW212" t="s">
        <v>617</v>
      </c>
      <c r="AX212" t="s">
        <v>33</v>
      </c>
      <c r="AY212" t="s">
        <v>33</v>
      </c>
      <c r="AZ212" t="s">
        <v>619</v>
      </c>
      <c r="BA212" s="18" t="s">
        <v>802</v>
      </c>
      <c r="BB212" s="3" t="b">
        <v>0</v>
      </c>
      <c r="BC212" t="s">
        <v>81</v>
      </c>
      <c r="BD212">
        <v>15</v>
      </c>
      <c r="BE212" t="s">
        <v>80</v>
      </c>
      <c r="BF212">
        <v>24</v>
      </c>
      <c r="BG212" t="s">
        <v>697</v>
      </c>
      <c r="BH212" t="s">
        <v>32</v>
      </c>
      <c r="BI212" t="s">
        <v>31</v>
      </c>
      <c r="BJ212">
        <f t="shared" si="111"/>
        <v>4.43</v>
      </c>
      <c r="BK212" s="3">
        <f t="shared" si="112"/>
        <v>0.64640372622306952</v>
      </c>
      <c r="BL212">
        <v>2</v>
      </c>
      <c r="BM212" s="3">
        <f t="shared" si="102"/>
        <v>3.4751561179644312</v>
      </c>
      <c r="BN212" t="s">
        <v>33</v>
      </c>
      <c r="BO212" s="3">
        <f t="shared" si="99"/>
        <v>2986.4559819413093</v>
      </c>
      <c r="BP212" t="s">
        <v>33</v>
      </c>
      <c r="BQ212" t="s">
        <v>33</v>
      </c>
      <c r="BR212" t="s">
        <v>33</v>
      </c>
      <c r="BS212" t="s">
        <v>33</v>
      </c>
      <c r="BT212" t="s">
        <v>31</v>
      </c>
      <c r="BU212" t="s">
        <v>219</v>
      </c>
      <c r="BV212" s="14">
        <v>2008</v>
      </c>
      <c r="BW212" t="s">
        <v>257</v>
      </c>
      <c r="BX212" t="s">
        <v>78</v>
      </c>
      <c r="BY212" s="13" t="s">
        <v>670</v>
      </c>
      <c r="CA212" t="str">
        <f t="shared" si="101"/>
        <v>high acid</v>
      </c>
    </row>
    <row r="213" spans="1:79">
      <c r="A213" t="s">
        <v>589</v>
      </c>
      <c r="B213" t="s">
        <v>566</v>
      </c>
      <c r="C213" t="s">
        <v>563</v>
      </c>
      <c r="D213" t="s">
        <v>33</v>
      </c>
      <c r="E213" t="s">
        <v>77</v>
      </c>
      <c r="F213" t="s">
        <v>33</v>
      </c>
      <c r="G213" t="s">
        <v>33</v>
      </c>
      <c r="H213">
        <v>35</v>
      </c>
      <c r="I213" t="b">
        <v>0</v>
      </c>
      <c r="J213" t="s">
        <v>33</v>
      </c>
      <c r="K213" t="s">
        <v>33</v>
      </c>
      <c r="L213">
        <v>25</v>
      </c>
      <c r="M213" s="4">
        <v>1</v>
      </c>
      <c r="N213" t="e">
        <f>(#REF!*Y213)/(T213*X213*O213)</f>
        <v>#REF!</v>
      </c>
      <c r="O213">
        <v>2</v>
      </c>
      <c r="P213" t="s">
        <v>33</v>
      </c>
      <c r="Q213" s="1">
        <f t="shared" si="105"/>
        <v>399</v>
      </c>
      <c r="R213" t="s">
        <v>183</v>
      </c>
      <c r="S213" t="s">
        <v>613</v>
      </c>
      <c r="T213">
        <v>1</v>
      </c>
      <c r="U213">
        <v>2.5</v>
      </c>
      <c r="V213" t="s">
        <v>33</v>
      </c>
      <c r="W213">
        <v>0.50249999999999995</v>
      </c>
      <c r="X213">
        <f>W213</f>
        <v>0.50249999999999995</v>
      </c>
      <c r="Y213" t="s">
        <v>33</v>
      </c>
      <c r="Z213" s="3">
        <f t="shared" si="103"/>
        <v>1.2593984962406015E-3</v>
      </c>
      <c r="AA213" t="s">
        <v>33</v>
      </c>
      <c r="AB213">
        <f>IFERROR(((X213*M213)/Z213), "NA")</f>
        <v>399</v>
      </c>
      <c r="AC213" s="1" t="str">
        <f t="shared" si="107"/>
        <v>NA</v>
      </c>
      <c r="AE213" s="3">
        <f t="shared" si="104"/>
        <v>997.5</v>
      </c>
      <c r="AF213">
        <v>798</v>
      </c>
      <c r="AG213" s="1" t="str">
        <f>IFERROR((N213*P213*Q213), "NA")</f>
        <v>NA</v>
      </c>
      <c r="AH213" s="1" t="str">
        <f>IFERROR((AG213*U213*AI213), "NA")</f>
        <v>NA</v>
      </c>
      <c r="AI213" s="1">
        <v>1</v>
      </c>
      <c r="AJ213" s="11" t="s">
        <v>31</v>
      </c>
      <c r="AK213">
        <v>2000</v>
      </c>
      <c r="AL213" t="s">
        <v>616</v>
      </c>
      <c r="AM213" s="3" t="s">
        <v>103</v>
      </c>
      <c r="AN213" t="s">
        <v>130</v>
      </c>
      <c r="AO213" t="s">
        <v>795</v>
      </c>
      <c r="AP213">
        <v>7</v>
      </c>
      <c r="AQ213" t="s">
        <v>33</v>
      </c>
      <c r="AR213" t="s">
        <v>33</v>
      </c>
      <c r="AS213">
        <v>9</v>
      </c>
      <c r="AT213">
        <f>AS213-AU213</f>
        <v>3.08</v>
      </c>
      <c r="AU213" s="6">
        <v>5.92</v>
      </c>
      <c r="AV213" t="b">
        <v>1</v>
      </c>
      <c r="AW213" t="s">
        <v>617</v>
      </c>
      <c r="AX213" t="s">
        <v>33</v>
      </c>
      <c r="AY213" t="s">
        <v>628</v>
      </c>
      <c r="AZ213" t="s">
        <v>619</v>
      </c>
      <c r="BA213" s="18" t="s">
        <v>802</v>
      </c>
      <c r="BB213" s="3" t="b">
        <v>0</v>
      </c>
      <c r="BC213" t="s">
        <v>81</v>
      </c>
      <c r="BD213">
        <v>24</v>
      </c>
      <c r="BE213" t="s">
        <v>80</v>
      </c>
      <c r="BF213">
        <v>24</v>
      </c>
      <c r="BG213" t="s">
        <v>644</v>
      </c>
      <c r="BH213" t="s">
        <v>31</v>
      </c>
      <c r="BI213" t="s">
        <v>32</v>
      </c>
      <c r="BJ213">
        <f t="shared" si="111"/>
        <v>5.92</v>
      </c>
      <c r="BK213" s="3">
        <f t="shared" si="112"/>
        <v>0.77232170672291978</v>
      </c>
      <c r="BL213">
        <v>2</v>
      </c>
      <c r="BM213" s="3">
        <f t="shared" si="102"/>
        <v>2.2265911976358659</v>
      </c>
      <c r="BN213" t="s">
        <v>33</v>
      </c>
      <c r="BO213" s="3">
        <f t="shared" si="99"/>
        <v>168.49662162162161</v>
      </c>
      <c r="BP213" t="s">
        <v>33</v>
      </c>
      <c r="BQ213" t="s">
        <v>33</v>
      </c>
      <c r="BR213" t="s">
        <v>33</v>
      </c>
      <c r="BS213" t="s">
        <v>33</v>
      </c>
      <c r="BT213" t="s">
        <v>31</v>
      </c>
      <c r="BU213" s="15" t="s">
        <v>655</v>
      </c>
      <c r="BV213">
        <v>2003</v>
      </c>
      <c r="BW213" t="s">
        <v>656</v>
      </c>
      <c r="BX213" t="s">
        <v>78</v>
      </c>
      <c r="BY213" s="13" t="s">
        <v>677</v>
      </c>
      <c r="CA213" t="str">
        <f t="shared" si="101"/>
        <v>low acid</v>
      </c>
    </row>
    <row r="214" spans="1:79">
      <c r="A214" t="s">
        <v>733</v>
      </c>
      <c r="B214" t="s">
        <v>566</v>
      </c>
      <c r="C214" t="s">
        <v>563</v>
      </c>
      <c r="D214" t="s">
        <v>699</v>
      </c>
      <c r="E214" t="s">
        <v>77</v>
      </c>
      <c r="F214" t="s">
        <v>32</v>
      </c>
      <c r="G214">
        <v>20</v>
      </c>
      <c r="H214">
        <v>64</v>
      </c>
      <c r="I214" t="b">
        <v>1</v>
      </c>
      <c r="J214" t="s">
        <v>33</v>
      </c>
      <c r="K214" t="s">
        <v>33</v>
      </c>
      <c r="L214">
        <v>20</v>
      </c>
      <c r="M214" s="4">
        <v>64</v>
      </c>
      <c r="N214" s="3">
        <f>IFERROR(AF214/((T214*X214/Y214)*O214*AI214),"NA")</f>
        <v>63.657407407407391</v>
      </c>
      <c r="O214">
        <v>5</v>
      </c>
      <c r="P214">
        <v>0.43</v>
      </c>
      <c r="Q214" s="8">
        <f>IFERROR(X214/Y214, "NA")</f>
        <v>0.43200000000000011</v>
      </c>
      <c r="R214" t="s">
        <v>183</v>
      </c>
      <c r="S214" t="s">
        <v>612</v>
      </c>
      <c r="T214" s="11">
        <v>1</v>
      </c>
      <c r="U214">
        <v>4</v>
      </c>
      <c r="V214" t="s">
        <v>33</v>
      </c>
      <c r="W214">
        <f>0.4*3*0.5</f>
        <v>0.60000000000000009</v>
      </c>
      <c r="X214" s="9">
        <f>W214</f>
        <v>0.60000000000000009</v>
      </c>
      <c r="Y214" s="6">
        <f>5000/3600</f>
        <v>1.3888888888888888</v>
      </c>
      <c r="Z214" s="3">
        <f t="shared" si="103"/>
        <v>1.3963636363636365</v>
      </c>
      <c r="AA214" t="s">
        <v>33</v>
      </c>
      <c r="AB214" s="4">
        <f>IFERROR(((X214*M214)/Y214), "NA")</f>
        <v>27.648000000000007</v>
      </c>
      <c r="AC214" s="4">
        <f t="shared" si="107"/>
        <v>27.52</v>
      </c>
      <c r="AD214" s="4">
        <f>AB214*T214*AI214</f>
        <v>27.648000000000007</v>
      </c>
      <c r="AE214" s="3">
        <f t="shared" si="104"/>
        <v>110.59200000000003</v>
      </c>
      <c r="AF214">
        <v>137.5</v>
      </c>
      <c r="AG214" s="4">
        <f>IFERROR((M214*O214*P214), "NA")</f>
        <v>137.6</v>
      </c>
      <c r="AH214" s="4">
        <f>IFERROR((AG214*T214*AI214), "NA")</f>
        <v>137.6</v>
      </c>
      <c r="AI214">
        <v>1</v>
      </c>
      <c r="AJ214" s="11" t="s">
        <v>31</v>
      </c>
      <c r="AK214">
        <v>2000</v>
      </c>
      <c r="AL214" t="s">
        <v>784</v>
      </c>
      <c r="AM214" t="s">
        <v>103</v>
      </c>
      <c r="AN214" t="s">
        <v>130</v>
      </c>
      <c r="AO214" t="s">
        <v>795</v>
      </c>
      <c r="AP214">
        <v>7</v>
      </c>
      <c r="AQ214" t="s">
        <v>33</v>
      </c>
      <c r="AR214" t="s">
        <v>33</v>
      </c>
      <c r="AS214" s="6">
        <f>LOG(AVERAGE(10^8, 10^9))</f>
        <v>8.7403626894942441</v>
      </c>
      <c r="AT214" s="3">
        <f>IFERROR(AS214-AU214,"NA")</f>
        <v>3.0893626894942443</v>
      </c>
      <c r="AU214" s="6">
        <v>5.6509999999999998</v>
      </c>
      <c r="AV214" t="b">
        <v>1</v>
      </c>
      <c r="AW214" t="s">
        <v>172</v>
      </c>
      <c r="AX214" t="s">
        <v>173</v>
      </c>
      <c r="AY214" t="s">
        <v>735</v>
      </c>
      <c r="AZ214" t="s">
        <v>33</v>
      </c>
      <c r="BA214" s="18" t="s">
        <v>799</v>
      </c>
      <c r="BB214" s="3" t="b">
        <v>0</v>
      </c>
      <c r="BC214" t="s">
        <v>81</v>
      </c>
      <c r="BD214">
        <v>24</v>
      </c>
      <c r="BE214" t="s">
        <v>80</v>
      </c>
      <c r="BF214">
        <v>48</v>
      </c>
      <c r="BG214" t="s">
        <v>734</v>
      </c>
      <c r="BH214" t="s">
        <v>31</v>
      </c>
      <c r="BI214" t="s">
        <v>31</v>
      </c>
      <c r="BJ214" s="3">
        <f t="shared" si="111"/>
        <v>5.6509999999999998</v>
      </c>
      <c r="BK214" s="3">
        <f t="shared" si="112"/>
        <v>0.75212530729789828</v>
      </c>
      <c r="BL214">
        <v>2</v>
      </c>
      <c r="BM214" s="3">
        <f t="shared" si="102"/>
        <v>1.2915984048288636</v>
      </c>
      <c r="BN214" t="s">
        <v>33</v>
      </c>
      <c r="BO214" s="3">
        <f t="shared" si="99"/>
        <v>19.570341532472135</v>
      </c>
      <c r="BP214" t="s">
        <v>33</v>
      </c>
      <c r="BQ214" t="s">
        <v>33</v>
      </c>
      <c r="BR214" t="s">
        <v>33</v>
      </c>
      <c r="BS214" t="s">
        <v>33</v>
      </c>
      <c r="BT214" t="s">
        <v>32</v>
      </c>
      <c r="BU214" t="s">
        <v>709</v>
      </c>
      <c r="BV214">
        <v>2024</v>
      </c>
      <c r="BW214" t="s">
        <v>710</v>
      </c>
      <c r="BX214" t="s">
        <v>78</v>
      </c>
      <c r="BY214" t="s">
        <v>711</v>
      </c>
      <c r="CA214" t="str">
        <f t="shared" si="101"/>
        <v>low acid</v>
      </c>
    </row>
    <row r="215" spans="1:79">
      <c r="A215" t="s">
        <v>596</v>
      </c>
      <c r="B215" t="s">
        <v>565</v>
      </c>
      <c r="C215" t="s">
        <v>563</v>
      </c>
      <c r="D215" t="s">
        <v>610</v>
      </c>
      <c r="E215" t="s">
        <v>77</v>
      </c>
      <c r="F215" t="s">
        <v>33</v>
      </c>
      <c r="G215">
        <v>20</v>
      </c>
      <c r="H215" t="s">
        <v>33</v>
      </c>
      <c r="I215" t="b">
        <v>0</v>
      </c>
      <c r="J215">
        <v>12000</v>
      </c>
      <c r="K215" t="s">
        <v>33</v>
      </c>
      <c r="L215">
        <v>30</v>
      </c>
      <c r="M215" s="4">
        <v>12</v>
      </c>
      <c r="N215" t="e">
        <f>(#REF!*Y215)/(T215*X215*O215)</f>
        <v>#REF!</v>
      </c>
      <c r="O215">
        <v>5</v>
      </c>
      <c r="P215" t="s">
        <v>33</v>
      </c>
      <c r="Q215" s="1">
        <f t="shared" ref="Q215:Q252" si="113">IFERROR(X215/Z215, "NA")</f>
        <v>0.93333333333333335</v>
      </c>
      <c r="R215" t="s">
        <v>183</v>
      </c>
      <c r="S215" t="s">
        <v>613</v>
      </c>
      <c r="T215">
        <v>1</v>
      </c>
      <c r="U215">
        <v>4</v>
      </c>
      <c r="V215">
        <v>4</v>
      </c>
      <c r="W215" t="s">
        <v>33</v>
      </c>
      <c r="X215">
        <f>IFERROR(((PI())*(((V215*10^-1)/2)^2)*(U215*10^-1)), "NA")</f>
        <v>5.02654824574367E-2</v>
      </c>
      <c r="Y215">
        <v>0.106667</v>
      </c>
      <c r="Z215" s="3">
        <f t="shared" si="103"/>
        <v>5.385587406153932E-2</v>
      </c>
      <c r="AA215" t="s">
        <v>33</v>
      </c>
      <c r="AB215">
        <f t="shared" ref="AB215:AB221" si="114">IFERROR(((X215*M215)/Z215), "NA")</f>
        <v>11.200000000000001</v>
      </c>
      <c r="AC215" s="1" t="str">
        <f t="shared" si="107"/>
        <v>NA</v>
      </c>
      <c r="AE215" s="3">
        <f t="shared" si="104"/>
        <v>100.8</v>
      </c>
      <c r="AF215">
        <v>56</v>
      </c>
      <c r="AG215" s="1" t="str">
        <f>IFERROR((N215*P215*Q215), "NA")</f>
        <v>NA</v>
      </c>
      <c r="AH215" s="1" t="str">
        <f>IFERROR((AG215*U215*AI215), "NA")</f>
        <v>NA</v>
      </c>
      <c r="AI215" s="1">
        <v>1</v>
      </c>
      <c r="AJ215" s="11" t="s">
        <v>31</v>
      </c>
      <c r="AK215">
        <v>2000</v>
      </c>
      <c r="AL215" t="s">
        <v>149</v>
      </c>
      <c r="AM215" t="s">
        <v>86</v>
      </c>
      <c r="AN215" t="s">
        <v>205</v>
      </c>
      <c r="AO215" t="s">
        <v>789</v>
      </c>
      <c r="AP215" t="s">
        <v>33</v>
      </c>
      <c r="AQ215" t="s">
        <v>33</v>
      </c>
      <c r="AR215" t="s">
        <v>33</v>
      </c>
      <c r="AS215">
        <f>AVERAGE(6,8)</f>
        <v>7</v>
      </c>
      <c r="AT215">
        <f>AS215-AU215</f>
        <v>3.09</v>
      </c>
      <c r="AU215" s="6">
        <v>3.91</v>
      </c>
      <c r="AV215" t="b">
        <v>1</v>
      </c>
      <c r="AW215" t="s">
        <v>626</v>
      </c>
      <c r="AX215" t="s">
        <v>627</v>
      </c>
      <c r="AY215" t="s">
        <v>634</v>
      </c>
      <c r="AZ215" t="s">
        <v>33</v>
      </c>
      <c r="BA215" s="18" t="s">
        <v>800</v>
      </c>
      <c r="BB215" s="3" t="b">
        <v>0</v>
      </c>
      <c r="BC215" t="s">
        <v>81</v>
      </c>
      <c r="BD215">
        <v>18</v>
      </c>
      <c r="BE215" t="s">
        <v>80</v>
      </c>
      <c r="BF215">
        <v>24</v>
      </c>
      <c r="BG215" t="s">
        <v>644</v>
      </c>
      <c r="BH215" t="s">
        <v>31</v>
      </c>
      <c r="BI215" t="s">
        <v>31</v>
      </c>
      <c r="BJ215">
        <f t="shared" si="111"/>
        <v>3.91</v>
      </c>
      <c r="BK215" s="3">
        <f t="shared" si="112"/>
        <v>0.59217675739586684</v>
      </c>
      <c r="BL215">
        <v>2</v>
      </c>
      <c r="BM215" s="3">
        <f t="shared" si="102"/>
        <v>1.4112837747136397</v>
      </c>
      <c r="BN215" t="s">
        <v>33</v>
      </c>
      <c r="BO215" s="3">
        <f t="shared" si="99"/>
        <v>25.78005115089514</v>
      </c>
      <c r="BP215" t="s">
        <v>33</v>
      </c>
      <c r="BQ215" t="s">
        <v>33</v>
      </c>
      <c r="BR215" t="s">
        <v>33</v>
      </c>
      <c r="BS215" t="s">
        <v>33</v>
      </c>
      <c r="BT215" t="s">
        <v>32</v>
      </c>
      <c r="BU215" t="s">
        <v>661</v>
      </c>
      <c r="BV215">
        <v>2013</v>
      </c>
      <c r="BW215" t="s">
        <v>662</v>
      </c>
      <c r="BX215" s="13" t="s">
        <v>663</v>
      </c>
      <c r="BY215" s="13" t="s">
        <v>684</v>
      </c>
      <c r="CA215" t="str">
        <f t="shared" si="101"/>
        <v>high acid</v>
      </c>
    </row>
    <row r="216" spans="1:79">
      <c r="A216" t="s">
        <v>85</v>
      </c>
      <c r="B216" t="s">
        <v>565</v>
      </c>
      <c r="C216" t="s">
        <v>563</v>
      </c>
      <c r="D216" t="s">
        <v>118</v>
      </c>
      <c r="E216" t="s">
        <v>77</v>
      </c>
      <c r="F216" t="s">
        <v>32</v>
      </c>
      <c r="G216">
        <v>40</v>
      </c>
      <c r="H216">
        <f>(42+47)/2</f>
        <v>44.5</v>
      </c>
      <c r="I216" t="b">
        <v>1</v>
      </c>
      <c r="J216" t="s">
        <v>33</v>
      </c>
      <c r="K216" t="s">
        <v>33</v>
      </c>
      <c r="L216">
        <v>22</v>
      </c>
      <c r="M216" s="4">
        <v>548</v>
      </c>
      <c r="N216" s="3">
        <f>IFERROR(AF216/((T216*X216/Y216)*O216*AI216),"NA")</f>
        <v>553.30575787548105</v>
      </c>
      <c r="O216">
        <v>2.5</v>
      </c>
      <c r="P216" t="s">
        <v>33</v>
      </c>
      <c r="Q216" s="8">
        <f t="shared" si="113"/>
        <v>6.0827250608272501E-3</v>
      </c>
      <c r="R216" t="s">
        <v>183</v>
      </c>
      <c r="S216" t="s">
        <v>612</v>
      </c>
      <c r="T216" s="11">
        <v>6</v>
      </c>
      <c r="U216">
        <v>2.9</v>
      </c>
      <c r="V216">
        <v>2.2999999999999998</v>
      </c>
      <c r="W216" t="s">
        <v>33</v>
      </c>
      <c r="X216" s="8">
        <f>IFERROR(((PI())*(((V216*10^-1)/2)^2)*(U216*10^-1)), "NA")</f>
        <v>1.204879322468025E-2</v>
      </c>
      <c r="Y216" s="6">
        <f>120/60</f>
        <v>2</v>
      </c>
      <c r="Z216" s="3">
        <f t="shared" si="103"/>
        <v>1.9808216061374333</v>
      </c>
      <c r="AA216">
        <v>3.3</v>
      </c>
      <c r="AB216" s="6">
        <f t="shared" si="114"/>
        <v>3.333333333333333</v>
      </c>
      <c r="AC216" t="str">
        <f t="shared" si="107"/>
        <v>NA</v>
      </c>
      <c r="AD216" s="4">
        <f>IFERROR(AB216*T216*AI216, "NA")</f>
        <v>20</v>
      </c>
      <c r="AE216">
        <f t="shared" si="104"/>
        <v>52.029999999999987</v>
      </c>
      <c r="AF216">
        <v>50</v>
      </c>
      <c r="AG216" t="str">
        <f>IFERROR((M216*O216*P216), "NA")</f>
        <v>NA</v>
      </c>
      <c r="AH216" t="str">
        <f>IFERROR((AG216*T216*AI216), "NA")</f>
        <v>NA</v>
      </c>
      <c r="AI216" s="11">
        <v>1</v>
      </c>
      <c r="AJ216" t="s">
        <v>31</v>
      </c>
      <c r="AK216">
        <v>2150</v>
      </c>
      <c r="AL216" t="s">
        <v>238</v>
      </c>
      <c r="AM216" t="s">
        <v>86</v>
      </c>
      <c r="AN216" t="s">
        <v>205</v>
      </c>
      <c r="AO216" t="s">
        <v>789</v>
      </c>
      <c r="AP216">
        <v>4.16</v>
      </c>
      <c r="AQ216" t="s">
        <v>33</v>
      </c>
      <c r="AR216" t="s">
        <v>33</v>
      </c>
      <c r="AS216">
        <f>5.98</f>
        <v>5.98</v>
      </c>
      <c r="AT216" s="3">
        <f>IFERROR(AS216-AU216,"NA")</f>
        <v>3.0900000000000003</v>
      </c>
      <c r="AU216" s="6">
        <v>2.89</v>
      </c>
      <c r="AV216" t="b">
        <v>1</v>
      </c>
      <c r="AW216" t="s">
        <v>29</v>
      </c>
      <c r="AX216" t="s">
        <v>30</v>
      </c>
      <c r="AY216" t="s">
        <v>270</v>
      </c>
      <c r="AZ216" t="s">
        <v>134</v>
      </c>
      <c r="BA216" s="18" t="s">
        <v>798</v>
      </c>
      <c r="BB216" t="b">
        <v>0</v>
      </c>
      <c r="BC216" t="s">
        <v>81</v>
      </c>
      <c r="BD216">
        <v>16</v>
      </c>
      <c r="BE216" t="s">
        <v>80</v>
      </c>
      <c r="BF216" s="11">
        <v>24</v>
      </c>
      <c r="BG216" t="s">
        <v>568</v>
      </c>
      <c r="BH216" t="s">
        <v>31</v>
      </c>
      <c r="BI216" t="s">
        <v>31</v>
      </c>
      <c r="BJ216" s="3">
        <f t="shared" si="111"/>
        <v>2.89</v>
      </c>
      <c r="BK216" s="3">
        <f t="shared" si="112"/>
        <v>0.46089784275654788</v>
      </c>
      <c r="BL216">
        <v>2</v>
      </c>
      <c r="BM216" s="3">
        <f t="shared" si="102"/>
        <v>1.2553559831394887</v>
      </c>
      <c r="BN216" t="s">
        <v>33</v>
      </c>
      <c r="BO216" s="3">
        <f t="shared" si="99"/>
        <v>18.003460207612452</v>
      </c>
      <c r="BP216" t="s">
        <v>33</v>
      </c>
      <c r="BQ216" t="s">
        <v>33</v>
      </c>
      <c r="BR216" t="s">
        <v>33</v>
      </c>
      <c r="BS216" t="s">
        <v>33</v>
      </c>
      <c r="BT216" t="s">
        <v>32</v>
      </c>
      <c r="BU216" t="s">
        <v>84</v>
      </c>
      <c r="BV216">
        <v>2013</v>
      </c>
      <c r="BW216" s="1" t="s">
        <v>83</v>
      </c>
      <c r="BX216" t="s">
        <v>78</v>
      </c>
      <c r="BY216" t="s">
        <v>33</v>
      </c>
      <c r="BZ216" t="s">
        <v>33</v>
      </c>
      <c r="CA216" t="str">
        <f t="shared" si="101"/>
        <v>high acid</v>
      </c>
    </row>
    <row r="217" spans="1:79">
      <c r="A217" t="s">
        <v>584</v>
      </c>
      <c r="B217" t="s">
        <v>566</v>
      </c>
      <c r="C217" t="s">
        <v>563</v>
      </c>
      <c r="D217" t="s">
        <v>607</v>
      </c>
      <c r="E217" t="s">
        <v>77</v>
      </c>
      <c r="F217" t="s">
        <v>33</v>
      </c>
      <c r="G217">
        <v>20</v>
      </c>
      <c r="H217">
        <v>35</v>
      </c>
      <c r="I217" t="b">
        <v>0</v>
      </c>
      <c r="J217">
        <v>1000</v>
      </c>
      <c r="K217">
        <v>200</v>
      </c>
      <c r="L217">
        <v>30</v>
      </c>
      <c r="M217" s="4">
        <v>1</v>
      </c>
      <c r="N217" t="e">
        <f>(#REF!*Y217)/(T217*X217*O217)</f>
        <v>#REF!</v>
      </c>
      <c r="O217">
        <v>3</v>
      </c>
      <c r="P217" t="s">
        <v>33</v>
      </c>
      <c r="Q217" s="1">
        <f t="shared" si="113"/>
        <v>50.000000000000007</v>
      </c>
      <c r="R217" t="s">
        <v>183</v>
      </c>
      <c r="S217" t="s">
        <v>33</v>
      </c>
      <c r="T217">
        <v>1</v>
      </c>
      <c r="U217">
        <v>2.5</v>
      </c>
      <c r="V217" t="s">
        <v>33</v>
      </c>
      <c r="W217">
        <v>0.50249999999999995</v>
      </c>
      <c r="X217">
        <f>W217</f>
        <v>0.50249999999999995</v>
      </c>
      <c r="Y217" t="s">
        <v>33</v>
      </c>
      <c r="Z217" s="3">
        <f t="shared" si="103"/>
        <v>1.0049999999999998E-2</v>
      </c>
      <c r="AA217" t="s">
        <v>33</v>
      </c>
      <c r="AB217">
        <f t="shared" si="114"/>
        <v>50.000000000000007</v>
      </c>
      <c r="AC217" s="1" t="str">
        <f t="shared" si="107"/>
        <v>NA</v>
      </c>
      <c r="AE217" s="3">
        <f t="shared" si="104"/>
        <v>135</v>
      </c>
      <c r="AF217">
        <v>150</v>
      </c>
      <c r="AG217" s="1" t="str">
        <f>IFERROR((N217*P217*Q217), "NA")</f>
        <v>NA</v>
      </c>
      <c r="AH217" s="1" t="str">
        <f>IFERROR((AG217*U217*AI217), "NA")</f>
        <v>NA</v>
      </c>
      <c r="AI217" s="1">
        <v>1</v>
      </c>
      <c r="AJ217" s="11" t="s">
        <v>31</v>
      </c>
      <c r="AK217">
        <v>1000</v>
      </c>
      <c r="AL217" t="s">
        <v>614</v>
      </c>
      <c r="AM217" s="3" t="s">
        <v>103</v>
      </c>
      <c r="AN217" t="s">
        <v>305</v>
      </c>
      <c r="AO217" t="s">
        <v>790</v>
      </c>
      <c r="AP217">
        <v>3.5</v>
      </c>
      <c r="AQ217" t="s">
        <v>33</v>
      </c>
      <c r="AR217" t="s">
        <v>33</v>
      </c>
      <c r="AS217">
        <v>8</v>
      </c>
      <c r="AT217">
        <f>AS217-AU217</f>
        <v>3.0999999999999996</v>
      </c>
      <c r="AU217" s="6">
        <v>4.9000000000000004</v>
      </c>
      <c r="AV217" t="b">
        <v>1</v>
      </c>
      <c r="AW217" t="s">
        <v>617</v>
      </c>
      <c r="AX217" t="s">
        <v>33</v>
      </c>
      <c r="AY217" t="s">
        <v>623</v>
      </c>
      <c r="AZ217" t="s">
        <v>621</v>
      </c>
      <c r="BA217" s="18" t="s">
        <v>802</v>
      </c>
      <c r="BB217" s="3" t="b">
        <v>0</v>
      </c>
      <c r="BC217" t="s">
        <v>81</v>
      </c>
      <c r="BD217">
        <v>18</v>
      </c>
      <c r="BE217" t="s">
        <v>80</v>
      </c>
      <c r="BF217">
        <v>24</v>
      </c>
      <c r="BG217" t="s">
        <v>642</v>
      </c>
      <c r="BH217" t="s">
        <v>32</v>
      </c>
      <c r="BI217" t="s">
        <v>31</v>
      </c>
      <c r="BJ217">
        <f t="shared" si="111"/>
        <v>4.9000000000000004</v>
      </c>
      <c r="BK217" s="3">
        <f t="shared" si="112"/>
        <v>0.69019608002851374</v>
      </c>
      <c r="BL217">
        <v>2</v>
      </c>
      <c r="BM217" s="3">
        <f t="shared" si="102"/>
        <v>1.4401376884664925</v>
      </c>
      <c r="BN217" t="s">
        <v>33</v>
      </c>
      <c r="BO217" s="3">
        <f t="shared" si="99"/>
        <v>27.551020408163264</v>
      </c>
      <c r="BP217" t="s">
        <v>33</v>
      </c>
      <c r="BQ217" t="s">
        <v>33</v>
      </c>
      <c r="BR217" t="s">
        <v>33</v>
      </c>
      <c r="BS217" t="s">
        <v>33</v>
      </c>
      <c r="BT217" t="s">
        <v>31</v>
      </c>
      <c r="BU217" t="s">
        <v>255</v>
      </c>
      <c r="BV217">
        <v>2010</v>
      </c>
      <c r="BW217" t="s">
        <v>651</v>
      </c>
      <c r="BX217" t="s">
        <v>78</v>
      </c>
      <c r="BY217" s="13" t="s">
        <v>674</v>
      </c>
      <c r="CA217" t="str">
        <f t="shared" si="101"/>
        <v>high acid</v>
      </c>
    </row>
    <row r="218" spans="1:79">
      <c r="A218" t="s">
        <v>225</v>
      </c>
      <c r="B218" t="s">
        <v>565</v>
      </c>
      <c r="C218" t="s">
        <v>563</v>
      </c>
      <c r="D218" t="s">
        <v>33</v>
      </c>
      <c r="E218" t="s">
        <v>77</v>
      </c>
      <c r="F218" t="s">
        <v>32</v>
      </c>
      <c r="G218">
        <v>30</v>
      </c>
      <c r="H218">
        <v>61</v>
      </c>
      <c r="I218" t="b">
        <v>1</v>
      </c>
      <c r="J218" t="s">
        <v>33</v>
      </c>
      <c r="K218" t="s">
        <v>33</v>
      </c>
      <c r="L218">
        <v>35</v>
      </c>
      <c r="M218" s="4">
        <v>500</v>
      </c>
      <c r="N218" s="3">
        <f>IFERROR(AF218/((T218*X218/Y218)*O218*AI218),"NA")</f>
        <v>521.04864189465479</v>
      </c>
      <c r="O218">
        <v>2</v>
      </c>
      <c r="P218" t="s">
        <v>33</v>
      </c>
      <c r="Q218" s="8">
        <f t="shared" si="113"/>
        <v>1.3333333333333332E-2</v>
      </c>
      <c r="R218" t="s">
        <v>183</v>
      </c>
      <c r="S218" t="s">
        <v>613</v>
      </c>
      <c r="T218" s="11">
        <v>6</v>
      </c>
      <c r="U218">
        <v>2.2999999999999998</v>
      </c>
      <c r="V218">
        <v>2.2000000000000002</v>
      </c>
      <c r="W218" t="s">
        <v>33</v>
      </c>
      <c r="X218" s="8">
        <f t="shared" ref="X218:X223" si="115">IFERROR(((PI())*(((V218*10^-1)/2)^2)*(U218*10^-1)), "NA")</f>
        <v>8.7430523549403959E-3</v>
      </c>
      <c r="Y218" s="6">
        <f>41/60</f>
        <v>0.68333333333333335</v>
      </c>
      <c r="Z218" s="3">
        <f t="shared" si="103"/>
        <v>0.65572892662052973</v>
      </c>
      <c r="AA218" s="3">
        <f>40/6</f>
        <v>6.666666666666667</v>
      </c>
      <c r="AB218" s="6">
        <f t="shared" si="114"/>
        <v>6.6666666666666661</v>
      </c>
      <c r="AC218" t="str">
        <f t="shared" si="107"/>
        <v>NA</v>
      </c>
      <c r="AD218" s="4">
        <f>AB218*T218*AI218</f>
        <v>40</v>
      </c>
      <c r="AE218" s="3">
        <f t="shared" si="104"/>
        <v>392</v>
      </c>
      <c r="AF218">
        <v>80</v>
      </c>
      <c r="AG218" t="str">
        <f>IFERROR((M218*O218*P218), "NA")</f>
        <v>NA</v>
      </c>
      <c r="AH218" t="str">
        <f>IFERROR((AG218*T218*AI218), "NA")</f>
        <v>NA</v>
      </c>
      <c r="AI218">
        <v>1</v>
      </c>
      <c r="AJ218" t="s">
        <v>31</v>
      </c>
      <c r="AK218">
        <v>4000</v>
      </c>
      <c r="AL218" t="s">
        <v>546</v>
      </c>
      <c r="AM218" t="s">
        <v>103</v>
      </c>
      <c r="AN218" t="s">
        <v>130</v>
      </c>
      <c r="AO218" t="s">
        <v>795</v>
      </c>
      <c r="AP218">
        <v>5</v>
      </c>
      <c r="AQ218" t="s">
        <v>33</v>
      </c>
      <c r="AR218" t="s">
        <v>33</v>
      </c>
      <c r="AS218" s="6">
        <v>8.1</v>
      </c>
      <c r="AT218" s="3">
        <f>IFERROR(AS218-AU218,"NA")</f>
        <v>3.0999999999999996</v>
      </c>
      <c r="AU218" s="6">
        <v>5</v>
      </c>
      <c r="AV218" t="b">
        <v>1</v>
      </c>
      <c r="AW218" t="s">
        <v>29</v>
      </c>
      <c r="AX218" t="s">
        <v>30</v>
      </c>
      <c r="AY218" t="s">
        <v>226</v>
      </c>
      <c r="AZ218" t="s">
        <v>33</v>
      </c>
      <c r="BA218" s="18" t="s">
        <v>798</v>
      </c>
      <c r="BB218" t="b">
        <v>0</v>
      </c>
      <c r="BC218" t="s">
        <v>81</v>
      </c>
      <c r="BD218">
        <v>14</v>
      </c>
      <c r="BE218" t="s">
        <v>80</v>
      </c>
      <c r="BF218" s="11">
        <v>120</v>
      </c>
      <c r="BG218" t="s">
        <v>139</v>
      </c>
      <c r="BH218" t="s">
        <v>31</v>
      </c>
      <c r="BI218" t="s">
        <v>32</v>
      </c>
      <c r="BJ218" s="3">
        <f t="shared" si="111"/>
        <v>5</v>
      </c>
      <c r="BK218" s="3">
        <f t="shared" si="112"/>
        <v>0.69897000433601886</v>
      </c>
      <c r="BL218">
        <v>2</v>
      </c>
      <c r="BM218" s="3">
        <f t="shared" si="102"/>
        <v>1.8943160626844384</v>
      </c>
      <c r="BN218" t="s">
        <v>33</v>
      </c>
      <c r="BO218" s="3">
        <f t="shared" si="99"/>
        <v>78.400000000000006</v>
      </c>
      <c r="BP218" t="s">
        <v>33</v>
      </c>
      <c r="BQ218" t="s">
        <v>33</v>
      </c>
      <c r="BR218" t="s">
        <v>33</v>
      </c>
      <c r="BS218" t="s">
        <v>33</v>
      </c>
      <c r="BT218" t="s">
        <v>31</v>
      </c>
      <c r="BU218" t="s">
        <v>227</v>
      </c>
      <c r="BV218">
        <v>2001</v>
      </c>
      <c r="BW218" t="s">
        <v>228</v>
      </c>
      <c r="BX218" t="s">
        <v>78</v>
      </c>
      <c r="BY218" t="s">
        <v>33</v>
      </c>
      <c r="BZ218" t="s">
        <v>33</v>
      </c>
      <c r="CA218" t="str">
        <f t="shared" si="101"/>
        <v>low acid</v>
      </c>
    </row>
    <row r="219" spans="1:79">
      <c r="A219" t="s">
        <v>391</v>
      </c>
      <c r="B219" t="s">
        <v>565</v>
      </c>
      <c r="C219" t="s">
        <v>563</v>
      </c>
      <c r="D219" t="s">
        <v>118</v>
      </c>
      <c r="E219" t="s">
        <v>77</v>
      </c>
      <c r="F219" t="s">
        <v>32</v>
      </c>
      <c r="G219">
        <v>25</v>
      </c>
      <c r="H219">
        <v>36</v>
      </c>
      <c r="I219" t="b">
        <v>0</v>
      </c>
      <c r="J219" t="s">
        <v>33</v>
      </c>
      <c r="K219" t="s">
        <v>33</v>
      </c>
      <c r="L219">
        <v>35</v>
      </c>
      <c r="M219" s="4">
        <v>200</v>
      </c>
      <c r="N219" s="3" t="str">
        <f>IFERROR(AF219/((T219*X219/Y219)*O219*AI219),"NA")</f>
        <v>NA</v>
      </c>
      <c r="O219">
        <v>4</v>
      </c>
      <c r="P219" t="s">
        <v>33</v>
      </c>
      <c r="Q219" s="8">
        <f t="shared" si="113"/>
        <v>0.15625</v>
      </c>
      <c r="R219" t="s">
        <v>183</v>
      </c>
      <c r="S219" t="s">
        <v>613</v>
      </c>
      <c r="T219" s="11">
        <v>8</v>
      </c>
      <c r="U219">
        <v>2.9</v>
      </c>
      <c r="V219">
        <v>2.2999999999999998</v>
      </c>
      <c r="W219">
        <v>1.2E-2</v>
      </c>
      <c r="X219" s="8">
        <f t="shared" si="115"/>
        <v>1.204879322468025E-2</v>
      </c>
      <c r="Y219" t="s">
        <v>33</v>
      </c>
      <c r="Z219" s="3">
        <f t="shared" si="103"/>
        <v>7.71122766379536E-2</v>
      </c>
      <c r="AA219" t="s">
        <v>33</v>
      </c>
      <c r="AB219" s="6">
        <f t="shared" si="114"/>
        <v>31.25</v>
      </c>
      <c r="AC219" t="str">
        <f t="shared" si="107"/>
        <v>NA</v>
      </c>
      <c r="AD219" s="4">
        <f>AB219*T219*AI219</f>
        <v>250</v>
      </c>
      <c r="AE219" s="3">
        <f t="shared" si="104"/>
        <v>5194</v>
      </c>
      <c r="AF219">
        <v>1000</v>
      </c>
      <c r="AG219" t="str">
        <f>IFERROR((M219*O219*P219), "NA")</f>
        <v>NA</v>
      </c>
      <c r="AH219" t="str">
        <f>IFERROR((AG219*T219*AI219), "NA")</f>
        <v>NA</v>
      </c>
      <c r="AI219">
        <v>1</v>
      </c>
      <c r="AJ219" t="s">
        <v>31</v>
      </c>
      <c r="AK219">
        <v>4240</v>
      </c>
      <c r="AL219" t="s">
        <v>238</v>
      </c>
      <c r="AM219" t="s">
        <v>86</v>
      </c>
      <c r="AN219" t="s">
        <v>205</v>
      </c>
      <c r="AO219" t="s">
        <v>789</v>
      </c>
      <c r="AP219">
        <v>3.56</v>
      </c>
      <c r="AQ219" t="s">
        <v>33</v>
      </c>
      <c r="AR219" t="s">
        <v>33</v>
      </c>
      <c r="AS219" s="6">
        <f>LOG(10^8)</f>
        <v>8</v>
      </c>
      <c r="AT219" s="3">
        <f>IFERROR(AS219-AU219,"NA")</f>
        <v>3.1029999999999998</v>
      </c>
      <c r="AU219" s="6">
        <v>4.8970000000000002</v>
      </c>
      <c r="AV219" t="b">
        <v>1</v>
      </c>
      <c r="AW219" t="s">
        <v>123</v>
      </c>
      <c r="AX219" t="s">
        <v>393</v>
      </c>
      <c r="AY219" t="s">
        <v>394</v>
      </c>
      <c r="AZ219" t="s">
        <v>33</v>
      </c>
      <c r="BA219" s="18" t="s">
        <v>579</v>
      </c>
      <c r="BB219" t="b">
        <v>1</v>
      </c>
      <c r="BC219" t="s">
        <v>81</v>
      </c>
      <c r="BD219">
        <v>72</v>
      </c>
      <c r="BE219" t="s">
        <v>80</v>
      </c>
      <c r="BF219" s="11">
        <v>72</v>
      </c>
      <c r="BG219" t="s">
        <v>395</v>
      </c>
      <c r="BH219" t="s">
        <v>31</v>
      </c>
      <c r="BI219" t="s">
        <v>31</v>
      </c>
      <c r="BJ219" s="3">
        <f t="shared" si="111"/>
        <v>4.8970000000000002</v>
      </c>
      <c r="BK219" s="3">
        <f t="shared" si="112"/>
        <v>0.68993010401821808</v>
      </c>
      <c r="BL219">
        <v>2</v>
      </c>
      <c r="BM219" s="3">
        <f t="shared" si="102"/>
        <v>3.0255718412750658</v>
      </c>
      <c r="BN219" t="s">
        <v>33</v>
      </c>
      <c r="BO219" s="3">
        <f t="shared" si="99"/>
        <v>1060.6493771696958</v>
      </c>
      <c r="BP219" t="s">
        <v>33</v>
      </c>
      <c r="BQ219" t="s">
        <v>33</v>
      </c>
      <c r="BR219" t="s">
        <v>33</v>
      </c>
      <c r="BS219" t="s">
        <v>33</v>
      </c>
      <c r="BT219" t="s">
        <v>31</v>
      </c>
      <c r="BU219" t="s">
        <v>240</v>
      </c>
      <c r="BV219">
        <v>2005</v>
      </c>
      <c r="BW219" t="s">
        <v>396</v>
      </c>
      <c r="BX219" t="s">
        <v>78</v>
      </c>
      <c r="BY219" t="s">
        <v>33</v>
      </c>
      <c r="BZ219" t="s">
        <v>33</v>
      </c>
      <c r="CA219" t="str">
        <f t="shared" si="101"/>
        <v>high acid</v>
      </c>
    </row>
    <row r="220" spans="1:79">
      <c r="A220" t="s">
        <v>580</v>
      </c>
      <c r="B220" t="s">
        <v>565</v>
      </c>
      <c r="C220" t="s">
        <v>563</v>
      </c>
      <c r="D220" t="s">
        <v>118</v>
      </c>
      <c r="E220" t="s">
        <v>77</v>
      </c>
      <c r="F220" t="s">
        <v>32</v>
      </c>
      <c r="G220">
        <v>22</v>
      </c>
      <c r="H220">
        <v>40</v>
      </c>
      <c r="I220" t="b">
        <v>0</v>
      </c>
      <c r="J220">
        <v>10220</v>
      </c>
      <c r="K220">
        <v>62.82</v>
      </c>
      <c r="L220">
        <v>35</v>
      </c>
      <c r="M220" s="4">
        <v>175</v>
      </c>
      <c r="N220" t="e">
        <f>(#REF!*Y220)/(T220*X220*O220)</f>
        <v>#REF!</v>
      </c>
      <c r="O220">
        <v>4</v>
      </c>
      <c r="P220">
        <f>AVERAGE(0.0066, 0.0091)</f>
        <v>7.8499999999999993E-3</v>
      </c>
      <c r="Q220" s="1">
        <f t="shared" si="113"/>
        <v>0.35714285714285715</v>
      </c>
      <c r="R220" t="s">
        <v>183</v>
      </c>
      <c r="S220" t="s">
        <v>613</v>
      </c>
      <c r="T220">
        <v>8</v>
      </c>
      <c r="U220">
        <v>2.92</v>
      </c>
      <c r="V220">
        <v>2.2999999999999998</v>
      </c>
      <c r="W220">
        <v>1.21E-2</v>
      </c>
      <c r="X220">
        <f t="shared" si="115"/>
        <v>1.2131888350367701E-2</v>
      </c>
      <c r="Y220">
        <v>1.8333299999999999</v>
      </c>
      <c r="Z220" s="3">
        <f t="shared" si="103"/>
        <v>3.3969287381029563E-2</v>
      </c>
      <c r="AA220" t="s">
        <v>33</v>
      </c>
      <c r="AB220">
        <f t="shared" si="114"/>
        <v>62.499999999999993</v>
      </c>
      <c r="AC220" s="1">
        <f t="shared" si="107"/>
        <v>1.3737499999999998</v>
      </c>
      <c r="AE220" s="3">
        <f t="shared" si="104"/>
        <v>13230</v>
      </c>
      <c r="AF220">
        <v>2000</v>
      </c>
      <c r="AG220" s="1" t="str">
        <f>IFERROR((N220*P220*Q220), "NA")</f>
        <v>NA</v>
      </c>
      <c r="AH220" s="1" t="str">
        <f>IFERROR((AG220*U220*AI220), "NA")</f>
        <v>NA</v>
      </c>
      <c r="AI220" s="1">
        <v>1</v>
      </c>
      <c r="AJ220" s="11" t="s">
        <v>31</v>
      </c>
      <c r="AK220">
        <v>5400</v>
      </c>
      <c r="AL220" t="s">
        <v>238</v>
      </c>
      <c r="AM220" t="s">
        <v>86</v>
      </c>
      <c r="AN220" t="s">
        <v>205</v>
      </c>
      <c r="AO220" t="s">
        <v>789</v>
      </c>
      <c r="AP220">
        <v>3.44</v>
      </c>
      <c r="AQ220" t="s">
        <v>33</v>
      </c>
      <c r="AR220" t="s">
        <v>33</v>
      </c>
      <c r="AS220">
        <v>7.5</v>
      </c>
      <c r="AT220">
        <f>AS220-AU220</f>
        <v>3.1100000000000003</v>
      </c>
      <c r="AU220" s="6">
        <v>4.3899999999999997</v>
      </c>
      <c r="AV220" t="b">
        <v>1</v>
      </c>
      <c r="AW220" t="s">
        <v>617</v>
      </c>
      <c r="AX220" t="s">
        <v>33</v>
      </c>
      <c r="AY220" t="s">
        <v>33</v>
      </c>
      <c r="AZ220" t="s">
        <v>619</v>
      </c>
      <c r="BA220" s="18" t="s">
        <v>802</v>
      </c>
      <c r="BB220" s="3" t="b">
        <v>0</v>
      </c>
      <c r="BC220" t="s">
        <v>81</v>
      </c>
      <c r="BD220">
        <v>15</v>
      </c>
      <c r="BE220" t="s">
        <v>80</v>
      </c>
      <c r="BF220">
        <v>24</v>
      </c>
      <c r="BG220" t="s">
        <v>697</v>
      </c>
      <c r="BH220" t="s">
        <v>32</v>
      </c>
      <c r="BI220" t="s">
        <v>31</v>
      </c>
      <c r="BJ220">
        <f t="shared" si="111"/>
        <v>4.3899999999999997</v>
      </c>
      <c r="BK220" s="3">
        <f t="shared" si="112"/>
        <v>0.64246452024212131</v>
      </c>
      <c r="BL220">
        <v>2</v>
      </c>
      <c r="BM220" s="3">
        <f t="shared" si="102"/>
        <v>3.4790953239453795</v>
      </c>
      <c r="BN220" t="s">
        <v>33</v>
      </c>
      <c r="BO220" s="3">
        <f t="shared" si="99"/>
        <v>3013.6674259681095</v>
      </c>
      <c r="BP220" t="s">
        <v>33</v>
      </c>
      <c r="BQ220" t="s">
        <v>33</v>
      </c>
      <c r="BR220" t="s">
        <v>33</v>
      </c>
      <c r="BS220" t="s">
        <v>33</v>
      </c>
      <c r="BT220" t="s">
        <v>31</v>
      </c>
      <c r="BU220" t="s">
        <v>219</v>
      </c>
      <c r="BV220" s="14">
        <v>2008</v>
      </c>
      <c r="BW220" t="s">
        <v>257</v>
      </c>
      <c r="BX220" t="s">
        <v>78</v>
      </c>
      <c r="BY220" s="13" t="s">
        <v>670</v>
      </c>
      <c r="CA220" t="str">
        <f t="shared" si="101"/>
        <v>high acid</v>
      </c>
    </row>
    <row r="221" spans="1:79">
      <c r="A221" t="s">
        <v>332</v>
      </c>
      <c r="B221" t="s">
        <v>565</v>
      </c>
      <c r="C221" t="s">
        <v>563</v>
      </c>
      <c r="D221" t="s">
        <v>118</v>
      </c>
      <c r="E221" t="s">
        <v>77</v>
      </c>
      <c r="F221" t="s">
        <v>32</v>
      </c>
      <c r="G221">
        <v>15</v>
      </c>
      <c r="H221">
        <v>30.4</v>
      </c>
      <c r="I221" t="b">
        <v>0</v>
      </c>
      <c r="J221" t="s">
        <v>33</v>
      </c>
      <c r="K221" t="s">
        <v>33</v>
      </c>
      <c r="L221">
        <v>27.5</v>
      </c>
      <c r="M221" s="4">
        <v>100</v>
      </c>
      <c r="N221" s="3">
        <f>IFERROR(AF221/((T221*X221/Y221)*O221*AI221),"NA")</f>
        <v>3454.7028257350348</v>
      </c>
      <c r="O221">
        <v>5</v>
      </c>
      <c r="P221" t="s">
        <v>33</v>
      </c>
      <c r="Q221" s="8">
        <f t="shared" si="113"/>
        <v>0.12500000000000003</v>
      </c>
      <c r="R221" t="s">
        <v>183</v>
      </c>
      <c r="S221" t="s">
        <v>613</v>
      </c>
      <c r="T221" s="11">
        <v>8</v>
      </c>
      <c r="U221">
        <v>2.9</v>
      </c>
      <c r="V221">
        <v>2.2999999999999998</v>
      </c>
      <c r="W221">
        <v>1.2E-2</v>
      </c>
      <c r="X221" s="8">
        <f t="shared" si="115"/>
        <v>1.204879322468025E-2</v>
      </c>
      <c r="Y221">
        <v>3.33</v>
      </c>
      <c r="Z221" s="3">
        <f t="shared" si="103"/>
        <v>9.639034579744199E-2</v>
      </c>
      <c r="AA221" t="s">
        <v>33</v>
      </c>
      <c r="AB221" s="6">
        <f t="shared" si="114"/>
        <v>12.500000000000002</v>
      </c>
      <c r="AC221" t="str">
        <f t="shared" si="107"/>
        <v>NA</v>
      </c>
      <c r="AD221" s="4">
        <f>AB221*T221*AI221</f>
        <v>100.00000000000001</v>
      </c>
      <c r="AE221" s="3">
        <f t="shared" si="104"/>
        <v>794.06250000000023</v>
      </c>
      <c r="AF221">
        <v>500</v>
      </c>
      <c r="AG221" t="str">
        <f>IFERROR((M221*O221*P221), "NA")</f>
        <v>NA</v>
      </c>
      <c r="AH221" t="str">
        <f>IFERROR((AG221*T221*AI221), "NA")</f>
        <v>NA</v>
      </c>
      <c r="AI221">
        <v>1</v>
      </c>
      <c r="AJ221" t="s">
        <v>31</v>
      </c>
      <c r="AK221">
        <v>2100</v>
      </c>
      <c r="AL221" t="s">
        <v>551</v>
      </c>
      <c r="AM221" t="s">
        <v>86</v>
      </c>
      <c r="AN221" t="s">
        <v>205</v>
      </c>
      <c r="AO221" t="s">
        <v>789</v>
      </c>
      <c r="AP221">
        <v>3.79</v>
      </c>
      <c r="AQ221">
        <v>1060</v>
      </c>
      <c r="AR221" t="s">
        <v>33</v>
      </c>
      <c r="AS221" s="6">
        <f>LOG((10^6+10^7)/2)</f>
        <v>6.7403626894942441</v>
      </c>
      <c r="AT221" s="3">
        <f>IFERROR(AS221-AU221,"NA")</f>
        <v>3.1103626894942442</v>
      </c>
      <c r="AU221" s="6">
        <v>3.63</v>
      </c>
      <c r="AV221" t="b">
        <v>1</v>
      </c>
      <c r="AW221" t="s">
        <v>172</v>
      </c>
      <c r="AX221" t="s">
        <v>173</v>
      </c>
      <c r="AY221" t="s">
        <v>333</v>
      </c>
      <c r="AZ221" t="s">
        <v>33</v>
      </c>
      <c r="BA221" s="18" t="s">
        <v>799</v>
      </c>
      <c r="BB221" t="b">
        <v>0</v>
      </c>
      <c r="BC221" t="s">
        <v>81</v>
      </c>
      <c r="BD221">
        <v>72</v>
      </c>
      <c r="BE221" t="s">
        <v>80</v>
      </c>
      <c r="BF221" s="11">
        <v>168</v>
      </c>
      <c r="BG221" t="s">
        <v>334</v>
      </c>
      <c r="BH221" t="s">
        <v>31</v>
      </c>
      <c r="BI221" t="s">
        <v>31</v>
      </c>
      <c r="BJ221" s="3">
        <f t="shared" si="111"/>
        <v>3.63</v>
      </c>
      <c r="BK221" s="3">
        <f t="shared" si="112"/>
        <v>0.55990662503611255</v>
      </c>
      <c r="BL221">
        <v>2</v>
      </c>
      <c r="BM221" s="3">
        <f t="shared" si="102"/>
        <v>2.3399480616943511</v>
      </c>
      <c r="BN221" t="s">
        <v>33</v>
      </c>
      <c r="BO221" s="3">
        <f t="shared" si="99"/>
        <v>218.75000000000006</v>
      </c>
      <c r="BP221" t="s">
        <v>33</v>
      </c>
      <c r="BQ221" t="s">
        <v>33</v>
      </c>
      <c r="BR221" t="s">
        <v>33</v>
      </c>
      <c r="BS221" t="s">
        <v>33</v>
      </c>
      <c r="BT221" t="s">
        <v>31</v>
      </c>
      <c r="BU221" t="s">
        <v>330</v>
      </c>
      <c r="BV221">
        <v>2009</v>
      </c>
      <c r="BW221" t="s">
        <v>331</v>
      </c>
      <c r="BX221" t="s">
        <v>78</v>
      </c>
      <c r="BY221" t="s">
        <v>33</v>
      </c>
      <c r="BZ221" t="s">
        <v>33</v>
      </c>
      <c r="CA221" t="str">
        <f t="shared" si="101"/>
        <v>high acid</v>
      </c>
    </row>
    <row r="222" spans="1:79">
      <c r="A222" t="s">
        <v>501</v>
      </c>
      <c r="B222" t="s">
        <v>565</v>
      </c>
      <c r="C222" t="s">
        <v>563</v>
      </c>
      <c r="D222" t="s">
        <v>118</v>
      </c>
      <c r="E222" t="s">
        <v>77</v>
      </c>
      <c r="F222" t="s">
        <v>32</v>
      </c>
      <c r="G222">
        <v>4</v>
      </c>
      <c r="H222">
        <v>40</v>
      </c>
      <c r="I222" t="b">
        <v>0</v>
      </c>
      <c r="J222" t="s">
        <v>33</v>
      </c>
      <c r="K222" t="s">
        <v>33</v>
      </c>
      <c r="L222">
        <v>35</v>
      </c>
      <c r="M222" s="4">
        <v>200</v>
      </c>
      <c r="N222" s="3" t="str">
        <f>IFERROR(AF222/((T222*X222/Y222)*O222*AI222),"NA")</f>
        <v>NA</v>
      </c>
      <c r="O222">
        <v>4</v>
      </c>
      <c r="P222" s="9" t="s">
        <v>33</v>
      </c>
      <c r="Q222" s="8">
        <f t="shared" si="113"/>
        <v>0.18749999999999997</v>
      </c>
      <c r="R222" t="s">
        <v>183</v>
      </c>
      <c r="S222" t="s">
        <v>613</v>
      </c>
      <c r="T222" s="11">
        <v>8</v>
      </c>
      <c r="U222">
        <v>2.92</v>
      </c>
      <c r="V222">
        <v>2.2999999999999998</v>
      </c>
      <c r="W222">
        <v>1.21E-2</v>
      </c>
      <c r="X222" s="9">
        <f t="shared" si="115"/>
        <v>1.2131888350367701E-2</v>
      </c>
      <c r="Y222" s="6" t="s">
        <v>33</v>
      </c>
      <c r="Z222" s="3">
        <f t="shared" si="103"/>
        <v>6.4703404535294412E-2</v>
      </c>
      <c r="AA222" t="s">
        <v>33</v>
      </c>
      <c r="AB222" s="4" t="str">
        <f>IFERROR(((X222*M222)/Y222), "NA")</f>
        <v>NA</v>
      </c>
      <c r="AC222" s="4" t="str">
        <f t="shared" si="107"/>
        <v>NA</v>
      </c>
      <c r="AD222" s="4" t="e">
        <f>AB222*T222*AI222</f>
        <v>#VALUE!</v>
      </c>
      <c r="AE222" s="3">
        <f t="shared" si="104"/>
        <v>5527.1999999999989</v>
      </c>
      <c r="AF222">
        <v>1200</v>
      </c>
      <c r="AG222" s="4" t="str">
        <f>IFERROR((M222*O222*P222), "NA")</f>
        <v>NA</v>
      </c>
      <c r="AH222" s="4" t="str">
        <f>IFERROR((AG222*T222*AI222), "NA")</f>
        <v>NA</v>
      </c>
      <c r="AI222">
        <v>1</v>
      </c>
      <c r="AJ222" t="s">
        <v>31</v>
      </c>
      <c r="AK222">
        <v>3760</v>
      </c>
      <c r="AL222" t="s">
        <v>553</v>
      </c>
      <c r="AM222" t="s">
        <v>86</v>
      </c>
      <c r="AN222" t="s">
        <v>205</v>
      </c>
      <c r="AO222" t="s">
        <v>789</v>
      </c>
      <c r="AP222">
        <v>3.31</v>
      </c>
      <c r="AQ222" t="s">
        <v>33</v>
      </c>
      <c r="AR222" t="s">
        <v>33</v>
      </c>
      <c r="AS222" s="6">
        <f>LOG((10^7+10^8)/2)</f>
        <v>7.7403626894942441</v>
      </c>
      <c r="AT222" s="3">
        <f>IFERROR(AS222-AU222,"NA")</f>
        <v>3.1193626894942437</v>
      </c>
      <c r="AU222" s="6">
        <v>4.6210000000000004</v>
      </c>
      <c r="AV222" t="b">
        <v>1</v>
      </c>
      <c r="AW222" t="s">
        <v>92</v>
      </c>
      <c r="AX222" t="s">
        <v>119</v>
      </c>
      <c r="AY222" t="s">
        <v>425</v>
      </c>
      <c r="AZ222" t="s">
        <v>33</v>
      </c>
      <c r="BA222" s="18" t="s">
        <v>801</v>
      </c>
      <c r="BB222" t="b">
        <v>0</v>
      </c>
      <c r="BC222" t="s">
        <v>81</v>
      </c>
      <c r="BD222">
        <v>15</v>
      </c>
      <c r="BE222" t="s">
        <v>80</v>
      </c>
      <c r="BF222" s="11">
        <v>36</v>
      </c>
      <c r="BG222" t="s">
        <v>573</v>
      </c>
      <c r="BH222" t="s">
        <v>31</v>
      </c>
      <c r="BI222" t="s">
        <v>31</v>
      </c>
      <c r="BJ222" s="3">
        <f t="shared" si="111"/>
        <v>4.6210000000000004</v>
      </c>
      <c r="BK222" s="3">
        <f t="shared" si="112"/>
        <v>0.66473596851870498</v>
      </c>
      <c r="BL222">
        <v>2</v>
      </c>
      <c r="BM222" s="3">
        <f t="shared" si="102"/>
        <v>3.0777692111571322</v>
      </c>
      <c r="BN222" t="s">
        <v>33</v>
      </c>
      <c r="BO222" s="3">
        <f t="shared" si="99"/>
        <v>1196.1047392339317</v>
      </c>
      <c r="BP222" t="s">
        <v>33</v>
      </c>
      <c r="BQ222" t="s">
        <v>33</v>
      </c>
      <c r="BR222" t="s">
        <v>33</v>
      </c>
      <c r="BS222" t="s">
        <v>33</v>
      </c>
      <c r="BT222" t="s">
        <v>31</v>
      </c>
      <c r="BU222" t="s">
        <v>503</v>
      </c>
      <c r="BV222">
        <v>2011</v>
      </c>
      <c r="BW222" t="s">
        <v>504</v>
      </c>
      <c r="BX222" t="s">
        <v>78</v>
      </c>
      <c r="BY222" t="s">
        <v>33</v>
      </c>
      <c r="BZ222" t="s">
        <v>33</v>
      </c>
      <c r="CA222" t="str">
        <f t="shared" si="101"/>
        <v>high acid</v>
      </c>
    </row>
    <row r="223" spans="1:79">
      <c r="A223" t="s">
        <v>588</v>
      </c>
      <c r="B223" t="s">
        <v>565</v>
      </c>
      <c r="C223" t="s">
        <v>563</v>
      </c>
      <c r="D223" t="s">
        <v>608</v>
      </c>
      <c r="E223" t="s">
        <v>77</v>
      </c>
      <c r="F223" t="s">
        <v>32</v>
      </c>
      <c r="G223" t="s">
        <v>33</v>
      </c>
      <c r="H223">
        <v>40</v>
      </c>
      <c r="I223" t="b">
        <v>0</v>
      </c>
      <c r="J223" t="s">
        <v>33</v>
      </c>
      <c r="K223" t="s">
        <v>33</v>
      </c>
      <c r="L223">
        <v>35</v>
      </c>
      <c r="M223" s="4">
        <v>250</v>
      </c>
      <c r="N223" t="e">
        <f>(#REF!*Y223)/(T223*X223*O223)</f>
        <v>#REF!</v>
      </c>
      <c r="O223">
        <v>3.7</v>
      </c>
      <c r="P223" t="s">
        <v>33</v>
      </c>
      <c r="Q223" s="1">
        <f t="shared" si="113"/>
        <v>8.1081081081081072E-2</v>
      </c>
      <c r="R223" t="s">
        <v>183</v>
      </c>
      <c r="S223" t="s">
        <v>613</v>
      </c>
      <c r="T223">
        <v>6</v>
      </c>
      <c r="U223">
        <v>1.9</v>
      </c>
      <c r="V223">
        <v>2.2999999999999998</v>
      </c>
      <c r="W223" t="s">
        <v>33</v>
      </c>
      <c r="X223">
        <f t="shared" si="115"/>
        <v>7.8940369403077502E-3</v>
      </c>
      <c r="Y223">
        <v>1</v>
      </c>
      <c r="Z223" s="3">
        <f t="shared" si="103"/>
        <v>9.7359788930462265E-2</v>
      </c>
      <c r="AA223" t="s">
        <v>33</v>
      </c>
      <c r="AB223">
        <f>IFERROR(((X223*M223)/Z223), "NA")</f>
        <v>20.27027027027027</v>
      </c>
      <c r="AC223" s="1" t="str">
        <f t="shared" si="107"/>
        <v>NA</v>
      </c>
      <c r="AE223" s="3">
        <f t="shared" si="104"/>
        <v>2645.9999999999995</v>
      </c>
      <c r="AF223">
        <v>450</v>
      </c>
      <c r="AG223" s="1" t="str">
        <f>IFERROR((N223*P223*Q223), "NA")</f>
        <v>NA</v>
      </c>
      <c r="AH223" s="1" t="str">
        <f>IFERROR((AG223*U223*AI223), "NA")</f>
        <v>NA</v>
      </c>
      <c r="AI223" s="1">
        <v>1</v>
      </c>
      <c r="AJ223" s="11" t="s">
        <v>31</v>
      </c>
      <c r="AK223">
        <v>4800</v>
      </c>
      <c r="AL223" t="s">
        <v>156</v>
      </c>
      <c r="AM223" t="s">
        <v>157</v>
      </c>
      <c r="AN223" t="s">
        <v>186</v>
      </c>
      <c r="AO223" t="s">
        <v>792</v>
      </c>
      <c r="AP223">
        <v>6.53</v>
      </c>
      <c r="AQ223" t="s">
        <v>33</v>
      </c>
      <c r="AR223" t="s">
        <v>33</v>
      </c>
      <c r="AS223">
        <v>6.5</v>
      </c>
      <c r="AT223">
        <v>3.12</v>
      </c>
      <c r="AU223" s="6">
        <f>AS223-AT223</f>
        <v>3.38</v>
      </c>
      <c r="AV223" t="b">
        <v>1</v>
      </c>
      <c r="AW223" t="s">
        <v>626</v>
      </c>
      <c r="AX223" t="s">
        <v>627</v>
      </c>
      <c r="AY223" t="s">
        <v>625</v>
      </c>
      <c r="AZ223" t="s">
        <v>33</v>
      </c>
      <c r="BA223" s="18" t="s">
        <v>800</v>
      </c>
      <c r="BB223" s="3" t="b">
        <v>0</v>
      </c>
      <c r="BC223" t="s">
        <v>81</v>
      </c>
      <c r="BD223">
        <v>12</v>
      </c>
      <c r="BE223" t="s">
        <v>80</v>
      </c>
      <c r="BF223">
        <v>48</v>
      </c>
      <c r="BG223" t="s">
        <v>568</v>
      </c>
      <c r="BH223" t="s">
        <v>31</v>
      </c>
      <c r="BI223" t="s">
        <v>31</v>
      </c>
      <c r="BJ223">
        <f t="shared" si="111"/>
        <v>3.38</v>
      </c>
      <c r="BK223" s="3">
        <f t="shared" si="112"/>
        <v>0.52891670027765469</v>
      </c>
      <c r="BL223">
        <v>2</v>
      </c>
      <c r="BM223" s="3">
        <f t="shared" si="102"/>
        <v>2.8936731395738273</v>
      </c>
      <c r="BN223" t="s">
        <v>33</v>
      </c>
      <c r="BO223" s="3">
        <f t="shared" si="99"/>
        <v>782.84023668639043</v>
      </c>
      <c r="BP223" t="s">
        <v>33</v>
      </c>
      <c r="BQ223" t="s">
        <v>33</v>
      </c>
      <c r="BR223" t="s">
        <v>33</v>
      </c>
      <c r="BS223" t="s">
        <v>33</v>
      </c>
      <c r="BT223" t="s">
        <v>31</v>
      </c>
      <c r="BU223" s="13" t="s">
        <v>163</v>
      </c>
      <c r="BV223">
        <v>2004</v>
      </c>
      <c r="BW223" t="s">
        <v>654</v>
      </c>
      <c r="BX223" t="s">
        <v>78</v>
      </c>
      <c r="BY223" s="13" t="s">
        <v>677</v>
      </c>
      <c r="CA223" t="str">
        <f t="shared" si="101"/>
        <v>low acid</v>
      </c>
    </row>
    <row r="224" spans="1:79">
      <c r="A224" t="s">
        <v>584</v>
      </c>
      <c r="B224" t="s">
        <v>566</v>
      </c>
      <c r="C224" t="s">
        <v>563</v>
      </c>
      <c r="D224" t="s">
        <v>607</v>
      </c>
      <c r="E224" t="s">
        <v>77</v>
      </c>
      <c r="F224" t="s">
        <v>33</v>
      </c>
      <c r="G224">
        <v>20</v>
      </c>
      <c r="H224">
        <v>35</v>
      </c>
      <c r="I224" t="b">
        <v>0</v>
      </c>
      <c r="J224">
        <v>1000</v>
      </c>
      <c r="K224">
        <v>200</v>
      </c>
      <c r="L224">
        <v>35</v>
      </c>
      <c r="M224" s="4">
        <v>1</v>
      </c>
      <c r="N224" t="e">
        <f>(#REF!*Y224)/(T224*X224*O224)</f>
        <v>#REF!</v>
      </c>
      <c r="O224">
        <v>3</v>
      </c>
      <c r="P224" t="s">
        <v>33</v>
      </c>
      <c r="Q224" s="1">
        <f t="shared" si="113"/>
        <v>25.000000000000004</v>
      </c>
      <c r="R224" t="s">
        <v>183</v>
      </c>
      <c r="S224" t="s">
        <v>33</v>
      </c>
      <c r="T224">
        <v>1</v>
      </c>
      <c r="U224">
        <v>2.5</v>
      </c>
      <c r="V224" t="s">
        <v>33</v>
      </c>
      <c r="W224">
        <v>0.50249999999999995</v>
      </c>
      <c r="X224">
        <f>W224</f>
        <v>0.50249999999999995</v>
      </c>
      <c r="Y224" t="s">
        <v>33</v>
      </c>
      <c r="Z224" s="3">
        <f t="shared" si="103"/>
        <v>2.0099999999999996E-2</v>
      </c>
      <c r="AA224" t="s">
        <v>33</v>
      </c>
      <c r="AB224">
        <f>IFERROR(((X224*M224)/Z224), "NA")</f>
        <v>25.000000000000004</v>
      </c>
      <c r="AC224" s="1" t="str">
        <f t="shared" si="107"/>
        <v>NA</v>
      </c>
      <c r="AE224" s="3">
        <f t="shared" si="104"/>
        <v>91.875000000000014</v>
      </c>
      <c r="AF224">
        <v>75</v>
      </c>
      <c r="AG224" s="1" t="str">
        <f>IFERROR((N224*P224*Q224), "NA")</f>
        <v>NA</v>
      </c>
      <c r="AH224" s="1" t="str">
        <f>IFERROR((AG224*U224*AI224), "NA")</f>
        <v>NA</v>
      </c>
      <c r="AI224" s="1">
        <v>1</v>
      </c>
      <c r="AJ224" s="11" t="s">
        <v>31</v>
      </c>
      <c r="AK224">
        <v>1000</v>
      </c>
      <c r="AL224" t="s">
        <v>614</v>
      </c>
      <c r="AM224" s="3" t="s">
        <v>103</v>
      </c>
      <c r="AN224" t="s">
        <v>305</v>
      </c>
      <c r="AO224" t="s">
        <v>790</v>
      </c>
      <c r="AP224">
        <v>3.5</v>
      </c>
      <c r="AQ224" t="s">
        <v>33</v>
      </c>
      <c r="AR224" t="s">
        <v>33</v>
      </c>
      <c r="AS224">
        <v>8</v>
      </c>
      <c r="AT224">
        <f>AS224-AU224</f>
        <v>3.13</v>
      </c>
      <c r="AU224" s="6">
        <v>4.87</v>
      </c>
      <c r="AV224" t="b">
        <v>1</v>
      </c>
      <c r="AW224" t="s">
        <v>617</v>
      </c>
      <c r="AX224" t="s">
        <v>33</v>
      </c>
      <c r="AY224" t="s">
        <v>623</v>
      </c>
      <c r="AZ224" t="s">
        <v>621</v>
      </c>
      <c r="BA224" s="18" t="s">
        <v>802</v>
      </c>
      <c r="BB224" s="3" t="b">
        <v>0</v>
      </c>
      <c r="BC224" t="s">
        <v>81</v>
      </c>
      <c r="BD224">
        <v>18</v>
      </c>
      <c r="BE224" t="s">
        <v>80</v>
      </c>
      <c r="BF224">
        <v>24</v>
      </c>
      <c r="BG224" t="s">
        <v>642</v>
      </c>
      <c r="BH224" t="s">
        <v>32</v>
      </c>
      <c r="BI224" t="s">
        <v>31</v>
      </c>
      <c r="BJ224">
        <f t="shared" si="111"/>
        <v>4.87</v>
      </c>
      <c r="BK224" s="3">
        <f t="shared" si="112"/>
        <v>0.68752896121463436</v>
      </c>
      <c r="BL224">
        <v>2</v>
      </c>
      <c r="BM224" s="3">
        <f t="shared" si="102"/>
        <v>1.275668390877617</v>
      </c>
      <c r="BN224" t="s">
        <v>33</v>
      </c>
      <c r="BO224" s="3">
        <f t="shared" si="99"/>
        <v>18.865503080082139</v>
      </c>
      <c r="BP224" t="s">
        <v>33</v>
      </c>
      <c r="BQ224" t="s">
        <v>33</v>
      </c>
      <c r="BR224" t="s">
        <v>33</v>
      </c>
      <c r="BS224" t="s">
        <v>33</v>
      </c>
      <c r="BT224" t="s">
        <v>31</v>
      </c>
      <c r="BU224" t="s">
        <v>255</v>
      </c>
      <c r="BV224">
        <v>2010</v>
      </c>
      <c r="BW224" t="s">
        <v>651</v>
      </c>
      <c r="BX224" t="s">
        <v>78</v>
      </c>
      <c r="BY224" s="13" t="s">
        <v>674</v>
      </c>
      <c r="CA224" t="str">
        <f t="shared" si="101"/>
        <v>high acid</v>
      </c>
    </row>
    <row r="225" spans="1:79">
      <c r="A225" t="s">
        <v>599</v>
      </c>
      <c r="B225" t="s">
        <v>565</v>
      </c>
      <c r="C225" t="s">
        <v>563</v>
      </c>
      <c r="D225" t="s">
        <v>118</v>
      </c>
      <c r="E225" t="s">
        <v>77</v>
      </c>
      <c r="F225" t="s">
        <v>32</v>
      </c>
      <c r="G225" t="s">
        <v>33</v>
      </c>
      <c r="H225" t="s">
        <v>33</v>
      </c>
      <c r="I225" t="b">
        <v>0</v>
      </c>
      <c r="J225" t="s">
        <v>33</v>
      </c>
      <c r="K225" t="s">
        <v>33</v>
      </c>
      <c r="L225">
        <v>27</v>
      </c>
      <c r="M225" s="4">
        <v>500</v>
      </c>
      <c r="N225" t="e">
        <f>(#REF!*Y225)/(T225*X225*O225)</f>
        <v>#REF!</v>
      </c>
      <c r="O225">
        <v>3</v>
      </c>
      <c r="P225" t="s">
        <v>33</v>
      </c>
      <c r="Q225" s="1">
        <f t="shared" si="113"/>
        <v>1.4555555555555554E-2</v>
      </c>
      <c r="R225" t="s">
        <v>183</v>
      </c>
      <c r="S225" t="s">
        <v>613</v>
      </c>
      <c r="T225">
        <v>6</v>
      </c>
      <c r="U225">
        <v>2.2999999999999998</v>
      </c>
      <c r="V225">
        <v>2.9</v>
      </c>
      <c r="W225">
        <v>0.36420000000000002</v>
      </c>
      <c r="X225">
        <f>IFERROR(((PI())*(((V225*10^-1)/2)^2)*(U225*10^-1)), "NA")</f>
        <v>1.519195667459684E-2</v>
      </c>
      <c r="Y225">
        <v>0.83333299999999999</v>
      </c>
      <c r="Z225" s="3">
        <f t="shared" si="103"/>
        <v>1.0437222142852791</v>
      </c>
      <c r="AA225" t="s">
        <v>33</v>
      </c>
      <c r="AB225">
        <f>IFERROR(((X225*M225)/Z225), "NA")</f>
        <v>7.2777777777777777</v>
      </c>
      <c r="AC225" s="1" t="str">
        <f t="shared" si="107"/>
        <v>NA</v>
      </c>
      <c r="AE225" s="3">
        <f t="shared" si="104"/>
        <v>347.61635999999993</v>
      </c>
      <c r="AF225">
        <v>131</v>
      </c>
      <c r="AG225" s="1" t="str">
        <f>IFERROR((N225*P225*Q225), "NA")</f>
        <v>NA</v>
      </c>
      <c r="AH225" s="1" t="str">
        <f>IFERROR((AG225*U225*AI225), "NA")</f>
        <v>NA</v>
      </c>
      <c r="AI225" s="1">
        <v>1</v>
      </c>
      <c r="AJ225" s="11" t="s">
        <v>31</v>
      </c>
      <c r="AK225">
        <f>3.64*10^3</f>
        <v>3640</v>
      </c>
      <c r="AL225" t="s">
        <v>145</v>
      </c>
      <c r="AM225" t="s">
        <v>86</v>
      </c>
      <c r="AN225" t="s">
        <v>205</v>
      </c>
      <c r="AO225" t="s">
        <v>789</v>
      </c>
      <c r="AP225">
        <v>3.19</v>
      </c>
      <c r="AQ225" t="s">
        <v>33</v>
      </c>
      <c r="AR225" t="s">
        <v>33</v>
      </c>
      <c r="AS225">
        <v>7.13</v>
      </c>
      <c r="AT225">
        <v>3.14</v>
      </c>
      <c r="AU225" s="6">
        <f>AS225-AT225</f>
        <v>3.9899999999999998</v>
      </c>
      <c r="AV225" t="b">
        <v>1</v>
      </c>
      <c r="AW225" t="s">
        <v>632</v>
      </c>
      <c r="AX225" t="s">
        <v>639</v>
      </c>
      <c r="AY225" t="s">
        <v>33</v>
      </c>
      <c r="AZ225" t="s">
        <v>33</v>
      </c>
      <c r="BA225" s="18" t="s">
        <v>803</v>
      </c>
      <c r="BB225" s="3" t="b">
        <v>0</v>
      </c>
      <c r="BC225" t="s">
        <v>81</v>
      </c>
      <c r="BD225">
        <f>AVERAGE(24, 48)</f>
        <v>36</v>
      </c>
      <c r="BE225" t="s">
        <v>80</v>
      </c>
      <c r="BF225">
        <v>48</v>
      </c>
      <c r="BG225" t="s">
        <v>647</v>
      </c>
      <c r="BH225" t="s">
        <v>31</v>
      </c>
      <c r="BI225" t="s">
        <v>31</v>
      </c>
      <c r="BJ225" s="3">
        <f t="shared" si="111"/>
        <v>3.9899999999999998</v>
      </c>
      <c r="BK225" s="3">
        <f t="shared" si="112"/>
        <v>0.60097289568674817</v>
      </c>
      <c r="BL225">
        <v>2</v>
      </c>
      <c r="BM225" s="3">
        <f t="shared" si="102"/>
        <v>1.9401273119360465</v>
      </c>
      <c r="BN225" t="s">
        <v>33</v>
      </c>
      <c r="BO225" s="3">
        <f t="shared" si="99"/>
        <v>87.121894736842094</v>
      </c>
      <c r="BP225" t="s">
        <v>33</v>
      </c>
      <c r="BQ225" t="s">
        <v>33</v>
      </c>
      <c r="BR225" t="s">
        <v>33</v>
      </c>
      <c r="BS225" t="s">
        <v>33</v>
      </c>
      <c r="BT225" t="s">
        <v>31</v>
      </c>
      <c r="BU225" s="13" t="s">
        <v>135</v>
      </c>
      <c r="BV225" s="14">
        <v>2010</v>
      </c>
      <c r="BW225" s="13" t="s">
        <v>140</v>
      </c>
      <c r="BX225" t="s">
        <v>78</v>
      </c>
      <c r="BY225" s="13" t="s">
        <v>687</v>
      </c>
      <c r="CA225" t="str">
        <f t="shared" si="101"/>
        <v>high acid</v>
      </c>
    </row>
    <row r="226" spans="1:79">
      <c r="A226" t="s">
        <v>273</v>
      </c>
      <c r="B226" t="s">
        <v>565</v>
      </c>
      <c r="C226" t="s">
        <v>563</v>
      </c>
      <c r="D226" t="s">
        <v>118</v>
      </c>
      <c r="E226" t="s">
        <v>77</v>
      </c>
      <c r="F226" t="s">
        <v>32</v>
      </c>
      <c r="G226">
        <v>20</v>
      </c>
      <c r="H226">
        <v>55</v>
      </c>
      <c r="I226" t="b">
        <v>0</v>
      </c>
      <c r="J226" t="s">
        <v>33</v>
      </c>
      <c r="K226" t="s">
        <v>33</v>
      </c>
      <c r="L226">
        <v>40</v>
      </c>
      <c r="M226" s="4" t="s">
        <v>33</v>
      </c>
      <c r="N226" s="3">
        <f>IFERROR(AF226/((T226*X226/Y226)*O226*AI226),"NA")</f>
        <v>487.40005497495434</v>
      </c>
      <c r="O226">
        <v>2.5</v>
      </c>
      <c r="P226" t="s">
        <v>33</v>
      </c>
      <c r="Q226" s="8">
        <f t="shared" si="113"/>
        <v>1.2173435913211428E-2</v>
      </c>
      <c r="R226" t="s">
        <v>183</v>
      </c>
      <c r="S226" t="s">
        <v>613</v>
      </c>
      <c r="T226" s="11">
        <v>6</v>
      </c>
      <c r="U226">
        <v>2.93</v>
      </c>
      <c r="V226">
        <v>2.2999999999999998</v>
      </c>
      <c r="W226" t="s">
        <v>33</v>
      </c>
      <c r="X226" s="8">
        <f>IFERROR(((PI())*(((V226*10^-1)/2)^2)*(U226*10^-1)), "NA")</f>
        <v>1.2173435913211428E-2</v>
      </c>
      <c r="Y226">
        <f>60/60</f>
        <v>1</v>
      </c>
      <c r="Z226" s="3">
        <f>IFERROR(X226*N226*O226*T226*AI226/AF226, "NA")</f>
        <v>1</v>
      </c>
      <c r="AA226" t="s">
        <v>33</v>
      </c>
      <c r="AB226" s="6">
        <f>IFERROR(((X226*N226)/Y226), "NA")</f>
        <v>5.9333333333333336</v>
      </c>
      <c r="AC226" t="str">
        <f t="shared" si="107"/>
        <v>NA</v>
      </c>
      <c r="AD226" s="4">
        <f>AB226*T226*AI226</f>
        <v>35.6</v>
      </c>
      <c r="AE226" s="3">
        <f>IFERROR(((L226^2)*N226*O226*AK226*10^-6*Q226*T226*AI226), "NA")</f>
        <v>414.38399999999996</v>
      </c>
      <c r="AF226">
        <v>89</v>
      </c>
      <c r="AG226" t="str">
        <f>IFERROR((M226*O226*P226), "NA")</f>
        <v>NA</v>
      </c>
      <c r="AH226" t="str">
        <f>IFERROR((AG226*T226*AI226), "NA")</f>
        <v>NA</v>
      </c>
      <c r="AI226">
        <v>1</v>
      </c>
      <c r="AJ226" t="s">
        <v>31</v>
      </c>
      <c r="AK226">
        <v>2910</v>
      </c>
      <c r="AL226" t="s">
        <v>543</v>
      </c>
      <c r="AM226" t="s">
        <v>86</v>
      </c>
      <c r="AN226" t="s">
        <v>205</v>
      </c>
      <c r="AO226" t="s">
        <v>789</v>
      </c>
      <c r="AP226">
        <v>4.05</v>
      </c>
      <c r="AQ226" t="s">
        <v>33</v>
      </c>
      <c r="AR226" t="s">
        <v>33</v>
      </c>
      <c r="AS226">
        <f>LOG(10^6)</f>
        <v>6</v>
      </c>
      <c r="AT226" s="3">
        <f>IFERROR(AS226-AU226,"NA")</f>
        <v>3.1429999999999998</v>
      </c>
      <c r="AU226" s="6">
        <v>2.8570000000000002</v>
      </c>
      <c r="AV226" t="b">
        <v>1</v>
      </c>
      <c r="AW226" t="s">
        <v>29</v>
      </c>
      <c r="AX226" t="s">
        <v>30</v>
      </c>
      <c r="AY226" t="s">
        <v>216</v>
      </c>
      <c r="AZ226" t="s">
        <v>33</v>
      </c>
      <c r="BA226" s="18" t="s">
        <v>798</v>
      </c>
      <c r="BB226" t="b">
        <v>0</v>
      </c>
      <c r="BC226" t="s">
        <v>81</v>
      </c>
      <c r="BD226">
        <v>4</v>
      </c>
      <c r="BE226" t="s">
        <v>159</v>
      </c>
      <c r="BF226" s="11">
        <v>24</v>
      </c>
      <c r="BG226" t="s">
        <v>572</v>
      </c>
      <c r="BH226" t="s">
        <v>31</v>
      </c>
      <c r="BI226" t="s">
        <v>31</v>
      </c>
      <c r="BJ226" s="3">
        <f t="shared" si="111"/>
        <v>2.8570000000000002</v>
      </c>
      <c r="BK226" s="3">
        <f t="shared" si="112"/>
        <v>0.45591024038274303</v>
      </c>
      <c r="BL226">
        <v>2</v>
      </c>
      <c r="BM226" s="3">
        <f t="shared" ref="BM226:BM255" si="116">IFERROR(LOG(BO226),"NA")</f>
        <v>2.1614927379040019</v>
      </c>
      <c r="BN226" t="s">
        <v>33</v>
      </c>
      <c r="BO226" s="3">
        <f t="shared" si="99"/>
        <v>145.04165208260412</v>
      </c>
      <c r="BP226" t="s">
        <v>33</v>
      </c>
      <c r="BQ226" t="s">
        <v>33</v>
      </c>
      <c r="BR226" t="s">
        <v>33</v>
      </c>
      <c r="BS226" t="s">
        <v>33</v>
      </c>
      <c r="BT226" t="s">
        <v>31</v>
      </c>
      <c r="BU226" t="s">
        <v>274</v>
      </c>
      <c r="BV226">
        <v>2006</v>
      </c>
      <c r="BW226" t="s">
        <v>275</v>
      </c>
      <c r="BX226" t="s">
        <v>78</v>
      </c>
      <c r="BY226" t="s">
        <v>277</v>
      </c>
      <c r="BZ226" t="s">
        <v>33</v>
      </c>
      <c r="CA226" t="str">
        <f t="shared" si="101"/>
        <v>high acid</v>
      </c>
    </row>
    <row r="227" spans="1:79">
      <c r="A227" t="s">
        <v>588</v>
      </c>
      <c r="B227" t="s">
        <v>565</v>
      </c>
      <c r="C227" t="s">
        <v>563</v>
      </c>
      <c r="D227" t="s">
        <v>608</v>
      </c>
      <c r="E227" t="s">
        <v>77</v>
      </c>
      <c r="F227" t="s">
        <v>32</v>
      </c>
      <c r="G227" t="s">
        <v>33</v>
      </c>
      <c r="H227">
        <v>40</v>
      </c>
      <c r="I227" t="b">
        <v>0</v>
      </c>
      <c r="J227" t="s">
        <v>33</v>
      </c>
      <c r="K227" t="s">
        <v>33</v>
      </c>
      <c r="L227">
        <v>35</v>
      </c>
      <c r="M227" s="4">
        <v>250</v>
      </c>
      <c r="N227" t="e">
        <f>(#REF!*Y227)/(T227*X227*O227)</f>
        <v>#REF!</v>
      </c>
      <c r="O227">
        <v>3.7</v>
      </c>
      <c r="P227" t="s">
        <v>33</v>
      </c>
      <c r="Q227" s="1">
        <f t="shared" si="113"/>
        <v>8.1081081081081072E-2</v>
      </c>
      <c r="R227" t="s">
        <v>183</v>
      </c>
      <c r="S227" t="s">
        <v>613</v>
      </c>
      <c r="T227">
        <v>6</v>
      </c>
      <c r="U227">
        <v>1.9</v>
      </c>
      <c r="V227">
        <v>2.2999999999999998</v>
      </c>
      <c r="W227" t="s">
        <v>33</v>
      </c>
      <c r="X227">
        <f>IFERROR(((PI())*(((V227*10^-1)/2)^2)*(U227*10^-1)), "NA")</f>
        <v>7.8940369403077502E-3</v>
      </c>
      <c r="Y227">
        <v>1</v>
      </c>
      <c r="Z227" s="3">
        <f t="shared" ref="Z227:Z237" si="117">IFERROR(X227*M227*O227*T227*AI227/AF227, "NA")</f>
        <v>9.7359788930462265E-2</v>
      </c>
      <c r="AA227" t="s">
        <v>33</v>
      </c>
      <c r="AB227">
        <f t="shared" ref="AB227:AB239" si="118">IFERROR(((X227*M227)/Z227), "NA")</f>
        <v>20.27027027027027</v>
      </c>
      <c r="AC227" s="1" t="str">
        <f t="shared" si="107"/>
        <v>NA</v>
      </c>
      <c r="AE227" s="3">
        <f t="shared" ref="AE227:AE237" si="119">IFERROR(((L227^2)*M227*O227*AK227*10^-6*Q227*T227*AI227), "NA")</f>
        <v>2645.9999999999995</v>
      </c>
      <c r="AF227">
        <v>450</v>
      </c>
      <c r="AG227" s="1" t="str">
        <f>IFERROR((N227*P227*Q227), "NA")</f>
        <v>NA</v>
      </c>
      <c r="AH227" s="1" t="str">
        <f>IFERROR((AG227*U227*AI227), "NA")</f>
        <v>NA</v>
      </c>
      <c r="AI227" s="1">
        <v>1</v>
      </c>
      <c r="AJ227" s="11" t="s">
        <v>31</v>
      </c>
      <c r="AK227">
        <v>4800</v>
      </c>
      <c r="AL227" t="s">
        <v>156</v>
      </c>
      <c r="AM227" t="s">
        <v>157</v>
      </c>
      <c r="AN227" t="s">
        <v>186</v>
      </c>
      <c r="AO227" t="s">
        <v>792</v>
      </c>
      <c r="AP227">
        <v>6.53</v>
      </c>
      <c r="AQ227" t="s">
        <v>33</v>
      </c>
      <c r="AR227" t="s">
        <v>33</v>
      </c>
      <c r="AS227">
        <v>6.5</v>
      </c>
      <c r="AT227">
        <v>3.15</v>
      </c>
      <c r="AU227" s="6">
        <f>AS227-AT227</f>
        <v>3.35</v>
      </c>
      <c r="AV227" t="b">
        <v>1</v>
      </c>
      <c r="AW227" t="s">
        <v>626</v>
      </c>
      <c r="AX227" t="s">
        <v>627</v>
      </c>
      <c r="AY227" t="s">
        <v>625</v>
      </c>
      <c r="AZ227" t="s">
        <v>33</v>
      </c>
      <c r="BA227" s="18" t="s">
        <v>800</v>
      </c>
      <c r="BB227" s="3" t="b">
        <v>0</v>
      </c>
      <c r="BC227" t="s">
        <v>81</v>
      </c>
      <c r="BD227">
        <v>12</v>
      </c>
      <c r="BE227" t="s">
        <v>80</v>
      </c>
      <c r="BF227">
        <v>48</v>
      </c>
      <c r="BG227" t="s">
        <v>568</v>
      </c>
      <c r="BH227" t="s">
        <v>31</v>
      </c>
      <c r="BI227" t="s">
        <v>31</v>
      </c>
      <c r="BJ227">
        <f t="shared" si="111"/>
        <v>3.35</v>
      </c>
      <c r="BK227" s="3">
        <f t="shared" si="112"/>
        <v>0.5250448070368452</v>
      </c>
      <c r="BL227">
        <v>2</v>
      </c>
      <c r="BM227" s="3">
        <f t="shared" si="116"/>
        <v>2.8975450328146368</v>
      </c>
      <c r="BN227" t="s">
        <v>33</v>
      </c>
      <c r="BO227" s="3">
        <f t="shared" si="99"/>
        <v>789.85074626865651</v>
      </c>
      <c r="BP227" t="s">
        <v>33</v>
      </c>
      <c r="BQ227" t="s">
        <v>33</v>
      </c>
      <c r="BR227" t="s">
        <v>33</v>
      </c>
      <c r="BS227" t="s">
        <v>33</v>
      </c>
      <c r="BT227" t="s">
        <v>31</v>
      </c>
      <c r="BU227" s="13" t="s">
        <v>163</v>
      </c>
      <c r="BV227">
        <v>2004</v>
      </c>
      <c r="BW227" t="s">
        <v>654</v>
      </c>
      <c r="BX227" t="s">
        <v>78</v>
      </c>
      <c r="BY227" s="13" t="s">
        <v>677</v>
      </c>
      <c r="CA227" t="str">
        <f t="shared" si="101"/>
        <v>low acid</v>
      </c>
    </row>
    <row r="228" spans="1:79">
      <c r="A228" t="s">
        <v>581</v>
      </c>
      <c r="B228" t="s">
        <v>565</v>
      </c>
      <c r="C228" t="s">
        <v>563</v>
      </c>
      <c r="D228" t="s">
        <v>118</v>
      </c>
      <c r="E228" t="s">
        <v>77</v>
      </c>
      <c r="F228" t="s">
        <v>32</v>
      </c>
      <c r="G228">
        <v>5</v>
      </c>
      <c r="H228">
        <v>30.3</v>
      </c>
      <c r="I228" t="b">
        <v>0</v>
      </c>
      <c r="J228" t="s">
        <v>33</v>
      </c>
      <c r="K228" t="s">
        <v>33</v>
      </c>
      <c r="L228">
        <v>35</v>
      </c>
      <c r="M228" s="4">
        <v>100</v>
      </c>
      <c r="N228" t="e">
        <f>(#REF!*Y228)/(T228*X228*O228)</f>
        <v>#REF!</v>
      </c>
      <c r="O228">
        <v>4</v>
      </c>
      <c r="P228" t="s">
        <v>33</v>
      </c>
      <c r="Q228" s="1">
        <f t="shared" si="113"/>
        <v>0.39062499999999994</v>
      </c>
      <c r="R228" t="s">
        <v>183</v>
      </c>
      <c r="S228" t="s">
        <v>613</v>
      </c>
      <c r="T228">
        <v>8</v>
      </c>
      <c r="U228">
        <v>2.92</v>
      </c>
      <c r="V228">
        <v>2.2999999999999998</v>
      </c>
      <c r="W228">
        <v>1.21E-2</v>
      </c>
      <c r="X228">
        <f>IFERROR(((PI())*(((V228*10^-1)/2)^2)*(U228*10^-1)), "NA")</f>
        <v>1.2131888350367701E-2</v>
      </c>
      <c r="Y228">
        <v>1.6666700000000001</v>
      </c>
      <c r="Z228" s="3">
        <f t="shared" si="117"/>
        <v>3.1057634176941316E-2</v>
      </c>
      <c r="AA228" t="s">
        <v>33</v>
      </c>
      <c r="AB228">
        <f t="shared" si="118"/>
        <v>39.0625</v>
      </c>
      <c r="AC228" s="1" t="str">
        <f t="shared" si="107"/>
        <v>NA</v>
      </c>
      <c r="AE228" s="3">
        <f t="shared" si="119"/>
        <v>5604.3749999999991</v>
      </c>
      <c r="AF228">
        <v>1250</v>
      </c>
      <c r="AG228" s="1" t="str">
        <f>IFERROR((N228*P228*Q228), "NA")</f>
        <v>NA</v>
      </c>
      <c r="AH228" s="1" t="str">
        <f>IFERROR((AG228*U228*AI228), "NA")</f>
        <v>NA</v>
      </c>
      <c r="AI228" s="1">
        <v>1</v>
      </c>
      <c r="AJ228" s="11" t="s">
        <v>31</v>
      </c>
      <c r="AK228">
        <v>3660</v>
      </c>
      <c r="AL228" t="s">
        <v>541</v>
      </c>
      <c r="AM228" t="s">
        <v>86</v>
      </c>
      <c r="AN228" t="s">
        <v>186</v>
      </c>
      <c r="AO228" t="s">
        <v>794</v>
      </c>
      <c r="AP228">
        <v>5.46</v>
      </c>
      <c r="AQ228" t="s">
        <v>33</v>
      </c>
      <c r="AR228" t="s">
        <v>33</v>
      </c>
      <c r="AS228">
        <v>7.5</v>
      </c>
      <c r="AT228">
        <f>AS228-AU228</f>
        <v>3.1500000000000004</v>
      </c>
      <c r="AU228" s="6">
        <v>4.3499999999999996</v>
      </c>
      <c r="AV228" t="b">
        <v>1</v>
      </c>
      <c r="AW228" t="s">
        <v>617</v>
      </c>
      <c r="AX228" t="s">
        <v>618</v>
      </c>
      <c r="AY228" t="s">
        <v>33</v>
      </c>
      <c r="AZ228" t="s">
        <v>619</v>
      </c>
      <c r="BA228" s="18" t="s">
        <v>802</v>
      </c>
      <c r="BB228" s="3" t="b">
        <v>0</v>
      </c>
      <c r="BC228" t="s">
        <v>81</v>
      </c>
      <c r="BD228">
        <v>15</v>
      </c>
      <c r="BE228" t="s">
        <v>80</v>
      </c>
      <c r="BF228">
        <v>15</v>
      </c>
      <c r="BG228" t="s">
        <v>697</v>
      </c>
      <c r="BH228" t="s">
        <v>32</v>
      </c>
      <c r="BI228" t="s">
        <v>31</v>
      </c>
      <c r="BJ228">
        <f t="shared" si="111"/>
        <v>4.3499999999999996</v>
      </c>
      <c r="BK228" s="3">
        <f t="shared" si="112"/>
        <v>0.63848925695463732</v>
      </c>
      <c r="BL228">
        <v>2</v>
      </c>
      <c r="BM228" s="3">
        <f t="shared" si="116"/>
        <v>3.1100379301483811</v>
      </c>
      <c r="BN228" t="s">
        <v>33</v>
      </c>
      <c r="BO228" s="3">
        <f t="shared" si="99"/>
        <v>1288.3620689655172</v>
      </c>
      <c r="BP228" t="s">
        <v>33</v>
      </c>
      <c r="BQ228" t="s">
        <v>33</v>
      </c>
      <c r="BR228" t="s">
        <v>33</v>
      </c>
      <c r="BS228" t="s">
        <v>33</v>
      </c>
      <c r="BT228" t="s">
        <v>31</v>
      </c>
      <c r="BU228" t="s">
        <v>219</v>
      </c>
      <c r="BV228" s="14">
        <v>2007</v>
      </c>
      <c r="BW228" s="2" t="s">
        <v>648</v>
      </c>
      <c r="BX228" t="s">
        <v>78</v>
      </c>
      <c r="BY228" s="13" t="s">
        <v>671</v>
      </c>
      <c r="CA228" t="str">
        <f t="shared" si="101"/>
        <v>low acid</v>
      </c>
    </row>
    <row r="229" spans="1:79">
      <c r="A229" s="3" t="s">
        <v>280</v>
      </c>
      <c r="B229" t="s">
        <v>566</v>
      </c>
      <c r="C229" t="s">
        <v>563</v>
      </c>
      <c r="D229" s="3" t="s">
        <v>279</v>
      </c>
      <c r="E229" s="3" t="s">
        <v>77</v>
      </c>
      <c r="F229" t="s">
        <v>32</v>
      </c>
      <c r="G229" s="11">
        <v>10</v>
      </c>
      <c r="H229" s="11">
        <v>30</v>
      </c>
      <c r="I229" s="3" t="b">
        <v>0</v>
      </c>
      <c r="J229" s="3" t="s">
        <v>33</v>
      </c>
      <c r="K229" s="3" t="s">
        <v>33</v>
      </c>
      <c r="L229" s="11">
        <v>30</v>
      </c>
      <c r="M229" s="4">
        <v>1000</v>
      </c>
      <c r="N229" s="3">
        <f>IFERROR(AF229/((T229*X229/Y229)*O229*AI229),"NA")</f>
        <v>2526.2689379665921</v>
      </c>
      <c r="O229" s="3">
        <v>16</v>
      </c>
      <c r="P229" s="3" t="s">
        <v>33</v>
      </c>
      <c r="Q229" s="3">
        <f t="shared" si="113"/>
        <v>7.5000000000000011E-2</v>
      </c>
      <c r="R229" t="s">
        <v>183</v>
      </c>
      <c r="S229" t="s">
        <v>613</v>
      </c>
      <c r="T229" s="11">
        <v>1</v>
      </c>
      <c r="U229" s="3">
        <v>2.8</v>
      </c>
      <c r="V229" s="3">
        <v>3</v>
      </c>
      <c r="W229" s="3">
        <v>0.02</v>
      </c>
      <c r="X229" s="3">
        <f>IFERROR(((PI())*(((V229*10^-1)/2)^2)*(U229*10^-1)), "NA")</f>
        <v>1.97920337176157E-2</v>
      </c>
      <c r="Y229" s="3">
        <f>40/60</f>
        <v>0.66666666666666663</v>
      </c>
      <c r="Z229" s="3">
        <f t="shared" si="117"/>
        <v>0.26389378290154264</v>
      </c>
      <c r="AA229" s="3" t="s">
        <v>33</v>
      </c>
      <c r="AB229" s="3">
        <f t="shared" si="118"/>
        <v>75</v>
      </c>
      <c r="AC229" s="3" t="str">
        <f t="shared" si="107"/>
        <v>NA</v>
      </c>
      <c r="AD229" s="4">
        <f>AB229*T229*AI229</f>
        <v>75</v>
      </c>
      <c r="AE229" s="3">
        <f t="shared" si="119"/>
        <v>216.00000000000003</v>
      </c>
      <c r="AF229" s="3">
        <v>1200</v>
      </c>
      <c r="AG229" s="3" t="str">
        <f>IFERROR((M229*O229*P229), "NA")</f>
        <v>NA</v>
      </c>
      <c r="AH229" s="3" t="str">
        <f>IFERROR((AG229*T229*AI229), "NA")</f>
        <v>NA</v>
      </c>
      <c r="AI229" s="3">
        <v>1</v>
      </c>
      <c r="AJ229" t="s">
        <v>31</v>
      </c>
      <c r="AK229" s="3">
        <v>200</v>
      </c>
      <c r="AL229" s="3" t="s">
        <v>281</v>
      </c>
      <c r="AM229" s="3" t="s">
        <v>103</v>
      </c>
      <c r="AN229" t="s">
        <v>130</v>
      </c>
      <c r="AO229" t="s">
        <v>795</v>
      </c>
      <c r="AP229" s="3" t="s">
        <v>33</v>
      </c>
      <c r="AQ229" s="3" t="s">
        <v>33</v>
      </c>
      <c r="AR229" s="3" t="s">
        <v>33</v>
      </c>
      <c r="AS229" s="3">
        <v>4.0880000000000001</v>
      </c>
      <c r="AT229" s="3">
        <f>IFERROR(AS229-AU229,"NA")</f>
        <v>3.1500000000000004</v>
      </c>
      <c r="AU229" s="6">
        <v>0.93799999999999994</v>
      </c>
      <c r="AV229" s="3" t="b">
        <v>1</v>
      </c>
      <c r="AW229" s="3" t="s">
        <v>172</v>
      </c>
      <c r="AX229" s="3" t="s">
        <v>173</v>
      </c>
      <c r="AY229" s="3" t="s">
        <v>283</v>
      </c>
      <c r="AZ229" s="3" t="s">
        <v>33</v>
      </c>
      <c r="BA229" s="18" t="s">
        <v>799</v>
      </c>
      <c r="BB229" s="3" t="b">
        <v>0</v>
      </c>
      <c r="BC229" t="s">
        <v>81</v>
      </c>
      <c r="BD229" s="3">
        <v>2</v>
      </c>
      <c r="BE229" s="3" t="s">
        <v>252</v>
      </c>
      <c r="BF229" s="11">
        <v>72</v>
      </c>
      <c r="BG229" s="3" t="s">
        <v>574</v>
      </c>
      <c r="BH229" s="3" t="s">
        <v>31</v>
      </c>
      <c r="BI229" s="3" t="s">
        <v>31</v>
      </c>
      <c r="BJ229" s="3">
        <f t="shared" si="111"/>
        <v>0.93799999999999994</v>
      </c>
      <c r="BK229" s="3">
        <f t="shared" si="112"/>
        <v>-2.7797161620935564E-2</v>
      </c>
      <c r="BL229" s="3">
        <v>2</v>
      </c>
      <c r="BM229" s="3">
        <f t="shared" si="116"/>
        <v>2.3622509127718665</v>
      </c>
      <c r="BN229" s="3" t="s">
        <v>33</v>
      </c>
      <c r="BO229" s="3">
        <f t="shared" si="99"/>
        <v>230.27718550106613</v>
      </c>
      <c r="BP229" s="3" t="s">
        <v>33</v>
      </c>
      <c r="BQ229" s="3" t="s">
        <v>33</v>
      </c>
      <c r="BR229" s="3" t="s">
        <v>33</v>
      </c>
      <c r="BS229" s="3" t="s">
        <v>33</v>
      </c>
      <c r="BT229" t="s">
        <v>31</v>
      </c>
      <c r="BU229" s="3" t="s">
        <v>247</v>
      </c>
      <c r="BV229" s="11">
        <v>2016</v>
      </c>
      <c r="BW229" s="3" t="s">
        <v>284</v>
      </c>
      <c r="BX229" t="s">
        <v>78</v>
      </c>
      <c r="BY229" s="3" t="s">
        <v>33</v>
      </c>
      <c r="BZ229" s="3" t="s">
        <v>282</v>
      </c>
      <c r="CA229" t="str">
        <f t="shared" si="101"/>
        <v>low acid</v>
      </c>
    </row>
    <row r="230" spans="1:79">
      <c r="A230" t="s">
        <v>589</v>
      </c>
      <c r="B230" t="s">
        <v>566</v>
      </c>
      <c r="C230" t="s">
        <v>563</v>
      </c>
      <c r="D230" t="s">
        <v>33</v>
      </c>
      <c r="E230" t="s">
        <v>77</v>
      </c>
      <c r="F230" t="s">
        <v>33</v>
      </c>
      <c r="G230" t="s">
        <v>33</v>
      </c>
      <c r="H230">
        <v>35</v>
      </c>
      <c r="I230" t="b">
        <v>0</v>
      </c>
      <c r="J230" t="s">
        <v>33</v>
      </c>
      <c r="K230" t="s">
        <v>33</v>
      </c>
      <c r="L230">
        <v>28</v>
      </c>
      <c r="M230" s="4">
        <v>1</v>
      </c>
      <c r="N230" t="e">
        <f>(#REF!*Y230)/(T230*X230*O230)</f>
        <v>#REF!</v>
      </c>
      <c r="O230">
        <v>2</v>
      </c>
      <c r="P230" t="s">
        <v>33</v>
      </c>
      <c r="Q230" s="1">
        <f t="shared" si="113"/>
        <v>398</v>
      </c>
      <c r="R230" t="s">
        <v>183</v>
      </c>
      <c r="S230" t="s">
        <v>613</v>
      </c>
      <c r="T230">
        <v>1</v>
      </c>
      <c r="U230">
        <v>2.5</v>
      </c>
      <c r="V230" t="s">
        <v>33</v>
      </c>
      <c r="W230">
        <v>0.50249999999999995</v>
      </c>
      <c r="X230">
        <f>W230</f>
        <v>0.50249999999999995</v>
      </c>
      <c r="Y230" t="s">
        <v>33</v>
      </c>
      <c r="Z230" s="3">
        <f t="shared" si="117"/>
        <v>1.2625628140703516E-3</v>
      </c>
      <c r="AA230" t="s">
        <v>33</v>
      </c>
      <c r="AB230">
        <f t="shared" si="118"/>
        <v>398</v>
      </c>
      <c r="AC230" s="1" t="str">
        <f t="shared" si="107"/>
        <v>NA</v>
      </c>
      <c r="AE230" s="3">
        <f t="shared" si="119"/>
        <v>1248.1279999999999</v>
      </c>
      <c r="AF230">
        <v>796</v>
      </c>
      <c r="AG230" s="1" t="str">
        <f t="shared" ref="AG230:AG235" si="120">IFERROR((N230*P230*Q230), "NA")</f>
        <v>NA</v>
      </c>
      <c r="AH230" s="1" t="str">
        <f>IFERROR((AG230*U230*AI230), "NA")</f>
        <v>NA</v>
      </c>
      <c r="AI230" s="1">
        <v>1</v>
      </c>
      <c r="AJ230" s="11" t="s">
        <v>31</v>
      </c>
      <c r="AK230">
        <v>2000</v>
      </c>
      <c r="AL230" t="s">
        <v>616</v>
      </c>
      <c r="AM230" s="3" t="s">
        <v>103</v>
      </c>
      <c r="AN230" t="s">
        <v>130</v>
      </c>
      <c r="AO230" t="s">
        <v>795</v>
      </c>
      <c r="AP230">
        <v>7</v>
      </c>
      <c r="AQ230" t="s">
        <v>33</v>
      </c>
      <c r="AR230" t="s">
        <v>33</v>
      </c>
      <c r="AS230">
        <v>9</v>
      </c>
      <c r="AT230">
        <f t="shared" ref="AT230:AT235" si="121">AS230-AU230</f>
        <v>3.1500000000000004</v>
      </c>
      <c r="AU230" s="6">
        <v>5.85</v>
      </c>
      <c r="AV230" t="b">
        <v>1</v>
      </c>
      <c r="AW230" t="s">
        <v>617</v>
      </c>
      <c r="AX230" t="s">
        <v>33</v>
      </c>
      <c r="AY230" t="s">
        <v>629</v>
      </c>
      <c r="AZ230" t="s">
        <v>630</v>
      </c>
      <c r="BA230" s="18" t="s">
        <v>802</v>
      </c>
      <c r="BB230" s="3" t="b">
        <v>0</v>
      </c>
      <c r="BC230" t="s">
        <v>81</v>
      </c>
      <c r="BD230">
        <v>24</v>
      </c>
      <c r="BE230" t="s">
        <v>80</v>
      </c>
      <c r="BF230">
        <v>24</v>
      </c>
      <c r="BG230" t="s">
        <v>644</v>
      </c>
      <c r="BH230" t="s">
        <v>31</v>
      </c>
      <c r="BI230" t="s">
        <v>32</v>
      </c>
      <c r="BJ230">
        <f t="shared" si="111"/>
        <v>5.85</v>
      </c>
      <c r="BK230" s="3">
        <f t="shared" si="112"/>
        <v>0.76715586608218045</v>
      </c>
      <c r="BL230">
        <v>2</v>
      </c>
      <c r="BM230" s="3">
        <f t="shared" si="116"/>
        <v>2.3291032600039081</v>
      </c>
      <c r="BN230" t="s">
        <v>33</v>
      </c>
      <c r="BO230" s="3">
        <f t="shared" si="99"/>
        <v>213.35521367521366</v>
      </c>
      <c r="BP230" t="s">
        <v>33</v>
      </c>
      <c r="BQ230" t="s">
        <v>33</v>
      </c>
      <c r="BR230" t="s">
        <v>33</v>
      </c>
      <c r="BS230" t="s">
        <v>33</v>
      </c>
      <c r="BT230" t="s">
        <v>31</v>
      </c>
      <c r="BU230" s="15" t="s">
        <v>655</v>
      </c>
      <c r="BV230">
        <v>2003</v>
      </c>
      <c r="BW230" t="s">
        <v>656</v>
      </c>
      <c r="BX230" t="s">
        <v>78</v>
      </c>
      <c r="BY230" s="13" t="s">
        <v>677</v>
      </c>
      <c r="CA230" t="str">
        <f t="shared" si="101"/>
        <v>low acid</v>
      </c>
    </row>
    <row r="231" spans="1:79">
      <c r="A231" t="s">
        <v>596</v>
      </c>
      <c r="B231" t="s">
        <v>565</v>
      </c>
      <c r="C231" t="s">
        <v>563</v>
      </c>
      <c r="D231" t="s">
        <v>610</v>
      </c>
      <c r="E231" t="s">
        <v>77</v>
      </c>
      <c r="F231" t="s">
        <v>33</v>
      </c>
      <c r="G231">
        <v>20</v>
      </c>
      <c r="H231" t="s">
        <v>33</v>
      </c>
      <c r="I231" t="b">
        <v>0</v>
      </c>
      <c r="J231">
        <v>14000</v>
      </c>
      <c r="K231" t="s">
        <v>33</v>
      </c>
      <c r="L231">
        <v>35</v>
      </c>
      <c r="M231" s="4">
        <v>10</v>
      </c>
      <c r="N231" t="e">
        <f>(#REF!*Y231)/(T231*X231*O231)</f>
        <v>#REF!</v>
      </c>
      <c r="O231">
        <v>5</v>
      </c>
      <c r="P231" t="s">
        <v>33</v>
      </c>
      <c r="Q231" s="1">
        <f t="shared" si="113"/>
        <v>0.92000000000000015</v>
      </c>
      <c r="R231" t="s">
        <v>183</v>
      </c>
      <c r="S231" t="s">
        <v>613</v>
      </c>
      <c r="T231">
        <v>1</v>
      </c>
      <c r="U231">
        <v>4</v>
      </c>
      <c r="V231">
        <v>4</v>
      </c>
      <c r="W231" t="s">
        <v>33</v>
      </c>
      <c r="X231">
        <f>IFERROR(((PI())*(((V231*10^-1)/2)^2)*(U231*10^-1)), "NA")</f>
        <v>5.02654824574367E-2</v>
      </c>
      <c r="Y231">
        <v>0.106667</v>
      </c>
      <c r="Z231" s="3">
        <f t="shared" si="117"/>
        <v>5.4636393975474665E-2</v>
      </c>
      <c r="AA231" t="s">
        <v>33</v>
      </c>
      <c r="AB231">
        <f t="shared" si="118"/>
        <v>9.2000000000000011</v>
      </c>
      <c r="AC231" s="1" t="str">
        <f t="shared" si="107"/>
        <v>NA</v>
      </c>
      <c r="AE231" s="3">
        <f t="shared" si="119"/>
        <v>112.70000000000002</v>
      </c>
      <c r="AF231">
        <v>46</v>
      </c>
      <c r="AG231" s="1" t="str">
        <f t="shared" si="120"/>
        <v>NA</v>
      </c>
      <c r="AH231" s="1" t="str">
        <f>IFERROR((AG231*U231*AI231), "NA")</f>
        <v>NA</v>
      </c>
      <c r="AI231" s="1">
        <v>1</v>
      </c>
      <c r="AJ231" s="11" t="s">
        <v>31</v>
      </c>
      <c r="AK231">
        <v>2000</v>
      </c>
      <c r="AL231" t="s">
        <v>149</v>
      </c>
      <c r="AM231" t="s">
        <v>86</v>
      </c>
      <c r="AN231" t="s">
        <v>205</v>
      </c>
      <c r="AO231" t="s">
        <v>789</v>
      </c>
      <c r="AP231" t="s">
        <v>33</v>
      </c>
      <c r="AQ231" t="s">
        <v>33</v>
      </c>
      <c r="AR231" t="s">
        <v>33</v>
      </c>
      <c r="AS231">
        <f>AVERAGE(6,8)</f>
        <v>7</v>
      </c>
      <c r="AT231">
        <f t="shared" si="121"/>
        <v>3.16</v>
      </c>
      <c r="AU231" s="6">
        <v>3.84</v>
      </c>
      <c r="AV231" t="b">
        <v>1</v>
      </c>
      <c r="AW231" t="s">
        <v>626</v>
      </c>
      <c r="AX231" t="s">
        <v>627</v>
      </c>
      <c r="AY231" t="s">
        <v>634</v>
      </c>
      <c r="AZ231" t="s">
        <v>33</v>
      </c>
      <c r="BA231" s="18" t="s">
        <v>800</v>
      </c>
      <c r="BB231" s="3" t="b">
        <v>0</v>
      </c>
      <c r="BC231" t="s">
        <v>81</v>
      </c>
      <c r="BD231">
        <v>18</v>
      </c>
      <c r="BE231" t="s">
        <v>80</v>
      </c>
      <c r="BF231">
        <v>24</v>
      </c>
      <c r="BG231" t="s">
        <v>644</v>
      </c>
      <c r="BH231" t="s">
        <v>31</v>
      </c>
      <c r="BI231" t="s">
        <v>31</v>
      </c>
      <c r="BJ231">
        <f t="shared" si="111"/>
        <v>3.84</v>
      </c>
      <c r="BK231" s="3">
        <f t="shared" si="112"/>
        <v>0.58433122436753082</v>
      </c>
      <c r="BL231">
        <v>2</v>
      </c>
      <c r="BM231" s="3">
        <f t="shared" si="116"/>
        <v>1.4675926916785758</v>
      </c>
      <c r="BN231" t="s">
        <v>33</v>
      </c>
      <c r="BO231" s="3">
        <f t="shared" si="99"/>
        <v>29.348958333333339</v>
      </c>
      <c r="BP231" t="s">
        <v>33</v>
      </c>
      <c r="BQ231" t="s">
        <v>33</v>
      </c>
      <c r="BR231" t="s">
        <v>33</v>
      </c>
      <c r="BS231" t="s">
        <v>33</v>
      </c>
      <c r="BT231" t="s">
        <v>32</v>
      </c>
      <c r="BU231" t="s">
        <v>661</v>
      </c>
      <c r="BV231">
        <v>2013</v>
      </c>
      <c r="BW231" t="s">
        <v>662</v>
      </c>
      <c r="BX231" s="13" t="s">
        <v>663</v>
      </c>
      <c r="BY231" s="13" t="s">
        <v>684</v>
      </c>
      <c r="CA231" t="str">
        <f t="shared" si="101"/>
        <v>high acid</v>
      </c>
    </row>
    <row r="232" spans="1:79">
      <c r="A232" t="s">
        <v>580</v>
      </c>
      <c r="B232" t="s">
        <v>565</v>
      </c>
      <c r="C232" t="s">
        <v>563</v>
      </c>
      <c r="D232" t="s">
        <v>118</v>
      </c>
      <c r="E232" t="s">
        <v>77</v>
      </c>
      <c r="F232" t="s">
        <v>32</v>
      </c>
      <c r="G232">
        <v>22</v>
      </c>
      <c r="H232">
        <v>40</v>
      </c>
      <c r="I232" t="b">
        <v>0</v>
      </c>
      <c r="J232">
        <v>10220</v>
      </c>
      <c r="K232">
        <v>59.68</v>
      </c>
      <c r="L232">
        <v>35</v>
      </c>
      <c r="M232" s="4">
        <v>100</v>
      </c>
      <c r="N232" t="e">
        <f>(#REF!*Y232)/(T232*X232*O232)</f>
        <v>#REF!</v>
      </c>
      <c r="O232">
        <v>4</v>
      </c>
      <c r="P232">
        <f>AVERAGE(0.0066, 0.0091)</f>
        <v>7.8499999999999993E-3</v>
      </c>
      <c r="Q232" s="1">
        <f t="shared" si="113"/>
        <v>0.625</v>
      </c>
      <c r="R232" t="s">
        <v>183</v>
      </c>
      <c r="S232" t="s">
        <v>613</v>
      </c>
      <c r="T232">
        <v>8</v>
      </c>
      <c r="U232">
        <v>2.92</v>
      </c>
      <c r="V232">
        <v>2.2999999999999998</v>
      </c>
      <c r="W232">
        <v>1.21E-2</v>
      </c>
      <c r="X232">
        <f>IFERROR(((PI())*(((V232*10^-1)/2)^2)*(U232*10^-1)), "NA")</f>
        <v>1.2131888350367701E-2</v>
      </c>
      <c r="Y232">
        <v>1.3333299999999999</v>
      </c>
      <c r="Z232" s="3">
        <f t="shared" si="117"/>
        <v>1.941102136058832E-2</v>
      </c>
      <c r="AA232" t="s">
        <v>33</v>
      </c>
      <c r="AB232">
        <f t="shared" si="118"/>
        <v>62.500000000000007</v>
      </c>
      <c r="AC232" s="1">
        <f t="shared" si="107"/>
        <v>0.78499999999999992</v>
      </c>
      <c r="AE232" s="3">
        <f t="shared" si="119"/>
        <v>12568.5</v>
      </c>
      <c r="AF232">
        <v>2000</v>
      </c>
      <c r="AG232" s="1" t="str">
        <f t="shared" si="120"/>
        <v>NA</v>
      </c>
      <c r="AH232" s="1" t="str">
        <f>IFERROR((AG232*U232*AI232), "NA")</f>
        <v>NA</v>
      </c>
      <c r="AI232" s="1">
        <v>1</v>
      </c>
      <c r="AJ232" s="11" t="s">
        <v>31</v>
      </c>
      <c r="AK232">
        <v>5130</v>
      </c>
      <c r="AL232" t="s">
        <v>547</v>
      </c>
      <c r="AM232" t="s">
        <v>86</v>
      </c>
      <c r="AN232" t="s">
        <v>205</v>
      </c>
      <c r="AO232" t="s">
        <v>789</v>
      </c>
      <c r="AP232">
        <v>3.16</v>
      </c>
      <c r="AQ232" t="s">
        <v>33</v>
      </c>
      <c r="AR232" t="s">
        <v>33</v>
      </c>
      <c r="AS232">
        <v>7.5</v>
      </c>
      <c r="AT232">
        <f t="shared" si="121"/>
        <v>3.16</v>
      </c>
      <c r="AU232" s="6">
        <v>4.34</v>
      </c>
      <c r="AV232" t="b">
        <v>1</v>
      </c>
      <c r="AW232" t="s">
        <v>617</v>
      </c>
      <c r="AX232" t="s">
        <v>33</v>
      </c>
      <c r="AY232" t="s">
        <v>33</v>
      </c>
      <c r="AZ232" t="s">
        <v>619</v>
      </c>
      <c r="BA232" s="18" t="s">
        <v>802</v>
      </c>
      <c r="BB232" s="3" t="b">
        <v>0</v>
      </c>
      <c r="BC232" t="s">
        <v>81</v>
      </c>
      <c r="BD232">
        <v>15</v>
      </c>
      <c r="BE232" t="s">
        <v>80</v>
      </c>
      <c r="BF232">
        <v>24</v>
      </c>
      <c r="BG232" t="s">
        <v>697</v>
      </c>
      <c r="BH232" t="s">
        <v>32</v>
      </c>
      <c r="BI232" t="s">
        <v>31</v>
      </c>
      <c r="BJ232">
        <f t="shared" si="111"/>
        <v>4.34</v>
      </c>
      <c r="BK232" s="3">
        <f t="shared" si="112"/>
        <v>0.63748972951251071</v>
      </c>
      <c r="BL232">
        <v>2</v>
      </c>
      <c r="BM232" s="3">
        <f t="shared" si="116"/>
        <v>3.461793719963838</v>
      </c>
      <c r="BN232" t="s">
        <v>33</v>
      </c>
      <c r="BO232" s="3">
        <f t="shared" si="99"/>
        <v>2895.9677419354839</v>
      </c>
      <c r="BP232" t="s">
        <v>33</v>
      </c>
      <c r="BQ232" t="s">
        <v>33</v>
      </c>
      <c r="BR232" t="s">
        <v>33</v>
      </c>
      <c r="BS232" t="s">
        <v>33</v>
      </c>
      <c r="BT232" t="s">
        <v>31</v>
      </c>
      <c r="BU232" t="s">
        <v>219</v>
      </c>
      <c r="BV232" s="14">
        <v>2008</v>
      </c>
      <c r="BW232" t="s">
        <v>257</v>
      </c>
      <c r="BX232" t="s">
        <v>78</v>
      </c>
      <c r="BY232" s="13" t="s">
        <v>670</v>
      </c>
      <c r="CA232" t="str">
        <f t="shared" si="101"/>
        <v>high acid</v>
      </c>
    </row>
    <row r="233" spans="1:79">
      <c r="A233" t="s">
        <v>584</v>
      </c>
      <c r="B233" t="s">
        <v>566</v>
      </c>
      <c r="C233" t="s">
        <v>563</v>
      </c>
      <c r="D233" t="s">
        <v>607</v>
      </c>
      <c r="E233" t="s">
        <v>77</v>
      </c>
      <c r="F233" t="s">
        <v>33</v>
      </c>
      <c r="G233">
        <v>20</v>
      </c>
      <c r="H233">
        <v>35</v>
      </c>
      <c r="I233" t="b">
        <v>0</v>
      </c>
      <c r="J233">
        <v>1000</v>
      </c>
      <c r="K233">
        <v>200</v>
      </c>
      <c r="L233">
        <v>25</v>
      </c>
      <c r="M233" s="4">
        <v>1</v>
      </c>
      <c r="N233" t="e">
        <f>(#REF!*Y233)/(T233*X233*O233)</f>
        <v>#REF!</v>
      </c>
      <c r="O233">
        <v>3</v>
      </c>
      <c r="P233" t="s">
        <v>33</v>
      </c>
      <c r="Q233" s="1">
        <f t="shared" si="113"/>
        <v>166.66666666666666</v>
      </c>
      <c r="R233" t="s">
        <v>183</v>
      </c>
      <c r="S233" t="s">
        <v>33</v>
      </c>
      <c r="T233">
        <v>1</v>
      </c>
      <c r="U233">
        <v>2.5</v>
      </c>
      <c r="V233" t="s">
        <v>33</v>
      </c>
      <c r="W233">
        <v>0.50249999999999995</v>
      </c>
      <c r="X233">
        <f>W233</f>
        <v>0.50249999999999995</v>
      </c>
      <c r="Y233" t="s">
        <v>33</v>
      </c>
      <c r="Z233" s="3">
        <f t="shared" si="117"/>
        <v>3.0149999999999999E-3</v>
      </c>
      <c r="AA233" t="s">
        <v>33</v>
      </c>
      <c r="AB233">
        <f t="shared" si="118"/>
        <v>166.66666666666666</v>
      </c>
      <c r="AC233" s="1" t="str">
        <f t="shared" si="107"/>
        <v>NA</v>
      </c>
      <c r="AE233" s="3">
        <f t="shared" si="119"/>
        <v>312.5</v>
      </c>
      <c r="AF233">
        <v>500</v>
      </c>
      <c r="AG233" s="1" t="str">
        <f t="shared" si="120"/>
        <v>NA</v>
      </c>
      <c r="AH233" s="1" t="str">
        <f>IFERROR((AG233*U233*AI233), "NA")</f>
        <v>NA</v>
      </c>
      <c r="AI233" s="1">
        <v>1</v>
      </c>
      <c r="AJ233" s="11" t="s">
        <v>31</v>
      </c>
      <c r="AK233">
        <v>1000</v>
      </c>
      <c r="AL233" t="s">
        <v>614</v>
      </c>
      <c r="AM233" s="3" t="s">
        <v>103</v>
      </c>
      <c r="AN233" t="s">
        <v>305</v>
      </c>
      <c r="AO233" t="s">
        <v>790</v>
      </c>
      <c r="AP233">
        <v>3.5</v>
      </c>
      <c r="AQ233" t="s">
        <v>33</v>
      </c>
      <c r="AR233" t="s">
        <v>33</v>
      </c>
      <c r="AS233">
        <v>8</v>
      </c>
      <c r="AT233">
        <f t="shared" si="121"/>
        <v>3.16</v>
      </c>
      <c r="AU233" s="6">
        <v>4.84</v>
      </c>
      <c r="AV233" t="b">
        <v>1</v>
      </c>
      <c r="AW233" t="s">
        <v>617</v>
      </c>
      <c r="AX233" t="s">
        <v>33</v>
      </c>
      <c r="AY233" t="s">
        <v>623</v>
      </c>
      <c r="AZ233" t="s">
        <v>621</v>
      </c>
      <c r="BA233" s="18" t="s">
        <v>802</v>
      </c>
      <c r="BB233" s="3" t="b">
        <v>0</v>
      </c>
      <c r="BC233" t="s">
        <v>81</v>
      </c>
      <c r="BD233">
        <v>18</v>
      </c>
      <c r="BE233" t="s">
        <v>80</v>
      </c>
      <c r="BF233">
        <v>24</v>
      </c>
      <c r="BG233" t="s">
        <v>642</v>
      </c>
      <c r="BH233" t="s">
        <v>32</v>
      </c>
      <c r="BI233" t="s">
        <v>31</v>
      </c>
      <c r="BJ233">
        <f t="shared" si="111"/>
        <v>4.84</v>
      </c>
      <c r="BK233" s="3">
        <f t="shared" si="112"/>
        <v>0.68484536164441245</v>
      </c>
      <c r="BL233">
        <v>2</v>
      </c>
      <c r="BM233" s="3">
        <f t="shared" si="116"/>
        <v>1.8100046600356816</v>
      </c>
      <c r="BN233" t="s">
        <v>33</v>
      </c>
      <c r="BO233" s="3">
        <f t="shared" si="99"/>
        <v>64.566115702479337</v>
      </c>
      <c r="BP233" t="s">
        <v>33</v>
      </c>
      <c r="BQ233" t="s">
        <v>33</v>
      </c>
      <c r="BR233" t="s">
        <v>33</v>
      </c>
      <c r="BS233" t="s">
        <v>33</v>
      </c>
      <c r="BT233" t="s">
        <v>31</v>
      </c>
      <c r="BU233" t="s">
        <v>255</v>
      </c>
      <c r="BV233">
        <v>2010</v>
      </c>
      <c r="BW233" t="s">
        <v>651</v>
      </c>
      <c r="BX233" t="s">
        <v>78</v>
      </c>
      <c r="BY233" s="13" t="s">
        <v>674</v>
      </c>
      <c r="CA233" t="str">
        <f t="shared" si="101"/>
        <v>high acid</v>
      </c>
    </row>
    <row r="234" spans="1:79">
      <c r="A234" t="s">
        <v>604</v>
      </c>
      <c r="B234" t="s">
        <v>565</v>
      </c>
      <c r="C234" t="s">
        <v>563</v>
      </c>
      <c r="D234" t="s">
        <v>118</v>
      </c>
      <c r="E234" t="s">
        <v>77</v>
      </c>
      <c r="F234" t="s">
        <v>33</v>
      </c>
      <c r="G234">
        <v>20</v>
      </c>
      <c r="H234">
        <v>25</v>
      </c>
      <c r="I234" t="b">
        <v>0</v>
      </c>
      <c r="J234" t="s">
        <v>33</v>
      </c>
      <c r="K234" t="s">
        <v>33</v>
      </c>
      <c r="L234">
        <v>27.4</v>
      </c>
      <c r="M234" s="4">
        <v>667</v>
      </c>
      <c r="N234" t="e">
        <f>(#REF!*Y234)/(T234*X234*O234)</f>
        <v>#REF!</v>
      </c>
      <c r="O234">
        <v>2</v>
      </c>
      <c r="P234" t="s">
        <v>33</v>
      </c>
      <c r="Q234" s="1">
        <f t="shared" si="113"/>
        <v>1.999000499750125E-2</v>
      </c>
      <c r="R234" t="s">
        <v>183</v>
      </c>
      <c r="S234" t="s">
        <v>613</v>
      </c>
      <c r="T234">
        <v>6</v>
      </c>
      <c r="U234">
        <v>2.92</v>
      </c>
      <c r="V234">
        <v>2.2999999999999998</v>
      </c>
      <c r="W234" t="s">
        <v>33</v>
      </c>
      <c r="X234">
        <f>IFERROR(((PI())*(((V234*10^-1)/2)^2)*(U234*10^-1)), "NA")</f>
        <v>1.2131888350367701E-2</v>
      </c>
      <c r="Y234" t="s">
        <v>33</v>
      </c>
      <c r="Z234" s="3">
        <f t="shared" si="117"/>
        <v>0.60689771472714416</v>
      </c>
      <c r="AA234" t="s">
        <v>33</v>
      </c>
      <c r="AB234">
        <f t="shared" si="118"/>
        <v>13.333333333333334</v>
      </c>
      <c r="AC234" s="1" t="str">
        <f t="shared" si="107"/>
        <v>NA</v>
      </c>
      <c r="AE234" s="3">
        <f t="shared" si="119"/>
        <v>120.12159999999999</v>
      </c>
      <c r="AF234">
        <v>160</v>
      </c>
      <c r="AG234" s="1" t="str">
        <f t="shared" si="120"/>
        <v>NA</v>
      </c>
      <c r="AH234" s="1" t="str">
        <f>IFERROR((O234*Q234*R234), "NA")</f>
        <v>NA</v>
      </c>
      <c r="AI234" s="1">
        <v>1</v>
      </c>
      <c r="AJ234" s="11" t="s">
        <v>31</v>
      </c>
      <c r="AK234">
        <v>1000</v>
      </c>
      <c r="AL234" t="s">
        <v>430</v>
      </c>
      <c r="AM234" t="s">
        <v>530</v>
      </c>
      <c r="AN234" t="s">
        <v>186</v>
      </c>
      <c r="AO234" t="s">
        <v>796</v>
      </c>
      <c r="AP234">
        <v>6</v>
      </c>
      <c r="AQ234" t="s">
        <v>33</v>
      </c>
      <c r="AR234" t="s">
        <v>33</v>
      </c>
      <c r="AS234">
        <v>6.5</v>
      </c>
      <c r="AT234">
        <f t="shared" si="121"/>
        <v>3.17</v>
      </c>
      <c r="AU234" s="6">
        <v>3.33</v>
      </c>
      <c r="AV234" t="b">
        <v>1</v>
      </c>
      <c r="AW234" t="s">
        <v>626</v>
      </c>
      <c r="AX234" t="s">
        <v>627</v>
      </c>
      <c r="AY234" t="s">
        <v>625</v>
      </c>
      <c r="AZ234" t="s">
        <v>33</v>
      </c>
      <c r="BA234" s="18" t="s">
        <v>800</v>
      </c>
      <c r="BB234" s="3" t="b">
        <v>0</v>
      </c>
      <c r="BC234" t="s">
        <v>81</v>
      </c>
      <c r="BD234">
        <v>15</v>
      </c>
      <c r="BE234" t="s">
        <v>80</v>
      </c>
      <c r="BF234">
        <v>48</v>
      </c>
      <c r="BG234" t="s">
        <v>568</v>
      </c>
      <c r="BH234" t="s">
        <v>31</v>
      </c>
      <c r="BI234" t="s">
        <v>31</v>
      </c>
      <c r="BJ234">
        <f t="shared" si="111"/>
        <v>3.33</v>
      </c>
      <c r="BK234" s="3">
        <f t="shared" si="112"/>
        <v>0.52244423350631986</v>
      </c>
      <c r="BL234">
        <v>2</v>
      </c>
      <c r="BM234" s="3">
        <f t="shared" si="116"/>
        <v>1.5571768747903809</v>
      </c>
      <c r="BN234" t="s">
        <v>33</v>
      </c>
      <c r="BO234" s="3">
        <f t="shared" si="99"/>
        <v>36.072552552552551</v>
      </c>
      <c r="BP234" t="s">
        <v>33</v>
      </c>
      <c r="BQ234" t="s">
        <v>33</v>
      </c>
      <c r="BR234" t="s">
        <v>33</v>
      </c>
      <c r="BS234" t="s">
        <v>33</v>
      </c>
      <c r="BT234" t="s">
        <v>32</v>
      </c>
      <c r="BU234" s="15" t="s">
        <v>344</v>
      </c>
      <c r="BV234" s="14">
        <v>2008</v>
      </c>
      <c r="BW234" t="s">
        <v>432</v>
      </c>
      <c r="BX234" t="s">
        <v>78</v>
      </c>
      <c r="BY234" s="13" t="s">
        <v>691</v>
      </c>
      <c r="BZ234" s="13" t="s">
        <v>781</v>
      </c>
      <c r="CA234" t="str">
        <f t="shared" si="101"/>
        <v>low acid</v>
      </c>
    </row>
    <row r="235" spans="1:79">
      <c r="A235" t="s">
        <v>581</v>
      </c>
      <c r="B235" t="s">
        <v>565</v>
      </c>
      <c r="C235" t="s">
        <v>563</v>
      </c>
      <c r="D235" t="s">
        <v>118</v>
      </c>
      <c r="E235" t="s">
        <v>77</v>
      </c>
      <c r="F235" t="s">
        <v>32</v>
      </c>
      <c r="G235">
        <v>5</v>
      </c>
      <c r="H235">
        <v>39.1</v>
      </c>
      <c r="I235" t="b">
        <v>0</v>
      </c>
      <c r="J235" t="s">
        <v>33</v>
      </c>
      <c r="K235" t="s">
        <v>33</v>
      </c>
      <c r="L235">
        <v>35</v>
      </c>
      <c r="M235" s="4">
        <v>250</v>
      </c>
      <c r="N235" t="e">
        <f>(#REF!*Y235)/(T235*X235*O235)</f>
        <v>#REF!</v>
      </c>
      <c r="O235">
        <v>4</v>
      </c>
      <c r="P235" t="s">
        <v>33</v>
      </c>
      <c r="Q235" s="1">
        <f t="shared" si="113"/>
        <v>0.15625</v>
      </c>
      <c r="R235" t="s">
        <v>183</v>
      </c>
      <c r="S235" t="s">
        <v>613</v>
      </c>
      <c r="T235">
        <v>8</v>
      </c>
      <c r="U235">
        <v>2.92</v>
      </c>
      <c r="V235">
        <v>2.2999999999999998</v>
      </c>
      <c r="W235">
        <v>1.21E-2</v>
      </c>
      <c r="X235">
        <f>IFERROR(((PI())*(((V235*10^-1)/2)^2)*(U235*10^-1)), "NA")</f>
        <v>1.2131888350367701E-2</v>
      </c>
      <c r="Y235">
        <v>1.6666700000000001</v>
      </c>
      <c r="Z235" s="3">
        <f t="shared" si="117"/>
        <v>7.7644085442353281E-2</v>
      </c>
      <c r="AA235" t="s">
        <v>33</v>
      </c>
      <c r="AB235">
        <f t="shared" si="118"/>
        <v>39.0625</v>
      </c>
      <c r="AC235" s="1" t="str">
        <f t="shared" si="107"/>
        <v>NA</v>
      </c>
      <c r="AE235" s="3">
        <f t="shared" si="119"/>
        <v>8008.4375</v>
      </c>
      <c r="AF235">
        <v>1250</v>
      </c>
      <c r="AG235" s="1" t="str">
        <f t="shared" si="120"/>
        <v>NA</v>
      </c>
      <c r="AH235" s="1" t="str">
        <f>IFERROR((AG235*U235*AI235), "NA")</f>
        <v>NA</v>
      </c>
      <c r="AI235" s="1">
        <v>1</v>
      </c>
      <c r="AJ235" s="11" t="s">
        <v>31</v>
      </c>
      <c r="AK235">
        <v>5230</v>
      </c>
      <c r="AL235" t="s">
        <v>542</v>
      </c>
      <c r="AM235" t="s">
        <v>86</v>
      </c>
      <c r="AN235" t="s">
        <v>186</v>
      </c>
      <c r="AO235" t="s">
        <v>794</v>
      </c>
      <c r="AP235">
        <v>5.82</v>
      </c>
      <c r="AQ235" t="s">
        <v>33</v>
      </c>
      <c r="AR235" t="s">
        <v>33</v>
      </c>
      <c r="AS235">
        <v>7.5</v>
      </c>
      <c r="AT235">
        <f t="shared" si="121"/>
        <v>3.1799999999999997</v>
      </c>
      <c r="AU235" s="6">
        <v>4.32</v>
      </c>
      <c r="AV235" t="b">
        <v>1</v>
      </c>
      <c r="AW235" t="s">
        <v>617</v>
      </c>
      <c r="AX235" t="s">
        <v>618</v>
      </c>
      <c r="AY235" t="s">
        <v>33</v>
      </c>
      <c r="AZ235" t="s">
        <v>619</v>
      </c>
      <c r="BA235" s="18" t="s">
        <v>802</v>
      </c>
      <c r="BB235" s="3" t="b">
        <v>0</v>
      </c>
      <c r="BC235" t="s">
        <v>81</v>
      </c>
      <c r="BD235">
        <v>15</v>
      </c>
      <c r="BE235" t="s">
        <v>80</v>
      </c>
      <c r="BF235">
        <v>15</v>
      </c>
      <c r="BG235" t="s">
        <v>697</v>
      </c>
      <c r="BH235" t="s">
        <v>32</v>
      </c>
      <c r="BI235" t="s">
        <v>31</v>
      </c>
      <c r="BJ235">
        <f t="shared" si="111"/>
        <v>4.32</v>
      </c>
      <c r="BK235" s="3">
        <f t="shared" si="112"/>
        <v>0.63548374681491215</v>
      </c>
      <c r="BL235">
        <v>2</v>
      </c>
      <c r="BM235" s="3">
        <f t="shared" si="116"/>
        <v>3.2680640437609698</v>
      </c>
      <c r="BN235" t="s">
        <v>33</v>
      </c>
      <c r="BO235" s="3">
        <f t="shared" si="99"/>
        <v>1853.8049768518517</v>
      </c>
      <c r="BP235" t="s">
        <v>33</v>
      </c>
      <c r="BQ235" t="s">
        <v>33</v>
      </c>
      <c r="BR235" t="s">
        <v>33</v>
      </c>
      <c r="BS235" t="s">
        <v>33</v>
      </c>
      <c r="BT235" t="s">
        <v>31</v>
      </c>
      <c r="BU235" t="s">
        <v>219</v>
      </c>
      <c r="BV235" s="14">
        <v>2007</v>
      </c>
      <c r="BW235" s="2" t="s">
        <v>648</v>
      </c>
      <c r="BX235" t="s">
        <v>78</v>
      </c>
      <c r="BY235" s="13" t="s">
        <v>671</v>
      </c>
      <c r="CA235" t="str">
        <f t="shared" si="101"/>
        <v>low acid</v>
      </c>
    </row>
    <row r="236" spans="1:79">
      <c r="A236" t="s">
        <v>527</v>
      </c>
      <c r="B236" t="s">
        <v>565</v>
      </c>
      <c r="C236" t="s">
        <v>564</v>
      </c>
      <c r="D236" t="s">
        <v>215</v>
      </c>
      <c r="E236" t="s">
        <v>77</v>
      </c>
      <c r="F236" t="s">
        <v>32</v>
      </c>
      <c r="G236">
        <v>22.7</v>
      </c>
      <c r="H236">
        <v>46</v>
      </c>
      <c r="I236" t="b">
        <v>0</v>
      </c>
      <c r="J236" t="s">
        <v>33</v>
      </c>
      <c r="K236" t="s">
        <v>33</v>
      </c>
      <c r="L236">
        <v>30</v>
      </c>
      <c r="M236" s="4">
        <v>155</v>
      </c>
      <c r="N236" s="3">
        <f>IFERROR(AF236/((T236*X236/Y236)*O236*AI236),"NA")</f>
        <v>182.82413975684386</v>
      </c>
      <c r="O236">
        <v>2</v>
      </c>
      <c r="P236" t="s">
        <v>33</v>
      </c>
      <c r="Q236" s="8">
        <f t="shared" si="113"/>
        <v>2.5806451612903229E-2</v>
      </c>
      <c r="R236" t="s">
        <v>183</v>
      </c>
      <c r="S236" t="s">
        <v>612</v>
      </c>
      <c r="T236" s="11">
        <v>2</v>
      </c>
      <c r="U236">
        <v>6.5</v>
      </c>
      <c r="V236">
        <v>5</v>
      </c>
      <c r="W236" t="s">
        <v>33</v>
      </c>
      <c r="X236" s="8">
        <f>IFERROR(((PI())*(((V236*10^-1)/2)^2)*(U236*10^-1)), "NA")</f>
        <v>0.12762720155208535</v>
      </c>
      <c r="Y236" s="6">
        <f>350/60</f>
        <v>5.833333333333333</v>
      </c>
      <c r="Z236" s="3">
        <f t="shared" si="117"/>
        <v>4.9455540601433068</v>
      </c>
      <c r="AA236">
        <f>8/2</f>
        <v>4</v>
      </c>
      <c r="AB236" s="6">
        <f t="shared" si="118"/>
        <v>4</v>
      </c>
      <c r="AC236" t="str">
        <f t="shared" si="107"/>
        <v>NA</v>
      </c>
      <c r="AD236" s="4">
        <f>IFERROR(AB236*T236*AI236, "NA")</f>
        <v>8</v>
      </c>
      <c r="AE236" s="3">
        <f t="shared" si="119"/>
        <v>56.160000000000004</v>
      </c>
      <c r="AF236">
        <v>16</v>
      </c>
      <c r="AG236" t="str">
        <f>IFERROR((M236*O236*P236), "NA")</f>
        <v>NA</v>
      </c>
      <c r="AH236" t="str">
        <f>IFERROR((AG236*T236*AI236), "NA")</f>
        <v>NA</v>
      </c>
      <c r="AI236" s="11">
        <v>1</v>
      </c>
      <c r="AJ236" t="s">
        <v>31</v>
      </c>
      <c r="AK236">
        <v>3900</v>
      </c>
      <c r="AL236" t="s">
        <v>528</v>
      </c>
      <c r="AM236" s="3" t="s">
        <v>86</v>
      </c>
      <c r="AN236" t="s">
        <v>205</v>
      </c>
      <c r="AO236" t="s">
        <v>789</v>
      </c>
      <c r="AP236">
        <v>3.4</v>
      </c>
      <c r="AQ236" t="s">
        <v>33</v>
      </c>
      <c r="AR236">
        <v>3750</v>
      </c>
      <c r="AS236" s="6">
        <f>LOG(10^6)</f>
        <v>6</v>
      </c>
      <c r="AT236" s="3">
        <f>IFERROR(AS236-AU236,"NA")</f>
        <v>3.1966666666666668</v>
      </c>
      <c r="AU236" s="6">
        <f>(2.87+2.77+2.77)/3</f>
        <v>2.8033333333333332</v>
      </c>
      <c r="AV236" t="b">
        <v>1</v>
      </c>
      <c r="AW236" t="s">
        <v>29</v>
      </c>
      <c r="AX236" t="s">
        <v>30</v>
      </c>
      <c r="AY236" t="s">
        <v>33</v>
      </c>
      <c r="AZ236" t="s">
        <v>134</v>
      </c>
      <c r="BA236" s="18" t="s">
        <v>798</v>
      </c>
      <c r="BB236" s="3" t="b">
        <v>0</v>
      </c>
      <c r="BC236" t="s">
        <v>81</v>
      </c>
      <c r="BD236">
        <v>18</v>
      </c>
      <c r="BE236" t="s">
        <v>80</v>
      </c>
      <c r="BF236" s="11">
        <v>24</v>
      </c>
      <c r="BG236" t="s">
        <v>87</v>
      </c>
      <c r="BH236" t="s">
        <v>31</v>
      </c>
      <c r="BI236" t="s">
        <v>31</v>
      </c>
      <c r="BJ236" s="3">
        <f t="shared" si="111"/>
        <v>2.8033333333333332</v>
      </c>
      <c r="BK236" s="3">
        <f t="shared" si="112"/>
        <v>0.44767474107824973</v>
      </c>
      <c r="BL236">
        <v>2</v>
      </c>
      <c r="BM236" s="3">
        <f t="shared" si="116"/>
        <v>1.3017523580434991</v>
      </c>
      <c r="BN236" t="s">
        <v>33</v>
      </c>
      <c r="BO236" s="3">
        <f t="shared" si="99"/>
        <v>20.0332936979786</v>
      </c>
      <c r="BP236" t="s">
        <v>33</v>
      </c>
      <c r="BQ236" t="s">
        <v>33</v>
      </c>
      <c r="BR236" t="s">
        <v>33</v>
      </c>
      <c r="BS236" t="s">
        <v>33</v>
      </c>
      <c r="BT236" t="s">
        <v>32</v>
      </c>
      <c r="BU236" t="s">
        <v>34</v>
      </c>
      <c r="BV236">
        <v>2019</v>
      </c>
      <c r="BW236" t="s">
        <v>35</v>
      </c>
      <c r="BX236" t="s">
        <v>78</v>
      </c>
      <c r="BY236" t="s">
        <v>33</v>
      </c>
      <c r="BZ236" t="s">
        <v>33</v>
      </c>
      <c r="CA236" t="str">
        <f t="shared" si="101"/>
        <v>high acid</v>
      </c>
    </row>
    <row r="237" spans="1:79">
      <c r="A237" t="s">
        <v>584</v>
      </c>
      <c r="B237" t="s">
        <v>566</v>
      </c>
      <c r="C237" t="s">
        <v>563</v>
      </c>
      <c r="D237" t="s">
        <v>607</v>
      </c>
      <c r="E237" t="s">
        <v>77</v>
      </c>
      <c r="F237" t="s">
        <v>33</v>
      </c>
      <c r="G237">
        <v>20</v>
      </c>
      <c r="H237">
        <v>35</v>
      </c>
      <c r="I237" t="b">
        <v>0</v>
      </c>
      <c r="J237">
        <v>1000</v>
      </c>
      <c r="K237">
        <v>200</v>
      </c>
      <c r="L237">
        <v>25</v>
      </c>
      <c r="M237" s="4">
        <v>1</v>
      </c>
      <c r="N237" t="e">
        <f>(#REF!*Y237)/(T237*X237*O237)</f>
        <v>#REF!</v>
      </c>
      <c r="O237">
        <v>3</v>
      </c>
      <c r="P237" t="s">
        <v>33</v>
      </c>
      <c r="Q237" s="1">
        <f t="shared" si="113"/>
        <v>166.66666666666666</v>
      </c>
      <c r="R237" t="s">
        <v>183</v>
      </c>
      <c r="S237" t="s">
        <v>33</v>
      </c>
      <c r="T237">
        <v>1</v>
      </c>
      <c r="U237">
        <v>2.5</v>
      </c>
      <c r="V237" t="s">
        <v>33</v>
      </c>
      <c r="W237">
        <v>0.50249999999999995</v>
      </c>
      <c r="X237">
        <f>W237</f>
        <v>0.50249999999999995</v>
      </c>
      <c r="Y237" t="s">
        <v>33</v>
      </c>
      <c r="Z237" s="3">
        <f t="shared" si="117"/>
        <v>3.0149999999999999E-3</v>
      </c>
      <c r="AA237" t="s">
        <v>33</v>
      </c>
      <c r="AB237">
        <f t="shared" si="118"/>
        <v>166.66666666666666</v>
      </c>
      <c r="AC237" s="1" t="str">
        <f t="shared" si="107"/>
        <v>NA</v>
      </c>
      <c r="AE237" s="3">
        <f t="shared" si="119"/>
        <v>312.5</v>
      </c>
      <c r="AF237">
        <v>500</v>
      </c>
      <c r="AG237" s="1" t="str">
        <f>IFERROR((N237*P237*Q237), "NA")</f>
        <v>NA</v>
      </c>
      <c r="AH237" s="1" t="str">
        <f>IFERROR((AG237*U237*AI237), "NA")</f>
        <v>NA</v>
      </c>
      <c r="AI237" s="1">
        <v>1</v>
      </c>
      <c r="AJ237" s="11" t="s">
        <v>31</v>
      </c>
      <c r="AK237">
        <v>1000</v>
      </c>
      <c r="AL237" t="s">
        <v>614</v>
      </c>
      <c r="AM237" s="3" t="s">
        <v>103</v>
      </c>
      <c r="AN237" t="s">
        <v>130</v>
      </c>
      <c r="AO237" t="s">
        <v>795</v>
      </c>
      <c r="AP237">
        <v>5.5</v>
      </c>
      <c r="AQ237" t="s">
        <v>33</v>
      </c>
      <c r="AR237" t="s">
        <v>33</v>
      </c>
      <c r="AS237">
        <v>8</v>
      </c>
      <c r="AT237">
        <f>AS237-AU237</f>
        <v>3.2</v>
      </c>
      <c r="AU237" s="6">
        <v>4.8</v>
      </c>
      <c r="AV237" t="b">
        <v>1</v>
      </c>
      <c r="AW237" t="s">
        <v>617</v>
      </c>
      <c r="AX237" t="s">
        <v>33</v>
      </c>
      <c r="AY237" t="s">
        <v>623</v>
      </c>
      <c r="AZ237" t="s">
        <v>621</v>
      </c>
      <c r="BA237" s="18" t="s">
        <v>802</v>
      </c>
      <c r="BB237" s="3" t="b">
        <v>0</v>
      </c>
      <c r="BC237" t="s">
        <v>81</v>
      </c>
      <c r="BD237">
        <v>18</v>
      </c>
      <c r="BE237" t="s">
        <v>80</v>
      </c>
      <c r="BF237">
        <v>24</v>
      </c>
      <c r="BG237" t="s">
        <v>569</v>
      </c>
      <c r="BH237" t="s">
        <v>31</v>
      </c>
      <c r="BI237" t="s">
        <v>31</v>
      </c>
      <c r="BJ237">
        <f t="shared" si="111"/>
        <v>4.8</v>
      </c>
      <c r="BK237" s="3">
        <f t="shared" si="112"/>
        <v>0.68124123737558717</v>
      </c>
      <c r="BL237">
        <v>2</v>
      </c>
      <c r="BM237" s="3">
        <f t="shared" si="116"/>
        <v>1.8136087843045068</v>
      </c>
      <c r="BN237" t="s">
        <v>33</v>
      </c>
      <c r="BO237" s="3">
        <f t="shared" si="99"/>
        <v>65.104166666666671</v>
      </c>
      <c r="BP237" t="s">
        <v>33</v>
      </c>
      <c r="BQ237" t="s">
        <v>33</v>
      </c>
      <c r="BR237" t="s">
        <v>33</v>
      </c>
      <c r="BS237" t="s">
        <v>33</v>
      </c>
      <c r="BT237" t="s">
        <v>31</v>
      </c>
      <c r="BU237" t="s">
        <v>255</v>
      </c>
      <c r="BV237">
        <v>2010</v>
      </c>
      <c r="BW237" t="s">
        <v>651</v>
      </c>
      <c r="BX237" t="s">
        <v>78</v>
      </c>
      <c r="BY237" s="13" t="s">
        <v>674</v>
      </c>
      <c r="CA237" t="str">
        <f t="shared" si="101"/>
        <v>low acid</v>
      </c>
    </row>
    <row r="238" spans="1:79">
      <c r="A238" t="s">
        <v>367</v>
      </c>
      <c r="B238" t="s">
        <v>565</v>
      </c>
      <c r="C238" t="s">
        <v>563</v>
      </c>
      <c r="D238" t="s">
        <v>118</v>
      </c>
      <c r="E238" t="s">
        <v>77</v>
      </c>
      <c r="F238" t="s">
        <v>32</v>
      </c>
      <c r="G238">
        <v>20</v>
      </c>
      <c r="H238">
        <v>30</v>
      </c>
      <c r="I238" t="b">
        <v>0</v>
      </c>
      <c r="J238" t="s">
        <v>33</v>
      </c>
      <c r="K238" t="s">
        <v>33</v>
      </c>
      <c r="L238">
        <v>28</v>
      </c>
      <c r="M238" s="4" t="s">
        <v>33</v>
      </c>
      <c r="N238" s="3">
        <f t="shared" ref="N238:N243" si="122">IFERROR(AF238/((T238*X238/Y238)*O238*AI238),"NA")</f>
        <v>160.73532266282723</v>
      </c>
      <c r="O238">
        <v>2</v>
      </c>
      <c r="P238" t="s">
        <v>33</v>
      </c>
      <c r="Q238" s="8">
        <f t="shared" si="113"/>
        <v>8.6062808747716102E-3</v>
      </c>
      <c r="R238" t="s">
        <v>183</v>
      </c>
      <c r="S238" t="s">
        <v>613</v>
      </c>
      <c r="T238" s="11">
        <v>6</v>
      </c>
      <c r="U238">
        <v>2.9</v>
      </c>
      <c r="V238">
        <v>2.2999999999999998</v>
      </c>
      <c r="W238" t="s">
        <v>33</v>
      </c>
      <c r="X238" s="8">
        <f>IFERROR(((PI())*(((V238*10^-1)/2)^2)*(U238*10^-1)), "NA")</f>
        <v>1.204879322468025E-2</v>
      </c>
      <c r="Y238">
        <f>84/60</f>
        <v>1.4</v>
      </c>
      <c r="Z238" s="3">
        <f>IFERROR(X238*N238*O238*T238*AI238/AF238, "NA")</f>
        <v>1.3999999999999997</v>
      </c>
      <c r="AA238">
        <f>8.3/6</f>
        <v>1.3833333333333335</v>
      </c>
      <c r="AB238" s="6" t="str">
        <f t="shared" si="118"/>
        <v>NA</v>
      </c>
      <c r="AC238" t="str">
        <f t="shared" si="107"/>
        <v>NA</v>
      </c>
      <c r="AD238" s="4" t="str">
        <f>IFERROR(AB238*T238*AI238, "NA")</f>
        <v>NA</v>
      </c>
      <c r="AE238" s="3">
        <f>IFERROR(((L238^2)*N238*O238*AK238*10^-6*Q238*T238*AI238), "NA")</f>
        <v>24.076640000000005</v>
      </c>
      <c r="AF238" s="3">
        <f>AA238*O238*T238</f>
        <v>16.600000000000001</v>
      </c>
      <c r="AG238" t="str">
        <f t="shared" ref="AG238:AG243" si="123">IFERROR((M238*O238*P238), "NA")</f>
        <v>NA</v>
      </c>
      <c r="AH238" t="str">
        <f t="shared" ref="AH238:AH243" si="124">IFERROR((AG238*T238*AI238), "NA")</f>
        <v>NA</v>
      </c>
      <c r="AI238" s="11">
        <v>1</v>
      </c>
      <c r="AJ238" t="s">
        <v>31</v>
      </c>
      <c r="AK238">
        <v>1850</v>
      </c>
      <c r="AL238" t="s">
        <v>149</v>
      </c>
      <c r="AM238" t="s">
        <v>86</v>
      </c>
      <c r="AN238" t="s">
        <v>205</v>
      </c>
      <c r="AO238" t="s">
        <v>789</v>
      </c>
      <c r="AP238" t="s">
        <v>33</v>
      </c>
      <c r="AQ238" t="s">
        <v>33</v>
      </c>
      <c r="AR238" t="s">
        <v>33</v>
      </c>
      <c r="AS238" s="6">
        <f>LOG(4*10^6)</f>
        <v>6.6020599913279625</v>
      </c>
      <c r="AT238" s="3">
        <f t="shared" ref="AT238:AT243" si="125">IFERROR(AS238-AU238,"NA")</f>
        <v>3.2000599913279624</v>
      </c>
      <c r="AU238" s="6">
        <v>3.4020000000000001</v>
      </c>
      <c r="AV238" t="b">
        <v>1</v>
      </c>
      <c r="AW238" t="s">
        <v>172</v>
      </c>
      <c r="AX238" t="s">
        <v>173</v>
      </c>
      <c r="AY238" t="s">
        <v>363</v>
      </c>
      <c r="AZ238" t="s">
        <v>33</v>
      </c>
      <c r="BA238" s="18" t="s">
        <v>799</v>
      </c>
      <c r="BB238" t="b">
        <v>0</v>
      </c>
      <c r="BC238" t="s">
        <v>81</v>
      </c>
      <c r="BD238">
        <v>48</v>
      </c>
      <c r="BE238" t="s">
        <v>80</v>
      </c>
      <c r="BF238" s="11">
        <v>120</v>
      </c>
      <c r="BG238" t="s">
        <v>364</v>
      </c>
      <c r="BH238" t="s">
        <v>31</v>
      </c>
      <c r="BI238" t="s">
        <v>31</v>
      </c>
      <c r="BJ238" s="3">
        <f t="shared" si="111"/>
        <v>3.4020000000000001</v>
      </c>
      <c r="BK238" s="3">
        <f t="shared" si="112"/>
        <v>0.53173430927655019</v>
      </c>
      <c r="BL238">
        <v>2</v>
      </c>
      <c r="BM238" s="3">
        <f t="shared" si="116"/>
        <v>0.84986156985095718</v>
      </c>
      <c r="BN238" t="s">
        <v>33</v>
      </c>
      <c r="BO238" s="3">
        <f t="shared" si="99"/>
        <v>7.0772016460905363</v>
      </c>
      <c r="BP238" t="s">
        <v>33</v>
      </c>
      <c r="BQ238" t="s">
        <v>33</v>
      </c>
      <c r="BR238" t="s">
        <v>33</v>
      </c>
      <c r="BS238" t="s">
        <v>33</v>
      </c>
      <c r="BT238" t="s">
        <v>32</v>
      </c>
      <c r="BU238" t="s">
        <v>365</v>
      </c>
      <c r="BV238">
        <v>2002</v>
      </c>
      <c r="BW238" t="s">
        <v>366</v>
      </c>
      <c r="BX238" t="s">
        <v>78</v>
      </c>
      <c r="BY238" t="s">
        <v>33</v>
      </c>
      <c r="BZ238" t="s">
        <v>33</v>
      </c>
      <c r="CA238" t="str">
        <f t="shared" si="101"/>
        <v>high acid</v>
      </c>
    </row>
    <row r="239" spans="1:79">
      <c r="A239" t="s">
        <v>326</v>
      </c>
      <c r="B239" t="s">
        <v>565</v>
      </c>
      <c r="C239" t="s">
        <v>563</v>
      </c>
      <c r="D239" t="s">
        <v>118</v>
      </c>
      <c r="E239" t="s">
        <v>77</v>
      </c>
      <c r="F239" t="s">
        <v>32</v>
      </c>
      <c r="G239">
        <v>15</v>
      </c>
      <c r="H239">
        <v>30.4</v>
      </c>
      <c r="I239" t="b">
        <v>0</v>
      </c>
      <c r="J239" t="s">
        <v>33</v>
      </c>
      <c r="K239" t="s">
        <v>33</v>
      </c>
      <c r="L239">
        <v>35</v>
      </c>
      <c r="M239" s="4">
        <v>100</v>
      </c>
      <c r="N239" s="3">
        <f t="shared" si="122"/>
        <v>6909.4056514700696</v>
      </c>
      <c r="O239">
        <v>5</v>
      </c>
      <c r="P239" t="s">
        <v>33</v>
      </c>
      <c r="Q239" s="8">
        <f t="shared" si="113"/>
        <v>0.25000000000000006</v>
      </c>
      <c r="R239" t="s">
        <v>183</v>
      </c>
      <c r="S239" t="s">
        <v>613</v>
      </c>
      <c r="T239" s="11">
        <v>8</v>
      </c>
      <c r="U239">
        <v>2.9</v>
      </c>
      <c r="V239">
        <v>2.2999999999999998</v>
      </c>
      <c r="W239">
        <v>1.2E-2</v>
      </c>
      <c r="X239" s="8">
        <f>IFERROR(((PI())*(((V239*10^-1)/2)^2)*(U239*10^-1)), "NA")</f>
        <v>1.204879322468025E-2</v>
      </c>
      <c r="Y239">
        <v>3.33</v>
      </c>
      <c r="Z239" s="3">
        <f>IFERROR(X239*M239*O239*T239*AI239/AF239, "NA")</f>
        <v>4.8195172898720995E-2</v>
      </c>
      <c r="AA239" t="s">
        <v>33</v>
      </c>
      <c r="AB239" s="6">
        <f t="shared" si="118"/>
        <v>25.000000000000004</v>
      </c>
      <c r="AC239" t="str">
        <f t="shared" si="107"/>
        <v>NA</v>
      </c>
      <c r="AD239" s="4">
        <f>AB239*T239*AI239</f>
        <v>200.00000000000003</v>
      </c>
      <c r="AE239" s="3">
        <f>IFERROR(((L239^2)*M239*O239*AK239*10^-6*Q239*T239*AI239), "NA")</f>
        <v>2572.5000000000005</v>
      </c>
      <c r="AF239">
        <v>1000</v>
      </c>
      <c r="AG239" t="str">
        <f t="shared" si="123"/>
        <v>NA</v>
      </c>
      <c r="AH239" t="str">
        <f t="shared" si="124"/>
        <v>NA</v>
      </c>
      <c r="AI239">
        <v>1</v>
      </c>
      <c r="AJ239" t="s">
        <v>31</v>
      </c>
      <c r="AK239">
        <v>2100</v>
      </c>
      <c r="AL239" t="s">
        <v>551</v>
      </c>
      <c r="AM239" t="s">
        <v>86</v>
      </c>
      <c r="AN239" t="s">
        <v>205</v>
      </c>
      <c r="AO239" t="s">
        <v>789</v>
      </c>
      <c r="AP239">
        <v>3.79</v>
      </c>
      <c r="AQ239">
        <v>1060</v>
      </c>
      <c r="AR239" t="s">
        <v>33</v>
      </c>
      <c r="AS239" s="6">
        <f>LOG((10^6+10^7)/2)</f>
        <v>6.7403626894942441</v>
      </c>
      <c r="AT239" s="3">
        <f t="shared" si="125"/>
        <v>3.2003626894942441</v>
      </c>
      <c r="AU239" s="6">
        <v>3.54</v>
      </c>
      <c r="AV239" t="b">
        <v>1</v>
      </c>
      <c r="AW239" t="s">
        <v>123</v>
      </c>
      <c r="AX239" t="s">
        <v>327</v>
      </c>
      <c r="AY239" t="s">
        <v>328</v>
      </c>
      <c r="AZ239" t="s">
        <v>33</v>
      </c>
      <c r="BA239" s="18" t="s">
        <v>579</v>
      </c>
      <c r="BB239" t="b">
        <v>1</v>
      </c>
      <c r="BC239" t="s">
        <v>81</v>
      </c>
      <c r="BD239">
        <v>144</v>
      </c>
      <c r="BE239" t="s">
        <v>80</v>
      </c>
      <c r="BF239" s="11">
        <v>120</v>
      </c>
      <c r="BG239" t="s">
        <v>329</v>
      </c>
      <c r="BH239" t="s">
        <v>31</v>
      </c>
      <c r="BI239" t="s">
        <v>31</v>
      </c>
      <c r="BJ239" s="3">
        <f t="shared" si="111"/>
        <v>3.54</v>
      </c>
      <c r="BK239" s="3">
        <f t="shared" si="112"/>
        <v>0.54900326202578786</v>
      </c>
      <c r="BL239">
        <v>2</v>
      </c>
      <c r="BM239" s="3">
        <f t="shared" si="116"/>
        <v>2.8613521214086828</v>
      </c>
      <c r="BN239" t="s">
        <v>33</v>
      </c>
      <c r="BO239" s="3">
        <f t="shared" si="99"/>
        <v>726.69491525423746</v>
      </c>
      <c r="BP239" t="s">
        <v>33</v>
      </c>
      <c r="BQ239" t="s">
        <v>33</v>
      </c>
      <c r="BR239" t="s">
        <v>33</v>
      </c>
      <c r="BS239" t="s">
        <v>33</v>
      </c>
      <c r="BT239" t="s">
        <v>31</v>
      </c>
      <c r="BU239" t="s">
        <v>330</v>
      </c>
      <c r="BV239">
        <v>2009</v>
      </c>
      <c r="BW239" t="s">
        <v>331</v>
      </c>
      <c r="BX239" t="s">
        <v>78</v>
      </c>
      <c r="BY239" t="s">
        <v>33</v>
      </c>
      <c r="BZ239" t="s">
        <v>335</v>
      </c>
      <c r="CA239" t="str">
        <f t="shared" si="101"/>
        <v>high acid</v>
      </c>
    </row>
    <row r="240" spans="1:79">
      <c r="A240" t="s">
        <v>418</v>
      </c>
      <c r="B240" t="s">
        <v>566</v>
      </c>
      <c r="C240" t="s">
        <v>564</v>
      </c>
      <c r="D240" t="s">
        <v>33</v>
      </c>
      <c r="E240" t="s">
        <v>77</v>
      </c>
      <c r="F240" t="s">
        <v>32</v>
      </c>
      <c r="G240">
        <v>22.5</v>
      </c>
      <c r="H240">
        <v>33</v>
      </c>
      <c r="I240" t="b">
        <v>0</v>
      </c>
      <c r="J240">
        <v>25000</v>
      </c>
      <c r="K240">
        <v>1600</v>
      </c>
      <c r="L240">
        <v>48</v>
      </c>
      <c r="M240" s="4" t="s">
        <v>33</v>
      </c>
      <c r="N240" s="3">
        <f t="shared" si="122"/>
        <v>77.777777777777771</v>
      </c>
      <c r="O240">
        <v>0.72</v>
      </c>
      <c r="P240" t="s">
        <v>33</v>
      </c>
      <c r="Q240" s="8">
        <f t="shared" si="113"/>
        <v>0.09</v>
      </c>
      <c r="R240" t="s">
        <v>278</v>
      </c>
      <c r="S240" t="s">
        <v>612</v>
      </c>
      <c r="T240" s="11">
        <v>1</v>
      </c>
      <c r="U240">
        <v>0.5</v>
      </c>
      <c r="V240" t="s">
        <v>33</v>
      </c>
      <c r="W240">
        <v>12</v>
      </c>
      <c r="X240" s="9">
        <f>U240*25</f>
        <v>12.5</v>
      </c>
      <c r="Y240" s="3">
        <f>500000/3600</f>
        <v>138.88888888888889</v>
      </c>
      <c r="Z240" s="3">
        <f>Y240</f>
        <v>138.88888888888889</v>
      </c>
      <c r="AA240">
        <v>7</v>
      </c>
      <c r="AB240" s="6" t="str">
        <f>IFERROR(((X240*M240)/Y240), "NA")</f>
        <v>NA</v>
      </c>
      <c r="AC240" t="str">
        <f t="shared" si="107"/>
        <v>NA</v>
      </c>
      <c r="AD240" s="4" t="str">
        <f>IFERROR(AB240*T240*AI240, "NA")</f>
        <v>NA</v>
      </c>
      <c r="AE240" s="3">
        <f>IFERROR(((L240^2)*N240*O240*AK240*10^-6*Q240*T240*AI240), "NA")</f>
        <v>95.385599999999997</v>
      </c>
      <c r="AF240">
        <f>AI240*AA240*T240*O240</f>
        <v>72</v>
      </c>
      <c r="AG240" t="str">
        <f t="shared" si="123"/>
        <v>NA</v>
      </c>
      <c r="AH240" t="str">
        <f t="shared" si="124"/>
        <v>NA</v>
      </c>
      <c r="AI240" s="4">
        <f>100/AA240</f>
        <v>14.285714285714286</v>
      </c>
      <c r="AJ240" s="11" t="s">
        <v>32</v>
      </c>
      <c r="AK240" s="11">
        <f>575</f>
        <v>575</v>
      </c>
      <c r="AL240" t="s">
        <v>419</v>
      </c>
      <c r="AM240" t="s">
        <v>103</v>
      </c>
      <c r="AN240" t="s">
        <v>130</v>
      </c>
      <c r="AO240" t="s">
        <v>795</v>
      </c>
      <c r="AP240" s="4">
        <v>7.5</v>
      </c>
      <c r="AQ240" t="s">
        <v>33</v>
      </c>
      <c r="AR240" t="s">
        <v>33</v>
      </c>
      <c r="AS240" s="3">
        <f>LOG(10^7)</f>
        <v>7</v>
      </c>
      <c r="AT240" s="3">
        <f t="shared" si="125"/>
        <v>3.202</v>
      </c>
      <c r="AU240" s="6">
        <v>3.798</v>
      </c>
      <c r="AV240" t="b">
        <v>1</v>
      </c>
      <c r="AW240" t="s">
        <v>172</v>
      </c>
      <c r="AX240" t="s">
        <v>173</v>
      </c>
      <c r="AY240" t="s">
        <v>33</v>
      </c>
      <c r="AZ240" t="s">
        <v>33</v>
      </c>
      <c r="BA240" s="18" t="s">
        <v>799</v>
      </c>
      <c r="BB240" t="b">
        <v>0</v>
      </c>
      <c r="BC240" t="s">
        <v>81</v>
      </c>
      <c r="BD240">
        <v>16</v>
      </c>
      <c r="BE240" t="s">
        <v>80</v>
      </c>
      <c r="BF240" s="11">
        <v>72</v>
      </c>
      <c r="BG240" t="s">
        <v>33</v>
      </c>
      <c r="BH240" t="s">
        <v>31</v>
      </c>
      <c r="BI240" t="s">
        <v>31</v>
      </c>
      <c r="BJ240" s="3">
        <f t="shared" si="111"/>
        <v>3.798</v>
      </c>
      <c r="BK240" s="3">
        <f t="shared" si="112"/>
        <v>0.57955496040099874</v>
      </c>
      <c r="BL240">
        <v>2</v>
      </c>
      <c r="BM240" s="3">
        <f t="shared" si="116"/>
        <v>1.3999278554710746</v>
      </c>
      <c r="BN240" t="s">
        <v>33</v>
      </c>
      <c r="BO240" s="3">
        <f t="shared" si="99"/>
        <v>25.114691943127962</v>
      </c>
      <c r="BP240" t="s">
        <v>33</v>
      </c>
      <c r="BQ240" t="s">
        <v>33</v>
      </c>
      <c r="BR240" t="s">
        <v>33</v>
      </c>
      <c r="BS240" t="s">
        <v>33</v>
      </c>
      <c r="BT240" t="s">
        <v>32</v>
      </c>
      <c r="BU240" t="s">
        <v>423</v>
      </c>
      <c r="BV240" s="11">
        <v>2006</v>
      </c>
      <c r="BW240" t="s">
        <v>422</v>
      </c>
      <c r="BX240" t="s">
        <v>78</v>
      </c>
      <c r="BY240" t="s">
        <v>420</v>
      </c>
      <c r="BZ240" t="s">
        <v>421</v>
      </c>
      <c r="CA240" t="str">
        <f t="shared" si="101"/>
        <v>low acid</v>
      </c>
    </row>
    <row r="241" spans="1:79">
      <c r="A241" s="3" t="s">
        <v>303</v>
      </c>
      <c r="B241" t="s">
        <v>566</v>
      </c>
      <c r="C241" t="s">
        <v>563</v>
      </c>
      <c r="D241" s="3" t="s">
        <v>279</v>
      </c>
      <c r="E241" s="3" t="s">
        <v>77</v>
      </c>
      <c r="F241" t="s">
        <v>32</v>
      </c>
      <c r="G241" s="11">
        <v>10</v>
      </c>
      <c r="H241" s="11">
        <v>30</v>
      </c>
      <c r="I241" s="3" t="b">
        <v>0</v>
      </c>
      <c r="J241" s="3" t="s">
        <v>33</v>
      </c>
      <c r="K241" s="3" t="s">
        <v>33</v>
      </c>
      <c r="L241" s="11">
        <v>20</v>
      </c>
      <c r="M241" s="4">
        <v>1000</v>
      </c>
      <c r="N241" s="3">
        <f t="shared" si="122"/>
        <v>2526.2689379665921</v>
      </c>
      <c r="O241" s="3">
        <v>16</v>
      </c>
      <c r="P241" s="3" t="s">
        <v>33</v>
      </c>
      <c r="Q241" s="3">
        <f t="shared" si="113"/>
        <v>7.5000000000000011E-2</v>
      </c>
      <c r="R241" t="s">
        <v>183</v>
      </c>
      <c r="S241" t="s">
        <v>613</v>
      </c>
      <c r="T241" s="11">
        <v>1</v>
      </c>
      <c r="U241" s="3">
        <v>2.8</v>
      </c>
      <c r="V241" s="3">
        <v>3</v>
      </c>
      <c r="W241" s="3">
        <v>0.02</v>
      </c>
      <c r="X241" s="3">
        <f>IFERROR(((PI())*(((V241*10^-1)/2)^2)*(U241*10^-1)), "NA")</f>
        <v>1.97920337176157E-2</v>
      </c>
      <c r="Y241" s="3">
        <f>40/60</f>
        <v>0.66666666666666663</v>
      </c>
      <c r="Z241" s="3">
        <f>IFERROR(X241*M241*O241*T241*AI241/AF241, "NA")</f>
        <v>0.26389378290154264</v>
      </c>
      <c r="AA241" s="3" t="s">
        <v>33</v>
      </c>
      <c r="AB241" s="3">
        <f>IFERROR(((X241*M241)/Z241), "NA")</f>
        <v>75</v>
      </c>
      <c r="AC241" s="3" t="str">
        <f t="shared" si="107"/>
        <v>NA</v>
      </c>
      <c r="AD241" s="4">
        <f>AB241*T241*AI241</f>
        <v>75</v>
      </c>
      <c r="AE241" s="3">
        <f>IFERROR(((L241^2)*M241*O241*AK241*10^-6*Q241*T241*AI241), "NA")</f>
        <v>240.00000000000003</v>
      </c>
      <c r="AF241" s="3">
        <v>1200</v>
      </c>
      <c r="AG241" s="3" t="str">
        <f t="shared" si="123"/>
        <v>NA</v>
      </c>
      <c r="AH241" s="3" t="str">
        <f t="shared" si="124"/>
        <v>NA</v>
      </c>
      <c r="AI241" s="3">
        <v>1</v>
      </c>
      <c r="AJ241" t="s">
        <v>31</v>
      </c>
      <c r="AK241" s="3">
        <v>500</v>
      </c>
      <c r="AL241" s="3" t="s">
        <v>281</v>
      </c>
      <c r="AM241" s="3" t="s">
        <v>103</v>
      </c>
      <c r="AN241" t="s">
        <v>130</v>
      </c>
      <c r="AO241" t="s">
        <v>795</v>
      </c>
      <c r="AP241" s="3" t="s">
        <v>33</v>
      </c>
      <c r="AQ241" s="3" t="s">
        <v>33</v>
      </c>
      <c r="AR241" s="3" t="s">
        <v>33</v>
      </c>
      <c r="AS241" s="3">
        <f>4.049</f>
        <v>4.0490000000000004</v>
      </c>
      <c r="AT241" s="3">
        <f t="shared" si="125"/>
        <v>3.2020000000000004</v>
      </c>
      <c r="AU241" s="6">
        <v>0.84699999999999998</v>
      </c>
      <c r="AV241" s="3" t="b">
        <v>1</v>
      </c>
      <c r="AW241" s="3" t="s">
        <v>172</v>
      </c>
      <c r="AX241" s="3" t="s">
        <v>173</v>
      </c>
      <c r="AY241" s="3" t="s">
        <v>283</v>
      </c>
      <c r="AZ241" s="3" t="s">
        <v>33</v>
      </c>
      <c r="BA241" s="18" t="s">
        <v>799</v>
      </c>
      <c r="BB241" s="3" t="b">
        <v>0</v>
      </c>
      <c r="BC241" t="s">
        <v>81</v>
      </c>
      <c r="BD241" s="3">
        <v>2</v>
      </c>
      <c r="BE241" s="3" t="s">
        <v>252</v>
      </c>
      <c r="BF241" s="11">
        <v>72</v>
      </c>
      <c r="BG241" s="3" t="s">
        <v>574</v>
      </c>
      <c r="BH241" s="3" t="s">
        <v>31</v>
      </c>
      <c r="BI241" s="3" t="s">
        <v>31</v>
      </c>
      <c r="BJ241" s="3">
        <f t="shared" si="111"/>
        <v>0.84699999999999998</v>
      </c>
      <c r="BK241" s="3">
        <f t="shared" si="112"/>
        <v>-7.2116589669293102E-2</v>
      </c>
      <c r="BL241" s="3">
        <v>2</v>
      </c>
      <c r="BM241" s="3">
        <f t="shared" si="116"/>
        <v>2.4523278313808992</v>
      </c>
      <c r="BN241" s="3" t="s">
        <v>33</v>
      </c>
      <c r="BO241" s="3">
        <f t="shared" si="99"/>
        <v>283.35301062573797</v>
      </c>
      <c r="BP241" s="3" t="s">
        <v>33</v>
      </c>
      <c r="BQ241" s="3" t="s">
        <v>33</v>
      </c>
      <c r="BR241" s="3" t="s">
        <v>33</v>
      </c>
      <c r="BS241" s="3" t="s">
        <v>33</v>
      </c>
      <c r="BT241" t="s">
        <v>31</v>
      </c>
      <c r="BU241" s="3" t="s">
        <v>247</v>
      </c>
      <c r="BV241" s="11">
        <v>2016</v>
      </c>
      <c r="BW241" s="3" t="s">
        <v>284</v>
      </c>
      <c r="BX241" t="s">
        <v>78</v>
      </c>
      <c r="BY241" s="3" t="s">
        <v>33</v>
      </c>
      <c r="BZ241" s="3" t="s">
        <v>299</v>
      </c>
      <c r="CA241" t="str">
        <f t="shared" si="101"/>
        <v>low acid</v>
      </c>
    </row>
    <row r="242" spans="1:79">
      <c r="A242" t="s">
        <v>273</v>
      </c>
      <c r="B242" t="s">
        <v>565</v>
      </c>
      <c r="C242" t="s">
        <v>563</v>
      </c>
      <c r="D242" t="s">
        <v>118</v>
      </c>
      <c r="E242" t="s">
        <v>77</v>
      </c>
      <c r="F242" t="s">
        <v>32</v>
      </c>
      <c r="G242">
        <v>20</v>
      </c>
      <c r="H242">
        <v>55</v>
      </c>
      <c r="I242" t="b">
        <v>0</v>
      </c>
      <c r="J242" t="s">
        <v>33</v>
      </c>
      <c r="K242" t="s">
        <v>33</v>
      </c>
      <c r="L242">
        <v>35</v>
      </c>
      <c r="M242" s="4" t="s">
        <v>33</v>
      </c>
      <c r="N242" s="3">
        <f t="shared" si="122"/>
        <v>706.4562594580799</v>
      </c>
      <c r="O242">
        <v>2.5</v>
      </c>
      <c r="P242" t="s">
        <v>33</v>
      </c>
      <c r="Q242" s="8">
        <f t="shared" si="113"/>
        <v>1.2173435913211428E-2</v>
      </c>
      <c r="R242" t="s">
        <v>183</v>
      </c>
      <c r="S242" t="s">
        <v>613</v>
      </c>
      <c r="T242" s="11">
        <v>6</v>
      </c>
      <c r="U242">
        <v>2.93</v>
      </c>
      <c r="V242">
        <v>2.2999999999999998</v>
      </c>
      <c r="W242" t="s">
        <v>33</v>
      </c>
      <c r="X242" s="8">
        <f>IFERROR(((PI())*(((V242*10^-1)/2)^2)*(U242*10^-1)), "NA")</f>
        <v>1.2173435913211428E-2</v>
      </c>
      <c r="Y242">
        <f>60/60</f>
        <v>1</v>
      </c>
      <c r="Z242" s="3">
        <f>IFERROR(X242*N242*O242*T242*AI242/AF242, "NA")</f>
        <v>1</v>
      </c>
      <c r="AA242" t="s">
        <v>33</v>
      </c>
      <c r="AB242" s="6">
        <f>IFERROR(((X242*N242)/Y242), "NA")</f>
        <v>8.6</v>
      </c>
      <c r="AC242" t="str">
        <f t="shared" si="107"/>
        <v>NA</v>
      </c>
      <c r="AD242" s="4">
        <f>AB242*T242*AI242</f>
        <v>51.599999999999994</v>
      </c>
      <c r="AE242" s="3">
        <f>IFERROR(((L242^2)*N242*O242*AK242*10^-6*Q242*T242*AI242), "NA")</f>
        <v>459.85275000000001</v>
      </c>
      <c r="AF242">
        <v>129</v>
      </c>
      <c r="AG242" t="str">
        <f t="shared" si="123"/>
        <v>NA</v>
      </c>
      <c r="AH242" t="str">
        <f t="shared" si="124"/>
        <v>NA</v>
      </c>
      <c r="AI242">
        <v>1</v>
      </c>
      <c r="AJ242" t="s">
        <v>31</v>
      </c>
      <c r="AK242">
        <v>2910</v>
      </c>
      <c r="AL242" t="s">
        <v>543</v>
      </c>
      <c r="AM242" t="s">
        <v>86</v>
      </c>
      <c r="AN242" t="s">
        <v>205</v>
      </c>
      <c r="AO242" t="s">
        <v>789</v>
      </c>
      <c r="AP242">
        <v>4.05</v>
      </c>
      <c r="AQ242" t="s">
        <v>33</v>
      </c>
      <c r="AR242" t="s">
        <v>33</v>
      </c>
      <c r="AS242">
        <f>LOG(10^6)</f>
        <v>6</v>
      </c>
      <c r="AT242" s="3">
        <f t="shared" si="125"/>
        <v>3.2040000000000002</v>
      </c>
      <c r="AU242" s="6">
        <v>2.7959999999999998</v>
      </c>
      <c r="AV242" t="b">
        <v>1</v>
      </c>
      <c r="AW242" t="s">
        <v>29</v>
      </c>
      <c r="AX242" t="s">
        <v>30</v>
      </c>
      <c r="AY242" t="s">
        <v>216</v>
      </c>
      <c r="AZ242" t="s">
        <v>33</v>
      </c>
      <c r="BA242" s="18" t="s">
        <v>798</v>
      </c>
      <c r="BB242" t="b">
        <v>0</v>
      </c>
      <c r="BC242" t="s">
        <v>81</v>
      </c>
      <c r="BD242">
        <v>4</v>
      </c>
      <c r="BE242" t="s">
        <v>159</v>
      </c>
      <c r="BF242" s="11">
        <v>24</v>
      </c>
      <c r="BG242" t="s">
        <v>572</v>
      </c>
      <c r="BH242" t="s">
        <v>31</v>
      </c>
      <c r="BI242" t="s">
        <v>31</v>
      </c>
      <c r="BJ242" s="3">
        <f t="shared" si="111"/>
        <v>2.7959999999999998</v>
      </c>
      <c r="BK242" s="3">
        <f t="shared" si="112"/>
        <v>0.44653716707364377</v>
      </c>
      <c r="BL242">
        <v>2</v>
      </c>
      <c r="BM242" s="3">
        <f t="shared" si="116"/>
        <v>2.216081620912064</v>
      </c>
      <c r="BN242" t="s">
        <v>33</v>
      </c>
      <c r="BO242" s="3">
        <f t="shared" si="99"/>
        <v>164.46807939914166</v>
      </c>
      <c r="BP242" t="s">
        <v>33</v>
      </c>
      <c r="BQ242" t="s">
        <v>33</v>
      </c>
      <c r="BR242" t="s">
        <v>33</v>
      </c>
      <c r="BS242" t="s">
        <v>33</v>
      </c>
      <c r="BT242" t="s">
        <v>31</v>
      </c>
      <c r="BU242" t="s">
        <v>274</v>
      </c>
      <c r="BV242">
        <v>2006</v>
      </c>
      <c r="BW242" t="s">
        <v>275</v>
      </c>
      <c r="BX242" t="s">
        <v>78</v>
      </c>
      <c r="BY242" t="s">
        <v>277</v>
      </c>
      <c r="BZ242" t="s">
        <v>33</v>
      </c>
      <c r="CA242" t="str">
        <f t="shared" si="101"/>
        <v>high acid</v>
      </c>
    </row>
    <row r="243" spans="1:79">
      <c r="A243" t="s">
        <v>502</v>
      </c>
      <c r="B243" t="s">
        <v>565</v>
      </c>
      <c r="C243" t="s">
        <v>563</v>
      </c>
      <c r="D243" t="s">
        <v>118</v>
      </c>
      <c r="E243" t="s">
        <v>77</v>
      </c>
      <c r="F243" t="s">
        <v>32</v>
      </c>
      <c r="G243">
        <v>4</v>
      </c>
      <c r="H243">
        <v>40</v>
      </c>
      <c r="I243" t="b">
        <v>0</v>
      </c>
      <c r="J243" t="s">
        <v>33</v>
      </c>
      <c r="K243" t="s">
        <v>33</v>
      </c>
      <c r="L243">
        <v>35</v>
      </c>
      <c r="M243" s="4">
        <v>200</v>
      </c>
      <c r="N243" s="3" t="str">
        <f t="shared" si="122"/>
        <v>NA</v>
      </c>
      <c r="O243">
        <v>4</v>
      </c>
      <c r="P243" s="9" t="s">
        <v>33</v>
      </c>
      <c r="Q243" s="8">
        <f t="shared" si="113"/>
        <v>0.18749999999999997</v>
      </c>
      <c r="R243" t="s">
        <v>183</v>
      </c>
      <c r="S243" t="s">
        <v>613</v>
      </c>
      <c r="T243" s="11">
        <v>8</v>
      </c>
      <c r="U243">
        <v>2.92</v>
      </c>
      <c r="V243">
        <v>2.2999999999999998</v>
      </c>
      <c r="W243">
        <v>1.21E-2</v>
      </c>
      <c r="X243" s="9">
        <f>IFERROR(((PI())*(((V243*10^-1)/2)^2)*(U243*10^-1)), "NA")</f>
        <v>1.2131888350367701E-2</v>
      </c>
      <c r="Y243" s="6" t="s">
        <v>33</v>
      </c>
      <c r="Z243" s="3">
        <f t="shared" ref="Z243:Z256" si="126">IFERROR(X243*M243*O243*T243*AI243/AF243, "NA")</f>
        <v>6.4703404535294412E-2</v>
      </c>
      <c r="AA243" t="s">
        <v>33</v>
      </c>
      <c r="AB243" s="4" t="str">
        <f>IFERROR(((X243*M243)/Y243), "NA")</f>
        <v>NA</v>
      </c>
      <c r="AC243" s="4" t="str">
        <f t="shared" si="107"/>
        <v>NA</v>
      </c>
      <c r="AD243" s="4" t="e">
        <f>AB243*T243*AI243</f>
        <v>#VALUE!</v>
      </c>
      <c r="AE243" s="3">
        <f t="shared" ref="AE243:AE256" si="127">IFERROR(((L243^2)*M243*O243*AK243*10^-6*Q243*T243*AI243), "NA")</f>
        <v>5556.5999999999985</v>
      </c>
      <c r="AF243">
        <v>1200</v>
      </c>
      <c r="AG243" s="4" t="str">
        <f t="shared" si="123"/>
        <v>NA</v>
      </c>
      <c r="AH243" s="4" t="str">
        <f t="shared" si="124"/>
        <v>NA</v>
      </c>
      <c r="AI243">
        <v>1</v>
      </c>
      <c r="AJ243" t="s">
        <v>31</v>
      </c>
      <c r="AK243">
        <v>3780</v>
      </c>
      <c r="AL243" t="s">
        <v>552</v>
      </c>
      <c r="AM243" t="s">
        <v>86</v>
      </c>
      <c r="AN243" t="s">
        <v>205</v>
      </c>
      <c r="AO243" t="s">
        <v>789</v>
      </c>
      <c r="AP243">
        <v>3.32</v>
      </c>
      <c r="AQ243" t="s">
        <v>33</v>
      </c>
      <c r="AR243" t="s">
        <v>33</v>
      </c>
      <c r="AS243" s="6">
        <f>LOG((10^7+10^8)/2)</f>
        <v>7.7403626894942441</v>
      </c>
      <c r="AT243" s="3">
        <f t="shared" si="125"/>
        <v>3.2083626894942441</v>
      </c>
      <c r="AU243" s="6">
        <v>4.532</v>
      </c>
      <c r="AV243" t="b">
        <v>1</v>
      </c>
      <c r="AW243" t="s">
        <v>92</v>
      </c>
      <c r="AX243" t="s">
        <v>119</v>
      </c>
      <c r="AY243" t="s">
        <v>425</v>
      </c>
      <c r="AZ243" t="s">
        <v>33</v>
      </c>
      <c r="BA243" s="18" t="s">
        <v>801</v>
      </c>
      <c r="BB243" t="b">
        <v>0</v>
      </c>
      <c r="BC243" t="s">
        <v>81</v>
      </c>
      <c r="BD243">
        <v>15</v>
      </c>
      <c r="BE243" t="s">
        <v>80</v>
      </c>
      <c r="BF243" s="11">
        <v>36</v>
      </c>
      <c r="BG243" t="s">
        <v>573</v>
      </c>
      <c r="BH243" t="s">
        <v>31</v>
      </c>
      <c r="BI243" t="s">
        <v>31</v>
      </c>
      <c r="BJ243" s="3">
        <f t="shared" si="111"/>
        <v>4.532</v>
      </c>
      <c r="BK243" s="3">
        <f t="shared" si="112"/>
        <v>0.65628990119135966</v>
      </c>
      <c r="BL243">
        <v>2</v>
      </c>
      <c r="BM243" s="3">
        <f t="shared" si="116"/>
        <v>3.0885192333940417</v>
      </c>
      <c r="BN243" t="s">
        <v>33</v>
      </c>
      <c r="BO243" s="3">
        <f t="shared" si="99"/>
        <v>1226.0812003530448</v>
      </c>
      <c r="BP243" t="s">
        <v>33</v>
      </c>
      <c r="BQ243" t="s">
        <v>33</v>
      </c>
      <c r="BR243" t="s">
        <v>33</v>
      </c>
      <c r="BS243" t="s">
        <v>33</v>
      </c>
      <c r="BT243" t="s">
        <v>31</v>
      </c>
      <c r="BU243" t="s">
        <v>503</v>
      </c>
      <c r="BV243">
        <v>2011</v>
      </c>
      <c r="BW243" t="s">
        <v>504</v>
      </c>
      <c r="BX243" t="s">
        <v>78</v>
      </c>
      <c r="BY243" t="s">
        <v>33</v>
      </c>
      <c r="BZ243" t="s">
        <v>33</v>
      </c>
      <c r="CA243" t="str">
        <f t="shared" si="101"/>
        <v>high acid</v>
      </c>
    </row>
    <row r="244" spans="1:79">
      <c r="A244" t="s">
        <v>598</v>
      </c>
      <c r="B244" t="s">
        <v>565</v>
      </c>
      <c r="C244" t="s">
        <v>563</v>
      </c>
      <c r="D244" t="s">
        <v>118</v>
      </c>
      <c r="E244" t="s">
        <v>77</v>
      </c>
      <c r="F244" t="s">
        <v>32</v>
      </c>
      <c r="G244">
        <v>50</v>
      </c>
      <c r="H244">
        <f>50+AVERAGE(3,10)</f>
        <v>56.5</v>
      </c>
      <c r="I244" t="b">
        <v>1</v>
      </c>
      <c r="J244" t="s">
        <v>33</v>
      </c>
      <c r="K244" t="s">
        <v>33</v>
      </c>
      <c r="L244">
        <v>26</v>
      </c>
      <c r="M244" s="4">
        <v>548</v>
      </c>
      <c r="N244" t="e">
        <f>(#REF!*Y244)/(T244*X244*O244)</f>
        <v>#REF!</v>
      </c>
      <c r="O244">
        <v>2.5</v>
      </c>
      <c r="P244" t="s">
        <v>33</v>
      </c>
      <c r="Q244" s="1">
        <f t="shared" si="113"/>
        <v>6.0827250608272501E-3</v>
      </c>
      <c r="R244" t="s">
        <v>183</v>
      </c>
      <c r="S244" t="s">
        <v>612</v>
      </c>
      <c r="T244">
        <v>6</v>
      </c>
      <c r="U244">
        <v>2.9</v>
      </c>
      <c r="V244">
        <v>2.2999999999999998</v>
      </c>
      <c r="W244" t="s">
        <v>33</v>
      </c>
      <c r="X244">
        <f>IFERROR(((PI())*(((V244*10^-1)/2)^2)*(U244*10^-1)), "NA")</f>
        <v>1.204879322468025E-2</v>
      </c>
      <c r="Y244">
        <v>2</v>
      </c>
      <c r="Z244" s="3">
        <f t="shared" si="126"/>
        <v>1.9808216061374333</v>
      </c>
      <c r="AA244">
        <v>3.3</v>
      </c>
      <c r="AB244">
        <f t="shared" ref="AB244:AB252" si="128">IFERROR(((X244*M244)/Z244), "NA")</f>
        <v>3.333333333333333</v>
      </c>
      <c r="AC244" s="1" t="str">
        <f t="shared" si="107"/>
        <v>NA</v>
      </c>
      <c r="AE244" s="3">
        <f t="shared" si="127"/>
        <v>109.84999999999998</v>
      </c>
      <c r="AF244">
        <v>50</v>
      </c>
      <c r="AG244" s="1" t="str">
        <f>IFERROR((N244*P244*Q244), "NA")</f>
        <v>NA</v>
      </c>
      <c r="AH244" s="1" t="str">
        <f>IFERROR((AG244*U244*AI244), "NA")</f>
        <v>NA</v>
      </c>
      <c r="AI244" s="1">
        <v>1</v>
      </c>
      <c r="AJ244" s="11" t="s">
        <v>31</v>
      </c>
      <c r="AK244">
        <f>3.25*10^3</f>
        <v>3250</v>
      </c>
      <c r="AL244" t="s">
        <v>238</v>
      </c>
      <c r="AM244" t="s">
        <v>86</v>
      </c>
      <c r="AN244" t="s">
        <v>205</v>
      </c>
      <c r="AO244" t="s">
        <v>789</v>
      </c>
      <c r="AP244">
        <v>4.16</v>
      </c>
      <c r="AQ244" t="s">
        <v>33</v>
      </c>
      <c r="AR244" t="s">
        <v>33</v>
      </c>
      <c r="AS244">
        <f>AVERAGE(6.63, 6.39)</f>
        <v>6.51</v>
      </c>
      <c r="AT244">
        <f>AS244-AU244</f>
        <v>3.21</v>
      </c>
      <c r="AU244" s="6">
        <v>3.3</v>
      </c>
      <c r="AV244" t="b">
        <v>1</v>
      </c>
      <c r="AW244" t="s">
        <v>617</v>
      </c>
      <c r="AX244" t="s">
        <v>638</v>
      </c>
      <c r="AY244" t="s">
        <v>637</v>
      </c>
      <c r="AZ244" t="s">
        <v>33</v>
      </c>
      <c r="BA244" s="18" t="s">
        <v>802</v>
      </c>
      <c r="BB244" s="3" t="b">
        <v>0</v>
      </c>
      <c r="BC244" t="s">
        <v>81</v>
      </c>
      <c r="BD244">
        <v>16</v>
      </c>
      <c r="BE244" t="s">
        <v>80</v>
      </c>
      <c r="BF244">
        <v>24</v>
      </c>
      <c r="BG244" t="s">
        <v>646</v>
      </c>
      <c r="BH244" t="s">
        <v>31</v>
      </c>
      <c r="BI244" t="s">
        <v>31</v>
      </c>
      <c r="BJ244">
        <f t="shared" si="111"/>
        <v>3.3</v>
      </c>
      <c r="BK244" s="3">
        <f t="shared" si="112"/>
        <v>0.51851393987788741</v>
      </c>
      <c r="BL244">
        <v>2</v>
      </c>
      <c r="BM244" s="3">
        <f t="shared" si="116"/>
        <v>1.5222861213786416</v>
      </c>
      <c r="BN244" t="s">
        <v>33</v>
      </c>
      <c r="BO244" s="3">
        <f t="shared" si="99"/>
        <v>33.287878787878782</v>
      </c>
      <c r="BP244" t="s">
        <v>33</v>
      </c>
      <c r="BQ244" t="s">
        <v>33</v>
      </c>
      <c r="BR244" t="s">
        <v>33</v>
      </c>
      <c r="BS244" t="s">
        <v>33</v>
      </c>
      <c r="BT244" t="s">
        <v>32</v>
      </c>
      <c r="BU244" s="13" t="s">
        <v>84</v>
      </c>
      <c r="BV244" s="14">
        <v>2012</v>
      </c>
      <c r="BW244" s="13" t="s">
        <v>83</v>
      </c>
      <c r="BX244" t="s">
        <v>78</v>
      </c>
      <c r="BY244" s="13" t="s">
        <v>686</v>
      </c>
      <c r="CA244" t="str">
        <f t="shared" si="101"/>
        <v>high acid</v>
      </c>
    </row>
    <row r="245" spans="1:79">
      <c r="A245" t="s">
        <v>580</v>
      </c>
      <c r="B245" t="s">
        <v>565</v>
      </c>
      <c r="C245" t="s">
        <v>563</v>
      </c>
      <c r="D245" t="s">
        <v>118</v>
      </c>
      <c r="E245" t="s">
        <v>77</v>
      </c>
      <c r="F245" t="s">
        <v>32</v>
      </c>
      <c r="G245">
        <v>22</v>
      </c>
      <c r="H245">
        <v>40</v>
      </c>
      <c r="I245" t="b">
        <v>0</v>
      </c>
      <c r="J245">
        <v>10220</v>
      </c>
      <c r="K245">
        <v>59.68</v>
      </c>
      <c r="L245">
        <v>35</v>
      </c>
      <c r="M245" s="4">
        <v>250</v>
      </c>
      <c r="N245" t="e">
        <f>(#REF!*Y245)/(T245*X245*O245)</f>
        <v>#REF!</v>
      </c>
      <c r="O245">
        <v>4</v>
      </c>
      <c r="P245">
        <f>AVERAGE(0.0066, 0.0091)</f>
        <v>7.8499999999999993E-3</v>
      </c>
      <c r="Q245" s="1">
        <f t="shared" si="113"/>
        <v>0.25</v>
      </c>
      <c r="R245" t="s">
        <v>183</v>
      </c>
      <c r="S245" t="s">
        <v>613</v>
      </c>
      <c r="T245">
        <v>8</v>
      </c>
      <c r="U245">
        <v>2.92</v>
      </c>
      <c r="V245">
        <v>2.2999999999999998</v>
      </c>
      <c r="W245">
        <v>1.21E-2</v>
      </c>
      <c r="X245">
        <f>IFERROR(((PI())*(((V245*10^-1)/2)^2)*(U245*10^-1)), "NA")</f>
        <v>1.2131888350367701E-2</v>
      </c>
      <c r="Y245">
        <v>1.3333299999999999</v>
      </c>
      <c r="Z245" s="3">
        <f t="shared" si="126"/>
        <v>4.8527553401470802E-2</v>
      </c>
      <c r="AA245" t="s">
        <v>33</v>
      </c>
      <c r="AB245">
        <f t="shared" si="128"/>
        <v>62.5</v>
      </c>
      <c r="AC245" s="1">
        <f t="shared" si="107"/>
        <v>1.9624999999999999</v>
      </c>
      <c r="AE245" s="3">
        <f t="shared" si="127"/>
        <v>12568.5</v>
      </c>
      <c r="AF245">
        <v>2000</v>
      </c>
      <c r="AG245" s="1" t="str">
        <f>IFERROR((N245*P245*Q245), "NA")</f>
        <v>NA</v>
      </c>
      <c r="AH245" s="1" t="str">
        <f>IFERROR((AG245*U245*AI245), "NA")</f>
        <v>NA</v>
      </c>
      <c r="AI245" s="1">
        <v>1</v>
      </c>
      <c r="AJ245" s="11" t="s">
        <v>31</v>
      </c>
      <c r="AK245">
        <v>5130</v>
      </c>
      <c r="AL245" t="s">
        <v>547</v>
      </c>
      <c r="AM245" t="s">
        <v>86</v>
      </c>
      <c r="AN245" t="s">
        <v>205</v>
      </c>
      <c r="AO245" t="s">
        <v>789</v>
      </c>
      <c r="AP245">
        <v>3.16</v>
      </c>
      <c r="AQ245" t="s">
        <v>33</v>
      </c>
      <c r="AR245" t="s">
        <v>33</v>
      </c>
      <c r="AS245">
        <v>7.5</v>
      </c>
      <c r="AT245">
        <f>AS245-AU245</f>
        <v>3.21</v>
      </c>
      <c r="AU245" s="6">
        <v>4.29</v>
      </c>
      <c r="AV245" t="b">
        <v>1</v>
      </c>
      <c r="AW245" t="s">
        <v>617</v>
      </c>
      <c r="AX245" t="s">
        <v>33</v>
      </c>
      <c r="AY245" t="s">
        <v>33</v>
      </c>
      <c r="AZ245" t="s">
        <v>619</v>
      </c>
      <c r="BA245" s="18" t="s">
        <v>802</v>
      </c>
      <c r="BB245" s="3" t="b">
        <v>0</v>
      </c>
      <c r="BC245" t="s">
        <v>81</v>
      </c>
      <c r="BD245">
        <v>15</v>
      </c>
      <c r="BE245" t="s">
        <v>80</v>
      </c>
      <c r="BF245">
        <v>24</v>
      </c>
      <c r="BG245" t="s">
        <v>697</v>
      </c>
      <c r="BH245" t="s">
        <v>32</v>
      </c>
      <c r="BI245" t="s">
        <v>31</v>
      </c>
      <c r="BJ245">
        <f t="shared" si="111"/>
        <v>4.29</v>
      </c>
      <c r="BK245" s="3">
        <f t="shared" si="112"/>
        <v>0.63245729218472424</v>
      </c>
      <c r="BL245">
        <v>2</v>
      </c>
      <c r="BM245" s="3">
        <f t="shared" si="116"/>
        <v>3.4668261572916244</v>
      </c>
      <c r="BN245" t="s">
        <v>33</v>
      </c>
      <c r="BO245" s="3">
        <f t="shared" si="99"/>
        <v>2929.7202797202799</v>
      </c>
      <c r="BP245" t="s">
        <v>33</v>
      </c>
      <c r="BQ245" t="s">
        <v>33</v>
      </c>
      <c r="BR245" t="s">
        <v>33</v>
      </c>
      <c r="BS245" t="s">
        <v>33</v>
      </c>
      <c r="BT245" t="s">
        <v>31</v>
      </c>
      <c r="BU245" t="s">
        <v>219</v>
      </c>
      <c r="BV245" s="14">
        <v>2008</v>
      </c>
      <c r="BW245" t="s">
        <v>257</v>
      </c>
      <c r="BX245" t="s">
        <v>78</v>
      </c>
      <c r="BY245" s="13" t="s">
        <v>670</v>
      </c>
      <c r="CA245" t="str">
        <f t="shared" si="101"/>
        <v>high acid</v>
      </c>
    </row>
    <row r="246" spans="1:79">
      <c r="A246" t="s">
        <v>584</v>
      </c>
      <c r="B246" t="s">
        <v>566</v>
      </c>
      <c r="C246" t="s">
        <v>563</v>
      </c>
      <c r="D246" t="s">
        <v>607</v>
      </c>
      <c r="E246" t="s">
        <v>77</v>
      </c>
      <c r="F246" t="s">
        <v>33</v>
      </c>
      <c r="G246">
        <v>20</v>
      </c>
      <c r="H246">
        <v>35</v>
      </c>
      <c r="I246" t="b">
        <v>0</v>
      </c>
      <c r="J246">
        <v>1000</v>
      </c>
      <c r="K246">
        <v>200</v>
      </c>
      <c r="L246">
        <v>35</v>
      </c>
      <c r="M246" s="4">
        <v>1</v>
      </c>
      <c r="N246" t="e">
        <f>(#REF!*Y246)/(T246*X246*O246)</f>
        <v>#REF!</v>
      </c>
      <c r="O246">
        <v>3</v>
      </c>
      <c r="P246" t="s">
        <v>33</v>
      </c>
      <c r="Q246" s="1">
        <f t="shared" si="113"/>
        <v>100.00000000000001</v>
      </c>
      <c r="R246" t="s">
        <v>183</v>
      </c>
      <c r="S246" t="s">
        <v>33</v>
      </c>
      <c r="T246">
        <v>1</v>
      </c>
      <c r="U246">
        <v>2.5</v>
      </c>
      <c r="V246" t="s">
        <v>33</v>
      </c>
      <c r="W246">
        <v>0.50249999999999995</v>
      </c>
      <c r="X246">
        <f>W246</f>
        <v>0.50249999999999995</v>
      </c>
      <c r="Y246" t="s">
        <v>33</v>
      </c>
      <c r="Z246" s="3">
        <f t="shared" si="126"/>
        <v>5.0249999999999991E-3</v>
      </c>
      <c r="AA246" t="s">
        <v>33</v>
      </c>
      <c r="AB246">
        <f t="shared" si="128"/>
        <v>100.00000000000001</v>
      </c>
      <c r="AC246" s="1" t="str">
        <f t="shared" si="107"/>
        <v>NA</v>
      </c>
      <c r="AE246" s="3">
        <f t="shared" si="127"/>
        <v>367.50000000000006</v>
      </c>
      <c r="AF246">
        <v>300</v>
      </c>
      <c r="AG246" s="1" t="str">
        <f>IFERROR((N246*P246*Q246), "NA")</f>
        <v>NA</v>
      </c>
      <c r="AH246" s="1" t="str">
        <f>IFERROR((AG246*U246*AI246), "NA")</f>
        <v>NA</v>
      </c>
      <c r="AI246" s="1">
        <v>1</v>
      </c>
      <c r="AJ246" s="11" t="s">
        <v>31</v>
      </c>
      <c r="AK246">
        <v>1000</v>
      </c>
      <c r="AL246" t="s">
        <v>614</v>
      </c>
      <c r="AM246" s="3" t="s">
        <v>103</v>
      </c>
      <c r="AN246" t="s">
        <v>305</v>
      </c>
      <c r="AO246" t="s">
        <v>790</v>
      </c>
      <c r="AP246">
        <v>3.5</v>
      </c>
      <c r="AQ246" t="s">
        <v>33</v>
      </c>
      <c r="AR246" t="s">
        <v>33</v>
      </c>
      <c r="AS246">
        <v>8</v>
      </c>
      <c r="AT246">
        <f>AS246-AU246</f>
        <v>3.21</v>
      </c>
      <c r="AU246" s="6">
        <v>4.79</v>
      </c>
      <c r="AV246" t="b">
        <v>1</v>
      </c>
      <c r="AW246" t="s">
        <v>617</v>
      </c>
      <c r="AX246" t="s">
        <v>33</v>
      </c>
      <c r="AY246" t="s">
        <v>623</v>
      </c>
      <c r="AZ246" t="s">
        <v>621</v>
      </c>
      <c r="BA246" s="18" t="s">
        <v>802</v>
      </c>
      <c r="BB246" s="3" t="b">
        <v>0</v>
      </c>
      <c r="BC246" t="s">
        <v>81</v>
      </c>
      <c r="BD246">
        <v>18</v>
      </c>
      <c r="BE246" t="s">
        <v>80</v>
      </c>
      <c r="BF246">
        <v>24</v>
      </c>
      <c r="BG246" t="s">
        <v>569</v>
      </c>
      <c r="BH246" t="s">
        <v>31</v>
      </c>
      <c r="BI246" t="s">
        <v>31</v>
      </c>
      <c r="BJ246">
        <f t="shared" si="111"/>
        <v>4.79</v>
      </c>
      <c r="BK246" s="3">
        <f t="shared" si="112"/>
        <v>0.68033551341456322</v>
      </c>
      <c r="BL246">
        <v>2</v>
      </c>
      <c r="BM246" s="3">
        <f t="shared" si="116"/>
        <v>1.8849218300056505</v>
      </c>
      <c r="BN246" t="s">
        <v>33</v>
      </c>
      <c r="BO246" s="3">
        <f t="shared" si="99"/>
        <v>76.722338204592916</v>
      </c>
      <c r="BP246" t="s">
        <v>33</v>
      </c>
      <c r="BQ246" t="s">
        <v>33</v>
      </c>
      <c r="BR246" t="s">
        <v>33</v>
      </c>
      <c r="BS246" t="s">
        <v>33</v>
      </c>
      <c r="BT246" t="s">
        <v>31</v>
      </c>
      <c r="BU246" t="s">
        <v>255</v>
      </c>
      <c r="BV246">
        <v>2010</v>
      </c>
      <c r="BW246" t="s">
        <v>651</v>
      </c>
      <c r="BX246" t="s">
        <v>78</v>
      </c>
      <c r="BY246" s="13" t="s">
        <v>674</v>
      </c>
      <c r="CA246" t="str">
        <f t="shared" si="101"/>
        <v>high acid</v>
      </c>
    </row>
    <row r="247" spans="1:79">
      <c r="A247" t="s">
        <v>592</v>
      </c>
      <c r="B247" t="s">
        <v>566</v>
      </c>
      <c r="C247" t="s">
        <v>563</v>
      </c>
      <c r="D247" t="s">
        <v>607</v>
      </c>
      <c r="E247" t="s">
        <v>77</v>
      </c>
      <c r="F247" t="s">
        <v>32</v>
      </c>
      <c r="G247" t="s">
        <v>33</v>
      </c>
      <c r="H247">
        <v>35</v>
      </c>
      <c r="I247" t="b">
        <v>0</v>
      </c>
      <c r="J247">
        <v>30000</v>
      </c>
      <c r="K247">
        <v>200</v>
      </c>
      <c r="L247">
        <v>35</v>
      </c>
      <c r="M247" s="4">
        <v>1</v>
      </c>
      <c r="N247" t="e">
        <f>(#REF!*Y247)/(T247*X247*O247)</f>
        <v>#REF!</v>
      </c>
      <c r="O247">
        <v>3</v>
      </c>
      <c r="P247" t="s">
        <v>33</v>
      </c>
      <c r="Q247" s="1">
        <f t="shared" si="113"/>
        <v>167.29999999999998</v>
      </c>
      <c r="R247" t="s">
        <v>183</v>
      </c>
      <c r="S247" t="s">
        <v>33</v>
      </c>
      <c r="T247">
        <v>1</v>
      </c>
      <c r="U247">
        <v>2.5</v>
      </c>
      <c r="V247" t="s">
        <v>33</v>
      </c>
      <c r="W247">
        <v>0.50249999999999995</v>
      </c>
      <c r="X247">
        <f>W247</f>
        <v>0.50249999999999995</v>
      </c>
      <c r="Y247" t="s">
        <v>33</v>
      </c>
      <c r="Z247" s="3">
        <f t="shared" si="126"/>
        <v>3.0035863717872086E-3</v>
      </c>
      <c r="AA247" t="s">
        <v>33</v>
      </c>
      <c r="AB247">
        <f t="shared" si="128"/>
        <v>167.29999999999998</v>
      </c>
      <c r="AC247" s="1" t="str">
        <f t="shared" si="107"/>
        <v>NA</v>
      </c>
      <c r="AE247" s="3">
        <f t="shared" si="127"/>
        <v>614.82749999999987</v>
      </c>
      <c r="AF247">
        <v>501.9</v>
      </c>
      <c r="AG247" s="1" t="str">
        <f>IFERROR((N247*P247*Q247), "NA")</f>
        <v>NA</v>
      </c>
      <c r="AH247" s="1" t="str">
        <f>IFERROR((AG247*U247*AI247), "NA")</f>
        <v>NA</v>
      </c>
      <c r="AI247" s="1">
        <v>1</v>
      </c>
      <c r="AJ247" s="11" t="s">
        <v>31</v>
      </c>
      <c r="AK247">
        <v>1000</v>
      </c>
      <c r="AL247" t="s">
        <v>614</v>
      </c>
      <c r="AM247" s="3" t="s">
        <v>103</v>
      </c>
      <c r="AN247" t="s">
        <v>305</v>
      </c>
      <c r="AO247" t="s">
        <v>790</v>
      </c>
      <c r="AP247">
        <v>4.5</v>
      </c>
      <c r="AQ247" t="s">
        <v>33</v>
      </c>
      <c r="AR247" t="s">
        <v>33</v>
      </c>
      <c r="AS247">
        <v>8</v>
      </c>
      <c r="AT247">
        <f>AS247-AU247</f>
        <v>3.21</v>
      </c>
      <c r="AU247" s="6">
        <v>4.79</v>
      </c>
      <c r="AV247" t="b">
        <v>1</v>
      </c>
      <c r="AW247" t="s">
        <v>626</v>
      </c>
      <c r="AX247" t="s">
        <v>627</v>
      </c>
      <c r="AY247" t="s">
        <v>633</v>
      </c>
      <c r="AZ247" t="s">
        <v>33</v>
      </c>
      <c r="BA247" s="18" t="s">
        <v>800</v>
      </c>
      <c r="BB247" s="3" t="b">
        <v>0</v>
      </c>
      <c r="BC247" t="s">
        <v>81</v>
      </c>
      <c r="BD247">
        <v>24</v>
      </c>
      <c r="BE247" t="s">
        <v>80</v>
      </c>
      <c r="BF247">
        <v>48</v>
      </c>
      <c r="BG247" t="s">
        <v>569</v>
      </c>
      <c r="BH247" t="s">
        <v>31</v>
      </c>
      <c r="BI247" t="s">
        <v>31</v>
      </c>
      <c r="BJ247">
        <f t="shared" si="111"/>
        <v>4.79</v>
      </c>
      <c r="BK247" s="3">
        <f t="shared" si="112"/>
        <v>0.68033551341456322</v>
      </c>
      <c r="BL247">
        <v>2</v>
      </c>
      <c r="BM247" s="3">
        <f t="shared" si="116"/>
        <v>2.1084177709680447</v>
      </c>
      <c r="BN247" t="s">
        <v>33</v>
      </c>
      <c r="BO247" s="3">
        <f t="shared" si="99"/>
        <v>128.35647181628389</v>
      </c>
      <c r="BP247" t="s">
        <v>33</v>
      </c>
      <c r="BQ247" t="s">
        <v>33</v>
      </c>
      <c r="BR247" t="s">
        <v>33</v>
      </c>
      <c r="BS247" t="s">
        <v>33</v>
      </c>
      <c r="BT247" t="s">
        <v>31</v>
      </c>
      <c r="BU247" s="15" t="s">
        <v>255</v>
      </c>
      <c r="BV247">
        <v>2010</v>
      </c>
      <c r="BW247" t="s">
        <v>659</v>
      </c>
      <c r="BX247" t="s">
        <v>78</v>
      </c>
      <c r="BY247" s="13" t="s">
        <v>680</v>
      </c>
      <c r="CA247" t="str">
        <f t="shared" si="101"/>
        <v>high acid</v>
      </c>
    </row>
    <row r="248" spans="1:79">
      <c r="A248" t="s">
        <v>354</v>
      </c>
      <c r="B248" t="s">
        <v>565</v>
      </c>
      <c r="C248" t="s">
        <v>563</v>
      </c>
      <c r="D248" t="s">
        <v>118</v>
      </c>
      <c r="E248" t="s">
        <v>77</v>
      </c>
      <c r="F248" t="s">
        <v>32</v>
      </c>
      <c r="G248">
        <v>20</v>
      </c>
      <c r="H248">
        <v>38</v>
      </c>
      <c r="I248" t="b">
        <v>0</v>
      </c>
      <c r="J248" t="s">
        <v>33</v>
      </c>
      <c r="K248" t="s">
        <v>33</v>
      </c>
      <c r="L248">
        <v>31</v>
      </c>
      <c r="M248" s="4">
        <v>800</v>
      </c>
      <c r="N248" s="3">
        <f>IFERROR(AF248/((T248*X248/Y248)*O248*AI248),"NA")</f>
        <v>798.65912581555494</v>
      </c>
      <c r="O248">
        <v>4</v>
      </c>
      <c r="P248">
        <v>1.4999999999999999E-2</v>
      </c>
      <c r="Q248" s="8">
        <f t="shared" si="113"/>
        <v>8.6458333333333352E-3</v>
      </c>
      <c r="R248" t="s">
        <v>183</v>
      </c>
      <c r="S248" t="s">
        <v>613</v>
      </c>
      <c r="T248" s="11">
        <v>6</v>
      </c>
      <c r="U248">
        <v>2.92</v>
      </c>
      <c r="V248">
        <v>2.38</v>
      </c>
      <c r="W248" t="s">
        <v>33</v>
      </c>
      <c r="X248" s="8">
        <f>IFERROR(((PI())*(((V248*10^-1)/2)^2)*(U248*10^-1)), "NA")</f>
        <v>1.2990523321705635E-2</v>
      </c>
      <c r="Y248">
        <v>1.5</v>
      </c>
      <c r="Z248" s="3">
        <f t="shared" si="126"/>
        <v>1.5025183601008925</v>
      </c>
      <c r="AA248" t="s">
        <v>33</v>
      </c>
      <c r="AB248" s="6">
        <f t="shared" si="128"/>
        <v>6.916666666666667</v>
      </c>
      <c r="AC248">
        <f t="shared" si="107"/>
        <v>12</v>
      </c>
      <c r="AD248" s="4">
        <f>AB248*T248*AI248</f>
        <v>41.5</v>
      </c>
      <c r="AE248" s="3">
        <f t="shared" si="127"/>
        <v>414.76760000000007</v>
      </c>
      <c r="AF248" s="3">
        <v>166</v>
      </c>
      <c r="AG248">
        <f>IFERROR((M248*O248*P248), "NA")</f>
        <v>48</v>
      </c>
      <c r="AH248">
        <f>IFERROR((AG248*T248*AI248), "NA")</f>
        <v>288</v>
      </c>
      <c r="AI248">
        <v>1</v>
      </c>
      <c r="AJ248" t="s">
        <v>31</v>
      </c>
      <c r="AK248">
        <v>2600</v>
      </c>
      <c r="AL248" t="s">
        <v>351</v>
      </c>
      <c r="AM248" t="s">
        <v>86</v>
      </c>
      <c r="AN248" t="s">
        <v>205</v>
      </c>
      <c r="AO248" t="s">
        <v>789</v>
      </c>
      <c r="AP248">
        <v>3.7</v>
      </c>
      <c r="AQ248" t="s">
        <v>33</v>
      </c>
      <c r="AR248" t="s">
        <v>33</v>
      </c>
      <c r="AS248" s="6">
        <v>6.5</v>
      </c>
      <c r="AT248" s="3">
        <f>IFERROR(AS248-AU248,"NA")</f>
        <v>3.2120000000000002</v>
      </c>
      <c r="AU248" s="6">
        <v>3.2879999999999998</v>
      </c>
      <c r="AV248" t="b">
        <v>1</v>
      </c>
      <c r="AW248" t="s">
        <v>29</v>
      </c>
      <c r="AX248" t="s">
        <v>30</v>
      </c>
      <c r="AY248" t="s">
        <v>33</v>
      </c>
      <c r="AZ248" t="s">
        <v>134</v>
      </c>
      <c r="BA248" s="18" t="s">
        <v>798</v>
      </c>
      <c r="BB248" t="b">
        <v>0</v>
      </c>
      <c r="BC248" t="s">
        <v>81</v>
      </c>
      <c r="BD248">
        <v>12</v>
      </c>
      <c r="BE248" t="s">
        <v>80</v>
      </c>
      <c r="BF248" s="11">
        <v>24</v>
      </c>
      <c r="BG248" t="s">
        <v>352</v>
      </c>
      <c r="BH248" t="s">
        <v>31</v>
      </c>
      <c r="BI248" t="s">
        <v>31</v>
      </c>
      <c r="BJ248" s="3">
        <f t="shared" si="111"/>
        <v>3.2879999999999998</v>
      </c>
      <c r="BK248" s="3">
        <f t="shared" si="112"/>
        <v>0.51693180886801282</v>
      </c>
      <c r="BL248">
        <v>2</v>
      </c>
      <c r="BM248" s="3">
        <f t="shared" si="116"/>
        <v>2.1008730148114059</v>
      </c>
      <c r="BN248" t="s">
        <v>33</v>
      </c>
      <c r="BO248" s="3">
        <f t="shared" si="99"/>
        <v>126.14586374695867</v>
      </c>
      <c r="BP248" t="s">
        <v>33</v>
      </c>
      <c r="BQ248" t="s">
        <v>33</v>
      </c>
      <c r="BR248" t="s">
        <v>33</v>
      </c>
      <c r="BS248" t="s">
        <v>33</v>
      </c>
      <c r="BT248" t="s">
        <v>31</v>
      </c>
      <c r="BU248" t="s">
        <v>163</v>
      </c>
      <c r="BV248">
        <v>2000</v>
      </c>
      <c r="BW248" t="s">
        <v>353</v>
      </c>
      <c r="BX248" t="s">
        <v>78</v>
      </c>
      <c r="BY248" t="s">
        <v>33</v>
      </c>
      <c r="BZ248" t="s">
        <v>529</v>
      </c>
      <c r="CA248" t="str">
        <f t="shared" si="101"/>
        <v>high acid</v>
      </c>
    </row>
    <row r="249" spans="1:79">
      <c r="A249" t="s">
        <v>588</v>
      </c>
      <c r="B249" t="s">
        <v>565</v>
      </c>
      <c r="C249" t="s">
        <v>563</v>
      </c>
      <c r="D249" t="s">
        <v>608</v>
      </c>
      <c r="E249" t="s">
        <v>77</v>
      </c>
      <c r="F249" t="s">
        <v>32</v>
      </c>
      <c r="G249" t="s">
        <v>33</v>
      </c>
      <c r="H249">
        <v>40</v>
      </c>
      <c r="I249" t="b">
        <v>0</v>
      </c>
      <c r="J249" t="s">
        <v>33</v>
      </c>
      <c r="K249" t="s">
        <v>33</v>
      </c>
      <c r="L249">
        <v>35</v>
      </c>
      <c r="M249" s="4">
        <v>250</v>
      </c>
      <c r="N249" t="e">
        <f>(#REF!*Y249)/(T249*X249*O249)</f>
        <v>#REF!</v>
      </c>
      <c r="O249">
        <v>3.7</v>
      </c>
      <c r="P249" t="s">
        <v>33</v>
      </c>
      <c r="Q249" s="1">
        <f t="shared" si="113"/>
        <v>8.1081081081081072E-2</v>
      </c>
      <c r="R249" t="s">
        <v>183</v>
      </c>
      <c r="S249" t="s">
        <v>613</v>
      </c>
      <c r="T249">
        <v>6</v>
      </c>
      <c r="U249">
        <v>1.9</v>
      </c>
      <c r="V249">
        <v>2.2999999999999998</v>
      </c>
      <c r="W249" t="s">
        <v>33</v>
      </c>
      <c r="X249">
        <f>IFERROR(((PI())*(((V249*10^-1)/2)^2)*(U249*10^-1)), "NA")</f>
        <v>7.8940369403077502E-3</v>
      </c>
      <c r="Y249">
        <v>1</v>
      </c>
      <c r="Z249" s="3">
        <f t="shared" si="126"/>
        <v>9.7359788930462265E-2</v>
      </c>
      <c r="AA249" t="s">
        <v>33</v>
      </c>
      <c r="AB249">
        <f t="shared" si="128"/>
        <v>20.27027027027027</v>
      </c>
      <c r="AC249" s="1" t="str">
        <f t="shared" si="107"/>
        <v>NA</v>
      </c>
      <c r="AE249" s="3">
        <f t="shared" si="127"/>
        <v>2645.9999999999995</v>
      </c>
      <c r="AF249">
        <v>450</v>
      </c>
      <c r="AG249" s="1" t="str">
        <f>IFERROR((N249*P249*Q249), "NA")</f>
        <v>NA</v>
      </c>
      <c r="AH249" s="1" t="str">
        <f>IFERROR((AG249*U249*AI249), "NA")</f>
        <v>NA</v>
      </c>
      <c r="AI249" s="1">
        <v>1</v>
      </c>
      <c r="AJ249" s="11" t="s">
        <v>31</v>
      </c>
      <c r="AK249">
        <v>4800</v>
      </c>
      <c r="AL249" t="s">
        <v>156</v>
      </c>
      <c r="AM249" t="s">
        <v>157</v>
      </c>
      <c r="AN249" t="s">
        <v>186</v>
      </c>
      <c r="AO249" t="s">
        <v>792</v>
      </c>
      <c r="AP249">
        <v>6.53</v>
      </c>
      <c r="AQ249" t="s">
        <v>33</v>
      </c>
      <c r="AR249" t="s">
        <v>33</v>
      </c>
      <c r="AS249">
        <v>6.5</v>
      </c>
      <c r="AT249">
        <v>3.23</v>
      </c>
      <c r="AU249" s="6">
        <f>AS249-AT249</f>
        <v>3.27</v>
      </c>
      <c r="AV249" t="b">
        <v>1</v>
      </c>
      <c r="AW249" t="s">
        <v>626</v>
      </c>
      <c r="AX249" t="s">
        <v>627</v>
      </c>
      <c r="AY249" t="s">
        <v>625</v>
      </c>
      <c r="AZ249" t="s">
        <v>33</v>
      </c>
      <c r="BA249" s="18" t="s">
        <v>800</v>
      </c>
      <c r="BB249" s="3" t="b">
        <v>0</v>
      </c>
      <c r="BC249" t="s">
        <v>81</v>
      </c>
      <c r="BD249">
        <v>12</v>
      </c>
      <c r="BE249" t="s">
        <v>80</v>
      </c>
      <c r="BF249">
        <v>48</v>
      </c>
      <c r="BG249" t="s">
        <v>568</v>
      </c>
      <c r="BH249" t="s">
        <v>31</v>
      </c>
      <c r="BI249" t="s">
        <v>31</v>
      </c>
      <c r="BJ249">
        <f t="shared" si="111"/>
        <v>3.27</v>
      </c>
      <c r="BK249" s="3">
        <f t="shared" si="112"/>
        <v>0.51454775266028607</v>
      </c>
      <c r="BL249">
        <v>2</v>
      </c>
      <c r="BM249" s="3">
        <f t="shared" si="116"/>
        <v>2.9080420871911961</v>
      </c>
      <c r="BN249" t="s">
        <v>33</v>
      </c>
      <c r="BO249" s="3">
        <f t="shared" si="99"/>
        <v>809.17431192660536</v>
      </c>
      <c r="BP249" t="s">
        <v>33</v>
      </c>
      <c r="BQ249" t="s">
        <v>33</v>
      </c>
      <c r="BR249" t="s">
        <v>33</v>
      </c>
      <c r="BS249" t="s">
        <v>33</v>
      </c>
      <c r="BT249" t="s">
        <v>31</v>
      </c>
      <c r="BU249" s="13" t="s">
        <v>163</v>
      </c>
      <c r="BV249">
        <v>2004</v>
      </c>
      <c r="BW249" t="s">
        <v>654</v>
      </c>
      <c r="BX249" t="s">
        <v>78</v>
      </c>
      <c r="BY249" s="13" t="s">
        <v>677</v>
      </c>
      <c r="CA249" t="str">
        <f t="shared" si="101"/>
        <v>low acid</v>
      </c>
    </row>
    <row r="250" spans="1:79">
      <c r="A250" t="s">
        <v>580</v>
      </c>
      <c r="B250" t="s">
        <v>565</v>
      </c>
      <c r="C250" t="s">
        <v>563</v>
      </c>
      <c r="D250" t="s">
        <v>118</v>
      </c>
      <c r="E250" t="s">
        <v>77</v>
      </c>
      <c r="F250" t="s">
        <v>32</v>
      </c>
      <c r="G250">
        <v>22</v>
      </c>
      <c r="H250">
        <v>40</v>
      </c>
      <c r="I250" t="b">
        <v>0</v>
      </c>
      <c r="J250">
        <v>10220</v>
      </c>
      <c r="K250">
        <v>25.36</v>
      </c>
      <c r="L250">
        <v>35</v>
      </c>
      <c r="M250" s="4">
        <v>250</v>
      </c>
      <c r="N250" t="e">
        <f>(#REF!*Y250)/(T250*X250*O250)</f>
        <v>#REF!</v>
      </c>
      <c r="O250">
        <v>4</v>
      </c>
      <c r="P250">
        <f>AVERAGE(0.0066, 0.0091)</f>
        <v>7.8499999999999993E-3</v>
      </c>
      <c r="Q250" s="1">
        <f t="shared" si="113"/>
        <v>0.15625</v>
      </c>
      <c r="R250" t="s">
        <v>183</v>
      </c>
      <c r="S250" t="s">
        <v>613</v>
      </c>
      <c r="T250">
        <v>8</v>
      </c>
      <c r="U250">
        <v>2.92</v>
      </c>
      <c r="V250">
        <v>2.2999999999999998</v>
      </c>
      <c r="W250">
        <v>1.21E-2</v>
      </c>
      <c r="X250">
        <f>IFERROR(((PI())*(((V250*10^-1)/2)^2)*(U250*10^-1)), "NA")</f>
        <v>1.2131888350367701E-2</v>
      </c>
      <c r="Y250">
        <v>1.5</v>
      </c>
      <c r="Z250" s="3">
        <f t="shared" si="126"/>
        <v>7.7644085442353281E-2</v>
      </c>
      <c r="AA250" t="s">
        <v>33</v>
      </c>
      <c r="AB250">
        <f t="shared" si="128"/>
        <v>39.0625</v>
      </c>
      <c r="AC250" s="1">
        <f t="shared" si="107"/>
        <v>1.9624999999999999</v>
      </c>
      <c r="AE250" s="3">
        <f t="shared" si="127"/>
        <v>3338.125</v>
      </c>
      <c r="AF250">
        <v>1250</v>
      </c>
      <c r="AG250" s="1" t="str">
        <f>IFERROR((N250*P250*Q250), "NA")</f>
        <v>NA</v>
      </c>
      <c r="AH250" s="1" t="str">
        <f>IFERROR((AG250*U250*AI250), "NA")</f>
        <v>NA</v>
      </c>
      <c r="AI250" s="1">
        <v>1</v>
      </c>
      <c r="AJ250" s="11" t="s">
        <v>31</v>
      </c>
      <c r="AK250">
        <v>2180</v>
      </c>
      <c r="AL250" t="s">
        <v>149</v>
      </c>
      <c r="AM250" t="s">
        <v>86</v>
      </c>
      <c r="AN250" t="s">
        <v>205</v>
      </c>
      <c r="AO250" t="s">
        <v>789</v>
      </c>
      <c r="AP250">
        <v>4.46</v>
      </c>
      <c r="AQ250" t="s">
        <v>33</v>
      </c>
      <c r="AR250" t="s">
        <v>33</v>
      </c>
      <c r="AS250">
        <v>7.5</v>
      </c>
      <c r="AT250">
        <f>AS250-AU250</f>
        <v>3.2300000000000004</v>
      </c>
      <c r="AU250" s="6">
        <v>4.2699999999999996</v>
      </c>
      <c r="AV250" t="b">
        <v>1</v>
      </c>
      <c r="AW250" t="s">
        <v>617</v>
      </c>
      <c r="AX250" t="s">
        <v>33</v>
      </c>
      <c r="AY250" t="s">
        <v>33</v>
      </c>
      <c r="AZ250" t="s">
        <v>619</v>
      </c>
      <c r="BA250" s="18" t="s">
        <v>802</v>
      </c>
      <c r="BB250" s="3" t="b">
        <v>0</v>
      </c>
      <c r="BC250" t="s">
        <v>81</v>
      </c>
      <c r="BD250">
        <v>15</v>
      </c>
      <c r="BE250" t="s">
        <v>80</v>
      </c>
      <c r="BF250">
        <v>24</v>
      </c>
      <c r="BG250" t="s">
        <v>697</v>
      </c>
      <c r="BH250" t="s">
        <v>32</v>
      </c>
      <c r="BI250" t="s">
        <v>31</v>
      </c>
      <c r="BJ250">
        <f t="shared" si="111"/>
        <v>4.2699999999999996</v>
      </c>
      <c r="BK250" s="3">
        <f t="shared" si="112"/>
        <v>0.63042787502502384</v>
      </c>
      <c r="BL250">
        <v>2</v>
      </c>
      <c r="BM250" s="3">
        <f t="shared" si="116"/>
        <v>2.8930747202881886</v>
      </c>
      <c r="BN250" t="s">
        <v>33</v>
      </c>
      <c r="BO250" s="3">
        <f t="shared" si="99"/>
        <v>781.7622950819673</v>
      </c>
      <c r="BP250" t="s">
        <v>33</v>
      </c>
      <c r="BQ250" t="s">
        <v>33</v>
      </c>
      <c r="BR250" t="s">
        <v>33</v>
      </c>
      <c r="BS250" t="s">
        <v>33</v>
      </c>
      <c r="BT250" t="s">
        <v>31</v>
      </c>
      <c r="BU250" t="s">
        <v>219</v>
      </c>
      <c r="BV250" s="14">
        <v>2008</v>
      </c>
      <c r="BW250" t="s">
        <v>257</v>
      </c>
      <c r="BX250" t="s">
        <v>78</v>
      </c>
      <c r="BY250" s="13" t="s">
        <v>670</v>
      </c>
      <c r="CA250" t="str">
        <f t="shared" si="101"/>
        <v>high acid</v>
      </c>
    </row>
    <row r="251" spans="1:79">
      <c r="A251" t="s">
        <v>535</v>
      </c>
      <c r="B251" t="s">
        <v>565</v>
      </c>
      <c r="C251" t="s">
        <v>564</v>
      </c>
      <c r="D251" t="s">
        <v>243</v>
      </c>
      <c r="E251" t="s">
        <v>77</v>
      </c>
      <c r="F251" t="s">
        <v>32</v>
      </c>
      <c r="G251">
        <v>40</v>
      </c>
      <c r="H251">
        <v>43</v>
      </c>
      <c r="I251" t="b">
        <v>0</v>
      </c>
      <c r="J251" t="s">
        <v>33</v>
      </c>
      <c r="K251" t="s">
        <v>33</v>
      </c>
      <c r="L251">
        <v>18</v>
      </c>
      <c r="M251" s="4">
        <v>120</v>
      </c>
      <c r="N251" s="3">
        <f>IFERROR(AF251/((T251*X251/Y251)*O251*AI251),"NA")</f>
        <v>100.27842677825969</v>
      </c>
      <c r="O251">
        <v>3</v>
      </c>
      <c r="P251" t="s">
        <v>33</v>
      </c>
      <c r="Q251" s="9">
        <f t="shared" si="113"/>
        <v>3.1944444444444442E-2</v>
      </c>
      <c r="R251" t="s">
        <v>183</v>
      </c>
      <c r="S251" t="s">
        <v>612</v>
      </c>
      <c r="T251" s="11">
        <v>4</v>
      </c>
      <c r="U251">
        <v>3</v>
      </c>
      <c r="V251">
        <v>2.6</v>
      </c>
      <c r="W251">
        <v>1.5900000000000001E-2</v>
      </c>
      <c r="X251" s="8">
        <f>IFERROR(((PI())*(((V251*10^-1)/2)^2)*(U251*10^-1)), "NA")</f>
        <v>1.5927874753700257E-2</v>
      </c>
      <c r="Y251" s="6">
        <f>25/60</f>
        <v>0.41666666666666669</v>
      </c>
      <c r="Z251" s="3">
        <f t="shared" si="126"/>
        <v>0.498611731420182</v>
      </c>
      <c r="AA251" t="s">
        <v>33</v>
      </c>
      <c r="AB251" s="6">
        <f t="shared" si="128"/>
        <v>3.833333333333333</v>
      </c>
      <c r="AC251" t="str">
        <f t="shared" si="107"/>
        <v>NA</v>
      </c>
      <c r="AD251" s="4">
        <f>IFERROR(AB251*T251*AI251, "NA")</f>
        <v>15.333333333333332</v>
      </c>
      <c r="AE251" s="3">
        <f t="shared" si="127"/>
        <v>13.711679999999998</v>
      </c>
      <c r="AF251">
        <v>46</v>
      </c>
      <c r="AG251" t="str">
        <f>IFERROR((M251*O251*P251), "NA")</f>
        <v>NA</v>
      </c>
      <c r="AH251" t="str">
        <f>IFERROR((AG251*T251*AI251), "NA")</f>
        <v>NA</v>
      </c>
      <c r="AI251" s="11">
        <v>1</v>
      </c>
      <c r="AJ251" t="s">
        <v>31</v>
      </c>
      <c r="AK251">
        <v>920</v>
      </c>
      <c r="AL251" t="s">
        <v>551</v>
      </c>
      <c r="AM251" t="s">
        <v>86</v>
      </c>
      <c r="AN251" t="s">
        <v>186</v>
      </c>
      <c r="AO251" t="s">
        <v>794</v>
      </c>
      <c r="AP251">
        <v>5.92</v>
      </c>
      <c r="AQ251" t="s">
        <v>33</v>
      </c>
      <c r="AR251" t="s">
        <v>33</v>
      </c>
      <c r="AS251" s="6">
        <f>LOG(1.1*10^7)</f>
        <v>7.0413926851582254</v>
      </c>
      <c r="AT251" s="3">
        <f>IFERROR(AS251-AU251,"NA")</f>
        <v>3.2303926851582254</v>
      </c>
      <c r="AU251" s="6">
        <v>3.8109999999999999</v>
      </c>
      <c r="AV251" t="b">
        <v>1</v>
      </c>
      <c r="AW251" t="s">
        <v>172</v>
      </c>
      <c r="AX251" t="s">
        <v>173</v>
      </c>
      <c r="AY251" t="s">
        <v>246</v>
      </c>
      <c r="AZ251" t="s">
        <v>33</v>
      </c>
      <c r="BA251" s="18" t="s">
        <v>799</v>
      </c>
      <c r="BB251" t="b">
        <v>0</v>
      </c>
      <c r="BC251" t="s">
        <v>81</v>
      </c>
      <c r="BD251">
        <v>72</v>
      </c>
      <c r="BE251" t="s">
        <v>80</v>
      </c>
      <c r="BF251" s="11">
        <v>72</v>
      </c>
      <c r="BG251" t="s">
        <v>522</v>
      </c>
      <c r="BH251" t="s">
        <v>31</v>
      </c>
      <c r="BI251" t="s">
        <v>31</v>
      </c>
      <c r="BJ251" s="3">
        <f t="shared" si="111"/>
        <v>3.8109999999999999</v>
      </c>
      <c r="BK251" s="3">
        <f t="shared" si="112"/>
        <v>0.58103894877216722</v>
      </c>
      <c r="BL251">
        <v>2</v>
      </c>
      <c r="BM251" s="3">
        <f t="shared" si="116"/>
        <v>0.55605172046157425</v>
      </c>
      <c r="BN251" t="s">
        <v>33</v>
      </c>
      <c r="BO251" s="3">
        <f t="shared" si="99"/>
        <v>3.5979218053004454</v>
      </c>
      <c r="BP251" t="s">
        <v>33</v>
      </c>
      <c r="BQ251" t="s">
        <v>33</v>
      </c>
      <c r="BR251" t="s">
        <v>33</v>
      </c>
      <c r="BS251" t="s">
        <v>33</v>
      </c>
      <c r="BT251" t="s">
        <v>32</v>
      </c>
      <c r="BU251" t="s">
        <v>207</v>
      </c>
      <c r="BV251">
        <v>2014</v>
      </c>
      <c r="BW251" s="2" t="s">
        <v>242</v>
      </c>
      <c r="BX251" t="s">
        <v>78</v>
      </c>
      <c r="BY251" t="s">
        <v>33</v>
      </c>
      <c r="BZ251" t="s">
        <v>33</v>
      </c>
      <c r="CA251" t="str">
        <f t="shared" si="101"/>
        <v>low acid</v>
      </c>
    </row>
    <row r="252" spans="1:79">
      <c r="A252" s="3" t="s">
        <v>303</v>
      </c>
      <c r="B252" t="s">
        <v>566</v>
      </c>
      <c r="C252" t="s">
        <v>563</v>
      </c>
      <c r="D252" s="3" t="s">
        <v>279</v>
      </c>
      <c r="E252" s="3" t="s">
        <v>77</v>
      </c>
      <c r="F252" t="s">
        <v>32</v>
      </c>
      <c r="G252" s="11">
        <v>10</v>
      </c>
      <c r="H252" s="11">
        <v>30</v>
      </c>
      <c r="I252" s="3" t="b">
        <v>0</v>
      </c>
      <c r="J252" s="3" t="s">
        <v>33</v>
      </c>
      <c r="K252" s="3" t="s">
        <v>33</v>
      </c>
      <c r="L252" s="11">
        <v>20</v>
      </c>
      <c r="M252" s="4">
        <v>1000</v>
      </c>
      <c r="N252" s="3">
        <f>IFERROR(AF252/((T252*X252/Y252)*O252*AI252),"NA")</f>
        <v>5052.5378759331843</v>
      </c>
      <c r="O252" s="3">
        <v>16</v>
      </c>
      <c r="P252" s="3" t="s">
        <v>33</v>
      </c>
      <c r="Q252" s="3">
        <f t="shared" si="113"/>
        <v>0.15000000000000002</v>
      </c>
      <c r="R252" t="s">
        <v>183</v>
      </c>
      <c r="S252" t="s">
        <v>613</v>
      </c>
      <c r="T252" s="11">
        <v>1</v>
      </c>
      <c r="U252" s="3">
        <v>2.8</v>
      </c>
      <c r="V252" s="3">
        <v>3</v>
      </c>
      <c r="W252" s="3">
        <v>0.02</v>
      </c>
      <c r="X252" s="3">
        <f>IFERROR(((PI())*(((V252*10^-1)/2)^2)*(U252*10^-1)), "NA")</f>
        <v>1.97920337176157E-2</v>
      </c>
      <c r="Y252" s="3">
        <f>40/60</f>
        <v>0.66666666666666663</v>
      </c>
      <c r="Z252" s="3">
        <f t="shared" si="126"/>
        <v>0.13194689145077132</v>
      </c>
      <c r="AA252" s="3" t="s">
        <v>33</v>
      </c>
      <c r="AB252" s="3">
        <f t="shared" si="128"/>
        <v>150</v>
      </c>
      <c r="AC252" s="3" t="str">
        <f t="shared" si="107"/>
        <v>NA</v>
      </c>
      <c r="AD252" s="4">
        <f>IFERROR(AB252*T252*AI252, "NA")</f>
        <v>150</v>
      </c>
      <c r="AE252" s="3">
        <f t="shared" si="127"/>
        <v>96.000000000000014</v>
      </c>
      <c r="AF252" s="3">
        <v>2400</v>
      </c>
      <c r="AG252" s="3" t="str">
        <f>IFERROR((M252*O252*P252), "NA")</f>
        <v>NA</v>
      </c>
      <c r="AH252" s="3" t="str">
        <f>IFERROR((AG252*T252*AI252), "NA")</f>
        <v>NA</v>
      </c>
      <c r="AI252" s="11">
        <v>1</v>
      </c>
      <c r="AJ252" t="s">
        <v>31</v>
      </c>
      <c r="AK252" s="11">
        <v>100</v>
      </c>
      <c r="AL252" s="3" t="s">
        <v>526</v>
      </c>
      <c r="AM252" s="3" t="s">
        <v>103</v>
      </c>
      <c r="AN252" t="s">
        <v>130</v>
      </c>
      <c r="AO252" t="s">
        <v>795</v>
      </c>
      <c r="AP252" s="3" t="s">
        <v>33</v>
      </c>
      <c r="AQ252" s="3" t="s">
        <v>33</v>
      </c>
      <c r="AR252" s="3" t="s">
        <v>33</v>
      </c>
      <c r="AS252" s="3">
        <f>4.049</f>
        <v>4.0490000000000004</v>
      </c>
      <c r="AT252" s="3">
        <f>IFERROR(AS252-AU252,"NA")</f>
        <v>3.2360000000000007</v>
      </c>
      <c r="AU252" s="6">
        <v>0.81299999999999994</v>
      </c>
      <c r="AV252" s="3" t="b">
        <v>1</v>
      </c>
      <c r="AW252" s="3" t="s">
        <v>172</v>
      </c>
      <c r="AX252" s="3" t="s">
        <v>173</v>
      </c>
      <c r="AY252" s="3" t="s">
        <v>283</v>
      </c>
      <c r="AZ252" s="3" t="s">
        <v>33</v>
      </c>
      <c r="BA252" s="18" t="s">
        <v>799</v>
      </c>
      <c r="BB252" s="3" t="b">
        <v>0</v>
      </c>
      <c r="BC252" t="s">
        <v>81</v>
      </c>
      <c r="BD252" s="3">
        <v>2</v>
      </c>
      <c r="BE252" s="3" t="s">
        <v>252</v>
      </c>
      <c r="BF252" s="11">
        <v>72</v>
      </c>
      <c r="BG252" s="3" t="s">
        <v>574</v>
      </c>
      <c r="BH252" s="3" t="s">
        <v>31</v>
      </c>
      <c r="BI252" s="3" t="s">
        <v>31</v>
      </c>
      <c r="BJ252" s="3">
        <f t="shared" si="111"/>
        <v>0.81299999999999994</v>
      </c>
      <c r="BK252" s="3">
        <f t="shared" si="112"/>
        <v>-8.9909454405931857E-2</v>
      </c>
      <c r="BL252" s="3">
        <v>2</v>
      </c>
      <c r="BM252" s="3">
        <f t="shared" si="116"/>
        <v>2.0721806874455004</v>
      </c>
      <c r="BN252" s="3" t="s">
        <v>33</v>
      </c>
      <c r="BO252" s="3">
        <f t="shared" si="99"/>
        <v>118.08118081180814</v>
      </c>
      <c r="BP252" s="3" t="s">
        <v>33</v>
      </c>
      <c r="BQ252" s="3" t="s">
        <v>33</v>
      </c>
      <c r="BR252" s="3" t="s">
        <v>33</v>
      </c>
      <c r="BS252" s="3" t="s">
        <v>33</v>
      </c>
      <c r="BT252" t="s">
        <v>31</v>
      </c>
      <c r="BU252" s="3" t="s">
        <v>247</v>
      </c>
      <c r="BV252" s="11">
        <v>2016</v>
      </c>
      <c r="BW252" s="3" t="s">
        <v>284</v>
      </c>
      <c r="BX252" t="s">
        <v>78</v>
      </c>
      <c r="BY252" s="3" t="s">
        <v>33</v>
      </c>
      <c r="BZ252" s="3" t="s">
        <v>286</v>
      </c>
      <c r="CA252" t="str">
        <f t="shared" si="101"/>
        <v>low acid</v>
      </c>
    </row>
    <row r="253" spans="1:79">
      <c r="A253" t="s">
        <v>722</v>
      </c>
      <c r="B253" t="s">
        <v>566</v>
      </c>
      <c r="C253" t="s">
        <v>563</v>
      </c>
      <c r="D253" t="s">
        <v>699</v>
      </c>
      <c r="E253" t="s">
        <v>77</v>
      </c>
      <c r="F253" t="s">
        <v>32</v>
      </c>
      <c r="G253">
        <v>20</v>
      </c>
      <c r="H253">
        <v>64</v>
      </c>
      <c r="I253" t="b">
        <v>1</v>
      </c>
      <c r="J253" t="s">
        <v>33</v>
      </c>
      <c r="K253" t="s">
        <v>33</v>
      </c>
      <c r="L253">
        <v>20</v>
      </c>
      <c r="M253" s="4">
        <v>64</v>
      </c>
      <c r="N253" s="3">
        <f>IFERROR(AF253/((T253*X253/Y253)*O253*AI253),"NA")</f>
        <v>63.657407407407391</v>
      </c>
      <c r="O253">
        <v>5</v>
      </c>
      <c r="P253">
        <v>0.43</v>
      </c>
      <c r="Q253" s="8">
        <f>IFERROR(X253/Y253, "NA")</f>
        <v>0.43200000000000011</v>
      </c>
      <c r="R253" t="s">
        <v>183</v>
      </c>
      <c r="S253" t="s">
        <v>612</v>
      </c>
      <c r="T253" s="11">
        <v>1</v>
      </c>
      <c r="U253">
        <v>4</v>
      </c>
      <c r="V253" t="s">
        <v>33</v>
      </c>
      <c r="W253">
        <f>0.4*3*0.5</f>
        <v>0.60000000000000009</v>
      </c>
      <c r="X253" s="9">
        <f>W253</f>
        <v>0.60000000000000009</v>
      </c>
      <c r="Y253" s="6">
        <f>5000/3600</f>
        <v>1.3888888888888888</v>
      </c>
      <c r="Z253" s="3">
        <f t="shared" si="126"/>
        <v>1.3963636363636365</v>
      </c>
      <c r="AA253" t="s">
        <v>33</v>
      </c>
      <c r="AB253" s="4">
        <f>IFERROR(((X253*M253)/Y253), "NA")</f>
        <v>27.648000000000007</v>
      </c>
      <c r="AC253" s="4">
        <f t="shared" si="107"/>
        <v>27.52</v>
      </c>
      <c r="AD253" s="4">
        <f>AB253*T253*AI253</f>
        <v>27.648000000000007</v>
      </c>
      <c r="AE253" s="3">
        <f t="shared" si="127"/>
        <v>110.59200000000003</v>
      </c>
      <c r="AF253">
        <v>137.5</v>
      </c>
      <c r="AG253" s="4">
        <f>IFERROR((M253*O253*P253), "NA")</f>
        <v>137.6</v>
      </c>
      <c r="AH253" s="4">
        <f>IFERROR((AG253*T253*AI253), "NA")</f>
        <v>137.6</v>
      </c>
      <c r="AI253">
        <v>1</v>
      </c>
      <c r="AJ253" s="11" t="s">
        <v>31</v>
      </c>
      <c r="AK253">
        <v>2000</v>
      </c>
      <c r="AL253" t="s">
        <v>784</v>
      </c>
      <c r="AM253" t="s">
        <v>103</v>
      </c>
      <c r="AN253" t="s">
        <v>130</v>
      </c>
      <c r="AO253" t="s">
        <v>795</v>
      </c>
      <c r="AP253">
        <v>7</v>
      </c>
      <c r="AQ253" t="s">
        <v>33</v>
      </c>
      <c r="AR253" t="s">
        <v>33</v>
      </c>
      <c r="AS253" s="6">
        <f>LOG(AVERAGE(10^8, 10^9))</f>
        <v>8.7403626894942441</v>
      </c>
      <c r="AT253" s="3">
        <f>IFERROR(AS253-AU253,"NA")</f>
        <v>3.237362689494244</v>
      </c>
      <c r="AU253" s="6">
        <v>5.5030000000000001</v>
      </c>
      <c r="AV253" t="b">
        <v>1</v>
      </c>
      <c r="AW253" t="s">
        <v>123</v>
      </c>
      <c r="AX253" t="s">
        <v>88</v>
      </c>
      <c r="AY253" t="s">
        <v>723</v>
      </c>
      <c r="AZ253" t="s">
        <v>33</v>
      </c>
      <c r="BA253" s="18" t="s">
        <v>579</v>
      </c>
      <c r="BB253" s="3" t="b">
        <v>1</v>
      </c>
      <c r="BC253" t="s">
        <v>81</v>
      </c>
      <c r="BD253">
        <v>24</v>
      </c>
      <c r="BE253" t="s">
        <v>80</v>
      </c>
      <c r="BF253">
        <v>48</v>
      </c>
      <c r="BG253" t="s">
        <v>395</v>
      </c>
      <c r="BH253" t="s">
        <v>31</v>
      </c>
      <c r="BI253" t="s">
        <v>31</v>
      </c>
      <c r="BJ253" s="3">
        <f t="shared" si="111"/>
        <v>5.5030000000000001</v>
      </c>
      <c r="BK253" s="3">
        <f t="shared" si="112"/>
        <v>0.74059951281115655</v>
      </c>
      <c r="BL253">
        <v>2</v>
      </c>
      <c r="BM253" s="3">
        <f t="shared" si="116"/>
        <v>1.3031241993156053</v>
      </c>
      <c r="BN253" t="s">
        <v>33</v>
      </c>
      <c r="BO253" s="3">
        <f t="shared" si="99"/>
        <v>20.096674541159373</v>
      </c>
      <c r="BP253" t="s">
        <v>33</v>
      </c>
      <c r="BQ253" t="s">
        <v>33</v>
      </c>
      <c r="BR253" t="s">
        <v>33</v>
      </c>
      <c r="BS253" t="s">
        <v>33</v>
      </c>
      <c r="BT253" t="s">
        <v>32</v>
      </c>
      <c r="BU253" t="s">
        <v>709</v>
      </c>
      <c r="BV253">
        <v>2024</v>
      </c>
      <c r="BW253" t="s">
        <v>710</v>
      </c>
      <c r="BX253" t="s">
        <v>78</v>
      </c>
      <c r="BY253" t="s">
        <v>711</v>
      </c>
      <c r="CA253" t="str">
        <f t="shared" si="101"/>
        <v>low acid</v>
      </c>
    </row>
    <row r="254" spans="1:79">
      <c r="A254" t="s">
        <v>584</v>
      </c>
      <c r="B254" t="s">
        <v>566</v>
      </c>
      <c r="C254" t="s">
        <v>563</v>
      </c>
      <c r="D254" t="s">
        <v>607</v>
      </c>
      <c r="E254" t="s">
        <v>77</v>
      </c>
      <c r="F254" t="s">
        <v>33</v>
      </c>
      <c r="G254">
        <v>20</v>
      </c>
      <c r="H254">
        <v>35</v>
      </c>
      <c r="I254" t="b">
        <v>0</v>
      </c>
      <c r="J254">
        <v>1000</v>
      </c>
      <c r="K254">
        <v>200</v>
      </c>
      <c r="L254">
        <v>25</v>
      </c>
      <c r="M254" s="4">
        <v>1</v>
      </c>
      <c r="N254" t="e">
        <f>(#REF!*Y254)/(T254*X254*O254)</f>
        <v>#REF!</v>
      </c>
      <c r="O254">
        <v>3</v>
      </c>
      <c r="P254" t="s">
        <v>33</v>
      </c>
      <c r="Q254" s="1">
        <f t="shared" ref="Q254:Q262" si="129">IFERROR(X254/Z254, "NA")</f>
        <v>166.66666666666666</v>
      </c>
      <c r="R254" t="s">
        <v>183</v>
      </c>
      <c r="S254" t="s">
        <v>33</v>
      </c>
      <c r="T254">
        <v>1</v>
      </c>
      <c r="U254">
        <v>2.5</v>
      </c>
      <c r="V254" t="s">
        <v>33</v>
      </c>
      <c r="W254">
        <v>0.50249999999999995</v>
      </c>
      <c r="X254">
        <f>W254</f>
        <v>0.50249999999999995</v>
      </c>
      <c r="Y254" t="s">
        <v>33</v>
      </c>
      <c r="Z254" s="3">
        <f t="shared" si="126"/>
        <v>3.0149999999999999E-3</v>
      </c>
      <c r="AA254" t="s">
        <v>33</v>
      </c>
      <c r="AB254">
        <f>IFERROR(((X254*M254)/Z254), "NA")</f>
        <v>166.66666666666666</v>
      </c>
      <c r="AC254" s="1" t="str">
        <f t="shared" si="107"/>
        <v>NA</v>
      </c>
      <c r="AE254" s="3">
        <f t="shared" si="127"/>
        <v>312.5</v>
      </c>
      <c r="AF254">
        <v>500</v>
      </c>
      <c r="AG254" s="1" t="str">
        <f>IFERROR((N254*P254*Q254), "NA")</f>
        <v>NA</v>
      </c>
      <c r="AH254" s="1" t="str">
        <f>IFERROR((AG254*U254*AI254), "NA")</f>
        <v>NA</v>
      </c>
      <c r="AI254" s="1">
        <v>1</v>
      </c>
      <c r="AJ254" s="11" t="s">
        <v>31</v>
      </c>
      <c r="AK254">
        <v>1000</v>
      </c>
      <c r="AL254" t="s">
        <v>614</v>
      </c>
      <c r="AM254" s="3" t="s">
        <v>103</v>
      </c>
      <c r="AN254" t="s">
        <v>305</v>
      </c>
      <c r="AO254" t="s">
        <v>790</v>
      </c>
      <c r="AP254">
        <v>3.5</v>
      </c>
      <c r="AQ254" t="s">
        <v>33</v>
      </c>
      <c r="AR254" t="s">
        <v>33</v>
      </c>
      <c r="AS254">
        <v>8</v>
      </c>
      <c r="AT254">
        <f>AS254-AU254</f>
        <v>3.24</v>
      </c>
      <c r="AU254" s="6">
        <v>4.76</v>
      </c>
      <c r="AV254" t="b">
        <v>1</v>
      </c>
      <c r="AW254" t="s">
        <v>617</v>
      </c>
      <c r="AX254" t="s">
        <v>33</v>
      </c>
      <c r="AY254" t="s">
        <v>623</v>
      </c>
      <c r="AZ254" t="s">
        <v>621</v>
      </c>
      <c r="BA254" s="18" t="s">
        <v>802</v>
      </c>
      <c r="BB254" s="3" t="b">
        <v>0</v>
      </c>
      <c r="BC254" t="s">
        <v>81</v>
      </c>
      <c r="BD254">
        <v>18</v>
      </c>
      <c r="BE254" t="s">
        <v>80</v>
      </c>
      <c r="BF254">
        <v>24</v>
      </c>
      <c r="BG254" t="s">
        <v>569</v>
      </c>
      <c r="BH254" t="s">
        <v>31</v>
      </c>
      <c r="BI254" t="s">
        <v>31</v>
      </c>
      <c r="BJ254">
        <f t="shared" si="111"/>
        <v>4.76</v>
      </c>
      <c r="BK254" s="3">
        <f t="shared" si="112"/>
        <v>0.67760695272049309</v>
      </c>
      <c r="BL254">
        <v>2</v>
      </c>
      <c r="BM254" s="3">
        <f t="shared" si="116"/>
        <v>1.8172430689596009</v>
      </c>
      <c r="BN254" t="s">
        <v>33</v>
      </c>
      <c r="BO254" s="3">
        <f t="shared" si="99"/>
        <v>65.651260504201687</v>
      </c>
      <c r="BP254" t="s">
        <v>33</v>
      </c>
      <c r="BQ254" t="s">
        <v>33</v>
      </c>
      <c r="BR254" t="s">
        <v>33</v>
      </c>
      <c r="BS254" t="s">
        <v>33</v>
      </c>
      <c r="BT254" t="s">
        <v>31</v>
      </c>
      <c r="BU254" t="s">
        <v>255</v>
      </c>
      <c r="BV254">
        <v>2010</v>
      </c>
      <c r="BW254" t="s">
        <v>651</v>
      </c>
      <c r="BX254" t="s">
        <v>78</v>
      </c>
      <c r="BY254" s="13" t="s">
        <v>674</v>
      </c>
      <c r="CA254" t="str">
        <f t="shared" si="101"/>
        <v>high acid</v>
      </c>
    </row>
    <row r="255" spans="1:79">
      <c r="A255" s="3" t="s">
        <v>303</v>
      </c>
      <c r="B255" t="s">
        <v>566</v>
      </c>
      <c r="C255" t="s">
        <v>563</v>
      </c>
      <c r="D255" s="3" t="s">
        <v>279</v>
      </c>
      <c r="E255" s="3" t="s">
        <v>77</v>
      </c>
      <c r="F255" t="s">
        <v>32</v>
      </c>
      <c r="G255" s="11">
        <v>10</v>
      </c>
      <c r="H255" s="11">
        <v>30</v>
      </c>
      <c r="I255" s="3" t="b">
        <v>0</v>
      </c>
      <c r="J255" s="3" t="s">
        <v>33</v>
      </c>
      <c r="K255" s="3" t="s">
        <v>33</v>
      </c>
      <c r="L255" s="11">
        <v>20</v>
      </c>
      <c r="M255" s="4">
        <v>1000</v>
      </c>
      <c r="N255" s="3">
        <f>IFERROR(AF255/((T255*X255/Y255)*O255*AI255),"NA")</f>
        <v>7578.806813899776</v>
      </c>
      <c r="O255" s="3">
        <v>16</v>
      </c>
      <c r="P255" s="3" t="s">
        <v>33</v>
      </c>
      <c r="Q255" s="3">
        <f t="shared" si="129"/>
        <v>0.22500000000000001</v>
      </c>
      <c r="R255" t="s">
        <v>183</v>
      </c>
      <c r="S255" t="s">
        <v>613</v>
      </c>
      <c r="T255" s="11">
        <v>1</v>
      </c>
      <c r="U255" s="3">
        <v>2.8</v>
      </c>
      <c r="V255" s="3">
        <v>3</v>
      </c>
      <c r="W255" s="3">
        <v>0.02</v>
      </c>
      <c r="X255" s="3">
        <f>IFERROR(((PI())*(((V255*10^-1)/2)^2)*(U255*10^-1)), "NA")</f>
        <v>1.97920337176157E-2</v>
      </c>
      <c r="Y255" s="3">
        <f>40/60</f>
        <v>0.66666666666666663</v>
      </c>
      <c r="Z255" s="3">
        <f t="shared" si="126"/>
        <v>8.7964594300514218E-2</v>
      </c>
      <c r="AA255" s="3" t="s">
        <v>33</v>
      </c>
      <c r="AB255" s="3">
        <f>IFERROR(((X255*M255)/Z255), "NA")</f>
        <v>225</v>
      </c>
      <c r="AC255" s="3" t="str">
        <f t="shared" si="107"/>
        <v>NA</v>
      </c>
      <c r="AD255" s="4">
        <f>AB255*T255*AI255</f>
        <v>225</v>
      </c>
      <c r="AE255" s="3">
        <f t="shared" si="127"/>
        <v>432</v>
      </c>
      <c r="AF255" s="3">
        <v>3600</v>
      </c>
      <c r="AG255" s="3" t="str">
        <f>IFERROR((M255*O255*P255), "NA")</f>
        <v>NA</v>
      </c>
      <c r="AH255" s="3" t="str">
        <f>IFERROR((AG255*T255*AI255), "NA")</f>
        <v>NA</v>
      </c>
      <c r="AI255" s="3">
        <v>1</v>
      </c>
      <c r="AJ255" t="s">
        <v>31</v>
      </c>
      <c r="AK255" s="3">
        <v>300</v>
      </c>
      <c r="AL255" s="3" t="s">
        <v>281</v>
      </c>
      <c r="AM255" s="3" t="s">
        <v>103</v>
      </c>
      <c r="AN255" t="s">
        <v>130</v>
      </c>
      <c r="AO255" t="s">
        <v>795</v>
      </c>
      <c r="AP255" s="3" t="s">
        <v>33</v>
      </c>
      <c r="AQ255" s="3" t="s">
        <v>33</v>
      </c>
      <c r="AR255" s="3" t="s">
        <v>33</v>
      </c>
      <c r="AS255" s="3">
        <f>4.049</f>
        <v>4.0490000000000004</v>
      </c>
      <c r="AT255" s="3">
        <f>IFERROR(AS255-AU255,"NA")</f>
        <v>3.2480000000000002</v>
      </c>
      <c r="AU255" s="6">
        <v>0.80100000000000005</v>
      </c>
      <c r="AV255" s="3" t="b">
        <v>1</v>
      </c>
      <c r="AW255" s="3" t="s">
        <v>172</v>
      </c>
      <c r="AX255" s="3" t="s">
        <v>173</v>
      </c>
      <c r="AY255" s="3" t="s">
        <v>283</v>
      </c>
      <c r="AZ255" s="3" t="s">
        <v>33</v>
      </c>
      <c r="BA255" s="18" t="s">
        <v>799</v>
      </c>
      <c r="BB255" s="3" t="b">
        <v>0</v>
      </c>
      <c r="BC255" t="s">
        <v>81</v>
      </c>
      <c r="BD255" s="3">
        <v>2</v>
      </c>
      <c r="BE255" s="3" t="s">
        <v>252</v>
      </c>
      <c r="BF255" s="11">
        <v>72</v>
      </c>
      <c r="BG255" s="3" t="s">
        <v>574</v>
      </c>
      <c r="BH255" s="3" t="s">
        <v>31</v>
      </c>
      <c r="BI255" s="3" t="s">
        <v>31</v>
      </c>
      <c r="BJ255" s="3">
        <f t="shared" si="111"/>
        <v>0.80100000000000005</v>
      </c>
      <c r="BK255" s="3">
        <f t="shared" si="112"/>
        <v>-9.6367483915762317E-2</v>
      </c>
      <c r="BL255" s="3">
        <v>2</v>
      </c>
      <c r="BM255" s="3">
        <f t="shared" si="116"/>
        <v>2.7318512307306744</v>
      </c>
      <c r="BN255" s="3" t="s">
        <v>33</v>
      </c>
      <c r="BO255" s="3">
        <f t="shared" si="99"/>
        <v>539.32584269662914</v>
      </c>
      <c r="BP255" s="3" t="s">
        <v>33</v>
      </c>
      <c r="BQ255" s="3" t="s">
        <v>33</v>
      </c>
      <c r="BR255" s="3" t="s">
        <v>33</v>
      </c>
      <c r="BS255" s="3" t="s">
        <v>33</v>
      </c>
      <c r="BT255" t="s">
        <v>31</v>
      </c>
      <c r="BU255" s="3" t="s">
        <v>247</v>
      </c>
      <c r="BV255" s="11">
        <v>2016</v>
      </c>
      <c r="BW255" s="3" t="s">
        <v>284</v>
      </c>
      <c r="BX255" t="s">
        <v>78</v>
      </c>
      <c r="BY255" s="3" t="s">
        <v>33</v>
      </c>
      <c r="BZ255" s="3" t="s">
        <v>293</v>
      </c>
      <c r="CA255" t="str">
        <f t="shared" si="101"/>
        <v>low acid</v>
      </c>
    </row>
    <row r="256" spans="1:79">
      <c r="A256" t="s">
        <v>588</v>
      </c>
      <c r="B256" t="s">
        <v>565</v>
      </c>
      <c r="C256" t="s">
        <v>563</v>
      </c>
      <c r="D256" t="s">
        <v>608</v>
      </c>
      <c r="E256" t="s">
        <v>77</v>
      </c>
      <c r="F256" t="s">
        <v>32</v>
      </c>
      <c r="G256" t="s">
        <v>33</v>
      </c>
      <c r="H256">
        <v>40</v>
      </c>
      <c r="I256" t="b">
        <v>0</v>
      </c>
      <c r="J256" t="s">
        <v>33</v>
      </c>
      <c r="K256" t="s">
        <v>33</v>
      </c>
      <c r="L256">
        <v>35</v>
      </c>
      <c r="M256" s="4">
        <v>250</v>
      </c>
      <c r="N256" t="e">
        <f>(#REF!*Y256)/(T256*X256*O256)</f>
        <v>#REF!</v>
      </c>
      <c r="O256">
        <v>3.7</v>
      </c>
      <c r="P256" t="s">
        <v>33</v>
      </c>
      <c r="Q256" s="1">
        <f t="shared" si="129"/>
        <v>8.1081081081081072E-2</v>
      </c>
      <c r="R256" t="s">
        <v>183</v>
      </c>
      <c r="S256" t="s">
        <v>613</v>
      </c>
      <c r="T256">
        <v>6</v>
      </c>
      <c r="U256">
        <v>1.9</v>
      </c>
      <c r="V256">
        <v>2.2999999999999998</v>
      </c>
      <c r="W256" t="s">
        <v>33</v>
      </c>
      <c r="X256">
        <f>IFERROR(((PI())*(((V256*10^-1)/2)^2)*(U256*10^-1)), "NA")</f>
        <v>7.8940369403077502E-3</v>
      </c>
      <c r="Y256">
        <v>1</v>
      </c>
      <c r="Z256" s="3">
        <f t="shared" si="126"/>
        <v>9.7359788930462265E-2</v>
      </c>
      <c r="AA256" t="s">
        <v>33</v>
      </c>
      <c r="AB256">
        <f>IFERROR(((X256*M256)/Z256), "NA")</f>
        <v>20.27027027027027</v>
      </c>
      <c r="AC256" s="1" t="str">
        <f t="shared" si="107"/>
        <v>NA</v>
      </c>
      <c r="AE256" s="3">
        <f t="shared" si="127"/>
        <v>2645.9999999999995</v>
      </c>
      <c r="AF256">
        <v>450</v>
      </c>
      <c r="AG256" s="1" t="str">
        <f>IFERROR((N256*P256*Q256), "NA")</f>
        <v>NA</v>
      </c>
      <c r="AH256" s="1" t="str">
        <f>IFERROR((AG256*U256*AI256), "NA")</f>
        <v>NA</v>
      </c>
      <c r="AI256" s="1">
        <v>1</v>
      </c>
      <c r="AJ256" s="11" t="s">
        <v>31</v>
      </c>
      <c r="AK256">
        <v>4800</v>
      </c>
      <c r="AL256" t="s">
        <v>156</v>
      </c>
      <c r="AM256" t="s">
        <v>157</v>
      </c>
      <c r="AN256" t="s">
        <v>186</v>
      </c>
      <c r="AO256" t="s">
        <v>792</v>
      </c>
      <c r="AP256">
        <v>6.53</v>
      </c>
      <c r="AQ256" t="s">
        <v>33</v>
      </c>
      <c r="AR256" t="s">
        <v>33</v>
      </c>
      <c r="AS256">
        <v>6.5</v>
      </c>
      <c r="AT256">
        <v>3.25</v>
      </c>
      <c r="AU256" s="6">
        <f>AS256-AT256</f>
        <v>3.25</v>
      </c>
      <c r="AV256" t="b">
        <v>1</v>
      </c>
      <c r="AW256" t="s">
        <v>626</v>
      </c>
      <c r="AX256" t="s">
        <v>627</v>
      </c>
      <c r="AY256" t="s">
        <v>625</v>
      </c>
      <c r="AZ256" t="s">
        <v>33</v>
      </c>
      <c r="BA256" s="18" t="s">
        <v>800</v>
      </c>
      <c r="BB256" s="3" t="b">
        <v>0</v>
      </c>
      <c r="BC256" t="s">
        <v>81</v>
      </c>
      <c r="BD256">
        <v>12</v>
      </c>
      <c r="BE256" t="s">
        <v>80</v>
      </c>
      <c r="BF256">
        <v>48</v>
      </c>
      <c r="BG256" t="s">
        <v>568</v>
      </c>
      <c r="BH256" t="s">
        <v>31</v>
      </c>
      <c r="BI256" t="s">
        <v>31</v>
      </c>
      <c r="BJ256">
        <f t="shared" si="111"/>
        <v>3.25</v>
      </c>
      <c r="BK256" s="3">
        <f t="shared" si="112"/>
        <v>0.51188336097887432</v>
      </c>
      <c r="BL256">
        <v>2</v>
      </c>
      <c r="BM256" s="3">
        <f t="shared" ref="BM256:BM272" si="130">IFERROR(LOG(BO256),"NA")</f>
        <v>2.9107064788726076</v>
      </c>
      <c r="BN256" t="s">
        <v>33</v>
      </c>
      <c r="BO256" s="3">
        <f t="shared" si="99"/>
        <v>814.15384615384596</v>
      </c>
      <c r="BP256" t="s">
        <v>33</v>
      </c>
      <c r="BQ256" t="s">
        <v>33</v>
      </c>
      <c r="BR256" t="s">
        <v>33</v>
      </c>
      <c r="BS256" t="s">
        <v>33</v>
      </c>
      <c r="BT256" t="s">
        <v>31</v>
      </c>
      <c r="BU256" s="13" t="s">
        <v>163</v>
      </c>
      <c r="BV256">
        <v>2004</v>
      </c>
      <c r="BW256" t="s">
        <v>654</v>
      </c>
      <c r="BX256" t="s">
        <v>78</v>
      </c>
      <c r="BY256" s="13" t="s">
        <v>677</v>
      </c>
      <c r="CA256" t="str">
        <f t="shared" si="101"/>
        <v>low acid</v>
      </c>
    </row>
    <row r="257" spans="1:79">
      <c r="A257" t="s">
        <v>273</v>
      </c>
      <c r="B257" t="s">
        <v>565</v>
      </c>
      <c r="C257" t="s">
        <v>563</v>
      </c>
      <c r="D257" t="s">
        <v>118</v>
      </c>
      <c r="E257" t="s">
        <v>77</v>
      </c>
      <c r="F257" t="s">
        <v>32</v>
      </c>
      <c r="G257">
        <v>20</v>
      </c>
      <c r="H257">
        <v>55</v>
      </c>
      <c r="I257" t="b">
        <v>0</v>
      </c>
      <c r="J257" t="s">
        <v>33</v>
      </c>
      <c r="K257" t="s">
        <v>33</v>
      </c>
      <c r="L257">
        <v>25</v>
      </c>
      <c r="M257" s="4" t="s">
        <v>33</v>
      </c>
      <c r="N257" s="3">
        <f>IFERROR(AF257/((T257*X257/Y257)*O257*AI257),"NA")</f>
        <v>1089.8046173035495</v>
      </c>
      <c r="O257">
        <v>2.5</v>
      </c>
      <c r="P257" t="s">
        <v>33</v>
      </c>
      <c r="Q257" s="8">
        <f t="shared" si="129"/>
        <v>1.2173435913211425E-2</v>
      </c>
      <c r="R257" t="s">
        <v>183</v>
      </c>
      <c r="S257" t="s">
        <v>613</v>
      </c>
      <c r="T257" s="11">
        <v>6</v>
      </c>
      <c r="U257">
        <v>2.93</v>
      </c>
      <c r="V257">
        <v>2.2999999999999998</v>
      </c>
      <c r="W257" t="s">
        <v>33</v>
      </c>
      <c r="X257" s="8">
        <f>IFERROR(((PI())*(((V257*10^-1)/2)^2)*(U257*10^-1)), "NA")</f>
        <v>1.2173435913211428E-2</v>
      </c>
      <c r="Y257">
        <f>60/60</f>
        <v>1</v>
      </c>
      <c r="Z257" s="3">
        <f>IFERROR(X257*N257*O257*T257*AI257/AF257, "NA")</f>
        <v>1.0000000000000002</v>
      </c>
      <c r="AA257" t="s">
        <v>33</v>
      </c>
      <c r="AB257" s="6">
        <f>IFERROR(((X257*N257)/Y257), "NA")</f>
        <v>13.266666666666667</v>
      </c>
      <c r="AC257" t="str">
        <f t="shared" si="107"/>
        <v>NA</v>
      </c>
      <c r="AD257" s="4">
        <f>AB257*T257*AI257</f>
        <v>79.600000000000009</v>
      </c>
      <c r="AE257" s="3">
        <f>IFERROR(((L257^2)*N257*O257*AK257*10^-6*Q257*T257*AI257), "NA")</f>
        <v>361.93124999999986</v>
      </c>
      <c r="AF257">
        <v>199</v>
      </c>
      <c r="AG257" t="str">
        <f>IFERROR((M257*O257*P257), "NA")</f>
        <v>NA</v>
      </c>
      <c r="AH257" t="str">
        <f>IFERROR((AG257*T257*AI257), "NA")</f>
        <v>NA</v>
      </c>
      <c r="AI257">
        <v>1</v>
      </c>
      <c r="AJ257" t="s">
        <v>31</v>
      </c>
      <c r="AK257">
        <v>2910</v>
      </c>
      <c r="AL257" t="s">
        <v>543</v>
      </c>
      <c r="AM257" t="s">
        <v>86</v>
      </c>
      <c r="AN257" t="s">
        <v>205</v>
      </c>
      <c r="AO257" t="s">
        <v>789</v>
      </c>
      <c r="AP257">
        <v>4.05</v>
      </c>
      <c r="AQ257" t="s">
        <v>33</v>
      </c>
      <c r="AR257" t="s">
        <v>33</v>
      </c>
      <c r="AS257">
        <f>LOG(10^6)</f>
        <v>6</v>
      </c>
      <c r="AT257" s="3">
        <f>IFERROR(AS257-AU257,"NA")</f>
        <v>3.2530000000000001</v>
      </c>
      <c r="AU257" s="6">
        <v>2.7469999999999999</v>
      </c>
      <c r="AV257" t="b">
        <v>1</v>
      </c>
      <c r="AW257" t="s">
        <v>29</v>
      </c>
      <c r="AX257" t="s">
        <v>30</v>
      </c>
      <c r="AY257" t="s">
        <v>216</v>
      </c>
      <c r="AZ257" t="s">
        <v>33</v>
      </c>
      <c r="BA257" s="18" t="s">
        <v>798</v>
      </c>
      <c r="BB257" t="b">
        <v>0</v>
      </c>
      <c r="BC257" t="s">
        <v>81</v>
      </c>
      <c r="BD257">
        <v>4</v>
      </c>
      <c r="BE257" t="s">
        <v>159</v>
      </c>
      <c r="BF257" s="11">
        <v>24</v>
      </c>
      <c r="BG257" t="s">
        <v>572</v>
      </c>
      <c r="BH257" t="s">
        <v>31</v>
      </c>
      <c r="BI257" t="s">
        <v>31</v>
      </c>
      <c r="BJ257" s="3">
        <f t="shared" si="111"/>
        <v>2.7469999999999999</v>
      </c>
      <c r="BK257" s="3">
        <f t="shared" si="112"/>
        <v>0.4388586594205619</v>
      </c>
      <c r="BL257">
        <v>2</v>
      </c>
      <c r="BM257" s="3">
        <f t="shared" si="130"/>
        <v>2.1197674233191273</v>
      </c>
      <c r="BN257" t="s">
        <v>33</v>
      </c>
      <c r="BO257" s="3">
        <f t="shared" si="99"/>
        <v>131.75509646887508</v>
      </c>
      <c r="BP257" t="s">
        <v>33</v>
      </c>
      <c r="BQ257" t="s">
        <v>33</v>
      </c>
      <c r="BR257" t="s">
        <v>33</v>
      </c>
      <c r="BS257" t="s">
        <v>33</v>
      </c>
      <c r="BT257" t="s">
        <v>31</v>
      </c>
      <c r="BU257" t="s">
        <v>274</v>
      </c>
      <c r="BV257">
        <v>2006</v>
      </c>
      <c r="BW257" t="s">
        <v>275</v>
      </c>
      <c r="BX257" t="s">
        <v>78</v>
      </c>
      <c r="BY257" t="s">
        <v>277</v>
      </c>
      <c r="BZ257" t="s">
        <v>33</v>
      </c>
      <c r="CA257" t="str">
        <f t="shared" si="101"/>
        <v>high acid</v>
      </c>
    </row>
    <row r="258" spans="1:79">
      <c r="A258" t="s">
        <v>584</v>
      </c>
      <c r="B258" t="s">
        <v>566</v>
      </c>
      <c r="C258" t="s">
        <v>563</v>
      </c>
      <c r="D258" t="s">
        <v>607</v>
      </c>
      <c r="E258" t="s">
        <v>77</v>
      </c>
      <c r="F258" t="s">
        <v>33</v>
      </c>
      <c r="G258">
        <v>20</v>
      </c>
      <c r="H258">
        <v>35</v>
      </c>
      <c r="I258" t="b">
        <v>0</v>
      </c>
      <c r="J258">
        <v>1000</v>
      </c>
      <c r="K258">
        <v>200</v>
      </c>
      <c r="L258">
        <v>25</v>
      </c>
      <c r="M258" s="4">
        <v>1</v>
      </c>
      <c r="N258" t="e">
        <f>(#REF!*Y258)/(T258*X258*O258)</f>
        <v>#REF!</v>
      </c>
      <c r="O258">
        <v>3</v>
      </c>
      <c r="P258" t="s">
        <v>33</v>
      </c>
      <c r="Q258" s="1">
        <f t="shared" si="129"/>
        <v>100.00000000000001</v>
      </c>
      <c r="R258" t="s">
        <v>183</v>
      </c>
      <c r="S258" t="s">
        <v>33</v>
      </c>
      <c r="T258">
        <v>1</v>
      </c>
      <c r="U258">
        <v>2.5</v>
      </c>
      <c r="V258" t="s">
        <v>33</v>
      </c>
      <c r="W258">
        <v>0.50249999999999995</v>
      </c>
      <c r="X258">
        <f>W258</f>
        <v>0.50249999999999995</v>
      </c>
      <c r="Y258" t="s">
        <v>33</v>
      </c>
      <c r="Z258" s="3">
        <f>IFERROR(X258*M258*O258*T258*AI258/AF258, "NA")</f>
        <v>5.0249999999999991E-3</v>
      </c>
      <c r="AA258" t="s">
        <v>33</v>
      </c>
      <c r="AB258">
        <f>IFERROR(((X258*M258)/Z258), "NA")</f>
        <v>100.00000000000001</v>
      </c>
      <c r="AC258" s="1" t="str">
        <f t="shared" si="107"/>
        <v>NA</v>
      </c>
      <c r="AE258" s="3">
        <f t="shared" ref="AE258:AE265" si="131">IFERROR(((L258^2)*M258*O258*AK258*10^-6*Q258*T258*AI258), "NA")</f>
        <v>187.50000000000003</v>
      </c>
      <c r="AF258">
        <v>300</v>
      </c>
      <c r="AG258" s="1" t="str">
        <f>IFERROR((N258*P258*Q258), "NA")</f>
        <v>NA</v>
      </c>
      <c r="AH258" s="1" t="str">
        <f>IFERROR((AG258*U258*AI258), "NA")</f>
        <v>NA</v>
      </c>
      <c r="AI258" s="1">
        <v>1</v>
      </c>
      <c r="AJ258" s="11" t="s">
        <v>31</v>
      </c>
      <c r="AK258">
        <v>1000</v>
      </c>
      <c r="AL258" t="s">
        <v>614</v>
      </c>
      <c r="AM258" s="3" t="s">
        <v>103</v>
      </c>
      <c r="AN258" t="s">
        <v>305</v>
      </c>
      <c r="AO258" t="s">
        <v>790</v>
      </c>
      <c r="AP258">
        <v>3.5</v>
      </c>
      <c r="AQ258" t="s">
        <v>33</v>
      </c>
      <c r="AR258" t="s">
        <v>33</v>
      </c>
      <c r="AS258">
        <v>8</v>
      </c>
      <c r="AT258">
        <f>AS258-AU258</f>
        <v>3.26</v>
      </c>
      <c r="AU258" s="6">
        <v>4.74</v>
      </c>
      <c r="AV258" t="b">
        <v>1</v>
      </c>
      <c r="AW258" t="s">
        <v>617</v>
      </c>
      <c r="AX258" t="s">
        <v>33</v>
      </c>
      <c r="AY258" t="s">
        <v>623</v>
      </c>
      <c r="AZ258" t="s">
        <v>621</v>
      </c>
      <c r="BA258" s="18" t="s">
        <v>802</v>
      </c>
      <c r="BB258" s="3" t="b">
        <v>0</v>
      </c>
      <c r="BC258" t="s">
        <v>81</v>
      </c>
      <c r="BD258">
        <v>18</v>
      </c>
      <c r="BE258" t="s">
        <v>80</v>
      </c>
      <c r="BF258">
        <v>24</v>
      </c>
      <c r="BG258" t="s">
        <v>642</v>
      </c>
      <c r="BH258" t="s">
        <v>32</v>
      </c>
      <c r="BI258" t="s">
        <v>31</v>
      </c>
      <c r="BJ258">
        <f t="shared" si="111"/>
        <v>4.74</v>
      </c>
      <c r="BK258" s="3">
        <f t="shared" si="112"/>
        <v>0.67577834167408513</v>
      </c>
      <c r="BL258">
        <v>2</v>
      </c>
      <c r="BM258" s="3">
        <f t="shared" si="130"/>
        <v>1.5972229303896526</v>
      </c>
      <c r="BN258" t="s">
        <v>33</v>
      </c>
      <c r="BO258" s="3">
        <f t="shared" ref="BO258:BO321" si="132">IFERROR((AE258/BJ258),"NA")</f>
        <v>39.556962025316459</v>
      </c>
      <c r="BP258" t="s">
        <v>33</v>
      </c>
      <c r="BQ258" t="s">
        <v>33</v>
      </c>
      <c r="BR258" t="s">
        <v>33</v>
      </c>
      <c r="BS258" t="s">
        <v>33</v>
      </c>
      <c r="BT258" t="s">
        <v>31</v>
      </c>
      <c r="BU258" t="s">
        <v>255</v>
      </c>
      <c r="BV258">
        <v>2010</v>
      </c>
      <c r="BW258" t="s">
        <v>651</v>
      </c>
      <c r="BX258" t="s">
        <v>78</v>
      </c>
      <c r="BY258" s="13" t="s">
        <v>674</v>
      </c>
      <c r="CA258" t="str">
        <f t="shared" si="101"/>
        <v>high acid</v>
      </c>
    </row>
    <row r="259" spans="1:79">
      <c r="A259" t="s">
        <v>584</v>
      </c>
      <c r="B259" t="s">
        <v>566</v>
      </c>
      <c r="C259" t="s">
        <v>563</v>
      </c>
      <c r="D259" t="s">
        <v>607</v>
      </c>
      <c r="E259" t="s">
        <v>77</v>
      </c>
      <c r="F259" t="s">
        <v>33</v>
      </c>
      <c r="G259">
        <v>20</v>
      </c>
      <c r="H259">
        <v>35</v>
      </c>
      <c r="I259" t="b">
        <v>0</v>
      </c>
      <c r="J259">
        <v>1000</v>
      </c>
      <c r="K259">
        <v>200</v>
      </c>
      <c r="L259">
        <v>30</v>
      </c>
      <c r="M259" s="4">
        <v>1</v>
      </c>
      <c r="N259" t="e">
        <f>(#REF!*Y259)/(T259*X259*O259)</f>
        <v>#REF!</v>
      </c>
      <c r="O259">
        <v>3</v>
      </c>
      <c r="P259" t="s">
        <v>33</v>
      </c>
      <c r="Q259" s="1">
        <f t="shared" si="129"/>
        <v>100.00000000000001</v>
      </c>
      <c r="R259" t="s">
        <v>183</v>
      </c>
      <c r="S259" t="s">
        <v>33</v>
      </c>
      <c r="T259">
        <v>1</v>
      </c>
      <c r="U259">
        <v>2.5</v>
      </c>
      <c r="V259" t="s">
        <v>33</v>
      </c>
      <c r="W259">
        <v>0.50249999999999995</v>
      </c>
      <c r="X259">
        <f>W259</f>
        <v>0.50249999999999995</v>
      </c>
      <c r="Y259" t="s">
        <v>33</v>
      </c>
      <c r="Z259" s="3">
        <f>IFERROR(X259*M259*O259*T259*AI259/AF259, "NA")</f>
        <v>5.0249999999999991E-3</v>
      </c>
      <c r="AA259" t="s">
        <v>33</v>
      </c>
      <c r="AB259">
        <f>IFERROR(((X259*M259)/Z259), "NA")</f>
        <v>100.00000000000001</v>
      </c>
      <c r="AC259" s="1" t="str">
        <f t="shared" si="107"/>
        <v>NA</v>
      </c>
      <c r="AE259" s="3">
        <f t="shared" si="131"/>
        <v>270</v>
      </c>
      <c r="AF259">
        <v>300</v>
      </c>
      <c r="AG259" s="1" t="str">
        <f>IFERROR((N259*P259*Q259), "NA")</f>
        <v>NA</v>
      </c>
      <c r="AH259" s="1" t="str">
        <f>IFERROR((AG259*U259*AI259), "NA")</f>
        <v>NA</v>
      </c>
      <c r="AI259" s="1">
        <v>1</v>
      </c>
      <c r="AJ259" s="11" t="s">
        <v>31</v>
      </c>
      <c r="AK259">
        <v>1000</v>
      </c>
      <c r="AL259" t="s">
        <v>614</v>
      </c>
      <c r="AM259" s="3" t="s">
        <v>103</v>
      </c>
      <c r="AN259" t="s">
        <v>305</v>
      </c>
      <c r="AO259" t="s">
        <v>790</v>
      </c>
      <c r="AP259">
        <v>3.5</v>
      </c>
      <c r="AQ259" t="s">
        <v>33</v>
      </c>
      <c r="AR259" t="s">
        <v>33</v>
      </c>
      <c r="AS259">
        <v>8</v>
      </c>
      <c r="AT259">
        <f>AS259-AU259</f>
        <v>3.26</v>
      </c>
      <c r="AU259" s="6">
        <v>4.74</v>
      </c>
      <c r="AV259" t="b">
        <v>1</v>
      </c>
      <c r="AW259" t="s">
        <v>617</v>
      </c>
      <c r="AX259" t="s">
        <v>33</v>
      </c>
      <c r="AY259" t="s">
        <v>623</v>
      </c>
      <c r="AZ259" t="s">
        <v>621</v>
      </c>
      <c r="BA259" s="18" t="s">
        <v>802</v>
      </c>
      <c r="BB259" s="3" t="b">
        <v>0</v>
      </c>
      <c r="BC259" t="s">
        <v>81</v>
      </c>
      <c r="BD259">
        <v>18</v>
      </c>
      <c r="BE259" t="s">
        <v>80</v>
      </c>
      <c r="BF259">
        <v>24</v>
      </c>
      <c r="BG259" t="s">
        <v>642</v>
      </c>
      <c r="BH259" t="s">
        <v>32</v>
      </c>
      <c r="BI259" t="s">
        <v>31</v>
      </c>
      <c r="BJ259">
        <f t="shared" si="111"/>
        <v>4.74</v>
      </c>
      <c r="BK259" s="3">
        <f t="shared" si="112"/>
        <v>0.67577834167408513</v>
      </c>
      <c r="BL259">
        <v>2</v>
      </c>
      <c r="BM259" s="3">
        <f t="shared" si="130"/>
        <v>1.7555854224849023</v>
      </c>
      <c r="BN259" t="s">
        <v>33</v>
      </c>
      <c r="BO259" s="3">
        <f t="shared" si="132"/>
        <v>56.962025316455694</v>
      </c>
      <c r="BP259" t="s">
        <v>33</v>
      </c>
      <c r="BQ259" t="s">
        <v>33</v>
      </c>
      <c r="BR259" t="s">
        <v>33</v>
      </c>
      <c r="BS259" t="s">
        <v>33</v>
      </c>
      <c r="BT259" t="s">
        <v>31</v>
      </c>
      <c r="BU259" t="s">
        <v>255</v>
      </c>
      <c r="BV259">
        <v>2010</v>
      </c>
      <c r="BW259" t="s">
        <v>651</v>
      </c>
      <c r="BX259" t="s">
        <v>78</v>
      </c>
      <c r="BY259" s="13" t="s">
        <v>674</v>
      </c>
      <c r="CA259" t="str">
        <f t="shared" ref="CA259:CA322" si="133">IF(OR(AN259="low acidic liquid medium", AN259="low acidic food product"), "low acid",
    IF(OR(AN259="high acidic food product", AN259="high acidic liquid medium"), "high acid", "NA"))</f>
        <v>high acid</v>
      </c>
    </row>
    <row r="260" spans="1:79">
      <c r="A260" t="s">
        <v>592</v>
      </c>
      <c r="B260" t="s">
        <v>566</v>
      </c>
      <c r="C260" t="s">
        <v>563</v>
      </c>
      <c r="D260" t="s">
        <v>607</v>
      </c>
      <c r="E260" t="s">
        <v>77</v>
      </c>
      <c r="F260" t="s">
        <v>32</v>
      </c>
      <c r="G260" t="s">
        <v>33</v>
      </c>
      <c r="H260">
        <v>35</v>
      </c>
      <c r="I260" t="b">
        <v>0</v>
      </c>
      <c r="J260">
        <v>30000</v>
      </c>
      <c r="K260">
        <v>200</v>
      </c>
      <c r="L260">
        <v>35</v>
      </c>
      <c r="M260" s="4">
        <v>1</v>
      </c>
      <c r="N260" t="e">
        <f>(#REF!*Y260)/(T260*X260*O260)</f>
        <v>#REF!</v>
      </c>
      <c r="O260">
        <v>3</v>
      </c>
      <c r="P260" t="s">
        <v>33</v>
      </c>
      <c r="Q260" s="1">
        <f t="shared" si="129"/>
        <v>99.983333333333334</v>
      </c>
      <c r="R260" t="s">
        <v>183</v>
      </c>
      <c r="S260" t="s">
        <v>33</v>
      </c>
      <c r="T260">
        <v>1</v>
      </c>
      <c r="U260">
        <v>2.5</v>
      </c>
      <c r="V260" t="s">
        <v>33</v>
      </c>
      <c r="W260">
        <v>0.50249999999999995</v>
      </c>
      <c r="X260">
        <f>W260</f>
        <v>0.50249999999999995</v>
      </c>
      <c r="Y260" t="s">
        <v>33</v>
      </c>
      <c r="Z260" s="3">
        <f>IFERROR(X260*M260*O260*T260*AI260/AF260, "NA")</f>
        <v>5.0258376396066003E-3</v>
      </c>
      <c r="AA260" t="s">
        <v>33</v>
      </c>
      <c r="AB260">
        <f>IFERROR(((X260*M260)/Z260), "NA")</f>
        <v>99.983333333333334</v>
      </c>
      <c r="AC260" s="1" t="str">
        <f t="shared" si="107"/>
        <v>NA</v>
      </c>
      <c r="AE260" s="3">
        <f t="shared" si="131"/>
        <v>367.43874999999997</v>
      </c>
      <c r="AF260">
        <v>299.95</v>
      </c>
      <c r="AG260" s="1" t="str">
        <f>IFERROR((N260*P260*Q260), "NA")</f>
        <v>NA</v>
      </c>
      <c r="AH260" s="1" t="str">
        <f>IFERROR((AG260*U260*AI260), "NA")</f>
        <v>NA</v>
      </c>
      <c r="AI260" s="1">
        <v>1</v>
      </c>
      <c r="AJ260" s="11" t="s">
        <v>31</v>
      </c>
      <c r="AK260">
        <v>1000</v>
      </c>
      <c r="AL260" t="s">
        <v>614</v>
      </c>
      <c r="AM260" s="3" t="s">
        <v>103</v>
      </c>
      <c r="AN260" t="s">
        <v>130</v>
      </c>
      <c r="AO260" t="s">
        <v>795</v>
      </c>
      <c r="AP260">
        <v>7</v>
      </c>
      <c r="AQ260" t="s">
        <v>33</v>
      </c>
      <c r="AR260" t="s">
        <v>33</v>
      </c>
      <c r="AS260">
        <v>8</v>
      </c>
      <c r="AT260">
        <f>AS260-AU260</f>
        <v>3.26</v>
      </c>
      <c r="AU260" s="6">
        <v>4.74</v>
      </c>
      <c r="AV260" t="b">
        <v>1</v>
      </c>
      <c r="AW260" t="s">
        <v>626</v>
      </c>
      <c r="AX260" t="s">
        <v>627</v>
      </c>
      <c r="AY260" t="s">
        <v>633</v>
      </c>
      <c r="AZ260" t="s">
        <v>33</v>
      </c>
      <c r="BA260" s="18" t="s">
        <v>800</v>
      </c>
      <c r="BB260" s="3" t="b">
        <v>0</v>
      </c>
      <c r="BC260" t="s">
        <v>81</v>
      </c>
      <c r="BD260">
        <v>24</v>
      </c>
      <c r="BE260" t="s">
        <v>80</v>
      </c>
      <c r="BF260">
        <v>48</v>
      </c>
      <c r="BG260" t="s">
        <v>569</v>
      </c>
      <c r="BH260" t="s">
        <v>31</v>
      </c>
      <c r="BI260" t="s">
        <v>31</v>
      </c>
      <c r="BJ260">
        <f t="shared" si="111"/>
        <v>4.74</v>
      </c>
      <c r="BK260" s="3">
        <f t="shared" si="112"/>
        <v>0.67577834167408513</v>
      </c>
      <c r="BL260">
        <v>2</v>
      </c>
      <c r="BM260" s="3">
        <f t="shared" si="130"/>
        <v>1.8894066132999399</v>
      </c>
      <c r="BN260" t="s">
        <v>33</v>
      </c>
      <c r="BO260" s="3">
        <f t="shared" si="132"/>
        <v>77.518723628691973</v>
      </c>
      <c r="BP260" t="s">
        <v>33</v>
      </c>
      <c r="BQ260" t="s">
        <v>33</v>
      </c>
      <c r="BR260" t="s">
        <v>33</v>
      </c>
      <c r="BS260" t="s">
        <v>33</v>
      </c>
      <c r="BT260" t="s">
        <v>31</v>
      </c>
      <c r="BU260" s="15" t="s">
        <v>255</v>
      </c>
      <c r="BV260">
        <v>2010</v>
      </c>
      <c r="BW260" t="s">
        <v>659</v>
      </c>
      <c r="BX260" t="s">
        <v>78</v>
      </c>
      <c r="BY260" s="13" t="s">
        <v>680</v>
      </c>
      <c r="CA260" t="str">
        <f t="shared" si="133"/>
        <v>low acid</v>
      </c>
    </row>
    <row r="261" spans="1:79">
      <c r="A261" t="s">
        <v>588</v>
      </c>
      <c r="B261" t="s">
        <v>565</v>
      </c>
      <c r="C261" t="s">
        <v>563</v>
      </c>
      <c r="D261" t="s">
        <v>608</v>
      </c>
      <c r="E261" t="s">
        <v>77</v>
      </c>
      <c r="F261" t="s">
        <v>32</v>
      </c>
      <c r="G261" t="s">
        <v>33</v>
      </c>
      <c r="H261">
        <v>40</v>
      </c>
      <c r="I261" t="b">
        <v>0</v>
      </c>
      <c r="J261" t="s">
        <v>33</v>
      </c>
      <c r="K261" t="s">
        <v>33</v>
      </c>
      <c r="L261">
        <v>35</v>
      </c>
      <c r="M261" s="4">
        <v>250</v>
      </c>
      <c r="N261" t="e">
        <f>(#REF!*Y261)/(T261*X261*O261)</f>
        <v>#REF!</v>
      </c>
      <c r="O261">
        <v>3.7</v>
      </c>
      <c r="P261" t="s">
        <v>33</v>
      </c>
      <c r="Q261" s="1">
        <f t="shared" si="129"/>
        <v>6.4864864864864855E-2</v>
      </c>
      <c r="R261" t="s">
        <v>183</v>
      </c>
      <c r="S261" t="s">
        <v>613</v>
      </c>
      <c r="T261">
        <v>6</v>
      </c>
      <c r="U261">
        <v>1.9</v>
      </c>
      <c r="V261">
        <v>2.2999999999999998</v>
      </c>
      <c r="W261" t="s">
        <v>33</v>
      </c>
      <c r="X261">
        <f>IFERROR(((PI())*(((V261*10^-1)/2)^2)*(U261*10^-1)), "NA")</f>
        <v>7.8940369403077502E-3</v>
      </c>
      <c r="Y261">
        <v>1</v>
      </c>
      <c r="Z261" s="3">
        <f>IFERROR(X261*M261*O261*T261*AI261/AF261, "NA")</f>
        <v>0.12169973616307783</v>
      </c>
      <c r="AA261" t="s">
        <v>33</v>
      </c>
      <c r="AB261">
        <f>IFERROR(((X261*M261)/Z261), "NA")</f>
        <v>16.216216216216214</v>
      </c>
      <c r="AC261" s="1" t="str">
        <f t="shared" si="107"/>
        <v>NA</v>
      </c>
      <c r="AE261" s="3">
        <f t="shared" si="131"/>
        <v>2116.7999999999997</v>
      </c>
      <c r="AF261">
        <v>360</v>
      </c>
      <c r="AG261" s="1" t="str">
        <f>IFERROR((N261*P261*Q261), "NA")</f>
        <v>NA</v>
      </c>
      <c r="AH261" s="1" t="str">
        <f>IFERROR((AG261*U261*AI261), "NA")</f>
        <v>NA</v>
      </c>
      <c r="AI261" s="1">
        <v>1</v>
      </c>
      <c r="AJ261" s="11" t="s">
        <v>31</v>
      </c>
      <c r="AK261">
        <v>4800</v>
      </c>
      <c r="AL261" t="s">
        <v>156</v>
      </c>
      <c r="AM261" t="s">
        <v>157</v>
      </c>
      <c r="AN261" t="s">
        <v>186</v>
      </c>
      <c r="AO261" t="s">
        <v>792</v>
      </c>
      <c r="AP261">
        <v>6.53</v>
      </c>
      <c r="AQ261" t="s">
        <v>33</v>
      </c>
      <c r="AR261" t="s">
        <v>33</v>
      </c>
      <c r="AS261">
        <v>6.5</v>
      </c>
      <c r="AT261">
        <v>3.27</v>
      </c>
      <c r="AU261" s="6">
        <f>AS261-AT261</f>
        <v>3.23</v>
      </c>
      <c r="AV261" t="b">
        <v>1</v>
      </c>
      <c r="AW261" t="s">
        <v>626</v>
      </c>
      <c r="AX261" t="s">
        <v>627</v>
      </c>
      <c r="AY261" t="s">
        <v>625</v>
      </c>
      <c r="AZ261" t="s">
        <v>33</v>
      </c>
      <c r="BA261" s="18" t="s">
        <v>800</v>
      </c>
      <c r="BB261" s="3" t="b">
        <v>0</v>
      </c>
      <c r="BC261" t="s">
        <v>81</v>
      </c>
      <c r="BD261">
        <v>12</v>
      </c>
      <c r="BE261" t="s">
        <v>80</v>
      </c>
      <c r="BF261">
        <v>48</v>
      </c>
      <c r="BG261" t="s">
        <v>643</v>
      </c>
      <c r="BH261" t="s">
        <v>31</v>
      </c>
      <c r="BI261" t="s">
        <v>31</v>
      </c>
      <c r="BJ261">
        <f t="shared" si="111"/>
        <v>3.23</v>
      </c>
      <c r="BK261" s="3">
        <f t="shared" si="112"/>
        <v>0.50920252233110286</v>
      </c>
      <c r="BL261">
        <v>2</v>
      </c>
      <c r="BM261" s="3">
        <f t="shared" si="130"/>
        <v>2.8164773045123228</v>
      </c>
      <c r="BN261" t="s">
        <v>33</v>
      </c>
      <c r="BO261" s="3">
        <f t="shared" si="132"/>
        <v>655.35603715170271</v>
      </c>
      <c r="BP261" t="s">
        <v>33</v>
      </c>
      <c r="BQ261" t="s">
        <v>33</v>
      </c>
      <c r="BR261" t="s">
        <v>33</v>
      </c>
      <c r="BS261" t="s">
        <v>33</v>
      </c>
      <c r="BT261" t="s">
        <v>31</v>
      </c>
      <c r="BU261" s="13" t="s">
        <v>163</v>
      </c>
      <c r="BV261">
        <v>2004</v>
      </c>
      <c r="BW261" t="s">
        <v>654</v>
      </c>
      <c r="BX261" t="s">
        <v>78</v>
      </c>
      <c r="BY261" s="13" t="s">
        <v>677</v>
      </c>
      <c r="CA261" t="str">
        <f t="shared" si="133"/>
        <v>low acid</v>
      </c>
    </row>
    <row r="262" spans="1:79">
      <c r="A262" s="3" t="s">
        <v>280</v>
      </c>
      <c r="B262" t="s">
        <v>566</v>
      </c>
      <c r="C262" t="s">
        <v>563</v>
      </c>
      <c r="D262" s="3" t="s">
        <v>279</v>
      </c>
      <c r="E262" s="3" t="s">
        <v>77</v>
      </c>
      <c r="F262" t="s">
        <v>32</v>
      </c>
      <c r="G262" s="11">
        <v>10</v>
      </c>
      <c r="H262" s="11">
        <v>30</v>
      </c>
      <c r="I262" s="3" t="b">
        <v>0</v>
      </c>
      <c r="J262" s="3" t="s">
        <v>33</v>
      </c>
      <c r="K262" s="3" t="s">
        <v>33</v>
      </c>
      <c r="L262" s="11">
        <v>30</v>
      </c>
      <c r="M262" s="4">
        <v>1000</v>
      </c>
      <c r="N262" s="3">
        <f>IFERROR(AF262/((T262*X262/Y262)*O262*AI262),"NA")</f>
        <v>2526.2689379665921</v>
      </c>
      <c r="O262" s="3">
        <v>16</v>
      </c>
      <c r="P262" s="3" t="s">
        <v>33</v>
      </c>
      <c r="Q262" s="3">
        <f t="shared" si="129"/>
        <v>7.5000000000000011E-2</v>
      </c>
      <c r="R262" t="s">
        <v>183</v>
      </c>
      <c r="S262" t="s">
        <v>613</v>
      </c>
      <c r="T262" s="11">
        <v>1</v>
      </c>
      <c r="U262" s="3">
        <v>2.8</v>
      </c>
      <c r="V262" s="3">
        <v>3</v>
      </c>
      <c r="W262" s="3">
        <v>0.02</v>
      </c>
      <c r="X262" s="3">
        <f>IFERROR(((PI())*(((V262*10^-1)/2)^2)*(U262*10^-1)), "NA")</f>
        <v>1.97920337176157E-2</v>
      </c>
      <c r="Y262" s="3">
        <f>40/60</f>
        <v>0.66666666666666663</v>
      </c>
      <c r="Z262" s="3">
        <f>IFERROR(X262*M262*O262*T262*AI262/AF262, "NA")</f>
        <v>0.26389378290154264</v>
      </c>
      <c r="AA262" s="3" t="s">
        <v>33</v>
      </c>
      <c r="AB262" s="3">
        <f>IFERROR(((X262*M262)/Z262), "NA")</f>
        <v>75</v>
      </c>
      <c r="AC262" s="3" t="str">
        <f t="shared" ref="AC262:AC323" si="134">IFERROR(M262*P262,"NA")</f>
        <v>NA</v>
      </c>
      <c r="AD262" s="4">
        <f>IFERROR(AB262*T262*AI262, "NA")</f>
        <v>75</v>
      </c>
      <c r="AE262" s="3">
        <f t="shared" si="131"/>
        <v>108.00000000000001</v>
      </c>
      <c r="AF262" s="3">
        <v>1200</v>
      </c>
      <c r="AG262" s="3" t="str">
        <f>IFERROR((M262*O262*P262), "NA")</f>
        <v>NA</v>
      </c>
      <c r="AH262" s="3" t="str">
        <f>IFERROR((AG262*T262*AI262), "NA")</f>
        <v>NA</v>
      </c>
      <c r="AI262" s="11">
        <v>1</v>
      </c>
      <c r="AJ262" t="s">
        <v>31</v>
      </c>
      <c r="AK262" s="11">
        <v>100</v>
      </c>
      <c r="AL262" s="3" t="s">
        <v>526</v>
      </c>
      <c r="AM262" s="3" t="s">
        <v>103</v>
      </c>
      <c r="AN262" t="s">
        <v>130</v>
      </c>
      <c r="AO262" t="s">
        <v>795</v>
      </c>
      <c r="AP262" s="3" t="s">
        <v>33</v>
      </c>
      <c r="AQ262" s="3" t="s">
        <v>33</v>
      </c>
      <c r="AR262" s="3" t="s">
        <v>33</v>
      </c>
      <c r="AS262" s="3">
        <v>4.0880000000000001</v>
      </c>
      <c r="AT262" s="3">
        <f>IFERROR(AS262-AU262,"NA")</f>
        <v>3.27</v>
      </c>
      <c r="AU262" s="6">
        <v>0.81799999999999995</v>
      </c>
      <c r="AV262" s="3" t="b">
        <v>1</v>
      </c>
      <c r="AW262" s="3" t="s">
        <v>172</v>
      </c>
      <c r="AX262" s="3" t="s">
        <v>173</v>
      </c>
      <c r="AY262" s="3" t="s">
        <v>283</v>
      </c>
      <c r="AZ262" s="3" t="s">
        <v>33</v>
      </c>
      <c r="BA262" s="18" t="s">
        <v>799</v>
      </c>
      <c r="BB262" s="3" t="b">
        <v>0</v>
      </c>
      <c r="BC262" t="s">
        <v>81</v>
      </c>
      <c r="BD262" s="3">
        <v>2</v>
      </c>
      <c r="BE262" s="3" t="s">
        <v>252</v>
      </c>
      <c r="BF262" s="11">
        <v>72</v>
      </c>
      <c r="BG262" s="3" t="s">
        <v>574</v>
      </c>
      <c r="BH262" s="3" t="s">
        <v>31</v>
      </c>
      <c r="BI262" s="3" t="s">
        <v>31</v>
      </c>
      <c r="BJ262" s="3">
        <f t="shared" ref="BJ262:BJ323" si="135">AU262</f>
        <v>0.81799999999999995</v>
      </c>
      <c r="BK262" s="3">
        <f t="shared" ref="BK262:BK323" si="136">LOG10(BJ262)</f>
        <v>-8.7246696328677029E-2</v>
      </c>
      <c r="BL262" s="3">
        <v>2</v>
      </c>
      <c r="BM262" s="3">
        <f t="shared" si="130"/>
        <v>2.1206704518156267</v>
      </c>
      <c r="BN262" s="3" t="s">
        <v>33</v>
      </c>
      <c r="BO262" s="3">
        <f t="shared" si="132"/>
        <v>132.02933985330077</v>
      </c>
      <c r="BP262" s="3" t="s">
        <v>33</v>
      </c>
      <c r="BQ262" s="3" t="s">
        <v>33</v>
      </c>
      <c r="BR262" s="3" t="s">
        <v>33</v>
      </c>
      <c r="BS262" s="3" t="s">
        <v>33</v>
      </c>
      <c r="BT262" t="s">
        <v>31</v>
      </c>
      <c r="BU262" s="3" t="s">
        <v>247</v>
      </c>
      <c r="BV262" s="11">
        <v>2016</v>
      </c>
      <c r="BW262" s="3" t="s">
        <v>284</v>
      </c>
      <c r="BX262" t="s">
        <v>78</v>
      </c>
      <c r="BY262" s="3" t="s">
        <v>33</v>
      </c>
      <c r="BZ262" s="3" t="s">
        <v>282</v>
      </c>
      <c r="CA262" t="str">
        <f t="shared" si="133"/>
        <v>low acid</v>
      </c>
    </row>
    <row r="263" spans="1:79">
      <c r="A263" t="s">
        <v>764</v>
      </c>
      <c r="B263" t="s">
        <v>565</v>
      </c>
      <c r="C263" t="s">
        <v>563</v>
      </c>
      <c r="D263" t="s">
        <v>765</v>
      </c>
      <c r="E263" t="s">
        <v>77</v>
      </c>
      <c r="F263" t="s">
        <v>31</v>
      </c>
      <c r="G263">
        <v>22</v>
      </c>
      <c r="H263">
        <v>58</v>
      </c>
      <c r="I263" t="b">
        <v>0</v>
      </c>
      <c r="J263" t="s">
        <v>33</v>
      </c>
      <c r="K263" t="s">
        <v>33</v>
      </c>
      <c r="L263">
        <v>16</v>
      </c>
      <c r="M263" s="4">
        <f>N263</f>
        <v>324.45503176195251</v>
      </c>
      <c r="N263" s="3">
        <f>IFERROR(AF263/((T263*X263/Y263)*O263*AI263),"NA")</f>
        <v>324.45503176195251</v>
      </c>
      <c r="O263">
        <v>3</v>
      </c>
      <c r="P263">
        <v>7.1800000000000003E-2</v>
      </c>
      <c r="Q263" s="8">
        <f>IFERROR(X263/Y263, "NA")</f>
        <v>7.1812725090036014E-2</v>
      </c>
      <c r="R263" t="s">
        <v>183</v>
      </c>
      <c r="S263" t="s">
        <v>33</v>
      </c>
      <c r="T263" s="11">
        <v>1</v>
      </c>
      <c r="U263" t="s">
        <v>33</v>
      </c>
      <c r="V263" t="s">
        <v>33</v>
      </c>
      <c r="W263">
        <v>9.9699999999999997E-2</v>
      </c>
      <c r="X263">
        <f>W263</f>
        <v>9.9699999999999997E-2</v>
      </c>
      <c r="Y263" s="6">
        <f>83.3/60</f>
        <v>1.3883333333333332</v>
      </c>
      <c r="Z263" s="6">
        <f>Y263</f>
        <v>1.3883333333333332</v>
      </c>
      <c r="AA263" t="s">
        <v>33</v>
      </c>
      <c r="AB263" s="4">
        <f>IFERROR(((X263*M263)/Y263), "NA")</f>
        <v>23.3</v>
      </c>
      <c r="AC263" s="4">
        <f t="shared" si="134"/>
        <v>23.295871280508191</v>
      </c>
      <c r="AD263" s="4">
        <f>AB263*T263*AI263</f>
        <v>23.3</v>
      </c>
      <c r="AE263" s="3">
        <f t="shared" si="131"/>
        <v>53.683199999999992</v>
      </c>
      <c r="AF263">
        <v>69.900000000000006</v>
      </c>
      <c r="AG263" s="4">
        <f>IFERROR((M263*O263*P263), "NA")</f>
        <v>69.887613841524569</v>
      </c>
      <c r="AH263" s="4">
        <f>IFERROR((AG263*T263*AI263), "NA")</f>
        <v>69.887613841524569</v>
      </c>
      <c r="AI263">
        <v>1</v>
      </c>
      <c r="AJ263" s="11" t="s">
        <v>31</v>
      </c>
      <c r="AK263">
        <v>3000</v>
      </c>
      <c r="AL263" t="s">
        <v>169</v>
      </c>
      <c r="AM263" t="s">
        <v>103</v>
      </c>
      <c r="AN263" t="s">
        <v>130</v>
      </c>
      <c r="AO263" t="s">
        <v>795</v>
      </c>
      <c r="AP263">
        <v>7.3</v>
      </c>
      <c r="AQ263" t="s">
        <v>33</v>
      </c>
      <c r="AR263" t="s">
        <v>33</v>
      </c>
      <c r="AS263">
        <v>7</v>
      </c>
      <c r="AT263" s="3">
        <f>IFERROR(AS263-AU263,"NA")</f>
        <v>3.2709999999999999</v>
      </c>
      <c r="AU263" s="6">
        <v>3.7290000000000001</v>
      </c>
      <c r="AV263" t="b">
        <v>1</v>
      </c>
      <c r="AW263" t="s">
        <v>29</v>
      </c>
      <c r="AX263" t="s">
        <v>30</v>
      </c>
      <c r="AY263" t="s">
        <v>766</v>
      </c>
      <c r="AZ263" t="s">
        <v>33</v>
      </c>
      <c r="BA263" s="18" t="s">
        <v>798</v>
      </c>
      <c r="BB263" s="3" t="b">
        <v>0</v>
      </c>
      <c r="BC263" t="s">
        <v>81</v>
      </c>
      <c r="BD263">
        <v>16</v>
      </c>
      <c r="BE263" t="s">
        <v>80</v>
      </c>
      <c r="BF263">
        <v>24</v>
      </c>
      <c r="BG263" t="s">
        <v>569</v>
      </c>
      <c r="BH263" t="s">
        <v>31</v>
      </c>
      <c r="BI263" t="s">
        <v>31</v>
      </c>
      <c r="BJ263" s="3">
        <f t="shared" si="135"/>
        <v>3.7290000000000001</v>
      </c>
      <c r="BK263" s="3">
        <f t="shared" si="136"/>
        <v>0.57159238336130724</v>
      </c>
      <c r="BL263">
        <v>2</v>
      </c>
      <c r="BM263" s="3">
        <f t="shared" si="130"/>
        <v>1.1582460124158862</v>
      </c>
      <c r="BN263" t="s">
        <v>33</v>
      </c>
      <c r="BO263" s="3">
        <f t="shared" si="132"/>
        <v>14.396138374899435</v>
      </c>
      <c r="BP263" t="s">
        <v>33</v>
      </c>
      <c r="BQ263" t="s">
        <v>33</v>
      </c>
      <c r="BR263" t="s">
        <v>33</v>
      </c>
      <c r="BS263" t="s">
        <v>33</v>
      </c>
      <c r="BT263" t="s">
        <v>31</v>
      </c>
      <c r="BU263" t="s">
        <v>767</v>
      </c>
      <c r="BV263">
        <v>2021</v>
      </c>
      <c r="BW263" t="s">
        <v>768</v>
      </c>
      <c r="BX263" t="s">
        <v>78</v>
      </c>
      <c r="BY263" t="s">
        <v>769</v>
      </c>
      <c r="CA263" t="str">
        <f t="shared" si="133"/>
        <v>low acid</v>
      </c>
    </row>
    <row r="264" spans="1:79">
      <c r="A264" t="s">
        <v>261</v>
      </c>
      <c r="B264" t="s">
        <v>565</v>
      </c>
      <c r="C264" t="s">
        <v>563</v>
      </c>
      <c r="D264" t="s">
        <v>118</v>
      </c>
      <c r="E264" t="s">
        <v>77</v>
      </c>
      <c r="F264" t="s">
        <v>32</v>
      </c>
      <c r="G264">
        <v>5</v>
      </c>
      <c r="H264">
        <v>40</v>
      </c>
      <c r="I264" t="b">
        <v>0</v>
      </c>
      <c r="J264" t="s">
        <v>33</v>
      </c>
      <c r="K264" t="s">
        <v>33</v>
      </c>
      <c r="L264">
        <v>35</v>
      </c>
      <c r="M264" s="4">
        <v>250</v>
      </c>
      <c r="N264" s="3">
        <f>IFERROR(AF264/((T264*X264/Y264)*O264*AI264),"NA")</f>
        <v>9444.8061195568516</v>
      </c>
      <c r="O264">
        <v>4</v>
      </c>
      <c r="P264" t="s">
        <v>33</v>
      </c>
      <c r="Q264">
        <f t="shared" ref="Q264:Q280" si="137">IFERROR(X264/Z264, "NA")</f>
        <v>0.25</v>
      </c>
      <c r="R264" t="s">
        <v>183</v>
      </c>
      <c r="S264" t="s">
        <v>613</v>
      </c>
      <c r="T264" s="11">
        <v>8</v>
      </c>
      <c r="U264">
        <v>2.92</v>
      </c>
      <c r="V264">
        <v>2.2999999999999998</v>
      </c>
      <c r="W264">
        <v>1.21E-2</v>
      </c>
      <c r="X264" s="8">
        <f t="shared" ref="X264:X269" si="138">IFERROR(((PI())*(((V264*10^-1)/2)^2)*(U264*10^-1)), "NA")</f>
        <v>1.2131888350367701E-2</v>
      </c>
      <c r="Y264" s="6">
        <f>110/60</f>
        <v>1.8333333333333333</v>
      </c>
      <c r="Z264" s="3">
        <f>IFERROR(X264*M264*O264*T264*AI264/AF264, "NA")</f>
        <v>4.8527553401470802E-2</v>
      </c>
      <c r="AA264" t="s">
        <v>33</v>
      </c>
      <c r="AB264" s="6">
        <f t="shared" ref="AB264:AB270" si="139">IFERROR(((X264*M264)/Z264), "NA")</f>
        <v>62.5</v>
      </c>
      <c r="AC264" t="str">
        <f t="shared" si="134"/>
        <v>NA</v>
      </c>
      <c r="AD264" s="4">
        <f>AB264*T264*AI264</f>
        <v>500</v>
      </c>
      <c r="AE264" s="3">
        <f t="shared" si="131"/>
        <v>12568.5</v>
      </c>
      <c r="AF264">
        <v>2000</v>
      </c>
      <c r="AG264" t="str">
        <f>IFERROR((M264*O264*P264), "NA")</f>
        <v>NA</v>
      </c>
      <c r="AH264" t="str">
        <f>IFERROR((AG264*T264*AI264), "NA")</f>
        <v>NA</v>
      </c>
      <c r="AI264">
        <v>1</v>
      </c>
      <c r="AJ264" t="s">
        <v>31</v>
      </c>
      <c r="AK264">
        <v>5130</v>
      </c>
      <c r="AL264" t="s">
        <v>547</v>
      </c>
      <c r="AM264" t="s">
        <v>86</v>
      </c>
      <c r="AN264" t="s">
        <v>205</v>
      </c>
      <c r="AO264" t="s">
        <v>789</v>
      </c>
      <c r="AP264">
        <v>3.16</v>
      </c>
      <c r="AQ264" t="s">
        <v>33</v>
      </c>
      <c r="AR264" t="s">
        <v>33</v>
      </c>
      <c r="AS264" s="6">
        <f>LOG((10^7+10^8)/2)</f>
        <v>7.7403626894942441</v>
      </c>
      <c r="AT264" s="3">
        <f>IFERROR(AS264-AU264,"NA")</f>
        <v>3.2753626894942443</v>
      </c>
      <c r="AU264" s="6">
        <v>4.4649999999999999</v>
      </c>
      <c r="AV264" t="b">
        <v>1</v>
      </c>
      <c r="AW264" t="s">
        <v>29</v>
      </c>
      <c r="AX264" t="s">
        <v>30</v>
      </c>
      <c r="AY264" t="s">
        <v>33</v>
      </c>
      <c r="AZ264" t="s">
        <v>134</v>
      </c>
      <c r="BA264" s="18" t="s">
        <v>798</v>
      </c>
      <c r="BB264" t="b">
        <v>0</v>
      </c>
      <c r="BC264" t="s">
        <v>81</v>
      </c>
      <c r="BD264">
        <v>15</v>
      </c>
      <c r="BE264" t="s">
        <v>80</v>
      </c>
      <c r="BF264" s="11">
        <v>24</v>
      </c>
      <c r="BG264" t="s">
        <v>262</v>
      </c>
      <c r="BH264" t="s">
        <v>31</v>
      </c>
      <c r="BI264" t="s">
        <v>31</v>
      </c>
      <c r="BJ264" s="3">
        <f t="shared" si="135"/>
        <v>4.4649999999999999</v>
      </c>
      <c r="BK264" s="3">
        <f t="shared" si="136"/>
        <v>0.64982146322456524</v>
      </c>
      <c r="BL264">
        <v>2</v>
      </c>
      <c r="BM264" s="3">
        <f t="shared" si="130"/>
        <v>3.4494619862517837</v>
      </c>
      <c r="BN264" t="s">
        <v>33</v>
      </c>
      <c r="BO264" s="3">
        <f t="shared" si="132"/>
        <v>2814.8936170212769</v>
      </c>
      <c r="BP264" t="s">
        <v>33</v>
      </c>
      <c r="BQ264" t="s">
        <v>33</v>
      </c>
      <c r="BR264" t="s">
        <v>33</v>
      </c>
      <c r="BS264" t="s">
        <v>33</v>
      </c>
      <c r="BT264" t="s">
        <v>31</v>
      </c>
      <c r="BU264" t="s">
        <v>219</v>
      </c>
      <c r="BV264">
        <v>2008</v>
      </c>
      <c r="BW264" s="2" t="s">
        <v>257</v>
      </c>
      <c r="BX264" t="s">
        <v>78</v>
      </c>
      <c r="BY264" t="s">
        <v>33</v>
      </c>
      <c r="BZ264" t="s">
        <v>33</v>
      </c>
      <c r="CA264" t="str">
        <f t="shared" si="133"/>
        <v>high acid</v>
      </c>
    </row>
    <row r="265" spans="1:79">
      <c r="A265" t="s">
        <v>602</v>
      </c>
      <c r="B265" t="s">
        <v>565</v>
      </c>
      <c r="C265" t="s">
        <v>563</v>
      </c>
      <c r="D265" t="s">
        <v>118</v>
      </c>
      <c r="E265" t="s">
        <v>77</v>
      </c>
      <c r="F265" t="s">
        <v>33</v>
      </c>
      <c r="G265">
        <v>35</v>
      </c>
      <c r="H265">
        <v>18</v>
      </c>
      <c r="I265" t="b">
        <v>1</v>
      </c>
      <c r="J265">
        <v>6739</v>
      </c>
      <c r="K265">
        <v>10.55</v>
      </c>
      <c r="L265">
        <v>23</v>
      </c>
      <c r="M265" s="4">
        <v>500</v>
      </c>
      <c r="N265" t="e">
        <f>(#REF!*Y265)/(T265*X265*O265)</f>
        <v>#REF!</v>
      </c>
      <c r="O265">
        <v>3</v>
      </c>
      <c r="P265" t="s">
        <v>33</v>
      </c>
      <c r="Q265" s="1">
        <f t="shared" si="137"/>
        <v>1.2044444444444444E-2</v>
      </c>
      <c r="R265" t="s">
        <v>183</v>
      </c>
      <c r="S265" t="s">
        <v>613</v>
      </c>
      <c r="T265">
        <v>6</v>
      </c>
      <c r="U265">
        <v>2.92</v>
      </c>
      <c r="V265">
        <v>2.2999999999999998</v>
      </c>
      <c r="W265" t="s">
        <v>33</v>
      </c>
      <c r="X265">
        <f t="shared" si="138"/>
        <v>1.2131888350367701E-2</v>
      </c>
      <c r="Y265">
        <v>1</v>
      </c>
      <c r="Z265" s="3">
        <f>IFERROR(X265*M265*O265*T265*AI265/AF265, "NA")</f>
        <v>1.0072601028903072</v>
      </c>
      <c r="AA265" t="s">
        <v>33</v>
      </c>
      <c r="AB265">
        <f t="shared" si="139"/>
        <v>6.022222222222223</v>
      </c>
      <c r="AC265" s="1" t="str">
        <f t="shared" si="134"/>
        <v>NA</v>
      </c>
      <c r="AE265" s="3">
        <f t="shared" si="131"/>
        <v>297.03984800000001</v>
      </c>
      <c r="AF265">
        <v>108.4</v>
      </c>
      <c r="AG265" s="1" t="str">
        <f>IFERROR((N265*P265*Q265), "NA")</f>
        <v>NA</v>
      </c>
      <c r="AH265" s="1" t="str">
        <f>IFERROR((O265*Q265*R265), "NA")</f>
        <v>NA</v>
      </c>
      <c r="AI265" s="1">
        <v>1</v>
      </c>
      <c r="AJ265" s="11" t="s">
        <v>31</v>
      </c>
      <c r="AK265">
        <v>5180</v>
      </c>
      <c r="AL265" t="s">
        <v>265</v>
      </c>
      <c r="AM265" t="s">
        <v>86</v>
      </c>
      <c r="AN265" t="s">
        <v>205</v>
      </c>
      <c r="AO265" t="s">
        <v>789</v>
      </c>
      <c r="AP265">
        <v>3.27</v>
      </c>
      <c r="AQ265" t="s">
        <v>33</v>
      </c>
      <c r="AR265" t="s">
        <v>33</v>
      </c>
      <c r="AS265">
        <v>6.5</v>
      </c>
      <c r="AT265">
        <v>3.28</v>
      </c>
      <c r="AU265" s="6">
        <f>AS265-AT265</f>
        <v>3.22</v>
      </c>
      <c r="AV265" t="b">
        <v>1</v>
      </c>
      <c r="AW265" t="s">
        <v>626</v>
      </c>
      <c r="AX265" t="s">
        <v>627</v>
      </c>
      <c r="AY265">
        <v>95047</v>
      </c>
      <c r="AZ265" t="s">
        <v>33</v>
      </c>
      <c r="BA265" s="18" t="s">
        <v>800</v>
      </c>
      <c r="BB265" s="3" t="b">
        <v>0</v>
      </c>
      <c r="BC265" t="s">
        <v>81</v>
      </c>
      <c r="BD265">
        <v>24</v>
      </c>
      <c r="BE265" t="s">
        <v>80</v>
      </c>
      <c r="BF265">
        <v>48</v>
      </c>
      <c r="BG265" t="s">
        <v>697</v>
      </c>
      <c r="BH265" t="s">
        <v>32</v>
      </c>
      <c r="BI265" t="s">
        <v>31</v>
      </c>
      <c r="BJ265" s="3">
        <f t="shared" si="135"/>
        <v>3.22</v>
      </c>
      <c r="BK265" s="3">
        <f t="shared" si="136"/>
        <v>0.50785587169583091</v>
      </c>
      <c r="BL265">
        <v>2</v>
      </c>
      <c r="BM265" s="3">
        <f t="shared" si="130"/>
        <v>1.9649588422869559</v>
      </c>
      <c r="BN265" t="s">
        <v>33</v>
      </c>
      <c r="BO265" s="3">
        <f t="shared" si="132"/>
        <v>92.24839999999999</v>
      </c>
      <c r="BP265" t="s">
        <v>33</v>
      </c>
      <c r="BQ265" t="s">
        <v>33</v>
      </c>
      <c r="BR265" t="s">
        <v>33</v>
      </c>
      <c r="BS265" t="s">
        <v>33</v>
      </c>
      <c r="BT265" t="s">
        <v>31</v>
      </c>
      <c r="BU265" s="13" t="s">
        <v>163</v>
      </c>
      <c r="BV265" s="14">
        <v>2017</v>
      </c>
      <c r="BW265" t="s">
        <v>266</v>
      </c>
      <c r="BX265" t="s">
        <v>78</v>
      </c>
      <c r="BY265" s="13" t="s">
        <v>690</v>
      </c>
      <c r="CA265" t="str">
        <f t="shared" si="133"/>
        <v>high acid</v>
      </c>
    </row>
    <row r="266" spans="1:79">
      <c r="A266" t="s">
        <v>367</v>
      </c>
      <c r="B266" t="s">
        <v>565</v>
      </c>
      <c r="C266" t="s">
        <v>563</v>
      </c>
      <c r="D266" t="s">
        <v>118</v>
      </c>
      <c r="E266" t="s">
        <v>77</v>
      </c>
      <c r="F266" t="s">
        <v>32</v>
      </c>
      <c r="G266">
        <v>20</v>
      </c>
      <c r="H266">
        <v>30</v>
      </c>
      <c r="I266" t="b">
        <v>0</v>
      </c>
      <c r="J266" t="s">
        <v>33</v>
      </c>
      <c r="K266" t="s">
        <v>33</v>
      </c>
      <c r="L266">
        <v>25</v>
      </c>
      <c r="M266" s="4" t="s">
        <v>33</v>
      </c>
      <c r="N266" s="3">
        <f>IFERROR(AF266/((T266*X266/Y266)*O266*AI266),"NA")</f>
        <v>160.73532266282723</v>
      </c>
      <c r="O266">
        <v>2</v>
      </c>
      <c r="P266" t="s">
        <v>33</v>
      </c>
      <c r="Q266" s="8">
        <f t="shared" si="137"/>
        <v>8.6062808747716102E-3</v>
      </c>
      <c r="R266" t="s">
        <v>183</v>
      </c>
      <c r="S266" t="s">
        <v>613</v>
      </c>
      <c r="T266" s="11">
        <v>6</v>
      </c>
      <c r="U266">
        <v>2.9</v>
      </c>
      <c r="V266">
        <v>2.2999999999999998</v>
      </c>
      <c r="W266" t="s">
        <v>33</v>
      </c>
      <c r="X266" s="8">
        <f t="shared" si="138"/>
        <v>1.204879322468025E-2</v>
      </c>
      <c r="Y266">
        <f>84/60</f>
        <v>1.4</v>
      </c>
      <c r="Z266" s="3">
        <f>IFERROR(X266*N266*O266*T266*AI266/AF266, "NA")</f>
        <v>1.3999999999999997</v>
      </c>
      <c r="AA266">
        <f>8.3/6</f>
        <v>1.3833333333333335</v>
      </c>
      <c r="AB266" s="6" t="str">
        <f t="shared" si="139"/>
        <v>NA</v>
      </c>
      <c r="AC266" t="str">
        <f t="shared" si="134"/>
        <v>NA</v>
      </c>
      <c r="AD266" s="4" t="str">
        <f>IFERROR(AB266*T266*AI266, "NA")</f>
        <v>NA</v>
      </c>
      <c r="AE266" s="3">
        <f>IFERROR(((L266^2)*N266*O266*AK266*10^-6*Q266*T266*AI266), "NA")</f>
        <v>19.193750000000009</v>
      </c>
      <c r="AF266" s="3">
        <f>AA266*O266*T266</f>
        <v>16.600000000000001</v>
      </c>
      <c r="AG266" t="str">
        <f>IFERROR((M266*O266*P266), "NA")</f>
        <v>NA</v>
      </c>
      <c r="AH266" t="str">
        <f>IFERROR((AG266*T266*AI266), "NA")</f>
        <v>NA</v>
      </c>
      <c r="AI266" s="11">
        <v>1</v>
      </c>
      <c r="AJ266" t="s">
        <v>31</v>
      </c>
      <c r="AK266">
        <v>1850</v>
      </c>
      <c r="AL266" t="s">
        <v>149</v>
      </c>
      <c r="AM266" t="s">
        <v>86</v>
      </c>
      <c r="AN266" t="s">
        <v>205</v>
      </c>
      <c r="AO266" t="s">
        <v>789</v>
      </c>
      <c r="AP266" t="s">
        <v>33</v>
      </c>
      <c r="AQ266" t="s">
        <v>33</v>
      </c>
      <c r="AR266" t="s">
        <v>33</v>
      </c>
      <c r="AS266" s="6">
        <f>LOG(4*10^6)</f>
        <v>6.6020599913279625</v>
      </c>
      <c r="AT266" s="3">
        <f>IFERROR(AS266-AU266,"NA")</f>
        <v>3.2810599913279623</v>
      </c>
      <c r="AU266" s="6">
        <v>3.3210000000000002</v>
      </c>
      <c r="AV266" t="b">
        <v>1</v>
      </c>
      <c r="AW266" t="s">
        <v>172</v>
      </c>
      <c r="AX266" t="s">
        <v>173</v>
      </c>
      <c r="AY266" t="s">
        <v>363</v>
      </c>
      <c r="AZ266" t="s">
        <v>33</v>
      </c>
      <c r="BA266" s="18" t="s">
        <v>799</v>
      </c>
      <c r="BB266" t="b">
        <v>0</v>
      </c>
      <c r="BC266" t="s">
        <v>81</v>
      </c>
      <c r="BD266">
        <v>48</v>
      </c>
      <c r="BE266" t="s">
        <v>80</v>
      </c>
      <c r="BF266" s="11">
        <v>120</v>
      </c>
      <c r="BG266" t="s">
        <v>364</v>
      </c>
      <c r="BH266" t="s">
        <v>31</v>
      </c>
      <c r="BI266" t="s">
        <v>31</v>
      </c>
      <c r="BJ266" s="3">
        <f t="shared" si="135"/>
        <v>3.3210000000000002</v>
      </c>
      <c r="BK266" s="3">
        <f t="shared" si="136"/>
        <v>0.52126887559838531</v>
      </c>
      <c r="BL266">
        <v>2</v>
      </c>
      <c r="BM266" s="3">
        <f t="shared" si="130"/>
        <v>0.76189095818875907</v>
      </c>
      <c r="BN266" t="s">
        <v>33</v>
      </c>
      <c r="BO266" s="3">
        <f t="shared" si="132"/>
        <v>5.7795091839807311</v>
      </c>
      <c r="BP266" t="s">
        <v>33</v>
      </c>
      <c r="BQ266" t="s">
        <v>33</v>
      </c>
      <c r="BR266" t="s">
        <v>33</v>
      </c>
      <c r="BS266" t="s">
        <v>33</v>
      </c>
      <c r="BT266" t="s">
        <v>32</v>
      </c>
      <c r="BU266" t="s">
        <v>365</v>
      </c>
      <c r="BV266">
        <v>2002</v>
      </c>
      <c r="BW266" t="s">
        <v>366</v>
      </c>
      <c r="BX266" t="s">
        <v>78</v>
      </c>
      <c r="BY266" t="s">
        <v>33</v>
      </c>
      <c r="BZ266" t="s">
        <v>33</v>
      </c>
      <c r="CA266" t="str">
        <f t="shared" si="133"/>
        <v>high acid</v>
      </c>
    </row>
    <row r="267" spans="1:79">
      <c r="A267" t="s">
        <v>590</v>
      </c>
      <c r="B267" t="s">
        <v>565</v>
      </c>
      <c r="C267" t="s">
        <v>564</v>
      </c>
      <c r="D267" t="s">
        <v>609</v>
      </c>
      <c r="E267" t="s">
        <v>77</v>
      </c>
      <c r="F267" t="s">
        <v>32</v>
      </c>
      <c r="G267">
        <v>40</v>
      </c>
      <c r="H267">
        <v>49</v>
      </c>
      <c r="I267" t="b">
        <v>0</v>
      </c>
      <c r="J267" t="s">
        <v>33</v>
      </c>
      <c r="K267" t="s">
        <v>33</v>
      </c>
      <c r="L267">
        <v>24</v>
      </c>
      <c r="M267" s="4">
        <v>120</v>
      </c>
      <c r="N267" t="e">
        <f>(#REF!*Y267)/(T267*X267*O267)</f>
        <v>#REF!</v>
      </c>
      <c r="O267">
        <v>3</v>
      </c>
      <c r="P267" t="s">
        <v>33</v>
      </c>
      <c r="Q267" s="1">
        <f t="shared" si="137"/>
        <v>0.19076388888888887</v>
      </c>
      <c r="R267" t="s">
        <v>183</v>
      </c>
      <c r="S267" t="s">
        <v>612</v>
      </c>
      <c r="T267">
        <v>4</v>
      </c>
      <c r="U267">
        <v>3</v>
      </c>
      <c r="V267">
        <v>2.6</v>
      </c>
      <c r="W267">
        <v>1.5900000000000001E-2</v>
      </c>
      <c r="X267">
        <f t="shared" si="138"/>
        <v>1.5927874753700257E-2</v>
      </c>
      <c r="Y267">
        <v>8.3333299999999999E-2</v>
      </c>
      <c r="Z267" s="3">
        <f>IFERROR(X267*M267*O267*T267*AI267/AF267, "NA")</f>
        <v>8.3495229870143323E-2</v>
      </c>
      <c r="AA267" t="s">
        <v>33</v>
      </c>
      <c r="AB267">
        <f t="shared" si="139"/>
        <v>22.891666666666666</v>
      </c>
      <c r="AC267" s="1" t="str">
        <f t="shared" si="134"/>
        <v>NA</v>
      </c>
      <c r="AE267" s="3">
        <f>IFERROR(((L267^2)*M267*O267*AK267*10^-6*Q267*T267*AI267), "NA")</f>
        <v>181.96127999999999</v>
      </c>
      <c r="AF267">
        <v>274.7</v>
      </c>
      <c r="AG267" s="1" t="str">
        <f>IFERROR((N267*P267*Q267), "NA")</f>
        <v>NA</v>
      </c>
      <c r="AH267" s="1" t="str">
        <f>IFERROR((AG267*U267*AI267), "NA")</f>
        <v>NA</v>
      </c>
      <c r="AI267" s="1">
        <v>1</v>
      </c>
      <c r="AJ267" s="11" t="s">
        <v>31</v>
      </c>
      <c r="AK267">
        <v>1150</v>
      </c>
      <c r="AL267" t="s">
        <v>551</v>
      </c>
      <c r="AM267" t="s">
        <v>86</v>
      </c>
      <c r="AN267" t="s">
        <v>186</v>
      </c>
      <c r="AO267" t="s">
        <v>794</v>
      </c>
      <c r="AP267">
        <v>5.92</v>
      </c>
      <c r="AQ267" t="s">
        <v>33</v>
      </c>
      <c r="AR267" t="s">
        <v>33</v>
      </c>
      <c r="AS267">
        <v>6</v>
      </c>
      <c r="AT267">
        <f>AS267-AU267</f>
        <v>3.3</v>
      </c>
      <c r="AU267" s="6">
        <v>2.7</v>
      </c>
      <c r="AV267" t="b">
        <v>1</v>
      </c>
      <c r="AW267" t="s">
        <v>626</v>
      </c>
      <c r="AX267" t="s">
        <v>627</v>
      </c>
      <c r="AY267" t="s">
        <v>631</v>
      </c>
      <c r="AZ267" t="s">
        <v>33</v>
      </c>
      <c r="BA267" s="18" t="s">
        <v>800</v>
      </c>
      <c r="BB267" s="3" t="b">
        <v>0</v>
      </c>
      <c r="BC267" t="s">
        <v>81</v>
      </c>
      <c r="BD267">
        <v>20</v>
      </c>
      <c r="BE267" t="s">
        <v>80</v>
      </c>
      <c r="BF267">
        <v>20</v>
      </c>
      <c r="BG267" t="s">
        <v>695</v>
      </c>
      <c r="BH267" t="s">
        <v>32</v>
      </c>
      <c r="BI267" t="s">
        <v>31</v>
      </c>
      <c r="BJ267">
        <f t="shared" si="135"/>
        <v>2.7</v>
      </c>
      <c r="BK267" s="3">
        <f t="shared" si="136"/>
        <v>0.43136376415898736</v>
      </c>
      <c r="BL267">
        <v>2</v>
      </c>
      <c r="BM267" s="3">
        <f t="shared" si="130"/>
        <v>1.8286152190383982</v>
      </c>
      <c r="BN267" t="s">
        <v>33</v>
      </c>
      <c r="BO267" s="3">
        <f t="shared" si="132"/>
        <v>67.393066666666655</v>
      </c>
      <c r="BP267" t="s">
        <v>33</v>
      </c>
      <c r="BQ267" t="s">
        <v>33</v>
      </c>
      <c r="BR267" t="s">
        <v>33</v>
      </c>
      <c r="BS267" t="s">
        <v>33</v>
      </c>
      <c r="BT267" t="s">
        <v>32</v>
      </c>
      <c r="BU267" s="15" t="s">
        <v>207</v>
      </c>
      <c r="BV267">
        <v>2014</v>
      </c>
      <c r="BW267" t="s">
        <v>242</v>
      </c>
      <c r="BX267" t="s">
        <v>78</v>
      </c>
      <c r="BY267" s="13" t="s">
        <v>678</v>
      </c>
      <c r="CA267" t="str">
        <f t="shared" si="133"/>
        <v>low acid</v>
      </c>
    </row>
    <row r="268" spans="1:79">
      <c r="A268" t="s">
        <v>580</v>
      </c>
      <c r="B268" t="s">
        <v>565</v>
      </c>
      <c r="C268" t="s">
        <v>563</v>
      </c>
      <c r="D268" t="s">
        <v>118</v>
      </c>
      <c r="E268" t="s">
        <v>77</v>
      </c>
      <c r="F268" t="s">
        <v>32</v>
      </c>
      <c r="G268">
        <v>22</v>
      </c>
      <c r="H268">
        <v>40</v>
      </c>
      <c r="I268" t="b">
        <v>0</v>
      </c>
      <c r="J268">
        <v>10220</v>
      </c>
      <c r="K268">
        <v>34.78</v>
      </c>
      <c r="L268">
        <v>35</v>
      </c>
      <c r="M268" s="4">
        <v>175</v>
      </c>
      <c r="N268" t="e">
        <f>(#REF!*Y268)/(T268*X268*O268)</f>
        <v>#REF!</v>
      </c>
      <c r="O268">
        <v>4</v>
      </c>
      <c r="P268">
        <f>AVERAGE(0.0066, 0.0091)</f>
        <v>7.8499999999999993E-3</v>
      </c>
      <c r="Q268" s="1">
        <f t="shared" si="137"/>
        <v>0.22321428571428573</v>
      </c>
      <c r="R268" t="s">
        <v>183</v>
      </c>
      <c r="S268" t="s">
        <v>613</v>
      </c>
      <c r="T268">
        <v>8</v>
      </c>
      <c r="U268">
        <v>2.92</v>
      </c>
      <c r="V268">
        <v>2.2999999999999998</v>
      </c>
      <c r="W268">
        <v>1.21E-2</v>
      </c>
      <c r="X268">
        <f t="shared" si="138"/>
        <v>1.2131888350367701E-2</v>
      </c>
      <c r="Y268">
        <v>1.5</v>
      </c>
      <c r="Z268" s="3">
        <f>IFERROR(X268*M268*O268*T268*AI268/AF268, "NA")</f>
        <v>5.4350859809647295E-2</v>
      </c>
      <c r="AA268" t="s">
        <v>33</v>
      </c>
      <c r="AB268">
        <f t="shared" si="139"/>
        <v>39.0625</v>
      </c>
      <c r="AC268" s="1">
        <f t="shared" si="134"/>
        <v>1.3737499999999998</v>
      </c>
      <c r="AE268" s="3">
        <f>IFERROR(((L268^2)*M268*O268*AK268*10^-6*Q268*T268*AI268), "NA")</f>
        <v>4578.4375</v>
      </c>
      <c r="AF268">
        <v>1250</v>
      </c>
      <c r="AG268" s="1" t="str">
        <f>IFERROR((N268*P268*Q268), "NA")</f>
        <v>NA</v>
      </c>
      <c r="AH268" s="1" t="str">
        <f>IFERROR((AG268*U268*AI268), "NA")</f>
        <v>NA</v>
      </c>
      <c r="AI268" s="1">
        <v>1</v>
      </c>
      <c r="AJ268" s="11" t="s">
        <v>31</v>
      </c>
      <c r="AK268">
        <v>2990</v>
      </c>
      <c r="AL268" t="s">
        <v>544</v>
      </c>
      <c r="AM268" t="s">
        <v>86</v>
      </c>
      <c r="AN268" t="s">
        <v>205</v>
      </c>
      <c r="AO268" t="s">
        <v>789</v>
      </c>
      <c r="AP268">
        <v>4.4000000000000004</v>
      </c>
      <c r="AQ268" t="s">
        <v>33</v>
      </c>
      <c r="AR268" t="s">
        <v>33</v>
      </c>
      <c r="AS268">
        <v>7.5</v>
      </c>
      <c r="AT268">
        <f>AS268-AU268</f>
        <v>3.3</v>
      </c>
      <c r="AU268" s="6">
        <v>4.2</v>
      </c>
      <c r="AV268" t="b">
        <v>1</v>
      </c>
      <c r="AW268" t="s">
        <v>617</v>
      </c>
      <c r="AX268" t="s">
        <v>33</v>
      </c>
      <c r="AY268" t="s">
        <v>33</v>
      </c>
      <c r="AZ268" t="s">
        <v>619</v>
      </c>
      <c r="BA268" s="18" t="s">
        <v>802</v>
      </c>
      <c r="BB268" s="3" t="b">
        <v>0</v>
      </c>
      <c r="BC268" t="s">
        <v>81</v>
      </c>
      <c r="BD268">
        <v>15</v>
      </c>
      <c r="BE268" t="s">
        <v>80</v>
      </c>
      <c r="BF268">
        <v>24</v>
      </c>
      <c r="BG268" t="s">
        <v>697</v>
      </c>
      <c r="BH268" t="s">
        <v>32</v>
      </c>
      <c r="BI268" t="s">
        <v>31</v>
      </c>
      <c r="BJ268">
        <f t="shared" si="135"/>
        <v>4.2</v>
      </c>
      <c r="BK268" s="3">
        <f t="shared" si="136"/>
        <v>0.62324929039790045</v>
      </c>
      <c r="BL268">
        <v>2</v>
      </c>
      <c r="BM268" s="3">
        <f t="shared" si="130"/>
        <v>3.0374679996351368</v>
      </c>
      <c r="BN268" t="s">
        <v>33</v>
      </c>
      <c r="BO268" s="3">
        <f t="shared" si="132"/>
        <v>1090.1041666666665</v>
      </c>
      <c r="BP268" t="s">
        <v>33</v>
      </c>
      <c r="BQ268" t="s">
        <v>33</v>
      </c>
      <c r="BR268" t="s">
        <v>33</v>
      </c>
      <c r="BS268" t="s">
        <v>33</v>
      </c>
      <c r="BT268" t="s">
        <v>31</v>
      </c>
      <c r="BU268" t="s">
        <v>219</v>
      </c>
      <c r="BV268" s="14">
        <v>2008</v>
      </c>
      <c r="BW268" t="s">
        <v>257</v>
      </c>
      <c r="BX268" t="s">
        <v>78</v>
      </c>
      <c r="BY268" s="13" t="s">
        <v>670</v>
      </c>
      <c r="CA268" t="str">
        <f t="shared" si="133"/>
        <v>high acid</v>
      </c>
    </row>
    <row r="269" spans="1:79">
      <c r="A269" t="s">
        <v>231</v>
      </c>
      <c r="B269" t="s">
        <v>565</v>
      </c>
      <c r="C269" t="s">
        <v>563</v>
      </c>
      <c r="D269" t="s">
        <v>33</v>
      </c>
      <c r="E269" t="s">
        <v>77</v>
      </c>
      <c r="F269" t="s">
        <v>32</v>
      </c>
      <c r="G269">
        <v>30</v>
      </c>
      <c r="H269">
        <v>61</v>
      </c>
      <c r="I269" t="b">
        <v>1</v>
      </c>
      <c r="J269" t="s">
        <v>33</v>
      </c>
      <c r="K269" t="s">
        <v>33</v>
      </c>
      <c r="L269">
        <v>25</v>
      </c>
      <c r="M269" s="4">
        <v>500</v>
      </c>
      <c r="N269" s="3">
        <f>IFERROR(AF269/((T269*X269/Y269)*O269*AI269),"NA")</f>
        <v>521.04864189465479</v>
      </c>
      <c r="O269">
        <v>2</v>
      </c>
      <c r="P269" t="s">
        <v>33</v>
      </c>
      <c r="Q269" s="9">
        <f t="shared" si="137"/>
        <v>1.3333333333333332E-2</v>
      </c>
      <c r="R269" t="s">
        <v>183</v>
      </c>
      <c r="S269" t="s">
        <v>613</v>
      </c>
      <c r="T269" s="11">
        <v>6</v>
      </c>
      <c r="U269">
        <v>2.2999999999999998</v>
      </c>
      <c r="V269">
        <v>2.2000000000000002</v>
      </c>
      <c r="W269" t="s">
        <v>33</v>
      </c>
      <c r="X269" s="8">
        <f t="shared" si="138"/>
        <v>8.7430523549403959E-3</v>
      </c>
      <c r="Y269" s="6">
        <f>41/60</f>
        <v>0.68333333333333335</v>
      </c>
      <c r="Z269" s="3">
        <f>IFERROR(X269*M269*O269*T269*AI269/AF269, "NA")</f>
        <v>0.65572892662052973</v>
      </c>
      <c r="AA269" s="3">
        <f>40/6</f>
        <v>6.666666666666667</v>
      </c>
      <c r="AB269" s="6">
        <f t="shared" si="139"/>
        <v>6.6666666666666661</v>
      </c>
      <c r="AC269" t="str">
        <f t="shared" si="134"/>
        <v>NA</v>
      </c>
      <c r="AD269" s="4">
        <f>AB269*T269*AI269</f>
        <v>40</v>
      </c>
      <c r="AE269" s="3">
        <f>IFERROR(((L269^2)*M269*O269*AK269*10^-6*Q269*T269*AI269), "NA")</f>
        <v>199.99999999999997</v>
      </c>
      <c r="AF269">
        <v>80</v>
      </c>
      <c r="AG269" t="str">
        <f>IFERROR((M269*O269*P269), "NA")</f>
        <v>NA</v>
      </c>
      <c r="AH269" t="str">
        <f>IFERROR((AG269*T269*AI269), "NA")</f>
        <v>NA</v>
      </c>
      <c r="AI269" s="11">
        <v>1</v>
      </c>
      <c r="AJ269" t="s">
        <v>31</v>
      </c>
      <c r="AK269">
        <v>4000</v>
      </c>
      <c r="AL269" t="s">
        <v>546</v>
      </c>
      <c r="AM269" t="s">
        <v>103</v>
      </c>
      <c r="AN269" t="s">
        <v>130</v>
      </c>
      <c r="AO269" t="s">
        <v>795</v>
      </c>
      <c r="AP269">
        <v>5</v>
      </c>
      <c r="AQ269" t="s">
        <v>33</v>
      </c>
      <c r="AR269" t="s">
        <v>33</v>
      </c>
      <c r="AS269" s="6">
        <v>6.5</v>
      </c>
      <c r="AT269" s="3">
        <f>IFERROR(AS269-AU269,"NA")</f>
        <v>3.3</v>
      </c>
      <c r="AU269" s="6">
        <v>3.2</v>
      </c>
      <c r="AV269" t="b">
        <v>1</v>
      </c>
      <c r="AW269" t="s">
        <v>172</v>
      </c>
      <c r="AX269" t="s">
        <v>173</v>
      </c>
      <c r="AY269" t="s">
        <v>236</v>
      </c>
      <c r="AZ269" t="s">
        <v>33</v>
      </c>
      <c r="BA269" s="18" t="s">
        <v>799</v>
      </c>
      <c r="BB269" t="b">
        <v>0</v>
      </c>
      <c r="BC269" t="s">
        <v>81</v>
      </c>
      <c r="BD269">
        <v>24</v>
      </c>
      <c r="BE269" t="s">
        <v>80</v>
      </c>
      <c r="BF269" s="11">
        <v>120</v>
      </c>
      <c r="BG269" t="s">
        <v>522</v>
      </c>
      <c r="BH269" t="s">
        <v>31</v>
      </c>
      <c r="BI269" t="s">
        <v>31</v>
      </c>
      <c r="BJ269" s="3">
        <f t="shared" si="135"/>
        <v>3.2</v>
      </c>
      <c r="BK269" s="3">
        <f t="shared" si="136"/>
        <v>0.50514997831990605</v>
      </c>
      <c r="BL269">
        <v>2</v>
      </c>
      <c r="BM269" s="3">
        <f t="shared" si="130"/>
        <v>1.7958800173440752</v>
      </c>
      <c r="BN269" t="s">
        <v>33</v>
      </c>
      <c r="BO269" s="3">
        <f t="shared" si="132"/>
        <v>62.499999999999986</v>
      </c>
      <c r="BP269" t="s">
        <v>33</v>
      </c>
      <c r="BQ269" t="s">
        <v>33</v>
      </c>
      <c r="BR269" t="s">
        <v>33</v>
      </c>
      <c r="BS269" t="s">
        <v>33</v>
      </c>
      <c r="BT269" t="s">
        <v>31</v>
      </c>
      <c r="BU269" t="s">
        <v>227</v>
      </c>
      <c r="BV269">
        <v>2001</v>
      </c>
      <c r="BW269" t="s">
        <v>228</v>
      </c>
      <c r="BX269" t="s">
        <v>78</v>
      </c>
      <c r="BY269" t="s">
        <v>33</v>
      </c>
      <c r="BZ269" t="s">
        <v>33</v>
      </c>
      <c r="CA269" t="str">
        <f t="shared" si="133"/>
        <v>low acid</v>
      </c>
    </row>
    <row r="270" spans="1:79">
      <c r="A270" t="s">
        <v>592</v>
      </c>
      <c r="B270" t="s">
        <v>566</v>
      </c>
      <c r="C270" t="s">
        <v>563</v>
      </c>
      <c r="D270" t="s">
        <v>607</v>
      </c>
      <c r="E270" t="s">
        <v>77</v>
      </c>
      <c r="F270" t="s">
        <v>32</v>
      </c>
      <c r="G270" t="s">
        <v>33</v>
      </c>
      <c r="H270">
        <v>35</v>
      </c>
      <c r="I270" t="b">
        <v>0</v>
      </c>
      <c r="J270">
        <v>30000</v>
      </c>
      <c r="K270">
        <v>200</v>
      </c>
      <c r="L270">
        <v>25</v>
      </c>
      <c r="M270" s="4">
        <v>1</v>
      </c>
      <c r="N270" t="e">
        <f>(#REF!*Y270)/(T270*X270*O270)</f>
        <v>#REF!</v>
      </c>
      <c r="O270">
        <v>3</v>
      </c>
      <c r="P270" t="s">
        <v>33</v>
      </c>
      <c r="Q270" s="1">
        <f t="shared" si="137"/>
        <v>167.70000000000002</v>
      </c>
      <c r="R270" t="s">
        <v>183</v>
      </c>
      <c r="S270" t="s">
        <v>33</v>
      </c>
      <c r="T270">
        <v>1</v>
      </c>
      <c r="U270">
        <v>2.5</v>
      </c>
      <c r="V270" t="s">
        <v>33</v>
      </c>
      <c r="W270">
        <v>0.50249999999999995</v>
      </c>
      <c r="X270">
        <f>W270</f>
        <v>0.50249999999999995</v>
      </c>
      <c r="Y270" t="s">
        <v>33</v>
      </c>
      <c r="Z270" s="3">
        <f>IFERROR(X270*M270*O270*T270*AI270/AF270, "NA")</f>
        <v>2.9964221824686937E-3</v>
      </c>
      <c r="AA270" t="s">
        <v>33</v>
      </c>
      <c r="AB270">
        <f t="shared" si="139"/>
        <v>167.70000000000002</v>
      </c>
      <c r="AC270" s="1" t="str">
        <f t="shared" si="134"/>
        <v>NA</v>
      </c>
      <c r="AE270" s="3">
        <f>IFERROR(((L270^2)*M270*O270*AK270*10^-6*Q270*T270*AI270), "NA")</f>
        <v>314.43750000000006</v>
      </c>
      <c r="AF270">
        <v>503.1</v>
      </c>
      <c r="AG270" s="1" t="str">
        <f>IFERROR((N270*P270*Q270), "NA")</f>
        <v>NA</v>
      </c>
      <c r="AH270" s="1" t="str">
        <f>IFERROR((AG270*U270*AI270), "NA")</f>
        <v>NA</v>
      </c>
      <c r="AI270" s="1">
        <v>1</v>
      </c>
      <c r="AJ270" s="11" t="s">
        <v>31</v>
      </c>
      <c r="AK270">
        <v>1000</v>
      </c>
      <c r="AL270" t="s">
        <v>614</v>
      </c>
      <c r="AM270" s="3" t="s">
        <v>103</v>
      </c>
      <c r="AN270" t="s">
        <v>130</v>
      </c>
      <c r="AO270" t="s">
        <v>795</v>
      </c>
      <c r="AP270">
        <v>7</v>
      </c>
      <c r="AQ270" t="s">
        <v>33</v>
      </c>
      <c r="AR270" t="s">
        <v>33</v>
      </c>
      <c r="AS270">
        <v>8</v>
      </c>
      <c r="AT270">
        <f>AS270-AU270</f>
        <v>3.3</v>
      </c>
      <c r="AU270" s="6">
        <v>4.7</v>
      </c>
      <c r="AV270" t="b">
        <v>1</v>
      </c>
      <c r="AW270" t="s">
        <v>626</v>
      </c>
      <c r="AX270" t="s">
        <v>627</v>
      </c>
      <c r="AY270" t="s">
        <v>633</v>
      </c>
      <c r="AZ270" t="s">
        <v>33</v>
      </c>
      <c r="BA270" s="18" t="s">
        <v>800</v>
      </c>
      <c r="BB270" s="3" t="b">
        <v>0</v>
      </c>
      <c r="BC270" t="s">
        <v>81</v>
      </c>
      <c r="BD270">
        <v>24</v>
      </c>
      <c r="BE270" t="s">
        <v>80</v>
      </c>
      <c r="BF270">
        <v>48</v>
      </c>
      <c r="BG270" t="s">
        <v>569</v>
      </c>
      <c r="BH270" t="s">
        <v>31</v>
      </c>
      <c r="BI270" t="s">
        <v>31</v>
      </c>
      <c r="BJ270">
        <f t="shared" si="135"/>
        <v>4.7</v>
      </c>
      <c r="BK270" s="3">
        <f t="shared" si="136"/>
        <v>0.67209785793571752</v>
      </c>
      <c r="BL270">
        <v>2</v>
      </c>
      <c r="BM270" s="3">
        <f t="shared" si="130"/>
        <v>1.825436476734106</v>
      </c>
      <c r="BN270" t="s">
        <v>33</v>
      </c>
      <c r="BO270" s="3">
        <f t="shared" si="132"/>
        <v>66.901595744680861</v>
      </c>
      <c r="BP270" t="s">
        <v>33</v>
      </c>
      <c r="BQ270" t="s">
        <v>33</v>
      </c>
      <c r="BR270" t="s">
        <v>33</v>
      </c>
      <c r="BS270" t="s">
        <v>33</v>
      </c>
      <c r="BT270" t="s">
        <v>31</v>
      </c>
      <c r="BU270" s="15" t="s">
        <v>255</v>
      </c>
      <c r="BV270">
        <v>2010</v>
      </c>
      <c r="BW270" t="s">
        <v>659</v>
      </c>
      <c r="BX270" t="s">
        <v>78</v>
      </c>
      <c r="BY270" s="13" t="s">
        <v>680</v>
      </c>
      <c r="CA270" t="str">
        <f t="shared" si="133"/>
        <v>low acid</v>
      </c>
    </row>
    <row r="271" spans="1:79">
      <c r="A271" t="s">
        <v>273</v>
      </c>
      <c r="B271" t="s">
        <v>565</v>
      </c>
      <c r="C271" t="s">
        <v>563</v>
      </c>
      <c r="D271" t="s">
        <v>118</v>
      </c>
      <c r="E271" t="s">
        <v>77</v>
      </c>
      <c r="F271" t="s">
        <v>32</v>
      </c>
      <c r="G271">
        <v>20</v>
      </c>
      <c r="H271">
        <v>55</v>
      </c>
      <c r="I271" t="b">
        <v>0</v>
      </c>
      <c r="J271" t="s">
        <v>33</v>
      </c>
      <c r="K271" t="s">
        <v>33</v>
      </c>
      <c r="L271">
        <v>40</v>
      </c>
      <c r="M271" s="4" t="s">
        <v>33</v>
      </c>
      <c r="N271" s="3">
        <f>IFERROR(AF271/((T271*X271/Y271)*O271*AI271),"NA")</f>
        <v>427.15959874209483</v>
      </c>
      <c r="O271">
        <v>2.5</v>
      </c>
      <c r="P271" t="s">
        <v>33</v>
      </c>
      <c r="Q271" s="8">
        <f t="shared" si="137"/>
        <v>1.2173435913211428E-2</v>
      </c>
      <c r="R271" t="s">
        <v>183</v>
      </c>
      <c r="S271" t="s">
        <v>613</v>
      </c>
      <c r="T271" s="11">
        <v>6</v>
      </c>
      <c r="U271">
        <v>2.93</v>
      </c>
      <c r="V271">
        <v>2.2999999999999998</v>
      </c>
      <c r="W271" t="s">
        <v>33</v>
      </c>
      <c r="X271" s="8">
        <f t="shared" ref="X271:X276" si="140">IFERROR(((PI())*(((V271*10^-1)/2)^2)*(U271*10^-1)), "NA")</f>
        <v>1.2173435913211428E-2</v>
      </c>
      <c r="Y271">
        <f>60/60</f>
        <v>1</v>
      </c>
      <c r="Z271" s="3">
        <f>IFERROR(X271*N271*O271*T271*AI271/AF271, "NA")</f>
        <v>1</v>
      </c>
      <c r="AA271" t="s">
        <v>33</v>
      </c>
      <c r="AB271" s="6">
        <f>IFERROR(((X271*N271)/Y271), "NA")</f>
        <v>5.2</v>
      </c>
      <c r="AC271" t="str">
        <f t="shared" si="134"/>
        <v>NA</v>
      </c>
      <c r="AD271" s="4">
        <f>AB271*T271*AI271</f>
        <v>31.200000000000003</v>
      </c>
      <c r="AE271" s="3">
        <f>IFERROR(((L271^2)*N271*O271*AK271*10^-6*Q271*T271*AI271), "NA")</f>
        <v>363.16800000000001</v>
      </c>
      <c r="AF271">
        <v>78</v>
      </c>
      <c r="AG271" t="str">
        <f>IFERROR((M271*O271*P271), "NA")</f>
        <v>NA</v>
      </c>
      <c r="AH271" t="str">
        <f>IFERROR((AG271*T271*AI271), "NA")</f>
        <v>NA</v>
      </c>
      <c r="AI271">
        <v>1</v>
      </c>
      <c r="AJ271" t="s">
        <v>31</v>
      </c>
      <c r="AK271">
        <v>2910</v>
      </c>
      <c r="AL271" t="s">
        <v>543</v>
      </c>
      <c r="AM271" t="s">
        <v>86</v>
      </c>
      <c r="AN271" t="s">
        <v>205</v>
      </c>
      <c r="AO271" t="s">
        <v>789</v>
      </c>
      <c r="AP271">
        <v>4.05</v>
      </c>
      <c r="AQ271" t="s">
        <v>33</v>
      </c>
      <c r="AR271" t="s">
        <v>33</v>
      </c>
      <c r="AS271">
        <f>LOG(10^6)</f>
        <v>6</v>
      </c>
      <c r="AT271" s="3">
        <f>IFERROR(AS271-AU271,"NA")</f>
        <v>3.306</v>
      </c>
      <c r="AU271" s="6">
        <v>2.694</v>
      </c>
      <c r="AV271" t="b">
        <v>1</v>
      </c>
      <c r="AW271" t="s">
        <v>29</v>
      </c>
      <c r="AX271" t="s">
        <v>30</v>
      </c>
      <c r="AY271" t="s">
        <v>216</v>
      </c>
      <c r="AZ271" t="s">
        <v>33</v>
      </c>
      <c r="BA271" s="18" t="s">
        <v>798</v>
      </c>
      <c r="BB271" t="b">
        <v>0</v>
      </c>
      <c r="BC271" t="s">
        <v>81</v>
      </c>
      <c r="BD271">
        <v>4</v>
      </c>
      <c r="BE271" t="s">
        <v>159</v>
      </c>
      <c r="BF271" s="11">
        <v>24</v>
      </c>
      <c r="BG271" t="s">
        <v>572</v>
      </c>
      <c r="BH271" t="s">
        <v>31</v>
      </c>
      <c r="BI271" t="s">
        <v>31</v>
      </c>
      <c r="BJ271" s="3">
        <f t="shared" si="135"/>
        <v>2.694</v>
      </c>
      <c r="BK271" s="3">
        <f t="shared" si="136"/>
        <v>0.43039759138696682</v>
      </c>
      <c r="BL271">
        <v>2</v>
      </c>
      <c r="BM271" s="3">
        <f t="shared" si="130"/>
        <v>2.1297099829453456</v>
      </c>
      <c r="BN271" t="s">
        <v>33</v>
      </c>
      <c r="BO271" s="3">
        <f t="shared" si="132"/>
        <v>134.80623608017817</v>
      </c>
      <c r="BP271" t="s">
        <v>33</v>
      </c>
      <c r="BQ271" t="s">
        <v>33</v>
      </c>
      <c r="BR271" t="s">
        <v>33</v>
      </c>
      <c r="BS271" t="s">
        <v>33</v>
      </c>
      <c r="BT271" t="s">
        <v>31</v>
      </c>
      <c r="BU271" t="s">
        <v>274</v>
      </c>
      <c r="BV271">
        <v>2006</v>
      </c>
      <c r="BW271" t="s">
        <v>275</v>
      </c>
      <c r="BX271" t="s">
        <v>78</v>
      </c>
      <c r="BY271" t="s">
        <v>277</v>
      </c>
      <c r="BZ271" t="s">
        <v>33</v>
      </c>
      <c r="CA271" t="str">
        <f t="shared" si="133"/>
        <v>high acid</v>
      </c>
    </row>
    <row r="272" spans="1:79">
      <c r="A272" t="s">
        <v>440</v>
      </c>
      <c r="B272" t="s">
        <v>565</v>
      </c>
      <c r="C272" t="s">
        <v>563</v>
      </c>
      <c r="D272" t="s">
        <v>368</v>
      </c>
      <c r="E272" t="s">
        <v>77</v>
      </c>
      <c r="F272" t="s">
        <v>32</v>
      </c>
      <c r="G272">
        <v>23</v>
      </c>
      <c r="H272">
        <v>43</v>
      </c>
      <c r="I272" t="b">
        <v>0</v>
      </c>
      <c r="J272" t="s">
        <v>33</v>
      </c>
      <c r="K272" t="s">
        <v>33</v>
      </c>
      <c r="L272">
        <v>45</v>
      </c>
      <c r="M272" s="4">
        <v>1000</v>
      </c>
      <c r="N272" s="3">
        <f>IFERROR(AF272/((T272*X272/Y272)*O272*AI272),"NA")</f>
        <v>805.8545285219634</v>
      </c>
      <c r="O272">
        <v>1.5</v>
      </c>
      <c r="P272" t="s">
        <v>33</v>
      </c>
      <c r="Q272" s="8">
        <f t="shared" si="137"/>
        <v>4.6666666666666669E-2</v>
      </c>
      <c r="R272" t="s">
        <v>183</v>
      </c>
      <c r="S272" t="s">
        <v>613</v>
      </c>
      <c r="T272" s="11">
        <v>1</v>
      </c>
      <c r="U272">
        <v>5</v>
      </c>
      <c r="V272">
        <v>8</v>
      </c>
      <c r="W272" t="s">
        <v>33</v>
      </c>
      <c r="X272" s="9">
        <f t="shared" si="140"/>
        <v>0.25132741228718347</v>
      </c>
      <c r="Y272" s="6">
        <v>4.34</v>
      </c>
      <c r="Z272" s="3">
        <f t="shared" ref="Z272:Z290" si="141">IFERROR(X272*M272*O272*T272*AI272/AF272, "NA")</f>
        <v>5.3855874061539311</v>
      </c>
      <c r="AA272">
        <v>46.3</v>
      </c>
      <c r="AB272" s="6">
        <f>IFERROR(((X272*M272)/Y272), "NA")</f>
        <v>57.909542001655183</v>
      </c>
      <c r="AC272" t="str">
        <f t="shared" si="134"/>
        <v>NA</v>
      </c>
      <c r="AD272" s="4">
        <f>AB272*T272*AI272</f>
        <v>57.909542001655183</v>
      </c>
      <c r="AE272" s="3">
        <f t="shared" ref="AE272:AE290" si="142">IFERROR(((L272^2)*M272*O272*AK272*10^-6*Q272*T272*AI272), "NA")</f>
        <v>296.25749999999999</v>
      </c>
      <c r="AF272">
        <v>70</v>
      </c>
      <c r="AG272" t="str">
        <f>IFERROR((M272*O272*P272), "NA")</f>
        <v>NA</v>
      </c>
      <c r="AH272" t="str">
        <f>IFERROR((AG272*T272*AI272), "NA")</f>
        <v>NA</v>
      </c>
      <c r="AI272" s="11">
        <v>1</v>
      </c>
      <c r="AJ272" t="s">
        <v>31</v>
      </c>
      <c r="AK272">
        <v>2090</v>
      </c>
      <c r="AL272" t="s">
        <v>556</v>
      </c>
      <c r="AM272" t="s">
        <v>515</v>
      </c>
      <c r="AN272" t="s">
        <v>205</v>
      </c>
      <c r="AO272" t="s">
        <v>788</v>
      </c>
      <c r="AP272" s="4" t="s">
        <v>33</v>
      </c>
      <c r="AQ272" t="s">
        <v>33</v>
      </c>
      <c r="AR272" t="s">
        <v>33</v>
      </c>
      <c r="AS272">
        <f>LOG(10^5)</f>
        <v>5</v>
      </c>
      <c r="AT272" s="3">
        <f>IFERROR(AS272-AU272,"NA")</f>
        <v>3.3069999999999999</v>
      </c>
      <c r="AU272" s="6">
        <v>1.6930000000000001</v>
      </c>
      <c r="AV272" t="b">
        <v>1</v>
      </c>
      <c r="AW272" t="s">
        <v>172</v>
      </c>
      <c r="AX272" t="s">
        <v>173</v>
      </c>
      <c r="AY272" t="s">
        <v>444</v>
      </c>
      <c r="AZ272" t="s">
        <v>33</v>
      </c>
      <c r="BA272" s="18" t="s">
        <v>799</v>
      </c>
      <c r="BB272" t="b">
        <v>0</v>
      </c>
      <c r="BC272" t="s">
        <v>81</v>
      </c>
      <c r="BD272" t="s">
        <v>33</v>
      </c>
      <c r="BE272" t="s">
        <v>33</v>
      </c>
      <c r="BF272" s="11">
        <v>48</v>
      </c>
      <c r="BG272" t="s">
        <v>401</v>
      </c>
      <c r="BH272" t="s">
        <v>31</v>
      </c>
      <c r="BI272" t="s">
        <v>31</v>
      </c>
      <c r="BJ272" s="3">
        <f t="shared" si="135"/>
        <v>1.6930000000000001</v>
      </c>
      <c r="BK272" s="3">
        <f t="shared" si="136"/>
        <v>0.22865695810893527</v>
      </c>
      <c r="BL272">
        <v>2</v>
      </c>
      <c r="BM272" s="3">
        <f t="shared" si="130"/>
        <v>2.2430123955670629</v>
      </c>
      <c r="BN272" t="s">
        <v>33</v>
      </c>
      <c r="BO272" s="3">
        <f t="shared" si="132"/>
        <v>174.98966331955108</v>
      </c>
      <c r="BP272" t="s">
        <v>33</v>
      </c>
      <c r="BQ272" t="s">
        <v>33</v>
      </c>
      <c r="BR272" t="s">
        <v>33</v>
      </c>
      <c r="BS272" t="s">
        <v>33</v>
      </c>
      <c r="BT272" t="s">
        <v>31</v>
      </c>
      <c r="BU272" t="s">
        <v>445</v>
      </c>
      <c r="BV272">
        <v>2015</v>
      </c>
      <c r="BW272" t="s">
        <v>446</v>
      </c>
      <c r="BX272" t="s">
        <v>78</v>
      </c>
      <c r="BY272" t="s">
        <v>447</v>
      </c>
      <c r="CA272" t="str">
        <f t="shared" si="133"/>
        <v>high acid</v>
      </c>
    </row>
    <row r="273" spans="1:79">
      <c r="A273" t="s">
        <v>143</v>
      </c>
      <c r="B273" t="s">
        <v>565</v>
      </c>
      <c r="C273" t="s">
        <v>563</v>
      </c>
      <c r="D273" t="s">
        <v>118</v>
      </c>
      <c r="E273" t="s">
        <v>77</v>
      </c>
      <c r="F273" t="s">
        <v>32</v>
      </c>
      <c r="G273">
        <v>10</v>
      </c>
      <c r="H273" t="s">
        <v>33</v>
      </c>
      <c r="I273" t="b">
        <v>0</v>
      </c>
      <c r="J273" t="s">
        <v>33</v>
      </c>
      <c r="K273" t="s">
        <v>33</v>
      </c>
      <c r="L273">
        <v>27</v>
      </c>
      <c r="M273" s="4">
        <v>500</v>
      </c>
      <c r="N273" s="3">
        <f>IFERROR(AF273/((T273*X273/Y273)*O273*AI273),"NA")</f>
        <v>503.35454362283343</v>
      </c>
      <c r="O273">
        <v>3</v>
      </c>
      <c r="P273" t="s">
        <v>33</v>
      </c>
      <c r="Q273" s="8">
        <f t="shared" si="137"/>
        <v>1.4555555555555556E-2</v>
      </c>
      <c r="R273" t="s">
        <v>183</v>
      </c>
      <c r="S273" t="s">
        <v>613</v>
      </c>
      <c r="T273" s="11">
        <v>6</v>
      </c>
      <c r="U273">
        <v>2.9</v>
      </c>
      <c r="V273">
        <v>2.2999999999999998</v>
      </c>
      <c r="W273" t="s">
        <v>33</v>
      </c>
      <c r="X273">
        <f t="shared" si="140"/>
        <v>1.204879322468025E-2</v>
      </c>
      <c r="Y273" s="8">
        <f>50/60</f>
        <v>0.83333333333333337</v>
      </c>
      <c r="Z273" s="9">
        <f t="shared" si="141"/>
        <v>0.82777968719177286</v>
      </c>
      <c r="AA273" t="s">
        <v>33</v>
      </c>
      <c r="AB273" s="6">
        <f t="shared" ref="AB273:AB280" si="143">IFERROR(((X273*M273)/Z273), "NA")</f>
        <v>7.2777777777777786</v>
      </c>
      <c r="AC273" t="str">
        <f t="shared" si="134"/>
        <v>NA</v>
      </c>
      <c r="AD273" s="4">
        <f>AB273*T273*AI273</f>
        <v>43.666666666666671</v>
      </c>
      <c r="AE273" s="3">
        <f t="shared" si="142"/>
        <v>347.61635999999999</v>
      </c>
      <c r="AF273">
        <v>131</v>
      </c>
      <c r="AG273" t="str">
        <f>IFERROR((M273*O273*P273), "NA")</f>
        <v>NA</v>
      </c>
      <c r="AH273" t="str">
        <f>IFERROR((AG273*T273*AI273), "NA")</f>
        <v>NA</v>
      </c>
      <c r="AI273">
        <v>1</v>
      </c>
      <c r="AJ273" t="s">
        <v>31</v>
      </c>
      <c r="AK273">
        <v>3640</v>
      </c>
      <c r="AL273" t="s">
        <v>145</v>
      </c>
      <c r="AM273" t="s">
        <v>86</v>
      </c>
      <c r="AN273" t="s">
        <v>205</v>
      </c>
      <c r="AO273" t="s">
        <v>789</v>
      </c>
      <c r="AP273">
        <v>3.18</v>
      </c>
      <c r="AQ273" t="s">
        <v>33</v>
      </c>
      <c r="AR273" t="s">
        <v>33</v>
      </c>
      <c r="AS273" s="3">
        <v>6.5919999999999996</v>
      </c>
      <c r="AT273" s="3">
        <f>IFERROR(AS273-AU273,"NA")</f>
        <v>3.3119999999999998</v>
      </c>
      <c r="AU273" s="6">
        <v>3.28</v>
      </c>
      <c r="AV273" t="b">
        <v>1</v>
      </c>
      <c r="AW273" t="s">
        <v>92</v>
      </c>
      <c r="AX273" t="s">
        <v>93</v>
      </c>
      <c r="AY273" t="s">
        <v>137</v>
      </c>
      <c r="AZ273" t="s">
        <v>33</v>
      </c>
      <c r="BA273" s="18" t="s">
        <v>801</v>
      </c>
      <c r="BB273" t="b">
        <v>0</v>
      </c>
      <c r="BC273" t="s">
        <v>81</v>
      </c>
      <c r="BD273">
        <f>(48+24)/2</f>
        <v>36</v>
      </c>
      <c r="BE273" t="s">
        <v>80</v>
      </c>
      <c r="BF273" s="11">
        <f>(48+24)/2</f>
        <v>36</v>
      </c>
      <c r="BG273" t="s">
        <v>139</v>
      </c>
      <c r="BH273" t="s">
        <v>31</v>
      </c>
      <c r="BI273" t="s">
        <v>31</v>
      </c>
      <c r="BJ273">
        <f t="shared" si="135"/>
        <v>3.28</v>
      </c>
      <c r="BK273" s="3">
        <f t="shared" si="136"/>
        <v>0.5158738437116791</v>
      </c>
      <c r="BL273">
        <v>2</v>
      </c>
      <c r="BM273" s="3">
        <f>LOG(BO273)</f>
        <v>2.0252263639111159</v>
      </c>
      <c r="BN273" t="s">
        <v>33</v>
      </c>
      <c r="BO273" s="3">
        <f t="shared" si="132"/>
        <v>105.98059756097561</v>
      </c>
      <c r="BP273" t="s">
        <v>33</v>
      </c>
      <c r="BQ273" t="s">
        <v>33</v>
      </c>
      <c r="BR273" t="s">
        <v>33</v>
      </c>
      <c r="BS273" t="s">
        <v>33</v>
      </c>
      <c r="BT273" t="s">
        <v>31</v>
      </c>
      <c r="BU273" t="s">
        <v>135</v>
      </c>
      <c r="BV273">
        <v>2010</v>
      </c>
      <c r="BW273" t="s">
        <v>140</v>
      </c>
      <c r="BX273" t="s">
        <v>78</v>
      </c>
      <c r="BY273" t="s">
        <v>33</v>
      </c>
      <c r="BZ273" t="s">
        <v>33</v>
      </c>
      <c r="CA273" t="str">
        <f t="shared" si="133"/>
        <v>high acid</v>
      </c>
    </row>
    <row r="274" spans="1:79">
      <c r="A274" t="s">
        <v>258</v>
      </c>
      <c r="B274" t="s">
        <v>565</v>
      </c>
      <c r="C274" t="s">
        <v>563</v>
      </c>
      <c r="D274" t="s">
        <v>118</v>
      </c>
      <c r="E274" t="s">
        <v>77</v>
      </c>
      <c r="F274" t="s">
        <v>32</v>
      </c>
      <c r="G274">
        <v>5</v>
      </c>
      <c r="H274">
        <v>40</v>
      </c>
      <c r="I274" t="b">
        <v>0</v>
      </c>
      <c r="J274" t="s">
        <v>33</v>
      </c>
      <c r="K274" t="s">
        <v>33</v>
      </c>
      <c r="L274">
        <v>35</v>
      </c>
      <c r="M274" s="4">
        <v>250</v>
      </c>
      <c r="N274" s="3">
        <f>IFERROR(AF274/((T274*X274/Y274)*O274*AI274),"NA")</f>
        <v>5903.0038247230323</v>
      </c>
      <c r="O274">
        <v>4</v>
      </c>
      <c r="P274" t="s">
        <v>33</v>
      </c>
      <c r="Q274">
        <f t="shared" si="137"/>
        <v>0.15625</v>
      </c>
      <c r="R274" t="s">
        <v>183</v>
      </c>
      <c r="S274" t="s">
        <v>613</v>
      </c>
      <c r="T274" s="11">
        <v>8</v>
      </c>
      <c r="U274">
        <v>2.92</v>
      </c>
      <c r="V274">
        <v>2.2999999999999998</v>
      </c>
      <c r="W274">
        <v>1.21E-2</v>
      </c>
      <c r="X274" s="8">
        <f t="shared" si="140"/>
        <v>1.2131888350367701E-2</v>
      </c>
      <c r="Y274" s="6">
        <f>110/60</f>
        <v>1.8333333333333333</v>
      </c>
      <c r="Z274" s="3">
        <f t="shared" si="141"/>
        <v>7.7644085442353281E-2</v>
      </c>
      <c r="AA274" t="s">
        <v>33</v>
      </c>
      <c r="AB274" s="6">
        <f t="shared" si="143"/>
        <v>39.0625</v>
      </c>
      <c r="AC274" t="str">
        <f t="shared" si="134"/>
        <v>NA</v>
      </c>
      <c r="AD274" s="4">
        <f>AB274*T274*AI274</f>
        <v>312.5</v>
      </c>
      <c r="AE274" s="3">
        <f t="shared" si="142"/>
        <v>3338.125</v>
      </c>
      <c r="AF274">
        <v>1250</v>
      </c>
      <c r="AG274" t="str">
        <f>IFERROR((M274*O274*P274), "NA")</f>
        <v>NA</v>
      </c>
      <c r="AH274" t="str">
        <f>IFERROR((AG274*T274*AI274), "NA")</f>
        <v>NA</v>
      </c>
      <c r="AI274">
        <v>1</v>
      </c>
      <c r="AJ274" t="s">
        <v>31</v>
      </c>
      <c r="AK274">
        <v>2180</v>
      </c>
      <c r="AL274" t="s">
        <v>149</v>
      </c>
      <c r="AM274" t="s">
        <v>86</v>
      </c>
      <c r="AN274" t="s">
        <v>205</v>
      </c>
      <c r="AO274" t="s">
        <v>789</v>
      </c>
      <c r="AP274">
        <v>4.46</v>
      </c>
      <c r="AQ274" t="s">
        <v>33</v>
      </c>
      <c r="AR274" t="s">
        <v>33</v>
      </c>
      <c r="AS274" s="6">
        <f>LOG((10^7+10^8)/2)</f>
        <v>7.7403626894942441</v>
      </c>
      <c r="AT274" s="3">
        <f>IFERROR(AS274-AU274,"NA")</f>
        <v>3.3153626894942443</v>
      </c>
      <c r="AU274" s="6">
        <v>4.4249999999999998</v>
      </c>
      <c r="AV274" t="b">
        <v>1</v>
      </c>
      <c r="AW274" t="s">
        <v>29</v>
      </c>
      <c r="AX274" t="s">
        <v>30</v>
      </c>
      <c r="AY274" t="s">
        <v>33</v>
      </c>
      <c r="AZ274" t="s">
        <v>134</v>
      </c>
      <c r="BA274" s="18" t="s">
        <v>798</v>
      </c>
      <c r="BB274" t="b">
        <v>0</v>
      </c>
      <c r="BC274" t="s">
        <v>81</v>
      </c>
      <c r="BD274">
        <v>15</v>
      </c>
      <c r="BE274" t="s">
        <v>80</v>
      </c>
      <c r="BF274" s="11">
        <v>24</v>
      </c>
      <c r="BG274" t="s">
        <v>262</v>
      </c>
      <c r="BH274" t="s">
        <v>31</v>
      </c>
      <c r="BI274" t="s">
        <v>31</v>
      </c>
      <c r="BJ274" s="3">
        <f t="shared" si="135"/>
        <v>4.4249999999999998</v>
      </c>
      <c r="BK274" s="3">
        <f t="shared" si="136"/>
        <v>0.64591327503384421</v>
      </c>
      <c r="BL274">
        <v>2</v>
      </c>
      <c r="BM274" s="3">
        <f t="shared" ref="BM274:BM286" si="144">IFERROR(LOG(BO274),"NA")</f>
        <v>2.8775893202793683</v>
      </c>
      <c r="BN274" t="s">
        <v>33</v>
      </c>
      <c r="BO274" s="3">
        <f t="shared" si="132"/>
        <v>754.37853107344631</v>
      </c>
      <c r="BP274" t="s">
        <v>33</v>
      </c>
      <c r="BQ274" t="s">
        <v>33</v>
      </c>
      <c r="BR274" t="s">
        <v>33</v>
      </c>
      <c r="BS274" t="s">
        <v>33</v>
      </c>
      <c r="BT274" t="s">
        <v>31</v>
      </c>
      <c r="BU274" t="s">
        <v>219</v>
      </c>
      <c r="BV274">
        <v>2008</v>
      </c>
      <c r="BW274" s="2" t="s">
        <v>257</v>
      </c>
      <c r="BX274" t="s">
        <v>78</v>
      </c>
      <c r="BY274" t="s">
        <v>33</v>
      </c>
      <c r="BZ274" t="s">
        <v>33</v>
      </c>
      <c r="CA274" t="str">
        <f t="shared" si="133"/>
        <v>high acid</v>
      </c>
    </row>
    <row r="275" spans="1:79">
      <c r="A275" t="s">
        <v>590</v>
      </c>
      <c r="B275" t="s">
        <v>565</v>
      </c>
      <c r="C275" t="s">
        <v>564</v>
      </c>
      <c r="D275" t="s">
        <v>609</v>
      </c>
      <c r="E275" t="s">
        <v>77</v>
      </c>
      <c r="F275" t="s">
        <v>32</v>
      </c>
      <c r="G275">
        <v>40</v>
      </c>
      <c r="H275">
        <v>49</v>
      </c>
      <c r="I275" t="b">
        <v>0</v>
      </c>
      <c r="J275" t="s">
        <v>33</v>
      </c>
      <c r="K275" t="s">
        <v>33</v>
      </c>
      <c r="L275">
        <v>27</v>
      </c>
      <c r="M275" s="4">
        <v>120</v>
      </c>
      <c r="N275" t="e">
        <f>(#REF!*Y275)/(T275*X275*O275)</f>
        <v>#REF!</v>
      </c>
      <c r="O275">
        <v>3</v>
      </c>
      <c r="P275" t="s">
        <v>33</v>
      </c>
      <c r="Q275" s="1">
        <f t="shared" si="137"/>
        <v>9.5000000000000001E-2</v>
      </c>
      <c r="R275" t="s">
        <v>183</v>
      </c>
      <c r="S275" t="s">
        <v>612</v>
      </c>
      <c r="T275">
        <v>4</v>
      </c>
      <c r="U275">
        <v>3</v>
      </c>
      <c r="V275">
        <v>2.6</v>
      </c>
      <c r="W275">
        <v>1.5900000000000001E-2</v>
      </c>
      <c r="X275">
        <f t="shared" si="140"/>
        <v>1.5927874753700257E-2</v>
      </c>
      <c r="Y275">
        <v>8.3333299999999999E-2</v>
      </c>
      <c r="Z275" s="3">
        <f t="shared" si="141"/>
        <v>0.16766183951263428</v>
      </c>
      <c r="AA275" t="s">
        <v>33</v>
      </c>
      <c r="AB275">
        <f t="shared" si="143"/>
        <v>11.4</v>
      </c>
      <c r="AC275" s="1" t="str">
        <f t="shared" si="134"/>
        <v>NA</v>
      </c>
      <c r="AE275" s="3">
        <f t="shared" si="142"/>
        <v>114.68628</v>
      </c>
      <c r="AF275">
        <v>136.80000000000001</v>
      </c>
      <c r="AG275" s="1" t="str">
        <f>IFERROR((N275*P275*Q275), "NA")</f>
        <v>NA</v>
      </c>
      <c r="AH275" s="1" t="str">
        <f>IFERROR((AG275*U275*AI275), "NA")</f>
        <v>NA</v>
      </c>
      <c r="AI275" s="1">
        <v>1</v>
      </c>
      <c r="AJ275" s="11" t="s">
        <v>31</v>
      </c>
      <c r="AK275">
        <v>1150</v>
      </c>
      <c r="AL275" t="s">
        <v>551</v>
      </c>
      <c r="AM275" t="s">
        <v>86</v>
      </c>
      <c r="AN275" t="s">
        <v>186</v>
      </c>
      <c r="AO275" t="s">
        <v>794</v>
      </c>
      <c r="AP275">
        <v>5.92</v>
      </c>
      <c r="AQ275" t="s">
        <v>33</v>
      </c>
      <c r="AR275" t="s">
        <v>33</v>
      </c>
      <c r="AS275">
        <v>6</v>
      </c>
      <c r="AT275">
        <f>AS275-AU275</f>
        <v>3.32</v>
      </c>
      <c r="AU275" s="6">
        <v>2.68</v>
      </c>
      <c r="AV275" t="b">
        <v>1</v>
      </c>
      <c r="AW275" t="s">
        <v>626</v>
      </c>
      <c r="AX275" t="s">
        <v>627</v>
      </c>
      <c r="AY275" t="s">
        <v>631</v>
      </c>
      <c r="AZ275" t="s">
        <v>33</v>
      </c>
      <c r="BA275" s="18" t="s">
        <v>800</v>
      </c>
      <c r="BB275" s="3" t="b">
        <v>0</v>
      </c>
      <c r="BC275" t="s">
        <v>81</v>
      </c>
      <c r="BD275">
        <v>20</v>
      </c>
      <c r="BE275" t="s">
        <v>80</v>
      </c>
      <c r="BF275">
        <v>20</v>
      </c>
      <c r="BG275" t="s">
        <v>695</v>
      </c>
      <c r="BH275" t="s">
        <v>32</v>
      </c>
      <c r="BI275" t="s">
        <v>31</v>
      </c>
      <c r="BJ275">
        <f t="shared" si="135"/>
        <v>2.68</v>
      </c>
      <c r="BK275" s="3">
        <f t="shared" si="136"/>
        <v>0.42813479402878885</v>
      </c>
      <c r="BL275">
        <v>2</v>
      </c>
      <c r="BM275" s="3">
        <f t="shared" si="144"/>
        <v>1.631376672026895</v>
      </c>
      <c r="BN275" t="s">
        <v>33</v>
      </c>
      <c r="BO275" s="3">
        <f t="shared" si="132"/>
        <v>42.793388059701492</v>
      </c>
      <c r="BP275" t="s">
        <v>33</v>
      </c>
      <c r="BQ275" t="s">
        <v>33</v>
      </c>
      <c r="BR275" t="s">
        <v>33</v>
      </c>
      <c r="BS275" t="s">
        <v>33</v>
      </c>
      <c r="BT275" t="s">
        <v>32</v>
      </c>
      <c r="BU275" s="15" t="s">
        <v>207</v>
      </c>
      <c r="BV275">
        <v>2014</v>
      </c>
      <c r="BW275" t="s">
        <v>242</v>
      </c>
      <c r="BX275" t="s">
        <v>78</v>
      </c>
      <c r="BY275" s="13" t="s">
        <v>678</v>
      </c>
      <c r="CA275" t="str">
        <f t="shared" si="133"/>
        <v>low acid</v>
      </c>
    </row>
    <row r="276" spans="1:79">
      <c r="A276" t="s">
        <v>596</v>
      </c>
      <c r="B276" t="s">
        <v>565</v>
      </c>
      <c r="C276" t="s">
        <v>563</v>
      </c>
      <c r="D276" t="s">
        <v>610</v>
      </c>
      <c r="E276" t="s">
        <v>77</v>
      </c>
      <c r="F276" t="s">
        <v>33</v>
      </c>
      <c r="G276">
        <v>20</v>
      </c>
      <c r="H276" t="s">
        <v>33</v>
      </c>
      <c r="I276" t="b">
        <v>0</v>
      </c>
      <c r="J276">
        <v>12000</v>
      </c>
      <c r="K276" t="s">
        <v>33</v>
      </c>
      <c r="L276">
        <v>30</v>
      </c>
      <c r="M276" s="4">
        <v>12</v>
      </c>
      <c r="N276" t="e">
        <f>(#REF!*Y276)/(T276*X276*O276)</f>
        <v>#REF!</v>
      </c>
      <c r="O276">
        <v>5</v>
      </c>
      <c r="P276" t="s">
        <v>33</v>
      </c>
      <c r="Q276" s="1">
        <f t="shared" si="137"/>
        <v>0.93333333333333335</v>
      </c>
      <c r="R276" t="s">
        <v>183</v>
      </c>
      <c r="S276" t="s">
        <v>613</v>
      </c>
      <c r="T276">
        <v>1</v>
      </c>
      <c r="U276">
        <v>4</v>
      </c>
      <c r="V276">
        <v>4</v>
      </c>
      <c r="W276" t="s">
        <v>33</v>
      </c>
      <c r="X276">
        <f t="shared" si="140"/>
        <v>5.02654824574367E-2</v>
      </c>
      <c r="Y276">
        <v>0.106667</v>
      </c>
      <c r="Z276" s="3">
        <f t="shared" si="141"/>
        <v>5.385587406153932E-2</v>
      </c>
      <c r="AA276" t="s">
        <v>33</v>
      </c>
      <c r="AB276">
        <f t="shared" si="143"/>
        <v>11.200000000000001</v>
      </c>
      <c r="AC276" s="1" t="str">
        <f t="shared" si="134"/>
        <v>NA</v>
      </c>
      <c r="AE276" s="3">
        <f t="shared" si="142"/>
        <v>100.8</v>
      </c>
      <c r="AF276">
        <v>56</v>
      </c>
      <c r="AG276" s="1" t="str">
        <f>IFERROR((N276*P276*Q276), "NA")</f>
        <v>NA</v>
      </c>
      <c r="AH276" s="1" t="str">
        <f>IFERROR((AG276*U276*AI276), "NA")</f>
        <v>NA</v>
      </c>
      <c r="AI276" s="1">
        <v>1</v>
      </c>
      <c r="AJ276" s="11" t="s">
        <v>31</v>
      </c>
      <c r="AK276">
        <v>2000</v>
      </c>
      <c r="AL276" t="s">
        <v>149</v>
      </c>
      <c r="AM276" t="s">
        <v>86</v>
      </c>
      <c r="AN276" t="s">
        <v>205</v>
      </c>
      <c r="AO276" t="s">
        <v>789</v>
      </c>
      <c r="AP276" t="s">
        <v>33</v>
      </c>
      <c r="AQ276" t="s">
        <v>33</v>
      </c>
      <c r="AR276" t="s">
        <v>33</v>
      </c>
      <c r="AS276">
        <f>AVERAGE(6,8)</f>
        <v>7</v>
      </c>
      <c r="AT276">
        <f>AS276-AU276</f>
        <v>3.32</v>
      </c>
      <c r="AU276" s="6">
        <v>3.68</v>
      </c>
      <c r="AV276" t="b">
        <v>1</v>
      </c>
      <c r="AW276" t="s">
        <v>626</v>
      </c>
      <c r="AX276" t="s">
        <v>627</v>
      </c>
      <c r="AY276" t="s">
        <v>634</v>
      </c>
      <c r="AZ276" t="s">
        <v>33</v>
      </c>
      <c r="BA276" s="18" t="s">
        <v>800</v>
      </c>
      <c r="BB276" s="3" t="b">
        <v>0</v>
      </c>
      <c r="BC276" t="s">
        <v>81</v>
      </c>
      <c r="BD276">
        <v>18</v>
      </c>
      <c r="BE276" t="s">
        <v>80</v>
      </c>
      <c r="BF276">
        <v>24</v>
      </c>
      <c r="BG276" t="s">
        <v>644</v>
      </c>
      <c r="BH276" t="s">
        <v>31</v>
      </c>
      <c r="BI276" t="s">
        <v>31</v>
      </c>
      <c r="BJ276">
        <f t="shared" si="135"/>
        <v>3.68</v>
      </c>
      <c r="BK276" s="3">
        <f t="shared" si="136"/>
        <v>0.56584781867351763</v>
      </c>
      <c r="BL276">
        <v>2</v>
      </c>
      <c r="BM276" s="3">
        <f t="shared" si="144"/>
        <v>1.4376127134359888</v>
      </c>
      <c r="BN276" t="s">
        <v>33</v>
      </c>
      <c r="BO276" s="3">
        <f t="shared" si="132"/>
        <v>27.391304347826086</v>
      </c>
      <c r="BP276" t="s">
        <v>33</v>
      </c>
      <c r="BQ276" t="s">
        <v>33</v>
      </c>
      <c r="BR276" t="s">
        <v>33</v>
      </c>
      <c r="BS276" t="s">
        <v>33</v>
      </c>
      <c r="BT276" t="s">
        <v>32</v>
      </c>
      <c r="BU276" t="s">
        <v>661</v>
      </c>
      <c r="BV276">
        <v>2013</v>
      </c>
      <c r="BW276" t="s">
        <v>662</v>
      </c>
      <c r="BX276" s="13" t="s">
        <v>663</v>
      </c>
      <c r="BY276" s="13" t="s">
        <v>684</v>
      </c>
      <c r="CA276" t="str">
        <f t="shared" si="133"/>
        <v>high acid</v>
      </c>
    </row>
    <row r="277" spans="1:79">
      <c r="A277" t="s">
        <v>589</v>
      </c>
      <c r="B277" t="s">
        <v>566</v>
      </c>
      <c r="C277" t="s">
        <v>563</v>
      </c>
      <c r="D277" t="s">
        <v>33</v>
      </c>
      <c r="E277" t="s">
        <v>77</v>
      </c>
      <c r="F277" t="s">
        <v>33</v>
      </c>
      <c r="G277" t="s">
        <v>33</v>
      </c>
      <c r="H277">
        <v>35</v>
      </c>
      <c r="I277" t="b">
        <v>0</v>
      </c>
      <c r="J277" t="s">
        <v>33</v>
      </c>
      <c r="K277" t="s">
        <v>33</v>
      </c>
      <c r="L277">
        <v>19</v>
      </c>
      <c r="M277" s="4">
        <v>1</v>
      </c>
      <c r="N277" t="e">
        <f>(#REF!*Y277)/(T277*X277*O277)</f>
        <v>#REF!</v>
      </c>
      <c r="O277">
        <v>2</v>
      </c>
      <c r="P277" t="s">
        <v>33</v>
      </c>
      <c r="Q277" s="1">
        <f t="shared" si="137"/>
        <v>698</v>
      </c>
      <c r="R277" t="s">
        <v>183</v>
      </c>
      <c r="S277" t="s">
        <v>613</v>
      </c>
      <c r="T277">
        <v>1</v>
      </c>
      <c r="U277">
        <v>2.5</v>
      </c>
      <c r="V277" t="s">
        <v>33</v>
      </c>
      <c r="W277">
        <v>0.50249999999999995</v>
      </c>
      <c r="X277">
        <f>W277</f>
        <v>0.50249999999999995</v>
      </c>
      <c r="Y277" t="s">
        <v>33</v>
      </c>
      <c r="Z277" s="3">
        <f t="shared" si="141"/>
        <v>7.1991404011461312E-4</v>
      </c>
      <c r="AA277" t="s">
        <v>33</v>
      </c>
      <c r="AB277">
        <f t="shared" si="143"/>
        <v>698</v>
      </c>
      <c r="AC277" s="1" t="str">
        <f t="shared" si="134"/>
        <v>NA</v>
      </c>
      <c r="AE277" s="3">
        <f t="shared" si="142"/>
        <v>1007.9119999999999</v>
      </c>
      <c r="AF277">
        <v>1396</v>
      </c>
      <c r="AG277" s="1" t="str">
        <f>IFERROR((N277*P277*Q277), "NA")</f>
        <v>NA</v>
      </c>
      <c r="AH277" s="1" t="str">
        <f>IFERROR((AG277*U277*AI277), "NA")</f>
        <v>NA</v>
      </c>
      <c r="AI277" s="1">
        <v>1</v>
      </c>
      <c r="AJ277" s="11" t="s">
        <v>31</v>
      </c>
      <c r="AK277">
        <v>2000</v>
      </c>
      <c r="AL277" t="s">
        <v>616</v>
      </c>
      <c r="AM277" s="3" t="s">
        <v>103</v>
      </c>
      <c r="AN277" t="s">
        <v>130</v>
      </c>
      <c r="AO277" t="s">
        <v>795</v>
      </c>
      <c r="AP277">
        <v>7</v>
      </c>
      <c r="AQ277" t="s">
        <v>33</v>
      </c>
      <c r="AR277" t="s">
        <v>33</v>
      </c>
      <c r="AS277">
        <v>9</v>
      </c>
      <c r="AT277">
        <f>AS277-AU277</f>
        <v>3.3200000000000003</v>
      </c>
      <c r="AU277" s="6">
        <v>5.68</v>
      </c>
      <c r="AV277" t="b">
        <v>1</v>
      </c>
      <c r="AW277" t="s">
        <v>617</v>
      </c>
      <c r="AX277" t="s">
        <v>33</v>
      </c>
      <c r="AY277" t="s">
        <v>628</v>
      </c>
      <c r="AZ277" t="s">
        <v>619</v>
      </c>
      <c r="BA277" s="18" t="s">
        <v>802</v>
      </c>
      <c r="BB277" s="3" t="b">
        <v>0</v>
      </c>
      <c r="BC277" t="s">
        <v>81</v>
      </c>
      <c r="BD277">
        <v>24</v>
      </c>
      <c r="BE277" t="s">
        <v>80</v>
      </c>
      <c r="BF277">
        <v>24</v>
      </c>
      <c r="BG277" t="s">
        <v>644</v>
      </c>
      <c r="BH277" t="s">
        <v>31</v>
      </c>
      <c r="BI277" t="s">
        <v>32</v>
      </c>
      <c r="BJ277">
        <f t="shared" si="135"/>
        <v>5.68</v>
      </c>
      <c r="BK277" s="3">
        <f t="shared" si="136"/>
        <v>0.75434833571101889</v>
      </c>
      <c r="BL277">
        <v>2</v>
      </c>
      <c r="BM277" s="3">
        <f t="shared" si="144"/>
        <v>2.2490742801457624</v>
      </c>
      <c r="BN277" t="s">
        <v>33</v>
      </c>
      <c r="BO277" s="3">
        <f t="shared" si="132"/>
        <v>177.44929577464788</v>
      </c>
      <c r="BP277" t="s">
        <v>33</v>
      </c>
      <c r="BQ277" t="s">
        <v>33</v>
      </c>
      <c r="BR277" t="s">
        <v>33</v>
      </c>
      <c r="BS277" t="s">
        <v>33</v>
      </c>
      <c r="BT277" t="s">
        <v>31</v>
      </c>
      <c r="BU277" s="15" t="s">
        <v>655</v>
      </c>
      <c r="BV277">
        <v>2003</v>
      </c>
      <c r="BW277" t="s">
        <v>656</v>
      </c>
      <c r="BX277" t="s">
        <v>78</v>
      </c>
      <c r="BY277" s="13" t="s">
        <v>677</v>
      </c>
      <c r="CA277" t="str">
        <f t="shared" si="133"/>
        <v>low acid</v>
      </c>
    </row>
    <row r="278" spans="1:79">
      <c r="A278" t="s">
        <v>259</v>
      </c>
      <c r="B278" t="s">
        <v>565</v>
      </c>
      <c r="C278" t="s">
        <v>563</v>
      </c>
      <c r="D278" t="s">
        <v>118</v>
      </c>
      <c r="E278" t="s">
        <v>77</v>
      </c>
      <c r="F278" t="s">
        <v>32</v>
      </c>
      <c r="G278">
        <v>5</v>
      </c>
      <c r="H278">
        <v>40</v>
      </c>
      <c r="I278" t="b">
        <v>0</v>
      </c>
      <c r="J278" t="s">
        <v>33</v>
      </c>
      <c r="K278" t="s">
        <v>33</v>
      </c>
      <c r="L278">
        <v>35</v>
      </c>
      <c r="M278" s="4">
        <v>175</v>
      </c>
      <c r="N278" s="3">
        <f>IFERROR(AF278/((T278*X278/Y278)*O278*AI278),"NA")</f>
        <v>9444.8061195568516</v>
      </c>
      <c r="O278">
        <v>4</v>
      </c>
      <c r="P278" t="s">
        <v>33</v>
      </c>
      <c r="Q278" s="8">
        <f t="shared" si="137"/>
        <v>0.35714285714285715</v>
      </c>
      <c r="R278" t="s">
        <v>183</v>
      </c>
      <c r="S278" t="s">
        <v>613</v>
      </c>
      <c r="T278" s="11">
        <v>8</v>
      </c>
      <c r="U278">
        <v>2.92</v>
      </c>
      <c r="V278">
        <v>2.2999999999999998</v>
      </c>
      <c r="W278">
        <v>1.21E-2</v>
      </c>
      <c r="X278" s="8">
        <f>IFERROR(((PI())*(((V278*10^-1)/2)^2)*(U278*10^-1)), "NA")</f>
        <v>1.2131888350367701E-2</v>
      </c>
      <c r="Y278" s="6">
        <f>110/60</f>
        <v>1.8333333333333333</v>
      </c>
      <c r="Z278" s="3">
        <f t="shared" si="141"/>
        <v>3.3969287381029563E-2</v>
      </c>
      <c r="AA278" t="s">
        <v>33</v>
      </c>
      <c r="AB278" s="6">
        <f t="shared" si="143"/>
        <v>62.499999999999993</v>
      </c>
      <c r="AC278" t="str">
        <f t="shared" si="134"/>
        <v>NA</v>
      </c>
      <c r="AD278" s="4">
        <f>AB278*T278*AI278</f>
        <v>499.99999999999994</v>
      </c>
      <c r="AE278" s="3">
        <f t="shared" si="142"/>
        <v>7325.4999999999991</v>
      </c>
      <c r="AF278">
        <v>2000</v>
      </c>
      <c r="AG278" t="str">
        <f>IFERROR((M278*O278*P278), "NA")</f>
        <v>NA</v>
      </c>
      <c r="AH278" t="str">
        <f>IFERROR((AG278*T278*AI278), "NA")</f>
        <v>NA</v>
      </c>
      <c r="AI278">
        <v>1</v>
      </c>
      <c r="AJ278" t="s">
        <v>31</v>
      </c>
      <c r="AK278">
        <v>2990</v>
      </c>
      <c r="AL278" t="s">
        <v>544</v>
      </c>
      <c r="AM278" t="s">
        <v>86</v>
      </c>
      <c r="AN278" t="s">
        <v>205</v>
      </c>
      <c r="AO278" t="s">
        <v>789</v>
      </c>
      <c r="AP278">
        <v>4.4000000000000004</v>
      </c>
      <c r="AQ278" t="s">
        <v>33</v>
      </c>
      <c r="AR278" t="s">
        <v>33</v>
      </c>
      <c r="AS278" s="6">
        <f>LOG((10^7+10^8)/2)</f>
        <v>7.7403626894942441</v>
      </c>
      <c r="AT278" s="3">
        <f>IFERROR(AS278-AU278,"NA")</f>
        <v>3.3293626894942445</v>
      </c>
      <c r="AU278" s="6">
        <v>4.4109999999999996</v>
      </c>
      <c r="AV278" t="b">
        <v>1</v>
      </c>
      <c r="AW278" t="s">
        <v>29</v>
      </c>
      <c r="AX278" t="s">
        <v>30</v>
      </c>
      <c r="AY278" t="s">
        <v>33</v>
      </c>
      <c r="AZ278" t="s">
        <v>134</v>
      </c>
      <c r="BA278" s="18" t="s">
        <v>798</v>
      </c>
      <c r="BB278" t="b">
        <v>0</v>
      </c>
      <c r="BC278" t="s">
        <v>81</v>
      </c>
      <c r="BD278">
        <v>15</v>
      </c>
      <c r="BE278" t="s">
        <v>80</v>
      </c>
      <c r="BF278" s="11">
        <v>24</v>
      </c>
      <c r="BG278" t="s">
        <v>262</v>
      </c>
      <c r="BH278" t="s">
        <v>31</v>
      </c>
      <c r="BI278" t="s">
        <v>31</v>
      </c>
      <c r="BJ278" s="3">
        <f t="shared" si="135"/>
        <v>4.4109999999999996</v>
      </c>
      <c r="BK278" s="3">
        <f t="shared" si="136"/>
        <v>0.64453705777840731</v>
      </c>
      <c r="BL278">
        <v>2</v>
      </c>
      <c r="BM278" s="3">
        <f t="shared" si="144"/>
        <v>3.2203002149105546</v>
      </c>
      <c r="BN278" t="s">
        <v>33</v>
      </c>
      <c r="BO278" s="3">
        <f t="shared" si="132"/>
        <v>1660.7345273180683</v>
      </c>
      <c r="BP278" t="s">
        <v>33</v>
      </c>
      <c r="BQ278" t="s">
        <v>33</v>
      </c>
      <c r="BR278" t="s">
        <v>33</v>
      </c>
      <c r="BS278" t="s">
        <v>33</v>
      </c>
      <c r="BT278" t="s">
        <v>31</v>
      </c>
      <c r="BU278" t="s">
        <v>219</v>
      </c>
      <c r="BV278">
        <v>2008</v>
      </c>
      <c r="BW278" s="2" t="s">
        <v>257</v>
      </c>
      <c r="BX278" t="s">
        <v>78</v>
      </c>
      <c r="BY278" t="s">
        <v>33</v>
      </c>
      <c r="BZ278" t="s">
        <v>33</v>
      </c>
      <c r="CA278" t="str">
        <f t="shared" si="133"/>
        <v>high acid</v>
      </c>
    </row>
    <row r="279" spans="1:79">
      <c r="A279" t="s">
        <v>595</v>
      </c>
      <c r="B279" t="s">
        <v>565</v>
      </c>
      <c r="C279" t="s">
        <v>564</v>
      </c>
      <c r="D279" t="s">
        <v>609</v>
      </c>
      <c r="E279" t="s">
        <v>77</v>
      </c>
      <c r="F279" t="s">
        <v>32</v>
      </c>
      <c r="G279">
        <v>30</v>
      </c>
      <c r="H279">
        <v>38.200000000000003</v>
      </c>
      <c r="I279" t="b">
        <v>0</v>
      </c>
      <c r="J279" t="s">
        <v>33</v>
      </c>
      <c r="K279" t="s">
        <v>33</v>
      </c>
      <c r="L279">
        <v>24</v>
      </c>
      <c r="M279" s="4">
        <v>120</v>
      </c>
      <c r="N279" t="e">
        <f>(#REF!*Y279)/(T279*X279*O279)</f>
        <v>#REF!</v>
      </c>
      <c r="O279">
        <v>3</v>
      </c>
      <c r="P279" t="s">
        <v>33</v>
      </c>
      <c r="Q279" s="1">
        <f t="shared" si="137"/>
        <v>0.125</v>
      </c>
      <c r="R279" t="s">
        <v>183</v>
      </c>
      <c r="S279" t="s">
        <v>612</v>
      </c>
      <c r="T279">
        <v>4</v>
      </c>
      <c r="U279">
        <v>3</v>
      </c>
      <c r="V279">
        <v>2.6</v>
      </c>
      <c r="W279" t="s">
        <v>33</v>
      </c>
      <c r="X279">
        <f>IFERROR(((PI())*(((V279*10^-1)/2)^2)*(U279*10^-1)), "NA")</f>
        <v>1.5927874753700257E-2</v>
      </c>
      <c r="Y279">
        <v>0.126667</v>
      </c>
      <c r="Z279" s="3">
        <f t="shared" si="141"/>
        <v>0.12742299802960205</v>
      </c>
      <c r="AA279" t="s">
        <v>33</v>
      </c>
      <c r="AB279">
        <f t="shared" si="143"/>
        <v>15</v>
      </c>
      <c r="AC279" s="1" t="str">
        <f t="shared" si="134"/>
        <v>NA</v>
      </c>
      <c r="AE279" s="3">
        <f t="shared" si="142"/>
        <v>101.60639999999999</v>
      </c>
      <c r="AF279">
        <v>180</v>
      </c>
      <c r="AG279" s="1" t="str">
        <f>IFERROR((N279*P279*Q279), "NA")</f>
        <v>NA</v>
      </c>
      <c r="AH279" s="1" t="str">
        <f>IFERROR((AG279*U279*AI279), "NA")</f>
        <v>NA</v>
      </c>
      <c r="AI279" s="1">
        <v>1</v>
      </c>
      <c r="AJ279" s="11" t="s">
        <v>31</v>
      </c>
      <c r="AK279">
        <v>980</v>
      </c>
      <c r="AL279" t="s">
        <v>551</v>
      </c>
      <c r="AM279" t="s">
        <v>86</v>
      </c>
      <c r="AN279" t="s">
        <v>186</v>
      </c>
      <c r="AO279" t="s">
        <v>794</v>
      </c>
      <c r="AP279">
        <v>5.98</v>
      </c>
      <c r="AQ279" t="s">
        <v>33</v>
      </c>
      <c r="AR279" t="s">
        <v>33</v>
      </c>
      <c r="AS279">
        <v>6</v>
      </c>
      <c r="AT279">
        <f>AS279-AU279</f>
        <v>3.33</v>
      </c>
      <c r="AU279" s="6">
        <v>2.67</v>
      </c>
      <c r="AV279" t="b">
        <v>1</v>
      </c>
      <c r="AW279" t="s">
        <v>626</v>
      </c>
      <c r="AX279" t="s">
        <v>627</v>
      </c>
      <c r="AY279" t="s">
        <v>631</v>
      </c>
      <c r="AZ279" t="s">
        <v>33</v>
      </c>
      <c r="BA279" s="18" t="s">
        <v>800</v>
      </c>
      <c r="BB279" s="3" t="b">
        <v>0</v>
      </c>
      <c r="BC279" t="s">
        <v>81</v>
      </c>
      <c r="BD279">
        <v>20</v>
      </c>
      <c r="BE279" t="s">
        <v>80</v>
      </c>
      <c r="BF279">
        <v>20</v>
      </c>
      <c r="BG279" t="s">
        <v>695</v>
      </c>
      <c r="BH279" t="s">
        <v>32</v>
      </c>
      <c r="BI279" t="s">
        <v>31</v>
      </c>
      <c r="BJ279">
        <f t="shared" si="135"/>
        <v>2.67</v>
      </c>
      <c r="BK279" s="3">
        <f t="shared" si="136"/>
        <v>0.42651126136457523</v>
      </c>
      <c r="BL279">
        <v>2</v>
      </c>
      <c r="BM279" s="3">
        <f t="shared" si="144"/>
        <v>1.5804098028544378</v>
      </c>
      <c r="BN279" t="s">
        <v>33</v>
      </c>
      <c r="BO279" s="3">
        <f t="shared" si="132"/>
        <v>38.054831460674158</v>
      </c>
      <c r="BP279" t="s">
        <v>33</v>
      </c>
      <c r="BQ279" t="s">
        <v>33</v>
      </c>
      <c r="BR279" t="s">
        <v>33</v>
      </c>
      <c r="BS279" t="s">
        <v>33</v>
      </c>
      <c r="BT279" t="s">
        <v>32</v>
      </c>
      <c r="BU279" t="s">
        <v>207</v>
      </c>
      <c r="BV279">
        <v>2014</v>
      </c>
      <c r="BW279" t="s">
        <v>208</v>
      </c>
      <c r="BX279" t="s">
        <v>78</v>
      </c>
      <c r="BY279" s="13" t="s">
        <v>683</v>
      </c>
      <c r="CA279" t="str">
        <f t="shared" si="133"/>
        <v>low acid</v>
      </c>
    </row>
    <row r="280" spans="1:79">
      <c r="A280" t="s">
        <v>592</v>
      </c>
      <c r="B280" t="s">
        <v>566</v>
      </c>
      <c r="C280" t="s">
        <v>563</v>
      </c>
      <c r="D280" t="s">
        <v>607</v>
      </c>
      <c r="E280" t="s">
        <v>77</v>
      </c>
      <c r="F280" t="s">
        <v>32</v>
      </c>
      <c r="G280" t="s">
        <v>33</v>
      </c>
      <c r="H280">
        <v>35</v>
      </c>
      <c r="I280" t="b">
        <v>0</v>
      </c>
      <c r="J280">
        <v>30000</v>
      </c>
      <c r="K280">
        <v>200</v>
      </c>
      <c r="L280">
        <v>25</v>
      </c>
      <c r="M280" s="4">
        <v>1</v>
      </c>
      <c r="N280" t="e">
        <f>(#REF!*Y280)/(T280*X280*O280)</f>
        <v>#REF!</v>
      </c>
      <c r="O280">
        <v>3</v>
      </c>
      <c r="P280" t="s">
        <v>33</v>
      </c>
      <c r="Q280" s="1">
        <f t="shared" si="137"/>
        <v>101.8</v>
      </c>
      <c r="R280" t="s">
        <v>183</v>
      </c>
      <c r="S280" t="s">
        <v>33</v>
      </c>
      <c r="T280">
        <v>1</v>
      </c>
      <c r="U280">
        <v>2.5</v>
      </c>
      <c r="V280" t="s">
        <v>33</v>
      </c>
      <c r="W280">
        <v>0.50249999999999995</v>
      </c>
      <c r="X280">
        <f>W280</f>
        <v>0.50249999999999995</v>
      </c>
      <c r="Y280" t="s">
        <v>33</v>
      </c>
      <c r="Z280" s="3">
        <f t="shared" si="141"/>
        <v>4.93614931237721E-3</v>
      </c>
      <c r="AA280" t="s">
        <v>33</v>
      </c>
      <c r="AB280">
        <f t="shared" si="143"/>
        <v>101.8</v>
      </c>
      <c r="AC280" s="1" t="str">
        <f t="shared" si="134"/>
        <v>NA</v>
      </c>
      <c r="AE280" s="3">
        <f t="shared" si="142"/>
        <v>190.875</v>
      </c>
      <c r="AF280">
        <v>305.39999999999998</v>
      </c>
      <c r="AG280" s="1" t="str">
        <f>IFERROR((N280*P280*Q280), "NA")</f>
        <v>NA</v>
      </c>
      <c r="AH280" s="1" t="str">
        <f>IFERROR((AG280*U280*AI280), "NA")</f>
        <v>NA</v>
      </c>
      <c r="AI280" s="1">
        <v>1</v>
      </c>
      <c r="AJ280" s="11" t="s">
        <v>31</v>
      </c>
      <c r="AK280">
        <v>1000</v>
      </c>
      <c r="AL280" t="s">
        <v>614</v>
      </c>
      <c r="AM280" s="3" t="s">
        <v>103</v>
      </c>
      <c r="AN280" t="s">
        <v>130</v>
      </c>
      <c r="AO280" t="s">
        <v>795</v>
      </c>
      <c r="AP280">
        <v>7</v>
      </c>
      <c r="AQ280" t="s">
        <v>33</v>
      </c>
      <c r="AR280" t="s">
        <v>33</v>
      </c>
      <c r="AS280">
        <v>8</v>
      </c>
      <c r="AT280">
        <f>AS280-AU280</f>
        <v>3.33</v>
      </c>
      <c r="AU280" s="6">
        <v>4.67</v>
      </c>
      <c r="AV280" t="b">
        <v>1</v>
      </c>
      <c r="AW280" t="s">
        <v>626</v>
      </c>
      <c r="AX280" t="s">
        <v>627</v>
      </c>
      <c r="AY280" t="s">
        <v>633</v>
      </c>
      <c r="AZ280" t="s">
        <v>33</v>
      </c>
      <c r="BA280" s="18" t="s">
        <v>800</v>
      </c>
      <c r="BB280" s="3" t="b">
        <v>0</v>
      </c>
      <c r="BC280" t="s">
        <v>81</v>
      </c>
      <c r="BD280">
        <v>24</v>
      </c>
      <c r="BE280" t="s">
        <v>80</v>
      </c>
      <c r="BF280">
        <v>48</v>
      </c>
      <c r="BG280" t="s">
        <v>569</v>
      </c>
      <c r="BH280" t="s">
        <v>31</v>
      </c>
      <c r="BI280" t="s">
        <v>31</v>
      </c>
      <c r="BJ280">
        <f t="shared" si="135"/>
        <v>4.67</v>
      </c>
      <c r="BK280" s="3">
        <f t="shared" si="136"/>
        <v>0.66931688056611216</v>
      </c>
      <c r="BL280">
        <v>2</v>
      </c>
      <c r="BM280" s="3">
        <f t="shared" si="144"/>
        <v>1.6114321694983653</v>
      </c>
      <c r="BN280" t="s">
        <v>33</v>
      </c>
      <c r="BO280" s="3">
        <f t="shared" si="132"/>
        <v>40.872591006423981</v>
      </c>
      <c r="BP280" t="s">
        <v>33</v>
      </c>
      <c r="BQ280" t="s">
        <v>33</v>
      </c>
      <c r="BR280" t="s">
        <v>33</v>
      </c>
      <c r="BS280" t="s">
        <v>33</v>
      </c>
      <c r="BT280" t="s">
        <v>31</v>
      </c>
      <c r="BU280" s="15" t="s">
        <v>255</v>
      </c>
      <c r="BV280">
        <v>2010</v>
      </c>
      <c r="BW280" t="s">
        <v>659</v>
      </c>
      <c r="BX280" t="s">
        <v>78</v>
      </c>
      <c r="BY280" s="13" t="s">
        <v>680</v>
      </c>
      <c r="CA280" t="str">
        <f t="shared" si="133"/>
        <v>low acid</v>
      </c>
    </row>
    <row r="281" spans="1:79">
      <c r="A281" t="s">
        <v>733</v>
      </c>
      <c r="B281" t="s">
        <v>566</v>
      </c>
      <c r="C281" t="s">
        <v>563</v>
      </c>
      <c r="D281" t="s">
        <v>699</v>
      </c>
      <c r="E281" t="s">
        <v>77</v>
      </c>
      <c r="F281" t="s">
        <v>32</v>
      </c>
      <c r="G281">
        <v>20</v>
      </c>
      <c r="H281">
        <v>64</v>
      </c>
      <c r="I281" t="b">
        <v>1</v>
      </c>
      <c r="J281" t="s">
        <v>33</v>
      </c>
      <c r="K281" t="s">
        <v>33</v>
      </c>
      <c r="L281">
        <v>20</v>
      </c>
      <c r="M281" s="4">
        <v>64</v>
      </c>
      <c r="N281" s="3">
        <f>IFERROR(AF281/((T281*X281/Y281)*O281*AI281),"NA")</f>
        <v>63.657407407407391</v>
      </c>
      <c r="O281">
        <v>5</v>
      </c>
      <c r="P281">
        <v>0.43</v>
      </c>
      <c r="Q281" s="8">
        <f>IFERROR(X281/Y281, "NA")</f>
        <v>0.43200000000000011</v>
      </c>
      <c r="R281" t="s">
        <v>183</v>
      </c>
      <c r="S281" t="s">
        <v>612</v>
      </c>
      <c r="T281" s="11">
        <v>1</v>
      </c>
      <c r="U281">
        <v>4</v>
      </c>
      <c r="V281" t="s">
        <v>33</v>
      </c>
      <c r="W281">
        <f>0.4*3*0.5</f>
        <v>0.60000000000000009</v>
      </c>
      <c r="X281" s="9">
        <f>W281</f>
        <v>0.60000000000000009</v>
      </c>
      <c r="Y281" s="6">
        <f>5000/3600</f>
        <v>1.3888888888888888</v>
      </c>
      <c r="Z281" s="3">
        <f t="shared" si="141"/>
        <v>1.3963636363636365</v>
      </c>
      <c r="AA281" t="s">
        <v>33</v>
      </c>
      <c r="AB281" s="4">
        <f>IFERROR(((X281*M281)/Y281), "NA")</f>
        <v>27.648000000000007</v>
      </c>
      <c r="AC281" s="4">
        <f t="shared" si="134"/>
        <v>27.52</v>
      </c>
      <c r="AD281" s="4">
        <f>AB281*T281*AI281</f>
        <v>27.648000000000007</v>
      </c>
      <c r="AE281" s="3">
        <f t="shared" si="142"/>
        <v>110.59200000000003</v>
      </c>
      <c r="AF281">
        <v>137.5</v>
      </c>
      <c r="AG281" s="4">
        <f>IFERROR((M281*O281*P281), "NA")</f>
        <v>137.6</v>
      </c>
      <c r="AH281" s="4">
        <f>IFERROR((AG281*T281*AI281), "NA")</f>
        <v>137.6</v>
      </c>
      <c r="AI281">
        <v>1</v>
      </c>
      <c r="AJ281" s="11" t="s">
        <v>31</v>
      </c>
      <c r="AK281">
        <v>2000</v>
      </c>
      <c r="AL281" t="s">
        <v>784</v>
      </c>
      <c r="AM281" t="s">
        <v>103</v>
      </c>
      <c r="AN281" t="s">
        <v>130</v>
      </c>
      <c r="AO281" t="s">
        <v>795</v>
      </c>
      <c r="AP281">
        <v>7</v>
      </c>
      <c r="AQ281" t="s">
        <v>33</v>
      </c>
      <c r="AR281" t="s">
        <v>33</v>
      </c>
      <c r="AS281" s="6">
        <f>LOG(AVERAGE(10^8, 10^9))</f>
        <v>8.7403626894942441</v>
      </c>
      <c r="AT281" s="3">
        <f>IFERROR(AS281-AU281,"NA")</f>
        <v>3.3313626894942443</v>
      </c>
      <c r="AU281" s="6">
        <v>5.4089999999999998</v>
      </c>
      <c r="AV281" t="b">
        <v>1</v>
      </c>
      <c r="AW281" t="s">
        <v>172</v>
      </c>
      <c r="AX281" t="s">
        <v>173</v>
      </c>
      <c r="AY281" t="s">
        <v>736</v>
      </c>
      <c r="AZ281" t="s">
        <v>33</v>
      </c>
      <c r="BA281" s="18" t="s">
        <v>799</v>
      </c>
      <c r="BB281" s="3" t="b">
        <v>0</v>
      </c>
      <c r="BC281" t="s">
        <v>81</v>
      </c>
      <c r="BD281">
        <v>24</v>
      </c>
      <c r="BE281" t="s">
        <v>80</v>
      </c>
      <c r="BF281">
        <v>48</v>
      </c>
      <c r="BG281" t="s">
        <v>734</v>
      </c>
      <c r="BH281" t="s">
        <v>31</v>
      </c>
      <c r="BI281" t="s">
        <v>31</v>
      </c>
      <c r="BJ281" s="3">
        <f t="shared" si="135"/>
        <v>5.4089999999999998</v>
      </c>
      <c r="BK281" s="3">
        <f t="shared" si="136"/>
        <v>0.73311698144206439</v>
      </c>
      <c r="BL281">
        <v>2</v>
      </c>
      <c r="BM281" s="3">
        <f t="shared" si="144"/>
        <v>1.3106067306846974</v>
      </c>
      <c r="BN281" t="s">
        <v>33</v>
      </c>
      <c r="BO281" s="3">
        <f t="shared" si="132"/>
        <v>20.445923460898509</v>
      </c>
      <c r="BP281" t="s">
        <v>33</v>
      </c>
      <c r="BQ281" t="s">
        <v>33</v>
      </c>
      <c r="BR281" t="s">
        <v>33</v>
      </c>
      <c r="BS281" t="s">
        <v>33</v>
      </c>
      <c r="BT281" t="s">
        <v>32</v>
      </c>
      <c r="BU281" t="s">
        <v>709</v>
      </c>
      <c r="BV281">
        <v>2024</v>
      </c>
      <c r="BW281" t="s">
        <v>710</v>
      </c>
      <c r="BX281" t="s">
        <v>78</v>
      </c>
      <c r="BY281" t="s">
        <v>711</v>
      </c>
      <c r="CA281" t="str">
        <f t="shared" si="133"/>
        <v>low acid</v>
      </c>
    </row>
    <row r="282" spans="1:79">
      <c r="A282" s="3" t="s">
        <v>303</v>
      </c>
      <c r="B282" t="s">
        <v>566</v>
      </c>
      <c r="C282" t="s">
        <v>563</v>
      </c>
      <c r="D282" s="3" t="s">
        <v>279</v>
      </c>
      <c r="E282" s="3" t="s">
        <v>77</v>
      </c>
      <c r="F282" t="s">
        <v>32</v>
      </c>
      <c r="G282" s="11">
        <v>10</v>
      </c>
      <c r="H282" s="11">
        <v>30</v>
      </c>
      <c r="I282" s="3" t="b">
        <v>0</v>
      </c>
      <c r="J282" s="3" t="s">
        <v>33</v>
      </c>
      <c r="K282" s="3" t="s">
        <v>33</v>
      </c>
      <c r="L282" s="11">
        <v>20</v>
      </c>
      <c r="M282" s="4">
        <v>1000</v>
      </c>
      <c r="N282" s="3">
        <f>IFERROR(AF282/((T282*X282/Y282)*O282*AI282),"NA")</f>
        <v>2526.2689379665921</v>
      </c>
      <c r="O282" s="3">
        <v>16</v>
      </c>
      <c r="P282" s="3" t="s">
        <v>33</v>
      </c>
      <c r="Q282" s="3">
        <f t="shared" ref="Q282:Q287" si="145">IFERROR(X282/Z282, "NA")</f>
        <v>7.5000000000000011E-2</v>
      </c>
      <c r="R282" t="s">
        <v>183</v>
      </c>
      <c r="S282" t="s">
        <v>613</v>
      </c>
      <c r="T282" s="11">
        <v>1</v>
      </c>
      <c r="U282" s="3">
        <v>2.8</v>
      </c>
      <c r="V282" s="3">
        <v>3</v>
      </c>
      <c r="W282" s="3">
        <v>0.02</v>
      </c>
      <c r="X282" s="3">
        <f>IFERROR(((PI())*(((V282*10^-1)/2)^2)*(U282*10^-1)), "NA")</f>
        <v>1.97920337176157E-2</v>
      </c>
      <c r="Y282" s="3">
        <f>40/60</f>
        <v>0.66666666666666663</v>
      </c>
      <c r="Z282" s="3">
        <f t="shared" si="141"/>
        <v>0.26389378290154264</v>
      </c>
      <c r="AA282" s="3" t="s">
        <v>33</v>
      </c>
      <c r="AB282" s="3">
        <f t="shared" ref="AB282:AB287" si="146">IFERROR(((X282*M282)/Z282), "NA")</f>
        <v>75</v>
      </c>
      <c r="AC282" s="3" t="str">
        <f t="shared" si="134"/>
        <v>NA</v>
      </c>
      <c r="AD282" s="4">
        <f>IFERROR(AB282*T282*AI282, "NA")</f>
        <v>75</v>
      </c>
      <c r="AE282" s="3">
        <f t="shared" si="142"/>
        <v>192.00000000000003</v>
      </c>
      <c r="AF282" s="3">
        <v>1200</v>
      </c>
      <c r="AG282" s="3" t="str">
        <f>IFERROR((M282*O282*P282), "NA")</f>
        <v>NA</v>
      </c>
      <c r="AH282" s="3" t="str">
        <f>IFERROR((AG282*T282*AI282), "NA")</f>
        <v>NA</v>
      </c>
      <c r="AI282" s="11">
        <v>1</v>
      </c>
      <c r="AJ282" t="s">
        <v>31</v>
      </c>
      <c r="AK282" s="11">
        <v>400</v>
      </c>
      <c r="AL282" s="3" t="s">
        <v>526</v>
      </c>
      <c r="AM282" s="3" t="s">
        <v>103</v>
      </c>
      <c r="AN282" t="s">
        <v>130</v>
      </c>
      <c r="AO282" t="s">
        <v>795</v>
      </c>
      <c r="AP282" s="3" t="s">
        <v>33</v>
      </c>
      <c r="AQ282" s="3" t="s">
        <v>33</v>
      </c>
      <c r="AR282" s="3" t="s">
        <v>33</v>
      </c>
      <c r="AS282" s="3">
        <f>4.049</f>
        <v>4.0490000000000004</v>
      </c>
      <c r="AT282" s="3">
        <f>IFERROR(AS282-AU282,"NA")</f>
        <v>3.3330000000000002</v>
      </c>
      <c r="AU282" s="6">
        <v>0.71599999999999997</v>
      </c>
      <c r="AV282" s="3" t="b">
        <v>1</v>
      </c>
      <c r="AW282" s="3" t="s">
        <v>172</v>
      </c>
      <c r="AX282" s="3" t="s">
        <v>173</v>
      </c>
      <c r="AY282" s="3" t="s">
        <v>283</v>
      </c>
      <c r="AZ282" s="3" t="s">
        <v>33</v>
      </c>
      <c r="BA282" s="18" t="s">
        <v>799</v>
      </c>
      <c r="BB282" s="3" t="b">
        <v>0</v>
      </c>
      <c r="BC282" t="s">
        <v>81</v>
      </c>
      <c r="BD282" s="3">
        <v>2</v>
      </c>
      <c r="BE282" s="3" t="s">
        <v>252</v>
      </c>
      <c r="BF282" s="11">
        <v>72</v>
      </c>
      <c r="BG282" s="3" t="s">
        <v>574</v>
      </c>
      <c r="BH282" s="3" t="s">
        <v>31</v>
      </c>
      <c r="BI282" s="3" t="s">
        <v>31</v>
      </c>
      <c r="BJ282" s="3">
        <f t="shared" si="135"/>
        <v>0.71599999999999997</v>
      </c>
      <c r="BK282" s="3">
        <f t="shared" si="136"/>
        <v>-0.14508697769214446</v>
      </c>
      <c r="BL282" s="3">
        <v>2</v>
      </c>
      <c r="BM282" s="3">
        <f t="shared" si="144"/>
        <v>2.4283882063956943</v>
      </c>
      <c r="BN282" s="3" t="s">
        <v>33</v>
      </c>
      <c r="BO282" s="3">
        <f t="shared" si="132"/>
        <v>268.15642458100564</v>
      </c>
      <c r="BP282" s="3" t="s">
        <v>33</v>
      </c>
      <c r="BQ282" s="3" t="s">
        <v>33</v>
      </c>
      <c r="BR282" s="3" t="s">
        <v>33</v>
      </c>
      <c r="BS282" s="3" t="s">
        <v>33</v>
      </c>
      <c r="BT282" t="s">
        <v>31</v>
      </c>
      <c r="BU282" s="3" t="s">
        <v>247</v>
      </c>
      <c r="BV282" s="11">
        <v>2016</v>
      </c>
      <c r="BW282" s="3" t="s">
        <v>284</v>
      </c>
      <c r="BX282" t="s">
        <v>78</v>
      </c>
      <c r="BY282" s="3" t="s">
        <v>33</v>
      </c>
      <c r="BZ282" s="3" t="s">
        <v>295</v>
      </c>
      <c r="CA282" t="str">
        <f t="shared" si="133"/>
        <v>low acid</v>
      </c>
    </row>
    <row r="283" spans="1:79">
      <c r="A283" t="s">
        <v>581</v>
      </c>
      <c r="B283" t="s">
        <v>565</v>
      </c>
      <c r="C283" t="s">
        <v>563</v>
      </c>
      <c r="D283" t="s">
        <v>118</v>
      </c>
      <c r="E283" t="s">
        <v>77</v>
      </c>
      <c r="F283" t="s">
        <v>32</v>
      </c>
      <c r="G283">
        <v>5</v>
      </c>
      <c r="H283">
        <v>39.1</v>
      </c>
      <c r="I283" t="b">
        <v>0</v>
      </c>
      <c r="J283" t="s">
        <v>33</v>
      </c>
      <c r="K283" t="s">
        <v>33</v>
      </c>
      <c r="L283">
        <v>35</v>
      </c>
      <c r="M283" s="4">
        <v>100</v>
      </c>
      <c r="N283" t="e">
        <f>(#REF!*Y283)/(T283*X283*O283)</f>
        <v>#REF!</v>
      </c>
      <c r="O283">
        <v>4</v>
      </c>
      <c r="P283" t="s">
        <v>33</v>
      </c>
      <c r="Q283" s="1">
        <f t="shared" si="145"/>
        <v>0.625</v>
      </c>
      <c r="R283" t="s">
        <v>183</v>
      </c>
      <c r="S283" t="s">
        <v>613</v>
      </c>
      <c r="T283">
        <v>8</v>
      </c>
      <c r="U283">
        <v>2.92</v>
      </c>
      <c r="V283">
        <v>2.2999999999999998</v>
      </c>
      <c r="W283">
        <v>1.21E-2</v>
      </c>
      <c r="X283">
        <f>IFERROR(((PI())*(((V283*10^-1)/2)^2)*(U283*10^-1)), "NA")</f>
        <v>1.2131888350367701E-2</v>
      </c>
      <c r="Y283">
        <v>1.6666700000000001</v>
      </c>
      <c r="Z283" s="3">
        <f t="shared" si="141"/>
        <v>1.941102136058832E-2</v>
      </c>
      <c r="AA283" t="s">
        <v>33</v>
      </c>
      <c r="AB283">
        <f t="shared" si="146"/>
        <v>62.500000000000007</v>
      </c>
      <c r="AC283" s="1" t="str">
        <f t="shared" si="134"/>
        <v>NA</v>
      </c>
      <c r="AE283" s="3">
        <f t="shared" si="142"/>
        <v>12813.5</v>
      </c>
      <c r="AF283">
        <v>2000</v>
      </c>
      <c r="AG283" s="1" t="str">
        <f>IFERROR((N283*P283*Q283), "NA")</f>
        <v>NA</v>
      </c>
      <c r="AH283" s="1" t="str">
        <f>IFERROR((AG283*U283*AI283), "NA")</f>
        <v>NA</v>
      </c>
      <c r="AI283" s="1">
        <v>1</v>
      </c>
      <c r="AJ283" s="11" t="s">
        <v>31</v>
      </c>
      <c r="AK283">
        <v>5230</v>
      </c>
      <c r="AL283" t="s">
        <v>542</v>
      </c>
      <c r="AM283" t="s">
        <v>86</v>
      </c>
      <c r="AN283" t="s">
        <v>186</v>
      </c>
      <c r="AO283" t="s">
        <v>794</v>
      </c>
      <c r="AP283">
        <v>5.82</v>
      </c>
      <c r="AQ283" t="s">
        <v>33</v>
      </c>
      <c r="AR283" t="s">
        <v>33</v>
      </c>
      <c r="AS283">
        <v>7.5</v>
      </c>
      <c r="AT283">
        <f>AS283-AU283</f>
        <v>3.34</v>
      </c>
      <c r="AU283" s="6">
        <v>4.16</v>
      </c>
      <c r="AV283" t="b">
        <v>1</v>
      </c>
      <c r="AW283" t="s">
        <v>617</v>
      </c>
      <c r="AX283" t="s">
        <v>618</v>
      </c>
      <c r="AY283" t="s">
        <v>33</v>
      </c>
      <c r="AZ283" t="s">
        <v>619</v>
      </c>
      <c r="BA283" s="18" t="s">
        <v>802</v>
      </c>
      <c r="BB283" s="3" t="b">
        <v>0</v>
      </c>
      <c r="BC283" t="s">
        <v>81</v>
      </c>
      <c r="BD283">
        <v>15</v>
      </c>
      <c r="BE283" t="s">
        <v>80</v>
      </c>
      <c r="BF283">
        <v>15</v>
      </c>
      <c r="BG283" t="s">
        <v>697</v>
      </c>
      <c r="BH283" t="s">
        <v>32</v>
      </c>
      <c r="BI283" t="s">
        <v>31</v>
      </c>
      <c r="BJ283">
        <f t="shared" si="135"/>
        <v>4.16</v>
      </c>
      <c r="BK283" s="3">
        <f t="shared" si="136"/>
        <v>0.61909333062674277</v>
      </c>
      <c r="BL283">
        <v>2</v>
      </c>
      <c r="BM283" s="3">
        <f t="shared" si="144"/>
        <v>3.488574442605064</v>
      </c>
      <c r="BN283" t="s">
        <v>33</v>
      </c>
      <c r="BO283" s="3">
        <f t="shared" si="132"/>
        <v>3080.1682692307691</v>
      </c>
      <c r="BP283" t="s">
        <v>33</v>
      </c>
      <c r="BQ283" t="s">
        <v>33</v>
      </c>
      <c r="BR283" t="s">
        <v>33</v>
      </c>
      <c r="BS283" t="s">
        <v>33</v>
      </c>
      <c r="BT283" t="s">
        <v>31</v>
      </c>
      <c r="BU283" t="s">
        <v>219</v>
      </c>
      <c r="BV283" s="14">
        <v>2007</v>
      </c>
      <c r="BW283" s="2" t="s">
        <v>648</v>
      </c>
      <c r="BX283" t="s">
        <v>78</v>
      </c>
      <c r="BY283" s="13" t="s">
        <v>671</v>
      </c>
      <c r="CA283" t="str">
        <f t="shared" si="133"/>
        <v>low acid</v>
      </c>
    </row>
    <row r="284" spans="1:79">
      <c r="A284" t="s">
        <v>237</v>
      </c>
      <c r="B284" t="s">
        <v>565</v>
      </c>
      <c r="C284" t="s">
        <v>563</v>
      </c>
      <c r="D284" t="s">
        <v>118</v>
      </c>
      <c r="E284" t="s">
        <v>77</v>
      </c>
      <c r="F284" t="s">
        <v>32</v>
      </c>
      <c r="G284">
        <v>4</v>
      </c>
      <c r="H284">
        <v>32.5</v>
      </c>
      <c r="I284" t="b">
        <v>0</v>
      </c>
      <c r="J284" t="s">
        <v>33</v>
      </c>
      <c r="K284" t="s">
        <v>33</v>
      </c>
      <c r="L284">
        <v>35</v>
      </c>
      <c r="M284" s="4">
        <v>200</v>
      </c>
      <c r="N284" s="3">
        <f>IFERROR(AF284/((T284*X284/Y284)*O284*AI284),"NA")</f>
        <v>2575.8562144245957</v>
      </c>
      <c r="O284">
        <v>4</v>
      </c>
      <c r="P284" t="s">
        <v>33</v>
      </c>
      <c r="Q284" s="9">
        <f t="shared" si="145"/>
        <v>0.15625</v>
      </c>
      <c r="R284" t="s">
        <v>183</v>
      </c>
      <c r="S284" t="s">
        <v>612</v>
      </c>
      <c r="T284" s="11">
        <v>8</v>
      </c>
      <c r="U284">
        <v>2.92</v>
      </c>
      <c r="V284">
        <v>2.2999999999999998</v>
      </c>
      <c r="W284">
        <v>1.2E-2</v>
      </c>
      <c r="X284" s="8">
        <f>IFERROR(((PI())*(((V284*10^-1)/2)^2)*(U284*10^-1)), "NA")</f>
        <v>1.2131888350367701E-2</v>
      </c>
      <c r="Y284" s="6">
        <f>60/60</f>
        <v>1</v>
      </c>
      <c r="Z284" s="3">
        <f t="shared" si="141"/>
        <v>7.7644085442353281E-2</v>
      </c>
      <c r="AA284" t="s">
        <v>33</v>
      </c>
      <c r="AB284" s="6">
        <f t="shared" si="146"/>
        <v>31.250000000000004</v>
      </c>
      <c r="AC284" t="str">
        <f t="shared" si="134"/>
        <v>NA</v>
      </c>
      <c r="AD284" s="4">
        <f>AB284*T284*AI284</f>
        <v>250.00000000000003</v>
      </c>
      <c r="AE284" s="3">
        <f t="shared" si="142"/>
        <v>5194</v>
      </c>
      <c r="AF284">
        <v>1000</v>
      </c>
      <c r="AG284" t="str">
        <f>IFERROR((M284*O284*P284), "NA")</f>
        <v>NA</v>
      </c>
      <c r="AH284" t="str">
        <f>IFERROR((AG284*T284*AI284), "NA")</f>
        <v>NA</v>
      </c>
      <c r="AI284">
        <v>1</v>
      </c>
      <c r="AJ284" t="s">
        <v>31</v>
      </c>
      <c r="AK284">
        <v>4240</v>
      </c>
      <c r="AL284" t="s">
        <v>238</v>
      </c>
      <c r="AM284" t="s">
        <v>86</v>
      </c>
      <c r="AN284" t="s">
        <v>205</v>
      </c>
      <c r="AO284" t="s">
        <v>789</v>
      </c>
      <c r="AP284">
        <v>3.56</v>
      </c>
      <c r="AQ284" t="s">
        <v>33</v>
      </c>
      <c r="AR284" t="s">
        <v>33</v>
      </c>
      <c r="AS284">
        <f>LOG(10^8)</f>
        <v>8</v>
      </c>
      <c r="AT284" s="3">
        <f>IFERROR(AS284-AU284,"NA")</f>
        <v>3.3419999999999996</v>
      </c>
      <c r="AU284" s="6">
        <v>4.6580000000000004</v>
      </c>
      <c r="AV284" t="b">
        <v>1</v>
      </c>
      <c r="AW284" t="s">
        <v>172</v>
      </c>
      <c r="AX284" t="s">
        <v>173</v>
      </c>
      <c r="AY284" t="s">
        <v>239</v>
      </c>
      <c r="AZ284" t="s">
        <v>33</v>
      </c>
      <c r="BA284" s="18" t="s">
        <v>799</v>
      </c>
      <c r="BB284" t="b">
        <v>0</v>
      </c>
      <c r="BC284" t="s">
        <v>81</v>
      </c>
      <c r="BD284">
        <v>48</v>
      </c>
      <c r="BE284" t="s">
        <v>80</v>
      </c>
      <c r="BF284" s="11">
        <v>120</v>
      </c>
      <c r="BG284" t="s">
        <v>571</v>
      </c>
      <c r="BH284" t="s">
        <v>31</v>
      </c>
      <c r="BI284" t="s">
        <v>31</v>
      </c>
      <c r="BJ284" s="3">
        <f t="shared" si="135"/>
        <v>4.6580000000000004</v>
      </c>
      <c r="BK284" s="3">
        <f t="shared" si="136"/>
        <v>0.66819948419866193</v>
      </c>
      <c r="BL284">
        <v>2</v>
      </c>
      <c r="BM284" s="3">
        <f t="shared" si="144"/>
        <v>3.0473024610946218</v>
      </c>
      <c r="BN284" t="s">
        <v>33</v>
      </c>
      <c r="BO284" s="3">
        <f t="shared" si="132"/>
        <v>1115.0708458565907</v>
      </c>
      <c r="BP284" t="s">
        <v>33</v>
      </c>
      <c r="BQ284" t="s">
        <v>33</v>
      </c>
      <c r="BR284" t="s">
        <v>33</v>
      </c>
      <c r="BS284" t="s">
        <v>33</v>
      </c>
      <c r="BT284" t="s">
        <v>31</v>
      </c>
      <c r="BU284" t="s">
        <v>240</v>
      </c>
      <c r="BV284">
        <v>2004</v>
      </c>
      <c r="BW284" t="s">
        <v>241</v>
      </c>
      <c r="BX284" t="s">
        <v>78</v>
      </c>
      <c r="BY284" t="s">
        <v>33</v>
      </c>
      <c r="BZ284" t="s">
        <v>33</v>
      </c>
      <c r="CA284" t="str">
        <f t="shared" si="133"/>
        <v>high acid</v>
      </c>
    </row>
    <row r="285" spans="1:79">
      <c r="A285" t="s">
        <v>592</v>
      </c>
      <c r="B285" t="s">
        <v>566</v>
      </c>
      <c r="C285" t="s">
        <v>563</v>
      </c>
      <c r="D285" t="s">
        <v>607</v>
      </c>
      <c r="E285" t="s">
        <v>77</v>
      </c>
      <c r="F285" t="s">
        <v>32</v>
      </c>
      <c r="G285" t="s">
        <v>33</v>
      </c>
      <c r="H285">
        <v>35</v>
      </c>
      <c r="I285" t="b">
        <v>0</v>
      </c>
      <c r="J285">
        <v>30000</v>
      </c>
      <c r="K285">
        <v>200</v>
      </c>
      <c r="L285">
        <v>35</v>
      </c>
      <c r="M285" s="4">
        <v>1</v>
      </c>
      <c r="N285" t="e">
        <f>(#REF!*Y285)/(T285*X285*O285)</f>
        <v>#REF!</v>
      </c>
      <c r="O285">
        <v>3</v>
      </c>
      <c r="P285" t="s">
        <v>33</v>
      </c>
      <c r="Q285" s="1">
        <f t="shared" si="145"/>
        <v>167.29999999999998</v>
      </c>
      <c r="R285" t="s">
        <v>183</v>
      </c>
      <c r="S285" t="s">
        <v>33</v>
      </c>
      <c r="T285">
        <v>1</v>
      </c>
      <c r="U285">
        <v>2.5</v>
      </c>
      <c r="V285" t="s">
        <v>33</v>
      </c>
      <c r="W285">
        <v>0.50249999999999995</v>
      </c>
      <c r="X285">
        <f>W285</f>
        <v>0.50249999999999995</v>
      </c>
      <c r="Y285" t="s">
        <v>33</v>
      </c>
      <c r="Z285" s="3">
        <f t="shared" si="141"/>
        <v>3.0035863717872086E-3</v>
      </c>
      <c r="AA285" t="s">
        <v>33</v>
      </c>
      <c r="AB285">
        <f t="shared" si="146"/>
        <v>167.29999999999998</v>
      </c>
      <c r="AC285" s="1" t="str">
        <f t="shared" si="134"/>
        <v>NA</v>
      </c>
      <c r="AE285" s="3">
        <f t="shared" si="142"/>
        <v>614.82749999999987</v>
      </c>
      <c r="AF285">
        <v>501.9</v>
      </c>
      <c r="AG285" s="1" t="str">
        <f>IFERROR((N285*P285*Q285), "NA")</f>
        <v>NA</v>
      </c>
      <c r="AH285" s="1" t="str">
        <f>IFERROR((AG285*U285*AI285), "NA")</f>
        <v>NA</v>
      </c>
      <c r="AI285" s="1">
        <v>1</v>
      </c>
      <c r="AJ285" s="11" t="s">
        <v>31</v>
      </c>
      <c r="AK285">
        <v>1000</v>
      </c>
      <c r="AL285" t="s">
        <v>614</v>
      </c>
      <c r="AM285" s="3" t="s">
        <v>103</v>
      </c>
      <c r="AN285" t="s">
        <v>130</v>
      </c>
      <c r="AO285" t="s">
        <v>795</v>
      </c>
      <c r="AP285">
        <v>7</v>
      </c>
      <c r="AQ285" t="s">
        <v>33</v>
      </c>
      <c r="AR285" t="s">
        <v>33</v>
      </c>
      <c r="AS285">
        <v>8</v>
      </c>
      <c r="AT285">
        <f>AS285-AU285</f>
        <v>3.3499999999999996</v>
      </c>
      <c r="AU285" s="6">
        <v>4.6500000000000004</v>
      </c>
      <c r="AV285" t="b">
        <v>1</v>
      </c>
      <c r="AW285" t="s">
        <v>626</v>
      </c>
      <c r="AX285" t="s">
        <v>627</v>
      </c>
      <c r="AY285" t="s">
        <v>633</v>
      </c>
      <c r="AZ285" t="s">
        <v>33</v>
      </c>
      <c r="BA285" s="18" t="s">
        <v>800</v>
      </c>
      <c r="BB285" s="3" t="b">
        <v>0</v>
      </c>
      <c r="BC285" t="s">
        <v>81</v>
      </c>
      <c r="BD285">
        <v>24</v>
      </c>
      <c r="BE285" t="s">
        <v>80</v>
      </c>
      <c r="BF285">
        <v>48</v>
      </c>
      <c r="BG285" t="s">
        <v>569</v>
      </c>
      <c r="BH285" t="s">
        <v>31</v>
      </c>
      <c r="BI285" t="s">
        <v>31</v>
      </c>
      <c r="BJ285">
        <f t="shared" si="135"/>
        <v>4.6500000000000004</v>
      </c>
      <c r="BK285" s="3">
        <f t="shared" si="136"/>
        <v>0.66745295288995399</v>
      </c>
      <c r="BL285">
        <v>2</v>
      </c>
      <c r="BM285" s="3">
        <f t="shared" si="144"/>
        <v>2.1213003314926544</v>
      </c>
      <c r="BN285" t="s">
        <v>33</v>
      </c>
      <c r="BO285" s="3">
        <f t="shared" si="132"/>
        <v>132.22096774193545</v>
      </c>
      <c r="BP285" t="s">
        <v>33</v>
      </c>
      <c r="BQ285" t="s">
        <v>33</v>
      </c>
      <c r="BR285" t="s">
        <v>33</v>
      </c>
      <c r="BS285" t="s">
        <v>33</v>
      </c>
      <c r="BT285" t="s">
        <v>31</v>
      </c>
      <c r="BU285" s="15" t="s">
        <v>255</v>
      </c>
      <c r="BV285">
        <v>2010</v>
      </c>
      <c r="BW285" t="s">
        <v>659</v>
      </c>
      <c r="BX285" t="s">
        <v>78</v>
      </c>
      <c r="BY285" s="13" t="s">
        <v>680</v>
      </c>
      <c r="CA285" t="str">
        <f t="shared" si="133"/>
        <v>low acid</v>
      </c>
    </row>
    <row r="286" spans="1:79">
      <c r="A286" t="s">
        <v>596</v>
      </c>
      <c r="B286" t="s">
        <v>565</v>
      </c>
      <c r="C286" t="s">
        <v>563</v>
      </c>
      <c r="D286" t="s">
        <v>610</v>
      </c>
      <c r="E286" t="s">
        <v>77</v>
      </c>
      <c r="F286" t="s">
        <v>33</v>
      </c>
      <c r="G286">
        <v>20</v>
      </c>
      <c r="H286" t="s">
        <v>33</v>
      </c>
      <c r="I286" t="b">
        <v>0</v>
      </c>
      <c r="J286">
        <v>10000</v>
      </c>
      <c r="K286" t="s">
        <v>33</v>
      </c>
      <c r="L286">
        <v>25</v>
      </c>
      <c r="M286" s="4">
        <v>31.831088090218493</v>
      </c>
      <c r="N286" t="e">
        <f>(#REF!*Y286)/(T286*X286*O286)</f>
        <v>#REF!</v>
      </c>
      <c r="O286">
        <v>5</v>
      </c>
      <c r="P286" t="s">
        <v>33</v>
      </c>
      <c r="Q286" s="1">
        <f t="shared" si="145"/>
        <v>0.4712374254215147</v>
      </c>
      <c r="R286" t="s">
        <v>183</v>
      </c>
      <c r="S286" t="s">
        <v>613</v>
      </c>
      <c r="T286">
        <v>1</v>
      </c>
      <c r="U286">
        <v>4</v>
      </c>
      <c r="V286">
        <v>4</v>
      </c>
      <c r="W286" t="s">
        <v>33</v>
      </c>
      <c r="X286">
        <f>IFERROR(((PI())*(((V286*10^-1)/2)^2)*(U286*10^-1)), "NA")</f>
        <v>5.02654824574367E-2</v>
      </c>
      <c r="Y286">
        <v>0.106667</v>
      </c>
      <c r="Z286" s="3">
        <f t="shared" si="141"/>
        <v>0.10666699999999998</v>
      </c>
      <c r="AA286" t="s">
        <v>33</v>
      </c>
      <c r="AB286">
        <f t="shared" si="146"/>
        <v>15.000000000000002</v>
      </c>
      <c r="AC286" s="1" t="str">
        <f t="shared" si="134"/>
        <v>NA</v>
      </c>
      <c r="AE286" s="3">
        <f t="shared" si="142"/>
        <v>93.75</v>
      </c>
      <c r="AF286">
        <v>75</v>
      </c>
      <c r="AG286" s="1" t="str">
        <f>IFERROR((N286*P286*Q286), "NA")</f>
        <v>NA</v>
      </c>
      <c r="AH286" s="1" t="str">
        <f>IFERROR((AG286*U286*AI286), "NA")</f>
        <v>NA</v>
      </c>
      <c r="AI286" s="1">
        <v>1</v>
      </c>
      <c r="AJ286" s="11" t="s">
        <v>31</v>
      </c>
      <c r="AK286">
        <v>2000</v>
      </c>
      <c r="AL286" t="s">
        <v>149</v>
      </c>
      <c r="AM286" t="s">
        <v>86</v>
      </c>
      <c r="AN286" t="s">
        <v>205</v>
      </c>
      <c r="AO286" t="s">
        <v>789</v>
      </c>
      <c r="AP286" t="s">
        <v>33</v>
      </c>
      <c r="AQ286" t="s">
        <v>33</v>
      </c>
      <c r="AR286" t="s">
        <v>33</v>
      </c>
      <c r="AS286">
        <f>AVERAGE(6,8)</f>
        <v>7</v>
      </c>
      <c r="AT286">
        <f>AS286-AU286</f>
        <v>3.35</v>
      </c>
      <c r="AU286" s="6">
        <v>3.65</v>
      </c>
      <c r="AV286" t="b">
        <v>1</v>
      </c>
      <c r="AW286" t="s">
        <v>626</v>
      </c>
      <c r="AX286" t="s">
        <v>627</v>
      </c>
      <c r="AY286" t="s">
        <v>634</v>
      </c>
      <c r="AZ286" t="s">
        <v>33</v>
      </c>
      <c r="BA286" s="18" t="s">
        <v>800</v>
      </c>
      <c r="BB286" s="3" t="b">
        <v>0</v>
      </c>
      <c r="BC286" t="s">
        <v>81</v>
      </c>
      <c r="BD286">
        <v>18</v>
      </c>
      <c r="BE286" t="s">
        <v>80</v>
      </c>
      <c r="BF286">
        <v>24</v>
      </c>
      <c r="BG286" t="s">
        <v>644</v>
      </c>
      <c r="BH286" t="s">
        <v>31</v>
      </c>
      <c r="BI286" t="s">
        <v>31</v>
      </c>
      <c r="BJ286">
        <f t="shared" si="135"/>
        <v>3.65</v>
      </c>
      <c r="BK286" s="3">
        <f t="shared" si="136"/>
        <v>0.56229286445647475</v>
      </c>
      <c r="BL286">
        <v>2</v>
      </c>
      <c r="BM286" s="3">
        <f t="shared" si="144"/>
        <v>1.4096784119432817</v>
      </c>
      <c r="BN286" t="s">
        <v>33</v>
      </c>
      <c r="BO286" s="3">
        <f t="shared" si="132"/>
        <v>25.684931506849317</v>
      </c>
      <c r="BP286" t="s">
        <v>33</v>
      </c>
      <c r="BQ286" t="s">
        <v>33</v>
      </c>
      <c r="BR286" t="s">
        <v>33</v>
      </c>
      <c r="BS286" t="s">
        <v>33</v>
      </c>
      <c r="BT286" t="s">
        <v>32</v>
      </c>
      <c r="BU286" t="s">
        <v>661</v>
      </c>
      <c r="BV286">
        <v>2013</v>
      </c>
      <c r="BW286" t="s">
        <v>662</v>
      </c>
      <c r="BX286" s="13" t="s">
        <v>663</v>
      </c>
      <c r="BY286" s="13" t="s">
        <v>684</v>
      </c>
      <c r="CA286" t="str">
        <f t="shared" si="133"/>
        <v>high acid</v>
      </c>
    </row>
    <row r="287" spans="1:79">
      <c r="A287" t="s">
        <v>89</v>
      </c>
      <c r="B287" t="s">
        <v>565</v>
      </c>
      <c r="C287" t="s">
        <v>563</v>
      </c>
      <c r="D287" t="s">
        <v>118</v>
      </c>
      <c r="E287" t="s">
        <v>77</v>
      </c>
      <c r="F287" t="s">
        <v>32</v>
      </c>
      <c r="G287">
        <v>50</v>
      </c>
      <c r="H287">
        <f>(53+60)/2</f>
        <v>56.5</v>
      </c>
      <c r="I287" t="b">
        <v>0</v>
      </c>
      <c r="J287" t="s">
        <v>33</v>
      </c>
      <c r="K287" t="s">
        <v>33</v>
      </c>
      <c r="L287">
        <v>18</v>
      </c>
      <c r="M287" s="4">
        <v>548</v>
      </c>
      <c r="N287" s="3">
        <f>IFERROR(AF287/((T287*X287/Y287)*O287*AI287),"NA")</f>
        <v>553.30575787548105</v>
      </c>
      <c r="O287">
        <v>2.5</v>
      </c>
      <c r="P287" t="s">
        <v>33</v>
      </c>
      <c r="Q287" s="8">
        <f t="shared" si="145"/>
        <v>6.0827250608272501E-3</v>
      </c>
      <c r="R287" t="s">
        <v>183</v>
      </c>
      <c r="S287" t="s">
        <v>612</v>
      </c>
      <c r="T287" s="11">
        <v>6</v>
      </c>
      <c r="U287">
        <v>2.9</v>
      </c>
      <c r="V287">
        <v>2.2999999999999998</v>
      </c>
      <c r="W287" t="s">
        <v>33</v>
      </c>
      <c r="X287" s="8">
        <f>IFERROR(((PI())*(((V287*10^-1)/2)^2)*(U287*10^-1)), "NA")</f>
        <v>1.204879322468025E-2</v>
      </c>
      <c r="Y287">
        <f>120/60</f>
        <v>2</v>
      </c>
      <c r="Z287" s="9">
        <f t="shared" si="141"/>
        <v>1.9808216061374333</v>
      </c>
      <c r="AA287">
        <v>3.3</v>
      </c>
      <c r="AB287" s="6">
        <f t="shared" si="146"/>
        <v>3.333333333333333</v>
      </c>
      <c r="AC287" t="str">
        <f t="shared" si="134"/>
        <v>NA</v>
      </c>
      <c r="AD287" s="4">
        <f>IFERROR(AB287*T287*AI287, "NA")</f>
        <v>20</v>
      </c>
      <c r="AE287">
        <f t="shared" si="142"/>
        <v>52.649999999999991</v>
      </c>
      <c r="AF287">
        <v>50</v>
      </c>
      <c r="AG287" t="str">
        <f>IFERROR((M287*O287*P287), "NA")</f>
        <v>NA</v>
      </c>
      <c r="AH287" t="str">
        <f>IFERROR((AG287*T287*AI287), "NA")</f>
        <v>NA</v>
      </c>
      <c r="AI287" s="11">
        <v>1</v>
      </c>
      <c r="AJ287" t="s">
        <v>31</v>
      </c>
      <c r="AK287">
        <v>3250</v>
      </c>
      <c r="AL287" t="s">
        <v>238</v>
      </c>
      <c r="AM287" t="s">
        <v>86</v>
      </c>
      <c r="AN287" t="s">
        <v>205</v>
      </c>
      <c r="AO287" t="s">
        <v>789</v>
      </c>
      <c r="AP287">
        <v>4.16</v>
      </c>
      <c r="AQ287" t="s">
        <v>33</v>
      </c>
      <c r="AR287" t="s">
        <v>33</v>
      </c>
      <c r="AS287" s="3">
        <f>LOG(3.8*10^6)</f>
        <v>6.5797835966168101</v>
      </c>
      <c r="AT287" s="3">
        <f>IFERROR(AS287-AU287,"NA")</f>
        <v>3.3597835966168099</v>
      </c>
      <c r="AU287" s="6">
        <v>3.22</v>
      </c>
      <c r="AV287" t="b">
        <v>1</v>
      </c>
      <c r="AW287" t="s">
        <v>123</v>
      </c>
      <c r="AX287" t="s">
        <v>88</v>
      </c>
      <c r="AY287" t="s">
        <v>518</v>
      </c>
      <c r="AZ287" t="s">
        <v>33</v>
      </c>
      <c r="BA287" s="18" t="s">
        <v>579</v>
      </c>
      <c r="BB287" t="b">
        <v>1</v>
      </c>
      <c r="BC287" t="s">
        <v>81</v>
      </c>
      <c r="BD287">
        <v>24</v>
      </c>
      <c r="BE287" t="s">
        <v>80</v>
      </c>
      <c r="BF287" s="11">
        <v>72</v>
      </c>
      <c r="BG287" t="s">
        <v>395</v>
      </c>
      <c r="BH287" t="s">
        <v>31</v>
      </c>
      <c r="BI287" t="s">
        <v>31</v>
      </c>
      <c r="BJ287">
        <f t="shared" si="135"/>
        <v>3.22</v>
      </c>
      <c r="BK287" s="3">
        <f t="shared" si="136"/>
        <v>0.50785587169583091</v>
      </c>
      <c r="BL287">
        <v>2</v>
      </c>
      <c r="BM287" s="3">
        <f>LOG(BO287)</f>
        <v>1.2135425038256742</v>
      </c>
      <c r="BN287" t="s">
        <v>33</v>
      </c>
      <c r="BO287" s="3">
        <f t="shared" si="132"/>
        <v>16.350931677018629</v>
      </c>
      <c r="BP287" t="s">
        <v>33</v>
      </c>
      <c r="BQ287" t="s">
        <v>33</v>
      </c>
      <c r="BR287" t="s">
        <v>33</v>
      </c>
      <c r="BS287" t="s">
        <v>33</v>
      </c>
      <c r="BT287" t="s">
        <v>32</v>
      </c>
      <c r="BU287" t="s">
        <v>84</v>
      </c>
      <c r="BV287">
        <v>2013</v>
      </c>
      <c r="BW287" t="s">
        <v>83</v>
      </c>
      <c r="BX287" t="s">
        <v>78</v>
      </c>
      <c r="BY287" t="s">
        <v>33</v>
      </c>
      <c r="BZ287" t="s">
        <v>33</v>
      </c>
      <c r="CA287" t="str">
        <f t="shared" si="133"/>
        <v>high acid</v>
      </c>
    </row>
    <row r="288" spans="1:79">
      <c r="A288" t="s">
        <v>722</v>
      </c>
      <c r="B288" t="s">
        <v>566</v>
      </c>
      <c r="C288" t="s">
        <v>563</v>
      </c>
      <c r="D288" t="s">
        <v>699</v>
      </c>
      <c r="E288" t="s">
        <v>77</v>
      </c>
      <c r="F288" t="s">
        <v>32</v>
      </c>
      <c r="G288">
        <v>20</v>
      </c>
      <c r="H288">
        <v>64</v>
      </c>
      <c r="I288" t="b">
        <v>1</v>
      </c>
      <c r="J288" t="s">
        <v>33</v>
      </c>
      <c r="K288" t="s">
        <v>33</v>
      </c>
      <c r="L288">
        <v>20</v>
      </c>
      <c r="M288" s="4">
        <v>64</v>
      </c>
      <c r="N288" s="3">
        <f>IFERROR(AF288/((T288*X288/Y288)*O288*AI288),"NA")</f>
        <v>63.657407407407391</v>
      </c>
      <c r="O288">
        <v>5</v>
      </c>
      <c r="P288">
        <v>0.43</v>
      </c>
      <c r="Q288" s="8">
        <f>IFERROR(X288/Y288, "NA")</f>
        <v>0.43200000000000011</v>
      </c>
      <c r="R288" t="s">
        <v>183</v>
      </c>
      <c r="S288" t="s">
        <v>612</v>
      </c>
      <c r="T288" s="11">
        <v>1</v>
      </c>
      <c r="U288">
        <v>4</v>
      </c>
      <c r="V288" t="s">
        <v>33</v>
      </c>
      <c r="W288">
        <f>0.4*3*0.5</f>
        <v>0.60000000000000009</v>
      </c>
      <c r="X288" s="9">
        <f>W288</f>
        <v>0.60000000000000009</v>
      </c>
      <c r="Y288" s="6">
        <f>5000/3600</f>
        <v>1.3888888888888888</v>
      </c>
      <c r="Z288" s="3">
        <f t="shared" si="141"/>
        <v>1.3963636363636365</v>
      </c>
      <c r="AA288" t="s">
        <v>33</v>
      </c>
      <c r="AB288" s="4">
        <f>IFERROR(((X288*M288)/Y288), "NA")</f>
        <v>27.648000000000007</v>
      </c>
      <c r="AC288" s="4">
        <f t="shared" si="134"/>
        <v>27.52</v>
      </c>
      <c r="AD288" s="4">
        <f>AB288*T288*AI288</f>
        <v>27.648000000000007</v>
      </c>
      <c r="AE288" s="3">
        <f t="shared" si="142"/>
        <v>110.59200000000003</v>
      </c>
      <c r="AF288">
        <v>137.5</v>
      </c>
      <c r="AG288" s="4">
        <f>IFERROR((M288*O288*P288), "NA")</f>
        <v>137.6</v>
      </c>
      <c r="AH288" s="4">
        <f>IFERROR((AG288*T288*AI288), "NA")</f>
        <v>137.6</v>
      </c>
      <c r="AI288">
        <v>1</v>
      </c>
      <c r="AJ288" s="11" t="s">
        <v>31</v>
      </c>
      <c r="AK288">
        <v>2000</v>
      </c>
      <c r="AL288" t="s">
        <v>784</v>
      </c>
      <c r="AM288" t="s">
        <v>103</v>
      </c>
      <c r="AN288" t="s">
        <v>130</v>
      </c>
      <c r="AO288" t="s">
        <v>795</v>
      </c>
      <c r="AP288">
        <v>7</v>
      </c>
      <c r="AQ288" t="s">
        <v>33</v>
      </c>
      <c r="AR288" t="s">
        <v>33</v>
      </c>
      <c r="AS288" s="6">
        <f>LOG(AVERAGE(10^8, 10^9))</f>
        <v>8.7403626894942441</v>
      </c>
      <c r="AT288" s="3">
        <f>IFERROR(AS288-AU288,"NA")</f>
        <v>3.3633626894942443</v>
      </c>
      <c r="AU288" s="6">
        <v>5.3769999999999998</v>
      </c>
      <c r="AV288" t="b">
        <v>1</v>
      </c>
      <c r="AW288" t="s">
        <v>123</v>
      </c>
      <c r="AX288" t="s">
        <v>88</v>
      </c>
      <c r="AY288" t="s">
        <v>724</v>
      </c>
      <c r="AZ288" t="s">
        <v>33</v>
      </c>
      <c r="BA288" s="18" t="s">
        <v>579</v>
      </c>
      <c r="BB288" s="3" t="b">
        <v>1</v>
      </c>
      <c r="BC288" t="s">
        <v>81</v>
      </c>
      <c r="BD288">
        <v>24</v>
      </c>
      <c r="BE288" t="s">
        <v>80</v>
      </c>
      <c r="BF288">
        <v>48</v>
      </c>
      <c r="BG288" t="s">
        <v>395</v>
      </c>
      <c r="BH288" t="s">
        <v>31</v>
      </c>
      <c r="BI288" t="s">
        <v>31</v>
      </c>
      <c r="BJ288" s="3">
        <f t="shared" si="135"/>
        <v>5.3769999999999998</v>
      </c>
      <c r="BK288" s="3">
        <f t="shared" si="136"/>
        <v>0.73054003647711918</v>
      </c>
      <c r="BL288">
        <v>2</v>
      </c>
      <c r="BM288" s="3">
        <f>IFERROR(LOG(BO288),"NA")</f>
        <v>1.3131836756496424</v>
      </c>
      <c r="BN288" t="s">
        <v>33</v>
      </c>
      <c r="BO288" s="3">
        <f t="shared" si="132"/>
        <v>20.567602752464204</v>
      </c>
      <c r="BP288" t="s">
        <v>33</v>
      </c>
      <c r="BQ288" t="s">
        <v>33</v>
      </c>
      <c r="BR288" t="s">
        <v>33</v>
      </c>
      <c r="BS288" t="s">
        <v>33</v>
      </c>
      <c r="BT288" t="s">
        <v>32</v>
      </c>
      <c r="BU288" t="s">
        <v>709</v>
      </c>
      <c r="BV288">
        <v>2024</v>
      </c>
      <c r="BW288" t="s">
        <v>710</v>
      </c>
      <c r="BX288" t="s">
        <v>78</v>
      </c>
      <c r="BY288" t="s">
        <v>711</v>
      </c>
      <c r="CA288" t="str">
        <f t="shared" si="133"/>
        <v>low acid</v>
      </c>
    </row>
    <row r="289" spans="1:79">
      <c r="A289" t="s">
        <v>131</v>
      </c>
      <c r="B289" t="s">
        <v>565</v>
      </c>
      <c r="C289" t="s">
        <v>563</v>
      </c>
      <c r="D289" t="s">
        <v>118</v>
      </c>
      <c r="E289" t="s">
        <v>77</v>
      </c>
      <c r="F289" t="s">
        <v>32</v>
      </c>
      <c r="G289">
        <v>23</v>
      </c>
      <c r="H289">
        <v>56</v>
      </c>
      <c r="I289" t="b">
        <v>0</v>
      </c>
      <c r="J289" t="s">
        <v>33</v>
      </c>
      <c r="K289" t="s">
        <v>33</v>
      </c>
      <c r="L289">
        <v>25</v>
      </c>
      <c r="M289" s="4">
        <v>1000</v>
      </c>
      <c r="N289" s="3">
        <f>IFERROR(AF289/((T289*X289/Y289)*O289*AI289),"NA")</f>
        <v>995.95036417586573</v>
      </c>
      <c r="O289">
        <v>3</v>
      </c>
      <c r="P289" t="s">
        <v>33</v>
      </c>
      <c r="Q289" s="8">
        <f t="shared" ref="Q289:Q308" si="147">IFERROR(X289/Z289, "NA")</f>
        <v>1.2E-2</v>
      </c>
      <c r="R289" t="s">
        <v>183</v>
      </c>
      <c r="S289" t="s">
        <v>613</v>
      </c>
      <c r="T289" s="11">
        <v>4</v>
      </c>
      <c r="U289">
        <v>2.9</v>
      </c>
      <c r="V289">
        <v>2.2999999999999998</v>
      </c>
      <c r="W289" t="s">
        <v>33</v>
      </c>
      <c r="X289" s="8">
        <f t="shared" ref="X289:X307" si="148">IFERROR(((PI())*(((V289*10^-1)/2)^2)*(U289*10^-1)), "NA")</f>
        <v>1.204879322468025E-2</v>
      </c>
      <c r="Y289">
        <v>1</v>
      </c>
      <c r="Z289" s="9">
        <f t="shared" si="141"/>
        <v>1.0040661020566874</v>
      </c>
      <c r="AA289" t="s">
        <v>33</v>
      </c>
      <c r="AB289" s="6">
        <f>IFERROR(((X289*M289)/Z289), "NA")</f>
        <v>12.000000000000002</v>
      </c>
      <c r="AC289" t="str">
        <f t="shared" si="134"/>
        <v>NA</v>
      </c>
      <c r="AD289" s="4">
        <f>IFERROR(AB289*T289*AI289, "NA")</f>
        <v>48.000000000000007</v>
      </c>
      <c r="AE289">
        <f t="shared" si="142"/>
        <v>189</v>
      </c>
      <c r="AF289">
        <v>144</v>
      </c>
      <c r="AG289" t="str">
        <f>IFERROR((M289*O289*P289), "NA")</f>
        <v>NA</v>
      </c>
      <c r="AH289" t="str">
        <f>IFERROR((AG289*T289*AI289), "NA")</f>
        <v>NA</v>
      </c>
      <c r="AI289" s="11">
        <v>1</v>
      </c>
      <c r="AJ289" t="s">
        <v>31</v>
      </c>
      <c r="AK289">
        <v>2100</v>
      </c>
      <c r="AL289" t="s">
        <v>114</v>
      </c>
      <c r="AM289" t="s">
        <v>103</v>
      </c>
      <c r="AN289" t="s">
        <v>130</v>
      </c>
      <c r="AO289" t="s">
        <v>795</v>
      </c>
      <c r="AP289">
        <v>7</v>
      </c>
      <c r="AQ289" t="s">
        <v>33</v>
      </c>
      <c r="AR289" t="s">
        <v>33</v>
      </c>
      <c r="AS289" s="3">
        <v>8</v>
      </c>
      <c r="AT289" s="3">
        <f>IFERROR(AS289-AU289,"NA")</f>
        <v>3.3659999999999997</v>
      </c>
      <c r="AU289" s="6">
        <v>4.6340000000000003</v>
      </c>
      <c r="AV289" t="b">
        <v>1</v>
      </c>
      <c r="AW289" t="s">
        <v>123</v>
      </c>
      <c r="AX289" t="s">
        <v>126</v>
      </c>
      <c r="AY289" t="s">
        <v>129</v>
      </c>
      <c r="AZ289" t="s">
        <v>33</v>
      </c>
      <c r="BA289" s="18" t="s">
        <v>579</v>
      </c>
      <c r="BB289" t="b">
        <v>1</v>
      </c>
      <c r="BC289" t="s">
        <v>81</v>
      </c>
      <c r="BD289">
        <v>18</v>
      </c>
      <c r="BE289" t="s">
        <v>80</v>
      </c>
      <c r="BF289" t="s">
        <v>33</v>
      </c>
      <c r="BG289" t="s">
        <v>395</v>
      </c>
      <c r="BH289" t="s">
        <v>31</v>
      </c>
      <c r="BI289" t="s">
        <v>31</v>
      </c>
      <c r="BJ289" s="3">
        <f t="shared" si="135"/>
        <v>4.6340000000000003</v>
      </c>
      <c r="BK289" s="3">
        <f t="shared" si="136"/>
        <v>0.66595602945395682</v>
      </c>
      <c r="BL289">
        <v>2</v>
      </c>
      <c r="BM289" s="3">
        <f>LOG(BO289)</f>
        <v>1.6105057747192872</v>
      </c>
      <c r="BN289" t="s">
        <v>33</v>
      </c>
      <c r="BO289" s="3">
        <f t="shared" si="132"/>
        <v>40.785498489425976</v>
      </c>
      <c r="BP289" t="s">
        <v>33</v>
      </c>
      <c r="BQ289" t="s">
        <v>33</v>
      </c>
      <c r="BR289" t="s">
        <v>33</v>
      </c>
      <c r="BS289" t="s">
        <v>33</v>
      </c>
      <c r="BT289" t="s">
        <v>32</v>
      </c>
      <c r="BU289" t="s">
        <v>116</v>
      </c>
      <c r="BV289">
        <v>2015</v>
      </c>
      <c r="BW289" t="s">
        <v>91</v>
      </c>
      <c r="BX289" t="s">
        <v>78</v>
      </c>
      <c r="BY289" t="s">
        <v>33</v>
      </c>
      <c r="BZ289" t="s">
        <v>33</v>
      </c>
      <c r="CA289" t="str">
        <f t="shared" si="133"/>
        <v>low acid</v>
      </c>
    </row>
    <row r="290" spans="1:79">
      <c r="A290" t="s">
        <v>201</v>
      </c>
      <c r="B290" t="s">
        <v>565</v>
      </c>
      <c r="C290" t="s">
        <v>563</v>
      </c>
      <c r="D290" t="s">
        <v>118</v>
      </c>
      <c r="E290" t="s">
        <v>77</v>
      </c>
      <c r="F290" t="s">
        <v>32</v>
      </c>
      <c r="G290">
        <v>23</v>
      </c>
      <c r="H290">
        <v>56</v>
      </c>
      <c r="I290" t="b">
        <v>0</v>
      </c>
      <c r="J290" t="s">
        <v>33</v>
      </c>
      <c r="K290" t="s">
        <v>33</v>
      </c>
      <c r="L290">
        <v>25</v>
      </c>
      <c r="M290" s="4">
        <v>667</v>
      </c>
      <c r="N290" s="3">
        <f>IFERROR(AF290/((T290*X290/Y290)*O290*AI290),"NA")</f>
        <v>995.95036417586562</v>
      </c>
      <c r="O290">
        <v>3</v>
      </c>
      <c r="P290" t="s">
        <v>33</v>
      </c>
      <c r="Q290" s="8">
        <f t="shared" si="147"/>
        <v>5.9970014992503755E-3</v>
      </c>
      <c r="R290" t="s">
        <v>183</v>
      </c>
      <c r="S290" t="s">
        <v>613</v>
      </c>
      <c r="T290" s="11">
        <v>4</v>
      </c>
      <c r="U290">
        <v>2.9</v>
      </c>
      <c r="V290">
        <v>2.2999999999999998</v>
      </c>
      <c r="W290" t="s">
        <v>33</v>
      </c>
      <c r="X290" s="8">
        <f t="shared" si="148"/>
        <v>1.204879322468025E-2</v>
      </c>
      <c r="Y290">
        <v>3</v>
      </c>
      <c r="Z290" s="3">
        <f t="shared" si="141"/>
        <v>2.0091362702154316</v>
      </c>
      <c r="AA290" t="s">
        <v>33</v>
      </c>
      <c r="AB290" s="6">
        <f>IFERROR(((X290*M290)/Z290), "NA")</f>
        <v>4</v>
      </c>
      <c r="AC290" t="str">
        <f t="shared" si="134"/>
        <v>NA</v>
      </c>
      <c r="AD290" s="4">
        <f>IFERROR(AB290*T290*AI290, "NA")</f>
        <v>16</v>
      </c>
      <c r="AE290" s="3">
        <f t="shared" si="142"/>
        <v>138.00000000000003</v>
      </c>
      <c r="AF290">
        <v>48</v>
      </c>
      <c r="AG290" t="str">
        <f>IFERROR((M290*O290*P290), "NA")</f>
        <v>NA</v>
      </c>
      <c r="AH290" t="str">
        <f>IFERROR((AG290*T290*AI290), "NA")</f>
        <v>NA</v>
      </c>
      <c r="AI290" s="11">
        <v>1</v>
      </c>
      <c r="AJ290" t="s">
        <v>31</v>
      </c>
      <c r="AK290">
        <v>4600</v>
      </c>
      <c r="AL290" t="s">
        <v>204</v>
      </c>
      <c r="AM290" t="s">
        <v>785</v>
      </c>
      <c r="AN290" t="s">
        <v>205</v>
      </c>
      <c r="AO290" t="s">
        <v>791</v>
      </c>
      <c r="AP290">
        <v>4.2</v>
      </c>
      <c r="AQ290" t="s">
        <v>33</v>
      </c>
      <c r="AR290" t="s">
        <v>33</v>
      </c>
      <c r="AS290" s="6">
        <v>7.44</v>
      </c>
      <c r="AT290" s="3">
        <f>IFERROR(AS290-AU290,"NA")</f>
        <v>3.3660000000000005</v>
      </c>
      <c r="AU290" s="6">
        <v>4.0739999999999998</v>
      </c>
      <c r="AV290" t="b">
        <v>1</v>
      </c>
      <c r="AW290" t="s">
        <v>92</v>
      </c>
      <c r="AX290" t="s">
        <v>93</v>
      </c>
      <c r="AY290" t="s">
        <v>94</v>
      </c>
      <c r="AZ290" t="s">
        <v>33</v>
      </c>
      <c r="BA290" s="18" t="s">
        <v>801</v>
      </c>
      <c r="BB290" t="b">
        <v>0</v>
      </c>
      <c r="BC290" t="s">
        <v>81</v>
      </c>
      <c r="BD290">
        <v>18</v>
      </c>
      <c r="BE290" t="s">
        <v>80</v>
      </c>
      <c r="BF290" t="s">
        <v>33</v>
      </c>
      <c r="BG290" t="s">
        <v>568</v>
      </c>
      <c r="BH290" t="s">
        <v>31</v>
      </c>
      <c r="BI290" t="s">
        <v>31</v>
      </c>
      <c r="BJ290" s="3">
        <f t="shared" si="135"/>
        <v>4.0739999999999998</v>
      </c>
      <c r="BK290" s="3">
        <f t="shared" si="136"/>
        <v>0.61002102466414532</v>
      </c>
      <c r="BL290">
        <v>2</v>
      </c>
      <c r="BM290" s="3">
        <f t="shared" ref="BM290:BM319" si="149">IFERROR(LOG(BO290),"NA")</f>
        <v>1.5298580617370914</v>
      </c>
      <c r="BN290" t="s">
        <v>33</v>
      </c>
      <c r="BO290" s="3">
        <f t="shared" si="132"/>
        <v>33.873343151693675</v>
      </c>
      <c r="BP290" t="s">
        <v>33</v>
      </c>
      <c r="BQ290" t="s">
        <v>33</v>
      </c>
      <c r="BR290" t="s">
        <v>33</v>
      </c>
      <c r="BS290" t="s">
        <v>33</v>
      </c>
      <c r="BT290" t="s">
        <v>31</v>
      </c>
      <c r="BU290" t="s">
        <v>187</v>
      </c>
      <c r="BV290">
        <v>2003</v>
      </c>
      <c r="BW290" t="s">
        <v>192</v>
      </c>
      <c r="BX290" t="s">
        <v>78</v>
      </c>
      <c r="BY290" t="s">
        <v>33</v>
      </c>
      <c r="BZ290" t="s">
        <v>33</v>
      </c>
      <c r="CA290" t="str">
        <f t="shared" si="133"/>
        <v>high acid</v>
      </c>
    </row>
    <row r="291" spans="1:79">
      <c r="A291" t="s">
        <v>273</v>
      </c>
      <c r="B291" t="s">
        <v>565</v>
      </c>
      <c r="C291" t="s">
        <v>563</v>
      </c>
      <c r="D291" t="s">
        <v>118</v>
      </c>
      <c r="E291" t="s">
        <v>77</v>
      </c>
      <c r="F291" t="s">
        <v>32</v>
      </c>
      <c r="G291">
        <v>20</v>
      </c>
      <c r="H291">
        <v>55</v>
      </c>
      <c r="I291" t="b">
        <v>0</v>
      </c>
      <c r="J291" t="s">
        <v>33</v>
      </c>
      <c r="K291" t="s">
        <v>33</v>
      </c>
      <c r="L291">
        <v>35</v>
      </c>
      <c r="M291" s="4" t="s">
        <v>33</v>
      </c>
      <c r="N291" s="3">
        <f>IFERROR(AF291/((T291*X291/Y291)*O291*AI291),"NA")</f>
        <v>542.16410609573575</v>
      </c>
      <c r="O291">
        <v>2.5</v>
      </c>
      <c r="P291" t="s">
        <v>33</v>
      </c>
      <c r="Q291" s="8">
        <f t="shared" si="147"/>
        <v>1.2173435913211428E-2</v>
      </c>
      <c r="R291" t="s">
        <v>183</v>
      </c>
      <c r="S291" t="s">
        <v>613</v>
      </c>
      <c r="T291" s="11">
        <v>6</v>
      </c>
      <c r="U291">
        <v>2.93</v>
      </c>
      <c r="V291">
        <v>2.2999999999999998</v>
      </c>
      <c r="W291" t="s">
        <v>33</v>
      </c>
      <c r="X291" s="8">
        <f t="shared" si="148"/>
        <v>1.2173435913211428E-2</v>
      </c>
      <c r="Y291">
        <f>60/60</f>
        <v>1</v>
      </c>
      <c r="Z291" s="3">
        <f>IFERROR(X291*N291*O291*T291*AI291/AF291, "NA")</f>
        <v>1</v>
      </c>
      <c r="AA291" t="s">
        <v>33</v>
      </c>
      <c r="AB291" s="6">
        <f>IFERROR(((X291*N291)/Y291), "NA")</f>
        <v>6.6000000000000005</v>
      </c>
      <c r="AC291" t="str">
        <f t="shared" si="134"/>
        <v>NA</v>
      </c>
      <c r="AD291" s="4">
        <f>AB291*T291*AI291</f>
        <v>39.6</v>
      </c>
      <c r="AE291" s="3">
        <f>IFERROR(((L291^2)*N291*O291*AK291*10^-6*Q291*T291*AI291), "NA")</f>
        <v>352.91025000000008</v>
      </c>
      <c r="AF291">
        <v>99</v>
      </c>
      <c r="AG291" t="str">
        <f>IFERROR((M291*O291*P291), "NA")</f>
        <v>NA</v>
      </c>
      <c r="AH291" t="str">
        <f>IFERROR((AG291*T291*AI291), "NA")</f>
        <v>NA</v>
      </c>
      <c r="AI291">
        <v>1</v>
      </c>
      <c r="AJ291" t="s">
        <v>31</v>
      </c>
      <c r="AK291">
        <v>2910</v>
      </c>
      <c r="AL291" t="s">
        <v>543</v>
      </c>
      <c r="AM291" t="s">
        <v>86</v>
      </c>
      <c r="AN291" t="s">
        <v>205</v>
      </c>
      <c r="AO291" t="s">
        <v>789</v>
      </c>
      <c r="AP291">
        <v>4.05</v>
      </c>
      <c r="AQ291" t="s">
        <v>33</v>
      </c>
      <c r="AR291" t="s">
        <v>33</v>
      </c>
      <c r="AS291">
        <f>LOG(10^6)</f>
        <v>6</v>
      </c>
      <c r="AT291" s="3">
        <f>IFERROR(AS291-AU291,"NA")</f>
        <v>3.367</v>
      </c>
      <c r="AU291" s="6">
        <v>2.633</v>
      </c>
      <c r="AV291" t="b">
        <v>1</v>
      </c>
      <c r="AW291" t="s">
        <v>29</v>
      </c>
      <c r="AX291" t="s">
        <v>30</v>
      </c>
      <c r="AY291" t="s">
        <v>216</v>
      </c>
      <c r="AZ291" t="s">
        <v>33</v>
      </c>
      <c r="BA291" s="18" t="s">
        <v>798</v>
      </c>
      <c r="BB291" t="b">
        <v>0</v>
      </c>
      <c r="BC291" t="s">
        <v>81</v>
      </c>
      <c r="BD291">
        <v>4</v>
      </c>
      <c r="BE291" t="s">
        <v>159</v>
      </c>
      <c r="BF291" s="11">
        <v>24</v>
      </c>
      <c r="BG291" t="s">
        <v>572</v>
      </c>
      <c r="BH291" t="s">
        <v>31</v>
      </c>
      <c r="BI291" t="s">
        <v>31</v>
      </c>
      <c r="BJ291" s="3">
        <f t="shared" si="135"/>
        <v>2.633</v>
      </c>
      <c r="BK291" s="3">
        <f t="shared" si="136"/>
        <v>0.42045085910606816</v>
      </c>
      <c r="BL291">
        <v>2</v>
      </c>
      <c r="BM291" s="3">
        <f t="shared" si="149"/>
        <v>2.1272134131779405</v>
      </c>
      <c r="BN291" t="s">
        <v>33</v>
      </c>
      <c r="BO291" s="3">
        <f t="shared" si="132"/>
        <v>134.03351690087356</v>
      </c>
      <c r="BP291" t="s">
        <v>33</v>
      </c>
      <c r="BQ291" t="s">
        <v>33</v>
      </c>
      <c r="BR291" t="s">
        <v>33</v>
      </c>
      <c r="BS291" t="s">
        <v>33</v>
      </c>
      <c r="BT291" t="s">
        <v>31</v>
      </c>
      <c r="BU291" t="s">
        <v>274</v>
      </c>
      <c r="BV291">
        <v>2006</v>
      </c>
      <c r="BW291" t="s">
        <v>275</v>
      </c>
      <c r="BX291" t="s">
        <v>78</v>
      </c>
      <c r="BY291" t="s">
        <v>277</v>
      </c>
      <c r="BZ291" t="s">
        <v>33</v>
      </c>
      <c r="CA291" t="str">
        <f t="shared" si="133"/>
        <v>high acid</v>
      </c>
    </row>
    <row r="292" spans="1:79">
      <c r="A292" t="s">
        <v>596</v>
      </c>
      <c r="B292" t="s">
        <v>565</v>
      </c>
      <c r="C292" t="s">
        <v>563</v>
      </c>
      <c r="D292" t="s">
        <v>610</v>
      </c>
      <c r="E292" t="s">
        <v>77</v>
      </c>
      <c r="F292" t="s">
        <v>33</v>
      </c>
      <c r="G292">
        <v>20</v>
      </c>
      <c r="H292" t="s">
        <v>33</v>
      </c>
      <c r="I292" t="b">
        <v>0</v>
      </c>
      <c r="J292">
        <v>12000</v>
      </c>
      <c r="K292" t="s">
        <v>33</v>
      </c>
      <c r="L292">
        <v>30</v>
      </c>
      <c r="M292" s="4">
        <v>31.831088090218493</v>
      </c>
      <c r="N292" t="e">
        <f>(#REF!*Y292)/(T292*X292*O292)</f>
        <v>#REF!</v>
      </c>
      <c r="O292">
        <v>5</v>
      </c>
      <c r="P292" t="s">
        <v>33</v>
      </c>
      <c r="Q292" s="1">
        <f t="shared" si="147"/>
        <v>0.4712374254215147</v>
      </c>
      <c r="R292" t="s">
        <v>183</v>
      </c>
      <c r="S292" t="s">
        <v>613</v>
      </c>
      <c r="T292">
        <v>1</v>
      </c>
      <c r="U292">
        <v>4</v>
      </c>
      <c r="V292">
        <v>4</v>
      </c>
      <c r="W292" t="s">
        <v>33</v>
      </c>
      <c r="X292">
        <f t="shared" si="148"/>
        <v>5.02654824574367E-2</v>
      </c>
      <c r="Y292">
        <v>0.106667</v>
      </c>
      <c r="Z292" s="3">
        <f t="shared" ref="Z292:Z308" si="150">IFERROR(X292*M292*O292*T292*AI292/AF292, "NA")</f>
        <v>0.10666699999999998</v>
      </c>
      <c r="AA292" t="s">
        <v>33</v>
      </c>
      <c r="AB292">
        <f>IFERROR(((X292*M292)/Z292), "NA")</f>
        <v>15.000000000000002</v>
      </c>
      <c r="AC292" s="1" t="str">
        <f t="shared" si="134"/>
        <v>NA</v>
      </c>
      <c r="AE292" s="3">
        <f t="shared" ref="AE292:AE309" si="151">IFERROR(((L292^2)*M292*O292*AK292*10^-6*Q292*T292*AI292), "NA")</f>
        <v>168.75</v>
      </c>
      <c r="AF292">
        <v>75</v>
      </c>
      <c r="AG292" s="1" t="str">
        <f>IFERROR((N292*P292*Q292), "NA")</f>
        <v>NA</v>
      </c>
      <c r="AH292" s="1" t="str">
        <f>IFERROR((AG292*U292*AI292), "NA")</f>
        <v>NA</v>
      </c>
      <c r="AI292" s="1">
        <v>1</v>
      </c>
      <c r="AJ292" s="11" t="s">
        <v>31</v>
      </c>
      <c r="AK292">
        <v>2500</v>
      </c>
      <c r="AL292" t="s">
        <v>149</v>
      </c>
      <c r="AM292" t="s">
        <v>86</v>
      </c>
      <c r="AN292" t="s">
        <v>205</v>
      </c>
      <c r="AO292" t="s">
        <v>789</v>
      </c>
      <c r="AP292" t="s">
        <v>33</v>
      </c>
      <c r="AQ292" t="s">
        <v>33</v>
      </c>
      <c r="AR292" t="s">
        <v>33</v>
      </c>
      <c r="AS292">
        <f>AVERAGE(6,8)</f>
        <v>7</v>
      </c>
      <c r="AT292">
        <f>AS292-AU292</f>
        <v>3.38</v>
      </c>
      <c r="AU292" s="6">
        <v>3.62</v>
      </c>
      <c r="AV292" t="b">
        <v>1</v>
      </c>
      <c r="AW292" t="s">
        <v>626</v>
      </c>
      <c r="AX292" t="s">
        <v>627</v>
      </c>
      <c r="AY292" t="s">
        <v>634</v>
      </c>
      <c r="AZ292" t="s">
        <v>33</v>
      </c>
      <c r="BA292" s="18" t="s">
        <v>800</v>
      </c>
      <c r="BB292" s="3" t="b">
        <v>0</v>
      </c>
      <c r="BC292" t="s">
        <v>81</v>
      </c>
      <c r="BD292">
        <v>18</v>
      </c>
      <c r="BE292" t="s">
        <v>80</v>
      </c>
      <c r="BF292">
        <v>24</v>
      </c>
      <c r="BG292" t="s">
        <v>644</v>
      </c>
      <c r="BH292" t="s">
        <v>31</v>
      </c>
      <c r="BI292" t="s">
        <v>31</v>
      </c>
      <c r="BJ292">
        <f t="shared" si="135"/>
        <v>3.62</v>
      </c>
      <c r="BK292" s="3">
        <f t="shared" si="136"/>
        <v>0.55870857053316569</v>
      </c>
      <c r="BL292">
        <v>2</v>
      </c>
      <c r="BM292" s="3">
        <f t="shared" si="149"/>
        <v>1.6685352109698968</v>
      </c>
      <c r="BN292" t="s">
        <v>33</v>
      </c>
      <c r="BO292" s="3">
        <f t="shared" si="132"/>
        <v>46.616022099447513</v>
      </c>
      <c r="BP292" t="s">
        <v>33</v>
      </c>
      <c r="BQ292" t="s">
        <v>33</v>
      </c>
      <c r="BR292" t="s">
        <v>33</v>
      </c>
      <c r="BS292" t="s">
        <v>33</v>
      </c>
      <c r="BT292" t="s">
        <v>32</v>
      </c>
      <c r="BU292" t="s">
        <v>661</v>
      </c>
      <c r="BV292">
        <v>2013</v>
      </c>
      <c r="BW292" t="s">
        <v>662</v>
      </c>
      <c r="BX292" s="13" t="s">
        <v>663</v>
      </c>
      <c r="BY292" s="13" t="s">
        <v>684</v>
      </c>
      <c r="CA292" t="str">
        <f t="shared" si="133"/>
        <v>high acid</v>
      </c>
    </row>
    <row r="293" spans="1:79">
      <c r="A293" t="s">
        <v>580</v>
      </c>
      <c r="B293" t="s">
        <v>565</v>
      </c>
      <c r="C293" t="s">
        <v>563</v>
      </c>
      <c r="D293" t="s">
        <v>118</v>
      </c>
      <c r="E293" t="s">
        <v>77</v>
      </c>
      <c r="F293" t="s">
        <v>32</v>
      </c>
      <c r="G293">
        <v>22</v>
      </c>
      <c r="H293">
        <v>40</v>
      </c>
      <c r="I293" t="b">
        <v>0</v>
      </c>
      <c r="J293">
        <v>10220</v>
      </c>
      <c r="K293">
        <v>25.36</v>
      </c>
      <c r="L293">
        <v>35</v>
      </c>
      <c r="M293" s="4">
        <v>175</v>
      </c>
      <c r="N293" t="e">
        <f>(#REF!*Y293)/(T293*X293*O293)</f>
        <v>#REF!</v>
      </c>
      <c r="O293">
        <v>4</v>
      </c>
      <c r="P293">
        <f>AVERAGE(0.0066, 0.0091)</f>
        <v>7.8499999999999993E-3</v>
      </c>
      <c r="Q293" s="1">
        <f t="shared" si="147"/>
        <v>0.35714285714285715</v>
      </c>
      <c r="R293" t="s">
        <v>183</v>
      </c>
      <c r="S293" t="s">
        <v>613</v>
      </c>
      <c r="T293">
        <v>8</v>
      </c>
      <c r="U293">
        <v>2.92</v>
      </c>
      <c r="V293">
        <v>2.2999999999999998</v>
      </c>
      <c r="W293">
        <v>1.21E-2</v>
      </c>
      <c r="X293">
        <f t="shared" si="148"/>
        <v>1.2131888350367701E-2</v>
      </c>
      <c r="Y293">
        <v>1.5</v>
      </c>
      <c r="Z293" s="3">
        <f t="shared" si="150"/>
        <v>3.3969287381029563E-2</v>
      </c>
      <c r="AA293" t="s">
        <v>33</v>
      </c>
      <c r="AB293">
        <f>IFERROR(((X293*M293)/Z293), "NA")</f>
        <v>62.499999999999993</v>
      </c>
      <c r="AC293" s="1">
        <f t="shared" si="134"/>
        <v>1.3737499999999998</v>
      </c>
      <c r="AE293" s="3">
        <f t="shared" si="151"/>
        <v>5341</v>
      </c>
      <c r="AF293">
        <v>2000</v>
      </c>
      <c r="AG293" s="1" t="str">
        <f>IFERROR((N293*P293*Q293), "NA")</f>
        <v>NA</v>
      </c>
      <c r="AH293" s="1" t="str">
        <f>IFERROR((AG293*U293*AI293), "NA")</f>
        <v>NA</v>
      </c>
      <c r="AI293" s="1">
        <v>1</v>
      </c>
      <c r="AJ293" s="11" t="s">
        <v>31</v>
      </c>
      <c r="AK293">
        <v>2180</v>
      </c>
      <c r="AL293" t="s">
        <v>149</v>
      </c>
      <c r="AM293" t="s">
        <v>86</v>
      </c>
      <c r="AN293" t="s">
        <v>205</v>
      </c>
      <c r="AO293" t="s">
        <v>789</v>
      </c>
      <c r="AP293">
        <v>4.46</v>
      </c>
      <c r="AQ293" t="s">
        <v>33</v>
      </c>
      <c r="AR293" t="s">
        <v>33</v>
      </c>
      <c r="AS293">
        <v>7.5</v>
      </c>
      <c r="AT293">
        <f>AS293-AU293</f>
        <v>3.3899999999999997</v>
      </c>
      <c r="AU293" s="6">
        <v>4.1100000000000003</v>
      </c>
      <c r="AV293" t="b">
        <v>1</v>
      </c>
      <c r="AW293" t="s">
        <v>617</v>
      </c>
      <c r="AX293" t="s">
        <v>33</v>
      </c>
      <c r="AY293" t="s">
        <v>33</v>
      </c>
      <c r="AZ293" t="s">
        <v>619</v>
      </c>
      <c r="BA293" s="18" t="s">
        <v>802</v>
      </c>
      <c r="BB293" s="3" t="b">
        <v>0</v>
      </c>
      <c r="BC293" t="s">
        <v>81</v>
      </c>
      <c r="BD293">
        <v>15</v>
      </c>
      <c r="BE293" t="s">
        <v>80</v>
      </c>
      <c r="BF293">
        <v>24</v>
      </c>
      <c r="BG293" t="s">
        <v>697</v>
      </c>
      <c r="BH293" t="s">
        <v>32</v>
      </c>
      <c r="BI293" t="s">
        <v>31</v>
      </c>
      <c r="BJ293">
        <f t="shared" si="135"/>
        <v>4.1100000000000003</v>
      </c>
      <c r="BK293" s="3">
        <f t="shared" si="136"/>
        <v>0.61384182187606928</v>
      </c>
      <c r="BL293">
        <v>2</v>
      </c>
      <c r="BM293" s="3">
        <f t="shared" si="149"/>
        <v>3.1137807560930679</v>
      </c>
      <c r="BN293" t="s">
        <v>33</v>
      </c>
      <c r="BO293" s="3">
        <f t="shared" si="132"/>
        <v>1299.5133819951336</v>
      </c>
      <c r="BP293" t="s">
        <v>33</v>
      </c>
      <c r="BQ293" t="s">
        <v>33</v>
      </c>
      <c r="BR293" t="s">
        <v>33</v>
      </c>
      <c r="BS293" t="s">
        <v>33</v>
      </c>
      <c r="BT293" t="s">
        <v>31</v>
      </c>
      <c r="BU293" t="s">
        <v>219</v>
      </c>
      <c r="BV293" s="14">
        <v>2008</v>
      </c>
      <c r="BW293" t="s">
        <v>257</v>
      </c>
      <c r="BX293" t="s">
        <v>78</v>
      </c>
      <c r="BY293" s="13" t="s">
        <v>670</v>
      </c>
      <c r="CA293" t="str">
        <f t="shared" si="133"/>
        <v>high acid</v>
      </c>
    </row>
    <row r="294" spans="1:79">
      <c r="A294" t="s">
        <v>581</v>
      </c>
      <c r="B294" t="s">
        <v>565</v>
      </c>
      <c r="C294" t="s">
        <v>563</v>
      </c>
      <c r="D294" t="s">
        <v>118</v>
      </c>
      <c r="E294" t="s">
        <v>77</v>
      </c>
      <c r="F294" t="s">
        <v>32</v>
      </c>
      <c r="G294">
        <v>5</v>
      </c>
      <c r="H294">
        <v>39.1</v>
      </c>
      <c r="I294" t="b">
        <v>0</v>
      </c>
      <c r="J294" t="s">
        <v>33</v>
      </c>
      <c r="K294" t="s">
        <v>33</v>
      </c>
      <c r="L294">
        <v>35</v>
      </c>
      <c r="M294" s="4">
        <v>250</v>
      </c>
      <c r="N294" t="e">
        <f>(#REF!*Y294)/(T294*X294*O294)</f>
        <v>#REF!</v>
      </c>
      <c r="O294">
        <v>4</v>
      </c>
      <c r="P294" t="s">
        <v>33</v>
      </c>
      <c r="Q294" s="1">
        <f t="shared" si="147"/>
        <v>0.25</v>
      </c>
      <c r="R294" t="s">
        <v>183</v>
      </c>
      <c r="S294" t="s">
        <v>613</v>
      </c>
      <c r="T294">
        <v>8</v>
      </c>
      <c r="U294">
        <v>2.92</v>
      </c>
      <c r="V294">
        <v>2.2999999999999998</v>
      </c>
      <c r="W294">
        <v>1.21E-2</v>
      </c>
      <c r="X294">
        <f t="shared" si="148"/>
        <v>1.2131888350367701E-2</v>
      </c>
      <c r="Y294">
        <v>1.6666700000000001</v>
      </c>
      <c r="Z294" s="3">
        <f t="shared" si="150"/>
        <v>4.8527553401470802E-2</v>
      </c>
      <c r="AA294" t="s">
        <v>33</v>
      </c>
      <c r="AB294">
        <f>IFERROR(((X294*M294)/Z294), "NA")</f>
        <v>62.5</v>
      </c>
      <c r="AC294" s="1" t="str">
        <f t="shared" si="134"/>
        <v>NA</v>
      </c>
      <c r="AE294" s="3">
        <f t="shared" si="151"/>
        <v>12813.5</v>
      </c>
      <c r="AF294">
        <v>2000</v>
      </c>
      <c r="AG294" s="1" t="str">
        <f>IFERROR((N294*P294*Q294), "NA")</f>
        <v>NA</v>
      </c>
      <c r="AH294" s="1" t="str">
        <f>IFERROR((AG294*U294*AI294), "NA")</f>
        <v>NA</v>
      </c>
      <c r="AI294" s="1">
        <v>1</v>
      </c>
      <c r="AJ294" s="11" t="s">
        <v>31</v>
      </c>
      <c r="AK294">
        <v>5230</v>
      </c>
      <c r="AL294" t="s">
        <v>542</v>
      </c>
      <c r="AM294" t="s">
        <v>86</v>
      </c>
      <c r="AN294" t="s">
        <v>186</v>
      </c>
      <c r="AO294" t="s">
        <v>794</v>
      </c>
      <c r="AP294">
        <v>5.82</v>
      </c>
      <c r="AQ294" t="s">
        <v>33</v>
      </c>
      <c r="AR294" t="s">
        <v>33</v>
      </c>
      <c r="AS294">
        <v>7.5</v>
      </c>
      <c r="AT294">
        <f>AS294-AU294</f>
        <v>3.3899999999999997</v>
      </c>
      <c r="AU294" s="6">
        <v>4.1100000000000003</v>
      </c>
      <c r="AV294" t="b">
        <v>1</v>
      </c>
      <c r="AW294" t="s">
        <v>617</v>
      </c>
      <c r="AX294" t="s">
        <v>618</v>
      </c>
      <c r="AY294" t="s">
        <v>33</v>
      </c>
      <c r="AZ294" t="s">
        <v>619</v>
      </c>
      <c r="BA294" s="18" t="s">
        <v>802</v>
      </c>
      <c r="BB294" s="3" t="b">
        <v>0</v>
      </c>
      <c r="BC294" t="s">
        <v>81</v>
      </c>
      <c r="BD294">
        <v>15</v>
      </c>
      <c r="BE294" t="s">
        <v>80</v>
      </c>
      <c r="BF294">
        <v>15</v>
      </c>
      <c r="BG294" t="s">
        <v>697</v>
      </c>
      <c r="BH294" t="s">
        <v>32</v>
      </c>
      <c r="BI294" t="s">
        <v>31</v>
      </c>
      <c r="BJ294">
        <f t="shared" si="135"/>
        <v>4.1100000000000003</v>
      </c>
      <c r="BK294" s="3">
        <f t="shared" si="136"/>
        <v>0.61384182187606928</v>
      </c>
      <c r="BL294">
        <v>2</v>
      </c>
      <c r="BM294" s="3">
        <f t="shared" si="149"/>
        <v>3.4938259513557375</v>
      </c>
      <c r="BN294" t="s">
        <v>33</v>
      </c>
      <c r="BO294" s="3">
        <f t="shared" si="132"/>
        <v>3117.6399026763988</v>
      </c>
      <c r="BP294" t="s">
        <v>33</v>
      </c>
      <c r="BQ294" t="s">
        <v>33</v>
      </c>
      <c r="BR294" t="s">
        <v>33</v>
      </c>
      <c r="BS294" t="s">
        <v>33</v>
      </c>
      <c r="BT294" t="s">
        <v>31</v>
      </c>
      <c r="BU294" t="s">
        <v>219</v>
      </c>
      <c r="BV294" s="14">
        <v>2007</v>
      </c>
      <c r="BW294" s="2" t="s">
        <v>648</v>
      </c>
      <c r="BX294" t="s">
        <v>78</v>
      </c>
      <c r="BY294" s="13" t="s">
        <v>671</v>
      </c>
      <c r="CA294" t="str">
        <f t="shared" si="133"/>
        <v>low acid</v>
      </c>
    </row>
    <row r="295" spans="1:79">
      <c r="A295" t="s">
        <v>593</v>
      </c>
      <c r="B295" t="s">
        <v>565</v>
      </c>
      <c r="C295" t="s">
        <v>563</v>
      </c>
      <c r="D295" t="s">
        <v>118</v>
      </c>
      <c r="E295" t="s">
        <v>77</v>
      </c>
      <c r="F295" t="s">
        <v>32</v>
      </c>
      <c r="G295" t="s">
        <v>33</v>
      </c>
      <c r="H295">
        <v>35</v>
      </c>
      <c r="I295" t="b">
        <v>0</v>
      </c>
      <c r="J295" t="s">
        <v>33</v>
      </c>
      <c r="K295" t="s">
        <v>33</v>
      </c>
      <c r="L295">
        <v>35</v>
      </c>
      <c r="M295" s="4">
        <v>400</v>
      </c>
      <c r="N295" t="e">
        <f>(#REF!*Y295)/(T295*X295*O295)</f>
        <v>#REF!</v>
      </c>
      <c r="O295">
        <v>2</v>
      </c>
      <c r="P295" t="s">
        <v>33</v>
      </c>
      <c r="Q295" s="1">
        <f t="shared" si="147"/>
        <v>0.11395833333333333</v>
      </c>
      <c r="R295" t="s">
        <v>183</v>
      </c>
      <c r="S295" t="s">
        <v>613</v>
      </c>
      <c r="T295">
        <v>6</v>
      </c>
      <c r="U295">
        <v>2.92</v>
      </c>
      <c r="V295">
        <v>2.2999999999999998</v>
      </c>
      <c r="W295" t="s">
        <v>33</v>
      </c>
      <c r="X295">
        <f t="shared" si="148"/>
        <v>1.2131888350367701E-2</v>
      </c>
      <c r="Y295">
        <v>1</v>
      </c>
      <c r="Z295" s="3">
        <f t="shared" si="150"/>
        <v>0.10645898369609683</v>
      </c>
      <c r="AA295" t="s">
        <v>33</v>
      </c>
      <c r="AB295">
        <f>IFERROR(((X295*M295)/Z295), "NA")</f>
        <v>45.583333333333336</v>
      </c>
      <c r="AC295" s="1" t="str">
        <f t="shared" si="134"/>
        <v>NA</v>
      </c>
      <c r="AE295" s="3">
        <f t="shared" si="151"/>
        <v>1407.1574999999998</v>
      </c>
      <c r="AF295">
        <v>547</v>
      </c>
      <c r="AG295" s="1" t="str">
        <f>IFERROR((N295*P295*Q295), "NA")</f>
        <v>NA</v>
      </c>
      <c r="AH295" s="1" t="str">
        <f>IFERROR((AG295*U295*AI295), "NA")</f>
        <v>NA</v>
      </c>
      <c r="AI295">
        <v>1</v>
      </c>
      <c r="AJ295" s="11" t="s">
        <v>31</v>
      </c>
      <c r="AK295">
        <v>2100</v>
      </c>
      <c r="AL295" t="s">
        <v>693</v>
      </c>
      <c r="AM295" t="s">
        <v>530</v>
      </c>
      <c r="AN295" t="s">
        <v>186</v>
      </c>
      <c r="AO295" t="s">
        <v>796</v>
      </c>
      <c r="AP295">
        <v>7.21</v>
      </c>
      <c r="AQ295" t="s">
        <v>33</v>
      </c>
      <c r="AR295" t="s">
        <v>33</v>
      </c>
      <c r="AS295">
        <v>6.5</v>
      </c>
      <c r="AT295">
        <f>AS295-AU295</f>
        <v>3.39</v>
      </c>
      <c r="AU295" s="6">
        <v>3.11</v>
      </c>
      <c r="AV295" t="b">
        <v>1</v>
      </c>
      <c r="AW295" t="s">
        <v>626</v>
      </c>
      <c r="AX295" t="s">
        <v>627</v>
      </c>
      <c r="AY295" t="s">
        <v>625</v>
      </c>
      <c r="AZ295" t="s">
        <v>33</v>
      </c>
      <c r="BA295" s="18" t="s">
        <v>800</v>
      </c>
      <c r="BB295" s="3" t="b">
        <v>0</v>
      </c>
      <c r="BC295" t="s">
        <v>81</v>
      </c>
      <c r="BD295">
        <f>AVERAGE(14, 16)</f>
        <v>15</v>
      </c>
      <c r="BE295" t="s">
        <v>80</v>
      </c>
      <c r="BF295">
        <v>48</v>
      </c>
      <c r="BG295" t="s">
        <v>568</v>
      </c>
      <c r="BH295" t="s">
        <v>31</v>
      </c>
      <c r="BI295" t="s">
        <v>31</v>
      </c>
      <c r="BJ295">
        <f t="shared" si="135"/>
        <v>3.11</v>
      </c>
      <c r="BK295" s="3">
        <f t="shared" si="136"/>
        <v>0.4927603890268375</v>
      </c>
      <c r="BL295">
        <v>2</v>
      </c>
      <c r="BM295" s="3">
        <f t="shared" si="149"/>
        <v>2.6555823207410638</v>
      </c>
      <c r="BN295" t="s">
        <v>33</v>
      </c>
      <c r="BO295" s="3">
        <f t="shared" si="132"/>
        <v>452.46221864951764</v>
      </c>
      <c r="BP295" t="s">
        <v>33</v>
      </c>
      <c r="BQ295" t="s">
        <v>33</v>
      </c>
      <c r="BR295" t="s">
        <v>33</v>
      </c>
      <c r="BS295" t="s">
        <v>33</v>
      </c>
      <c r="BT295" t="s">
        <v>31</v>
      </c>
      <c r="BU295" s="15" t="s">
        <v>217</v>
      </c>
      <c r="BV295">
        <v>2012</v>
      </c>
      <c r="BW295" t="s">
        <v>660</v>
      </c>
      <c r="BX295" t="s">
        <v>78</v>
      </c>
      <c r="BY295" s="13" t="s">
        <v>681</v>
      </c>
      <c r="CA295" t="str">
        <f t="shared" si="133"/>
        <v>low acid</v>
      </c>
    </row>
    <row r="296" spans="1:79">
      <c r="A296" t="s">
        <v>593</v>
      </c>
      <c r="B296" t="s">
        <v>565</v>
      </c>
      <c r="C296" t="s">
        <v>563</v>
      </c>
      <c r="D296" t="s">
        <v>118</v>
      </c>
      <c r="E296" t="s">
        <v>77</v>
      </c>
      <c r="F296" t="s">
        <v>32</v>
      </c>
      <c r="G296" t="s">
        <v>33</v>
      </c>
      <c r="H296">
        <v>35</v>
      </c>
      <c r="I296" t="b">
        <v>0</v>
      </c>
      <c r="J296" t="s">
        <v>33</v>
      </c>
      <c r="K296" t="s">
        <v>33</v>
      </c>
      <c r="L296">
        <v>40</v>
      </c>
      <c r="M296" s="4">
        <v>400</v>
      </c>
      <c r="N296" t="e">
        <f>(#REF!*Y296)/(T296*X296*O296)</f>
        <v>#REF!</v>
      </c>
      <c r="O296">
        <v>2</v>
      </c>
      <c r="P296" t="s">
        <v>33</v>
      </c>
      <c r="Q296" s="1">
        <f t="shared" si="147"/>
        <v>0.09</v>
      </c>
      <c r="R296" t="s">
        <v>183</v>
      </c>
      <c r="S296" t="s">
        <v>613</v>
      </c>
      <c r="T296">
        <v>6</v>
      </c>
      <c r="U296">
        <v>2.92</v>
      </c>
      <c r="V296">
        <v>2.2999999999999998</v>
      </c>
      <c r="W296" t="s">
        <v>33</v>
      </c>
      <c r="X296">
        <f t="shared" si="148"/>
        <v>1.2131888350367701E-2</v>
      </c>
      <c r="Y296">
        <v>1</v>
      </c>
      <c r="Z296" s="3">
        <f t="shared" si="150"/>
        <v>0.13479875944853001</v>
      </c>
      <c r="AA296" t="s">
        <v>33</v>
      </c>
      <c r="AB296">
        <f>IFERROR(((X296*M296)/Z296), "NA")</f>
        <v>36</v>
      </c>
      <c r="AC296" s="1" t="str">
        <f t="shared" si="134"/>
        <v>NA</v>
      </c>
      <c r="AE296" s="3">
        <f t="shared" si="151"/>
        <v>1520.6399999999999</v>
      </c>
      <c r="AF296">
        <v>432</v>
      </c>
      <c r="AG296" s="1" t="str">
        <f>IFERROR((N296*P296*Q296), "NA")</f>
        <v>NA</v>
      </c>
      <c r="AH296" s="1" t="str">
        <f>IFERROR((AG296*U296*AI296), "NA")</f>
        <v>NA</v>
      </c>
      <c r="AI296">
        <v>1</v>
      </c>
      <c r="AJ296" s="11" t="s">
        <v>31</v>
      </c>
      <c r="AK296">
        <v>2200</v>
      </c>
      <c r="AL296" t="s">
        <v>693</v>
      </c>
      <c r="AM296" t="s">
        <v>530</v>
      </c>
      <c r="AN296" t="s">
        <v>186</v>
      </c>
      <c r="AO296" t="s">
        <v>796</v>
      </c>
      <c r="AP296">
        <v>7.09</v>
      </c>
      <c r="AQ296" t="s">
        <v>33</v>
      </c>
      <c r="AR296" t="s">
        <v>33</v>
      </c>
      <c r="AS296">
        <v>6.5</v>
      </c>
      <c r="AT296">
        <f>AS296-AU296</f>
        <v>3.39</v>
      </c>
      <c r="AU296" s="6">
        <v>3.11</v>
      </c>
      <c r="AV296" t="b">
        <v>1</v>
      </c>
      <c r="AW296" t="s">
        <v>626</v>
      </c>
      <c r="AX296" t="s">
        <v>627</v>
      </c>
      <c r="AY296" t="s">
        <v>625</v>
      </c>
      <c r="AZ296" t="s">
        <v>33</v>
      </c>
      <c r="BA296" s="18" t="s">
        <v>800</v>
      </c>
      <c r="BB296" s="3" t="b">
        <v>0</v>
      </c>
      <c r="BC296" t="s">
        <v>81</v>
      </c>
      <c r="BD296">
        <f>AVERAGE(14, 16)</f>
        <v>15</v>
      </c>
      <c r="BE296" t="s">
        <v>80</v>
      </c>
      <c r="BF296">
        <v>48</v>
      </c>
      <c r="BG296" t="s">
        <v>568</v>
      </c>
      <c r="BH296" t="s">
        <v>31</v>
      </c>
      <c r="BI296" t="s">
        <v>31</v>
      </c>
      <c r="BJ296">
        <f t="shared" si="135"/>
        <v>3.11</v>
      </c>
      <c r="BK296" s="3">
        <f t="shared" si="136"/>
        <v>0.4927603890268375</v>
      </c>
      <c r="BL296">
        <v>2</v>
      </c>
      <c r="BM296" s="3">
        <f t="shared" si="149"/>
        <v>2.6892660212662056</v>
      </c>
      <c r="BN296" t="s">
        <v>33</v>
      </c>
      <c r="BO296" s="3">
        <f t="shared" si="132"/>
        <v>488.95176848874598</v>
      </c>
      <c r="BP296" t="s">
        <v>33</v>
      </c>
      <c r="BQ296" t="s">
        <v>33</v>
      </c>
      <c r="BR296" t="s">
        <v>33</v>
      </c>
      <c r="BS296" t="s">
        <v>33</v>
      </c>
      <c r="BT296" t="s">
        <v>31</v>
      </c>
      <c r="BU296" s="15" t="s">
        <v>217</v>
      </c>
      <c r="BV296">
        <v>2012</v>
      </c>
      <c r="BW296" t="s">
        <v>660</v>
      </c>
      <c r="BX296" t="s">
        <v>78</v>
      </c>
      <c r="BY296" s="13" t="s">
        <v>681</v>
      </c>
      <c r="CA296" t="str">
        <f t="shared" si="133"/>
        <v>low acid</v>
      </c>
    </row>
    <row r="297" spans="1:79">
      <c r="A297" t="s">
        <v>501</v>
      </c>
      <c r="B297" t="s">
        <v>565</v>
      </c>
      <c r="C297" t="s">
        <v>563</v>
      </c>
      <c r="D297" t="s">
        <v>118</v>
      </c>
      <c r="E297" t="s">
        <v>77</v>
      </c>
      <c r="F297" t="s">
        <v>32</v>
      </c>
      <c r="G297">
        <v>4</v>
      </c>
      <c r="H297">
        <v>40</v>
      </c>
      <c r="I297" t="b">
        <v>0</v>
      </c>
      <c r="J297" t="s">
        <v>33</v>
      </c>
      <c r="K297" t="s">
        <v>33</v>
      </c>
      <c r="L297">
        <v>35</v>
      </c>
      <c r="M297" s="4">
        <v>200</v>
      </c>
      <c r="N297" s="3" t="str">
        <f t="shared" ref="N297:N304" si="152">IFERROR(AF297/((T297*X297/Y297)*O297*AI297),"NA")</f>
        <v>NA</v>
      </c>
      <c r="O297">
        <v>4</v>
      </c>
      <c r="P297" s="9" t="s">
        <v>33</v>
      </c>
      <c r="Q297" s="8">
        <f t="shared" si="147"/>
        <v>0.15625</v>
      </c>
      <c r="R297" t="s">
        <v>183</v>
      </c>
      <c r="S297" t="s">
        <v>613</v>
      </c>
      <c r="T297" s="11">
        <v>8</v>
      </c>
      <c r="U297">
        <v>2.92</v>
      </c>
      <c r="V297">
        <v>2.2999999999999998</v>
      </c>
      <c r="W297">
        <v>1.21E-2</v>
      </c>
      <c r="X297" s="9">
        <f t="shared" si="148"/>
        <v>1.2131888350367701E-2</v>
      </c>
      <c r="Y297" s="6" t="s">
        <v>33</v>
      </c>
      <c r="Z297" s="3">
        <f t="shared" si="150"/>
        <v>7.7644085442353281E-2</v>
      </c>
      <c r="AA297" t="s">
        <v>33</v>
      </c>
      <c r="AB297" s="4" t="str">
        <f>IFERROR(((X297*M297)/Y297), "NA")</f>
        <v>NA</v>
      </c>
      <c r="AC297" s="4" t="str">
        <f t="shared" si="134"/>
        <v>NA</v>
      </c>
      <c r="AD297" s="4" t="e">
        <f t="shared" ref="AD297:AD303" si="153">AB297*T297*AI297</f>
        <v>#VALUE!</v>
      </c>
      <c r="AE297" s="3">
        <f t="shared" si="151"/>
        <v>4606</v>
      </c>
      <c r="AF297">
        <v>1000</v>
      </c>
      <c r="AG297" s="4" t="str">
        <f t="shared" ref="AG297:AG304" si="154">IFERROR((M297*O297*P297), "NA")</f>
        <v>NA</v>
      </c>
      <c r="AH297" s="4" t="str">
        <f t="shared" ref="AH297:AH304" si="155">IFERROR((AG297*T297*AI297), "NA")</f>
        <v>NA</v>
      </c>
      <c r="AI297">
        <v>1</v>
      </c>
      <c r="AJ297" t="s">
        <v>31</v>
      </c>
      <c r="AK297">
        <v>3760</v>
      </c>
      <c r="AL297" t="s">
        <v>553</v>
      </c>
      <c r="AM297" t="s">
        <v>86</v>
      </c>
      <c r="AN297" t="s">
        <v>205</v>
      </c>
      <c r="AO297" t="s">
        <v>789</v>
      </c>
      <c r="AP297">
        <v>3.31</v>
      </c>
      <c r="AQ297" t="s">
        <v>33</v>
      </c>
      <c r="AR297" t="s">
        <v>33</v>
      </c>
      <c r="AS297" s="6">
        <f>LOG((10^7+10^8)/2)</f>
        <v>7.7403626894942441</v>
      </c>
      <c r="AT297" s="3">
        <f t="shared" ref="AT297:AT304" si="156">IFERROR(AS297-AU297,"NA")</f>
        <v>3.3933626894942437</v>
      </c>
      <c r="AU297" s="6">
        <v>4.3470000000000004</v>
      </c>
      <c r="AV297" t="b">
        <v>1</v>
      </c>
      <c r="AW297" t="s">
        <v>92</v>
      </c>
      <c r="AX297" t="s">
        <v>119</v>
      </c>
      <c r="AY297" t="s">
        <v>425</v>
      </c>
      <c r="AZ297" t="s">
        <v>33</v>
      </c>
      <c r="BA297" s="18" t="s">
        <v>801</v>
      </c>
      <c r="BB297" t="b">
        <v>0</v>
      </c>
      <c r="BC297" t="s">
        <v>81</v>
      </c>
      <c r="BD297">
        <v>15</v>
      </c>
      <c r="BE297" t="s">
        <v>80</v>
      </c>
      <c r="BF297" s="11">
        <v>36</v>
      </c>
      <c r="BG297" t="s">
        <v>573</v>
      </c>
      <c r="BH297" t="s">
        <v>31</v>
      </c>
      <c r="BI297" t="s">
        <v>31</v>
      </c>
      <c r="BJ297" s="3">
        <f t="shared" si="135"/>
        <v>4.3470000000000004</v>
      </c>
      <c r="BK297" s="3">
        <f t="shared" si="136"/>
        <v>0.63818964019083702</v>
      </c>
      <c r="BL297">
        <v>2</v>
      </c>
      <c r="BM297" s="3">
        <f t="shared" si="149"/>
        <v>3.0251342934373753</v>
      </c>
      <c r="BN297" t="s">
        <v>33</v>
      </c>
      <c r="BO297" s="3">
        <f t="shared" si="132"/>
        <v>1059.5813204508856</v>
      </c>
      <c r="BP297" t="s">
        <v>33</v>
      </c>
      <c r="BQ297" t="s">
        <v>33</v>
      </c>
      <c r="BR297" t="s">
        <v>33</v>
      </c>
      <c r="BS297" t="s">
        <v>33</v>
      </c>
      <c r="BT297" t="s">
        <v>31</v>
      </c>
      <c r="BU297" t="s">
        <v>503</v>
      </c>
      <c r="BV297">
        <v>2011</v>
      </c>
      <c r="BW297" t="s">
        <v>504</v>
      </c>
      <c r="BX297" t="s">
        <v>78</v>
      </c>
      <c r="BY297" t="s">
        <v>33</v>
      </c>
      <c r="BZ297" t="s">
        <v>33</v>
      </c>
      <c r="CA297" t="str">
        <f t="shared" si="133"/>
        <v>high acid</v>
      </c>
    </row>
    <row r="298" spans="1:79">
      <c r="A298" t="s">
        <v>391</v>
      </c>
      <c r="B298" t="s">
        <v>565</v>
      </c>
      <c r="C298" t="s">
        <v>563</v>
      </c>
      <c r="D298" t="s">
        <v>118</v>
      </c>
      <c r="E298" t="s">
        <v>77</v>
      </c>
      <c r="F298" t="s">
        <v>32</v>
      </c>
      <c r="G298">
        <v>25</v>
      </c>
      <c r="H298">
        <v>36</v>
      </c>
      <c r="I298" t="b">
        <v>0</v>
      </c>
      <c r="J298" t="s">
        <v>33</v>
      </c>
      <c r="K298" t="s">
        <v>33</v>
      </c>
      <c r="L298">
        <v>30</v>
      </c>
      <c r="M298" s="4">
        <v>200</v>
      </c>
      <c r="N298" s="3" t="str">
        <f t="shared" si="152"/>
        <v>NA</v>
      </c>
      <c r="O298">
        <v>4</v>
      </c>
      <c r="P298" t="s">
        <v>33</v>
      </c>
      <c r="Q298" s="8">
        <f t="shared" si="147"/>
        <v>0.15625</v>
      </c>
      <c r="R298" t="s">
        <v>183</v>
      </c>
      <c r="S298" t="s">
        <v>613</v>
      </c>
      <c r="T298" s="11">
        <v>8</v>
      </c>
      <c r="U298">
        <v>2.9</v>
      </c>
      <c r="V298">
        <v>2.2999999999999998</v>
      </c>
      <c r="W298">
        <v>1.2E-2</v>
      </c>
      <c r="X298" s="8">
        <f t="shared" si="148"/>
        <v>1.204879322468025E-2</v>
      </c>
      <c r="Y298" t="s">
        <v>33</v>
      </c>
      <c r="Z298" s="3">
        <f t="shared" si="150"/>
        <v>7.71122766379536E-2</v>
      </c>
      <c r="AA298" t="s">
        <v>33</v>
      </c>
      <c r="AB298" s="6">
        <f>IFERROR(((X298*M298)/Z298), "NA")</f>
        <v>31.25</v>
      </c>
      <c r="AC298" t="str">
        <f t="shared" si="134"/>
        <v>NA</v>
      </c>
      <c r="AD298" s="4">
        <f t="shared" si="153"/>
        <v>250</v>
      </c>
      <c r="AE298" s="3">
        <f t="shared" si="151"/>
        <v>3815.9999999999995</v>
      </c>
      <c r="AF298">
        <v>1000</v>
      </c>
      <c r="AG298" t="str">
        <f t="shared" si="154"/>
        <v>NA</v>
      </c>
      <c r="AH298" t="str">
        <f t="shared" si="155"/>
        <v>NA</v>
      </c>
      <c r="AI298">
        <v>1</v>
      </c>
      <c r="AJ298" t="s">
        <v>31</v>
      </c>
      <c r="AK298">
        <v>4240</v>
      </c>
      <c r="AL298" t="s">
        <v>238</v>
      </c>
      <c r="AM298" t="s">
        <v>86</v>
      </c>
      <c r="AN298" t="s">
        <v>205</v>
      </c>
      <c r="AO298" t="s">
        <v>789</v>
      </c>
      <c r="AP298">
        <v>3.56</v>
      </c>
      <c r="AQ298" t="s">
        <v>33</v>
      </c>
      <c r="AR298" t="s">
        <v>33</v>
      </c>
      <c r="AS298" s="6">
        <f>LOG(10^8)</f>
        <v>8</v>
      </c>
      <c r="AT298" s="3">
        <f t="shared" si="156"/>
        <v>3.399</v>
      </c>
      <c r="AU298" s="6">
        <v>4.601</v>
      </c>
      <c r="AV298" t="b">
        <v>1</v>
      </c>
      <c r="AW298" t="s">
        <v>123</v>
      </c>
      <c r="AX298" t="s">
        <v>393</v>
      </c>
      <c r="AY298" t="s">
        <v>394</v>
      </c>
      <c r="AZ298" t="s">
        <v>33</v>
      </c>
      <c r="BA298" s="18" t="s">
        <v>579</v>
      </c>
      <c r="BB298" t="b">
        <v>1</v>
      </c>
      <c r="BC298" t="s">
        <v>81</v>
      </c>
      <c r="BD298">
        <v>72</v>
      </c>
      <c r="BE298" t="s">
        <v>80</v>
      </c>
      <c r="BF298" s="11">
        <v>72</v>
      </c>
      <c r="BG298" t="s">
        <v>395</v>
      </c>
      <c r="BH298" t="s">
        <v>31</v>
      </c>
      <c r="BI298" t="s">
        <v>31</v>
      </c>
      <c r="BJ298" s="3">
        <f t="shared" si="135"/>
        <v>4.601</v>
      </c>
      <c r="BK298" s="3">
        <f t="shared" si="136"/>
        <v>0.66285223326479614</v>
      </c>
      <c r="BL298">
        <v>2</v>
      </c>
      <c r="BM298" s="3">
        <f t="shared" si="149"/>
        <v>2.9187561327672613</v>
      </c>
      <c r="BN298" t="s">
        <v>33</v>
      </c>
      <c r="BO298" s="3">
        <f t="shared" si="132"/>
        <v>829.38491632253852</v>
      </c>
      <c r="BP298" t="s">
        <v>33</v>
      </c>
      <c r="BQ298" t="s">
        <v>33</v>
      </c>
      <c r="BR298" t="s">
        <v>33</v>
      </c>
      <c r="BS298" t="s">
        <v>33</v>
      </c>
      <c r="BT298" t="s">
        <v>31</v>
      </c>
      <c r="BU298" t="s">
        <v>240</v>
      </c>
      <c r="BV298">
        <v>2005</v>
      </c>
      <c r="BW298" t="s">
        <v>396</v>
      </c>
      <c r="BX298" t="s">
        <v>78</v>
      </c>
      <c r="BY298" t="s">
        <v>33</v>
      </c>
      <c r="BZ298" t="s">
        <v>33</v>
      </c>
      <c r="CA298" t="str">
        <f t="shared" si="133"/>
        <v>high acid</v>
      </c>
    </row>
    <row r="299" spans="1:79">
      <c r="A299" s="3" t="s">
        <v>280</v>
      </c>
      <c r="B299" t="s">
        <v>566</v>
      </c>
      <c r="C299" t="s">
        <v>563</v>
      </c>
      <c r="D299" s="3" t="s">
        <v>279</v>
      </c>
      <c r="E299" s="3" t="s">
        <v>77</v>
      </c>
      <c r="F299" t="s">
        <v>32</v>
      </c>
      <c r="G299" s="11">
        <v>10</v>
      </c>
      <c r="H299" s="11">
        <v>30</v>
      </c>
      <c r="I299" s="3" t="b">
        <v>0</v>
      </c>
      <c r="J299" s="3" t="s">
        <v>33</v>
      </c>
      <c r="K299" s="3" t="s">
        <v>33</v>
      </c>
      <c r="L299" s="11">
        <v>40</v>
      </c>
      <c r="M299" s="4">
        <v>1000</v>
      </c>
      <c r="N299" s="3">
        <f t="shared" si="152"/>
        <v>2526.2689379665921</v>
      </c>
      <c r="O299" s="3">
        <v>16</v>
      </c>
      <c r="P299" s="3" t="s">
        <v>33</v>
      </c>
      <c r="Q299" s="3">
        <f t="shared" si="147"/>
        <v>7.5000000000000011E-2</v>
      </c>
      <c r="R299" t="s">
        <v>183</v>
      </c>
      <c r="S299" t="s">
        <v>613</v>
      </c>
      <c r="T299" s="11">
        <v>1</v>
      </c>
      <c r="U299" s="3">
        <v>2.8</v>
      </c>
      <c r="V299" s="3">
        <v>3</v>
      </c>
      <c r="W299" s="3">
        <v>0.02</v>
      </c>
      <c r="X299" s="3">
        <f t="shared" si="148"/>
        <v>1.97920337176157E-2</v>
      </c>
      <c r="Y299" s="3">
        <f>40/60</f>
        <v>0.66666666666666663</v>
      </c>
      <c r="Z299" s="3">
        <f t="shared" si="150"/>
        <v>0.26389378290154264</v>
      </c>
      <c r="AA299" s="3" t="s">
        <v>33</v>
      </c>
      <c r="AB299" s="3">
        <f>IFERROR(((X299*M299)/Z299), "NA")</f>
        <v>75</v>
      </c>
      <c r="AC299" s="3" t="str">
        <f t="shared" si="134"/>
        <v>NA</v>
      </c>
      <c r="AD299" s="4">
        <f t="shared" si="153"/>
        <v>75</v>
      </c>
      <c r="AE299" s="3">
        <f t="shared" si="151"/>
        <v>576.00000000000011</v>
      </c>
      <c r="AF299" s="3">
        <v>1200</v>
      </c>
      <c r="AG299" s="3" t="str">
        <f t="shared" si="154"/>
        <v>NA</v>
      </c>
      <c r="AH299" s="3" t="str">
        <f t="shared" si="155"/>
        <v>NA</v>
      </c>
      <c r="AI299" s="3">
        <v>1</v>
      </c>
      <c r="AJ299" t="s">
        <v>31</v>
      </c>
      <c r="AK299" s="3">
        <v>300</v>
      </c>
      <c r="AL299" s="3" t="s">
        <v>281</v>
      </c>
      <c r="AM299" s="3" t="s">
        <v>103</v>
      </c>
      <c r="AN299" t="s">
        <v>130</v>
      </c>
      <c r="AO299" t="s">
        <v>795</v>
      </c>
      <c r="AP299" s="3" t="s">
        <v>33</v>
      </c>
      <c r="AQ299" s="3" t="s">
        <v>33</v>
      </c>
      <c r="AR299" s="3" t="s">
        <v>33</v>
      </c>
      <c r="AS299" s="3">
        <v>4.0880000000000001</v>
      </c>
      <c r="AT299" s="3">
        <f t="shared" si="156"/>
        <v>3.4000000000000004</v>
      </c>
      <c r="AU299" s="6">
        <v>0.68799999999999994</v>
      </c>
      <c r="AV299" s="3" t="b">
        <v>1</v>
      </c>
      <c r="AW299" s="3" t="s">
        <v>172</v>
      </c>
      <c r="AX299" s="3" t="s">
        <v>173</v>
      </c>
      <c r="AY299" s="3" t="s">
        <v>283</v>
      </c>
      <c r="AZ299" s="3" t="s">
        <v>33</v>
      </c>
      <c r="BA299" s="18" t="s">
        <v>799</v>
      </c>
      <c r="BB299" s="3" t="b">
        <v>0</v>
      </c>
      <c r="BC299" t="s">
        <v>81</v>
      </c>
      <c r="BD299" s="3">
        <v>2</v>
      </c>
      <c r="BE299" s="3" t="s">
        <v>252</v>
      </c>
      <c r="BF299" s="11">
        <v>72</v>
      </c>
      <c r="BG299" s="3" t="s">
        <v>574</v>
      </c>
      <c r="BH299" s="3" t="s">
        <v>31</v>
      </c>
      <c r="BI299" s="3" t="s">
        <v>31</v>
      </c>
      <c r="BJ299" s="3">
        <f t="shared" si="135"/>
        <v>0.68799999999999994</v>
      </c>
      <c r="BK299" s="3">
        <f t="shared" si="136"/>
        <v>-0.16241156176448873</v>
      </c>
      <c r="BL299" s="3">
        <v>2</v>
      </c>
      <c r="BM299" s="3">
        <f t="shared" si="149"/>
        <v>2.9228340451877006</v>
      </c>
      <c r="BN299" s="3" t="s">
        <v>33</v>
      </c>
      <c r="BO299" s="3">
        <f t="shared" si="132"/>
        <v>837.20930232558158</v>
      </c>
      <c r="BP299" s="3" t="s">
        <v>33</v>
      </c>
      <c r="BQ299" s="3" t="s">
        <v>33</v>
      </c>
      <c r="BR299" s="3" t="s">
        <v>33</v>
      </c>
      <c r="BS299" s="3" t="s">
        <v>33</v>
      </c>
      <c r="BT299" t="s">
        <v>31</v>
      </c>
      <c r="BU299" s="3" t="s">
        <v>247</v>
      </c>
      <c r="BV299" s="11">
        <v>2016</v>
      </c>
      <c r="BW299" s="3" t="s">
        <v>284</v>
      </c>
      <c r="BX299" t="s">
        <v>78</v>
      </c>
      <c r="BY299" s="3" t="s">
        <v>33</v>
      </c>
      <c r="BZ299" s="3" t="s">
        <v>282</v>
      </c>
      <c r="CA299" t="str">
        <f t="shared" si="133"/>
        <v>low acid</v>
      </c>
    </row>
    <row r="300" spans="1:79">
      <c r="A300" t="s">
        <v>502</v>
      </c>
      <c r="B300" t="s">
        <v>565</v>
      </c>
      <c r="C300" t="s">
        <v>563</v>
      </c>
      <c r="D300" t="s">
        <v>118</v>
      </c>
      <c r="E300" t="s">
        <v>77</v>
      </c>
      <c r="F300" t="s">
        <v>32</v>
      </c>
      <c r="G300">
        <v>4</v>
      </c>
      <c r="H300">
        <v>40</v>
      </c>
      <c r="I300" t="b">
        <v>0</v>
      </c>
      <c r="J300" t="s">
        <v>33</v>
      </c>
      <c r="K300" t="s">
        <v>33</v>
      </c>
      <c r="L300">
        <v>35</v>
      </c>
      <c r="M300" s="4">
        <v>200</v>
      </c>
      <c r="N300" s="3" t="str">
        <f t="shared" si="152"/>
        <v>NA</v>
      </c>
      <c r="O300">
        <v>4</v>
      </c>
      <c r="P300" s="9" t="s">
        <v>33</v>
      </c>
      <c r="Q300" s="8">
        <f t="shared" si="147"/>
        <v>0.15625</v>
      </c>
      <c r="R300" t="s">
        <v>183</v>
      </c>
      <c r="S300" t="s">
        <v>613</v>
      </c>
      <c r="T300" s="11">
        <v>8</v>
      </c>
      <c r="U300">
        <v>2.92</v>
      </c>
      <c r="V300">
        <v>2.2999999999999998</v>
      </c>
      <c r="W300">
        <v>1.21E-2</v>
      </c>
      <c r="X300" s="9">
        <f t="shared" si="148"/>
        <v>1.2131888350367701E-2</v>
      </c>
      <c r="Y300" s="6" t="s">
        <v>33</v>
      </c>
      <c r="Z300" s="3">
        <f t="shared" si="150"/>
        <v>7.7644085442353281E-2</v>
      </c>
      <c r="AA300" t="s">
        <v>33</v>
      </c>
      <c r="AB300" s="4" t="str">
        <f>IFERROR(((X300*M300)/Y300), "NA")</f>
        <v>NA</v>
      </c>
      <c r="AC300" s="4" t="str">
        <f t="shared" si="134"/>
        <v>NA</v>
      </c>
      <c r="AD300" s="4" t="e">
        <f t="shared" si="153"/>
        <v>#VALUE!</v>
      </c>
      <c r="AE300" s="3">
        <f t="shared" si="151"/>
        <v>4630.5</v>
      </c>
      <c r="AF300">
        <v>1000</v>
      </c>
      <c r="AG300" s="4" t="str">
        <f t="shared" si="154"/>
        <v>NA</v>
      </c>
      <c r="AH300" s="4" t="str">
        <f t="shared" si="155"/>
        <v>NA</v>
      </c>
      <c r="AI300">
        <v>1</v>
      </c>
      <c r="AJ300" t="s">
        <v>31</v>
      </c>
      <c r="AK300">
        <v>3780</v>
      </c>
      <c r="AL300" t="s">
        <v>552</v>
      </c>
      <c r="AM300" t="s">
        <v>86</v>
      </c>
      <c r="AN300" t="s">
        <v>205</v>
      </c>
      <c r="AO300" t="s">
        <v>789</v>
      </c>
      <c r="AP300">
        <v>3.32</v>
      </c>
      <c r="AQ300" t="s">
        <v>33</v>
      </c>
      <c r="AR300" t="s">
        <v>33</v>
      </c>
      <c r="AS300" s="6">
        <f>LOG((10^7+10^8)/2)</f>
        <v>7.7403626894942441</v>
      </c>
      <c r="AT300" s="3">
        <f t="shared" si="156"/>
        <v>3.4003626894942443</v>
      </c>
      <c r="AU300" s="6">
        <v>4.34</v>
      </c>
      <c r="AV300" t="b">
        <v>1</v>
      </c>
      <c r="AW300" t="s">
        <v>92</v>
      </c>
      <c r="AX300" t="s">
        <v>119</v>
      </c>
      <c r="AY300" t="s">
        <v>425</v>
      </c>
      <c r="AZ300" t="s">
        <v>33</v>
      </c>
      <c r="BA300" s="18" t="s">
        <v>801</v>
      </c>
      <c r="BB300" t="b">
        <v>0</v>
      </c>
      <c r="BC300" t="s">
        <v>81</v>
      </c>
      <c r="BD300">
        <v>15</v>
      </c>
      <c r="BE300" t="s">
        <v>80</v>
      </c>
      <c r="BF300" s="11">
        <v>36</v>
      </c>
      <c r="BG300" t="s">
        <v>573</v>
      </c>
      <c r="BH300" t="s">
        <v>31</v>
      </c>
      <c r="BI300" t="s">
        <v>31</v>
      </c>
      <c r="BJ300" s="3">
        <f t="shared" si="135"/>
        <v>4.34</v>
      </c>
      <c r="BK300" s="3">
        <f t="shared" si="136"/>
        <v>0.63748972951251071</v>
      </c>
      <c r="BL300">
        <v>2</v>
      </c>
      <c r="BM300" s="3">
        <f t="shared" si="149"/>
        <v>3.0281381590252661</v>
      </c>
      <c r="BN300" t="s">
        <v>33</v>
      </c>
      <c r="BO300" s="3">
        <f t="shared" si="132"/>
        <v>1066.9354838709678</v>
      </c>
      <c r="BP300" t="s">
        <v>33</v>
      </c>
      <c r="BQ300" t="s">
        <v>33</v>
      </c>
      <c r="BR300" t="s">
        <v>33</v>
      </c>
      <c r="BS300" t="s">
        <v>33</v>
      </c>
      <c r="BT300" t="s">
        <v>31</v>
      </c>
      <c r="BU300" t="s">
        <v>503</v>
      </c>
      <c r="BV300">
        <v>2011</v>
      </c>
      <c r="BW300" t="s">
        <v>504</v>
      </c>
      <c r="BX300" t="s">
        <v>78</v>
      </c>
      <c r="BY300" t="s">
        <v>33</v>
      </c>
      <c r="BZ300" t="s">
        <v>33</v>
      </c>
      <c r="CA300" t="str">
        <f t="shared" si="133"/>
        <v>high acid</v>
      </c>
    </row>
    <row r="301" spans="1:79">
      <c r="A301" t="s">
        <v>383</v>
      </c>
      <c r="B301" t="s">
        <v>565</v>
      </c>
      <c r="C301" t="s">
        <v>563</v>
      </c>
      <c r="D301" t="s">
        <v>378</v>
      </c>
      <c r="E301" t="s">
        <v>77</v>
      </c>
      <c r="F301" t="s">
        <v>32</v>
      </c>
      <c r="G301">
        <v>30</v>
      </c>
      <c r="H301">
        <v>48</v>
      </c>
      <c r="I301" t="b">
        <v>1</v>
      </c>
      <c r="J301">
        <v>6688</v>
      </c>
      <c r="K301">
        <v>22.5</v>
      </c>
      <c r="L301">
        <v>25</v>
      </c>
      <c r="M301" s="4">
        <v>250</v>
      </c>
      <c r="N301" s="3">
        <f t="shared" si="152"/>
        <v>251.11113243387931</v>
      </c>
      <c r="O301">
        <v>4</v>
      </c>
      <c r="P301" t="s">
        <v>33</v>
      </c>
      <c r="Q301" s="8">
        <f t="shared" si="147"/>
        <v>1.4200000000000001E-2</v>
      </c>
      <c r="R301" t="s">
        <v>183</v>
      </c>
      <c r="S301" t="s">
        <v>612</v>
      </c>
      <c r="T301" s="11">
        <v>6</v>
      </c>
      <c r="U301">
        <v>2.7</v>
      </c>
      <c r="V301">
        <v>2</v>
      </c>
      <c r="W301">
        <v>8.5000000000000006E-3</v>
      </c>
      <c r="X301" s="8">
        <f t="shared" si="148"/>
        <v>8.4823001646924419E-3</v>
      </c>
      <c r="Y301">
        <f>36/60</f>
        <v>0.6</v>
      </c>
      <c r="Z301" s="3">
        <f t="shared" si="150"/>
        <v>0.59734508202059444</v>
      </c>
      <c r="AA301">
        <f>21.3/6</f>
        <v>3.5500000000000003</v>
      </c>
      <c r="AB301" s="6">
        <f t="shared" ref="AB301:AB308" si="157">IFERROR(((X301*M301)/Z301), "NA")</f>
        <v>3.5500000000000003</v>
      </c>
      <c r="AC301" t="str">
        <f t="shared" si="134"/>
        <v>NA</v>
      </c>
      <c r="AD301" s="4">
        <f t="shared" si="153"/>
        <v>21.3</v>
      </c>
      <c r="AE301" s="3">
        <f t="shared" si="151"/>
        <v>213</v>
      </c>
      <c r="AF301">
        <f>AA301*O301*T301*AI301</f>
        <v>85.2</v>
      </c>
      <c r="AG301" t="str">
        <f t="shared" si="154"/>
        <v>NA</v>
      </c>
      <c r="AH301" t="str">
        <f t="shared" si="155"/>
        <v>NA</v>
      </c>
      <c r="AI301" s="1">
        <v>1</v>
      </c>
      <c r="AJ301" t="s">
        <v>31</v>
      </c>
      <c r="AK301">
        <v>4000</v>
      </c>
      <c r="AL301" t="s">
        <v>545</v>
      </c>
      <c r="AM301" t="s">
        <v>103</v>
      </c>
      <c r="AN301" t="s">
        <v>130</v>
      </c>
      <c r="AO301" t="s">
        <v>795</v>
      </c>
      <c r="AP301">
        <v>7</v>
      </c>
      <c r="AQ301" t="s">
        <v>33</v>
      </c>
      <c r="AR301" t="s">
        <v>33</v>
      </c>
      <c r="AS301" s="6">
        <f>LOG(10^8)</f>
        <v>8</v>
      </c>
      <c r="AT301" s="3">
        <f t="shared" si="156"/>
        <v>3.4039999999999999</v>
      </c>
      <c r="AU301" s="6">
        <v>4.5960000000000001</v>
      </c>
      <c r="AV301" t="b">
        <v>1</v>
      </c>
      <c r="AW301" t="s">
        <v>29</v>
      </c>
      <c r="AX301" t="s">
        <v>30</v>
      </c>
      <c r="AY301" t="s">
        <v>226</v>
      </c>
      <c r="AZ301" t="s">
        <v>33</v>
      </c>
      <c r="BA301" s="18" t="s">
        <v>798</v>
      </c>
      <c r="BB301" t="b">
        <v>0</v>
      </c>
      <c r="BC301" t="s">
        <v>81</v>
      </c>
      <c r="BD301">
        <v>14</v>
      </c>
      <c r="BE301" t="s">
        <v>80</v>
      </c>
      <c r="BF301" s="11">
        <v>48</v>
      </c>
      <c r="BG301" t="s">
        <v>139</v>
      </c>
      <c r="BH301" t="s">
        <v>31</v>
      </c>
      <c r="BI301" t="s">
        <v>31</v>
      </c>
      <c r="BJ301" s="3">
        <f t="shared" si="135"/>
        <v>4.5960000000000001</v>
      </c>
      <c r="BK301" s="3">
        <f t="shared" si="136"/>
        <v>0.66238002001624763</v>
      </c>
      <c r="BL301">
        <v>2</v>
      </c>
      <c r="BM301" s="3">
        <f t="shared" si="149"/>
        <v>1.6659995834224901</v>
      </c>
      <c r="BN301" t="s">
        <v>33</v>
      </c>
      <c r="BO301" s="3">
        <f t="shared" si="132"/>
        <v>46.344647519582246</v>
      </c>
      <c r="BP301" t="s">
        <v>33</v>
      </c>
      <c r="BQ301" t="s">
        <v>33</v>
      </c>
      <c r="BR301" t="s">
        <v>33</v>
      </c>
      <c r="BS301" t="s">
        <v>33</v>
      </c>
      <c r="BT301" t="s">
        <v>31</v>
      </c>
      <c r="BU301" t="s">
        <v>227</v>
      </c>
      <c r="BV301">
        <v>2004</v>
      </c>
      <c r="BW301" t="s">
        <v>381</v>
      </c>
      <c r="BX301" t="s">
        <v>78</v>
      </c>
      <c r="BY301" t="s">
        <v>33</v>
      </c>
      <c r="BZ301" t="s">
        <v>33</v>
      </c>
      <c r="CA301" t="str">
        <f t="shared" si="133"/>
        <v>low acid</v>
      </c>
    </row>
    <row r="302" spans="1:79">
      <c r="A302" t="s">
        <v>151</v>
      </c>
      <c r="B302" t="s">
        <v>565</v>
      </c>
      <c r="C302" t="s">
        <v>563</v>
      </c>
      <c r="D302" t="s">
        <v>118</v>
      </c>
      <c r="E302" t="s">
        <v>77</v>
      </c>
      <c r="F302" t="s">
        <v>32</v>
      </c>
      <c r="G302">
        <v>20</v>
      </c>
      <c r="H302" t="s">
        <v>33</v>
      </c>
      <c r="I302" t="b">
        <v>0</v>
      </c>
      <c r="J302" t="s">
        <v>33</v>
      </c>
      <c r="K302" t="s">
        <v>33</v>
      </c>
      <c r="L302">
        <v>27</v>
      </c>
      <c r="M302" s="4">
        <v>500</v>
      </c>
      <c r="N302" s="3">
        <f t="shared" si="152"/>
        <v>503.35454362283343</v>
      </c>
      <c r="O302">
        <v>3</v>
      </c>
      <c r="P302" t="s">
        <v>33</v>
      </c>
      <c r="Q302" s="8">
        <f t="shared" si="147"/>
        <v>1.4555555555555556E-2</v>
      </c>
      <c r="R302" t="s">
        <v>183</v>
      </c>
      <c r="S302" t="s">
        <v>613</v>
      </c>
      <c r="T302" s="11">
        <v>6</v>
      </c>
      <c r="U302">
        <v>2.9</v>
      </c>
      <c r="V302">
        <v>2.2999999999999998</v>
      </c>
      <c r="W302" t="s">
        <v>33</v>
      </c>
      <c r="X302" s="8">
        <f t="shared" si="148"/>
        <v>1.204879322468025E-2</v>
      </c>
      <c r="Y302" s="6">
        <f>50/60</f>
        <v>0.83333333333333337</v>
      </c>
      <c r="Z302" s="3">
        <f t="shared" si="150"/>
        <v>0.82777968719177286</v>
      </c>
      <c r="AA302" t="s">
        <v>33</v>
      </c>
      <c r="AB302" s="6">
        <f t="shared" si="157"/>
        <v>7.2777777777777786</v>
      </c>
      <c r="AC302" t="str">
        <f t="shared" si="134"/>
        <v>NA</v>
      </c>
      <c r="AD302" s="4">
        <f t="shared" si="153"/>
        <v>43.666666666666671</v>
      </c>
      <c r="AE302" s="3">
        <f t="shared" si="151"/>
        <v>368.62613999999996</v>
      </c>
      <c r="AF302">
        <v>131</v>
      </c>
      <c r="AG302" t="str">
        <f t="shared" si="154"/>
        <v>NA</v>
      </c>
      <c r="AH302" t="str">
        <f t="shared" si="155"/>
        <v>NA</v>
      </c>
      <c r="AI302">
        <v>1</v>
      </c>
      <c r="AJ302" t="s">
        <v>31</v>
      </c>
      <c r="AK302">
        <v>3860</v>
      </c>
      <c r="AL302" t="s">
        <v>138</v>
      </c>
      <c r="AM302" t="s">
        <v>86</v>
      </c>
      <c r="AN302" t="s">
        <v>205</v>
      </c>
      <c r="AO302" t="s">
        <v>789</v>
      </c>
      <c r="AP302">
        <v>3.9</v>
      </c>
      <c r="AQ302" t="s">
        <v>33</v>
      </c>
      <c r="AR302" t="s">
        <v>33</v>
      </c>
      <c r="AS302" s="3">
        <v>7.2050000000000001</v>
      </c>
      <c r="AT302" s="3">
        <f t="shared" si="156"/>
        <v>3.4060000000000001</v>
      </c>
      <c r="AU302" s="6">
        <v>3.7989999999999999</v>
      </c>
      <c r="AV302" t="b">
        <v>1</v>
      </c>
      <c r="AW302" t="s">
        <v>29</v>
      </c>
      <c r="AX302" t="s">
        <v>30</v>
      </c>
      <c r="AY302" t="s">
        <v>33</v>
      </c>
      <c r="AZ302" t="s">
        <v>134</v>
      </c>
      <c r="BA302" s="18" t="s">
        <v>798</v>
      </c>
      <c r="BB302" t="b">
        <v>0</v>
      </c>
      <c r="BC302" t="s">
        <v>81</v>
      </c>
      <c r="BD302">
        <f>(48+24)/2</f>
        <v>36</v>
      </c>
      <c r="BE302" t="s">
        <v>80</v>
      </c>
      <c r="BF302" s="11">
        <f>(48+24)/2</f>
        <v>36</v>
      </c>
      <c r="BG302" t="s">
        <v>139</v>
      </c>
      <c r="BH302" t="s">
        <v>31</v>
      </c>
      <c r="BI302" t="s">
        <v>31</v>
      </c>
      <c r="BJ302" s="3">
        <f t="shared" si="135"/>
        <v>3.7989999999999999</v>
      </c>
      <c r="BK302" s="3">
        <f t="shared" si="136"/>
        <v>0.5796692935547203</v>
      </c>
      <c r="BL302">
        <v>2</v>
      </c>
      <c r="BM302" s="3">
        <f t="shared" si="149"/>
        <v>1.9869168350907735</v>
      </c>
      <c r="BN302" t="s">
        <v>33</v>
      </c>
      <c r="BO302" s="3">
        <f t="shared" si="132"/>
        <v>97.032413793103444</v>
      </c>
      <c r="BP302" t="s">
        <v>33</v>
      </c>
      <c r="BQ302" t="s">
        <v>33</v>
      </c>
      <c r="BR302" t="s">
        <v>33</v>
      </c>
      <c r="BS302" t="s">
        <v>33</v>
      </c>
      <c r="BT302" t="s">
        <v>31</v>
      </c>
      <c r="BU302" t="s">
        <v>135</v>
      </c>
      <c r="BV302">
        <v>2011</v>
      </c>
      <c r="BW302" s="7" t="s">
        <v>136</v>
      </c>
      <c r="BX302" t="s">
        <v>78</v>
      </c>
      <c r="BY302" t="s">
        <v>33</v>
      </c>
      <c r="BZ302" t="s">
        <v>33</v>
      </c>
      <c r="CA302" t="str">
        <f t="shared" si="133"/>
        <v>high acid</v>
      </c>
    </row>
    <row r="303" spans="1:79">
      <c r="A303" t="s">
        <v>154</v>
      </c>
      <c r="B303" t="s">
        <v>565</v>
      </c>
      <c r="C303" t="s">
        <v>563</v>
      </c>
      <c r="D303" t="s">
        <v>118</v>
      </c>
      <c r="E303" t="s">
        <v>77</v>
      </c>
      <c r="F303" t="s">
        <v>32</v>
      </c>
      <c r="G303">
        <v>9</v>
      </c>
      <c r="H303">
        <v>29</v>
      </c>
      <c r="I303" t="b">
        <v>1</v>
      </c>
      <c r="J303">
        <v>9000</v>
      </c>
      <c r="K303" t="s">
        <v>33</v>
      </c>
      <c r="L303">
        <v>31</v>
      </c>
      <c r="M303" s="4">
        <v>700</v>
      </c>
      <c r="N303" s="3">
        <f t="shared" si="152"/>
        <v>401.97124629513036</v>
      </c>
      <c r="O303">
        <v>4</v>
      </c>
      <c r="P303" t="s">
        <v>33</v>
      </c>
      <c r="Q303" s="8">
        <f t="shared" si="147"/>
        <v>1.2023809523809523E-2</v>
      </c>
      <c r="R303" t="s">
        <v>183</v>
      </c>
      <c r="S303" t="s">
        <v>613</v>
      </c>
      <c r="T303" s="11">
        <v>6</v>
      </c>
      <c r="U303">
        <v>3.17</v>
      </c>
      <c r="V303">
        <v>2.9</v>
      </c>
      <c r="W303" t="s">
        <v>33</v>
      </c>
      <c r="X303" s="8">
        <f t="shared" si="148"/>
        <v>2.0938479416726951E-2</v>
      </c>
      <c r="Y303" s="6">
        <v>1</v>
      </c>
      <c r="Z303" s="3">
        <f t="shared" si="150"/>
        <v>1.7414180901040237</v>
      </c>
      <c r="AA303" t="s">
        <v>33</v>
      </c>
      <c r="AB303" s="6">
        <f t="shared" si="157"/>
        <v>8.4166666666666661</v>
      </c>
      <c r="AC303" t="str">
        <f t="shared" si="134"/>
        <v>NA</v>
      </c>
      <c r="AD303" s="4">
        <f t="shared" si="153"/>
        <v>50.5</v>
      </c>
      <c r="AE303" s="3">
        <f t="shared" si="151"/>
        <v>446.48059999999998</v>
      </c>
      <c r="AF303">
        <v>202</v>
      </c>
      <c r="AG303" t="str">
        <f t="shared" si="154"/>
        <v>NA</v>
      </c>
      <c r="AH303" t="str">
        <f t="shared" si="155"/>
        <v>NA</v>
      </c>
      <c r="AI303">
        <v>1</v>
      </c>
      <c r="AJ303" t="s">
        <v>31</v>
      </c>
      <c r="AK303">
        <v>2300</v>
      </c>
      <c r="AL303" t="s">
        <v>149</v>
      </c>
      <c r="AM303" t="s">
        <v>86</v>
      </c>
      <c r="AN303" t="s">
        <v>205</v>
      </c>
      <c r="AO303" t="s">
        <v>789</v>
      </c>
      <c r="AP303">
        <v>3.7</v>
      </c>
      <c r="AQ303" t="s">
        <v>33</v>
      </c>
      <c r="AR303" t="s">
        <v>33</v>
      </c>
      <c r="AS303" s="3">
        <v>6.0369999999999999</v>
      </c>
      <c r="AT303" s="3">
        <f t="shared" si="156"/>
        <v>3.407</v>
      </c>
      <c r="AU303" s="6">
        <v>2.63</v>
      </c>
      <c r="AV303" t="b">
        <v>1</v>
      </c>
      <c r="AW303" t="s">
        <v>29</v>
      </c>
      <c r="AX303" t="s">
        <v>30</v>
      </c>
      <c r="AY303" t="s">
        <v>33</v>
      </c>
      <c r="AZ303" t="s">
        <v>134</v>
      </c>
      <c r="BA303" s="18" t="s">
        <v>798</v>
      </c>
      <c r="BB303" t="b">
        <v>0</v>
      </c>
      <c r="BC303" t="s">
        <v>81</v>
      </c>
      <c r="BD303">
        <v>12</v>
      </c>
      <c r="BE303" t="s">
        <v>159</v>
      </c>
      <c r="BF303" s="11">
        <v>48</v>
      </c>
      <c r="BG303" t="s">
        <v>158</v>
      </c>
      <c r="BH303" t="s">
        <v>31</v>
      </c>
      <c r="BI303" t="s">
        <v>31</v>
      </c>
      <c r="BJ303" s="3">
        <f t="shared" si="135"/>
        <v>2.63</v>
      </c>
      <c r="BK303" s="3">
        <f t="shared" si="136"/>
        <v>0.41995574848975786</v>
      </c>
      <c r="BL303">
        <v>2</v>
      </c>
      <c r="BM303" s="3">
        <f t="shared" si="149"/>
        <v>2.2298468446430042</v>
      </c>
      <c r="BN303" t="s">
        <v>33</v>
      </c>
      <c r="BO303" s="3">
        <f t="shared" si="132"/>
        <v>169.7644866920152</v>
      </c>
      <c r="BP303" t="s">
        <v>33</v>
      </c>
      <c r="BQ303" t="s">
        <v>33</v>
      </c>
      <c r="BR303" t="s">
        <v>33</v>
      </c>
      <c r="BS303" t="s">
        <v>33</v>
      </c>
      <c r="BT303" t="s">
        <v>31</v>
      </c>
      <c r="BU303" t="s">
        <v>160</v>
      </c>
      <c r="BV303">
        <v>2004</v>
      </c>
      <c r="BW303" s="1" t="s">
        <v>161</v>
      </c>
      <c r="BX303" t="s">
        <v>78</v>
      </c>
      <c r="BY303" t="s">
        <v>33</v>
      </c>
      <c r="BZ303" t="s">
        <v>33</v>
      </c>
      <c r="CA303" t="str">
        <f t="shared" si="133"/>
        <v>high acid</v>
      </c>
    </row>
    <row r="304" spans="1:79">
      <c r="A304" t="s">
        <v>535</v>
      </c>
      <c r="B304" t="s">
        <v>565</v>
      </c>
      <c r="C304" t="s">
        <v>564</v>
      </c>
      <c r="D304" t="s">
        <v>243</v>
      </c>
      <c r="E304" t="s">
        <v>77</v>
      </c>
      <c r="F304" t="s">
        <v>32</v>
      </c>
      <c r="G304">
        <v>40</v>
      </c>
      <c r="H304">
        <v>43</v>
      </c>
      <c r="I304" t="b">
        <v>0</v>
      </c>
      <c r="J304" t="s">
        <v>33</v>
      </c>
      <c r="K304" t="s">
        <v>33</v>
      </c>
      <c r="L304">
        <v>21</v>
      </c>
      <c r="M304" s="4">
        <v>120</v>
      </c>
      <c r="N304" s="3">
        <f t="shared" si="152"/>
        <v>85.018666181567994</v>
      </c>
      <c r="O304">
        <v>3</v>
      </c>
      <c r="P304" t="s">
        <v>33</v>
      </c>
      <c r="Q304" s="9">
        <f t="shared" si="147"/>
        <v>2.7083333333333331E-2</v>
      </c>
      <c r="R304" t="s">
        <v>183</v>
      </c>
      <c r="S304" t="s">
        <v>612</v>
      </c>
      <c r="T304" s="11">
        <v>4</v>
      </c>
      <c r="U304">
        <v>3</v>
      </c>
      <c r="V304">
        <v>2.6</v>
      </c>
      <c r="W304">
        <v>1.5900000000000001E-2</v>
      </c>
      <c r="X304" s="8">
        <f t="shared" si="148"/>
        <v>1.5927874753700257E-2</v>
      </c>
      <c r="Y304" s="6">
        <f>25/60</f>
        <v>0.41666666666666669</v>
      </c>
      <c r="Z304" s="3">
        <f t="shared" si="150"/>
        <v>0.58810614475200951</v>
      </c>
      <c r="AA304" t="s">
        <v>33</v>
      </c>
      <c r="AB304" s="6">
        <f t="shared" si="157"/>
        <v>3.25</v>
      </c>
      <c r="AC304" t="str">
        <f t="shared" si="134"/>
        <v>NA</v>
      </c>
      <c r="AD304" s="4">
        <f>IFERROR(AB304*T304*AI304, "NA")</f>
        <v>13</v>
      </c>
      <c r="AE304" s="3">
        <f t="shared" si="151"/>
        <v>15.823079999999999</v>
      </c>
      <c r="AF304">
        <v>39</v>
      </c>
      <c r="AG304" t="str">
        <f t="shared" si="154"/>
        <v>NA</v>
      </c>
      <c r="AH304" t="str">
        <f t="shared" si="155"/>
        <v>NA</v>
      </c>
      <c r="AI304" s="11">
        <v>1</v>
      </c>
      <c r="AJ304" t="s">
        <v>31</v>
      </c>
      <c r="AK304">
        <v>920</v>
      </c>
      <c r="AL304" t="s">
        <v>551</v>
      </c>
      <c r="AM304" t="s">
        <v>86</v>
      </c>
      <c r="AN304" t="s">
        <v>186</v>
      </c>
      <c r="AO304" t="s">
        <v>794</v>
      </c>
      <c r="AP304">
        <v>5.92</v>
      </c>
      <c r="AQ304" t="s">
        <v>33</v>
      </c>
      <c r="AR304" t="s">
        <v>33</v>
      </c>
      <c r="AS304" s="6">
        <f>LOG(1.1*10^7)</f>
        <v>7.0413926851582254</v>
      </c>
      <c r="AT304" s="3">
        <f t="shared" si="156"/>
        <v>3.4073926851582255</v>
      </c>
      <c r="AU304" s="6">
        <v>3.6339999999999999</v>
      </c>
      <c r="AV304" t="b">
        <v>1</v>
      </c>
      <c r="AW304" t="s">
        <v>172</v>
      </c>
      <c r="AX304" t="s">
        <v>173</v>
      </c>
      <c r="AY304" t="s">
        <v>246</v>
      </c>
      <c r="AZ304" t="s">
        <v>33</v>
      </c>
      <c r="BA304" s="18" t="s">
        <v>799</v>
      </c>
      <c r="BB304" t="b">
        <v>0</v>
      </c>
      <c r="BC304" t="s">
        <v>81</v>
      </c>
      <c r="BD304">
        <v>72</v>
      </c>
      <c r="BE304" t="s">
        <v>80</v>
      </c>
      <c r="BF304" s="11">
        <v>72</v>
      </c>
      <c r="BG304" t="s">
        <v>522</v>
      </c>
      <c r="BH304" t="s">
        <v>31</v>
      </c>
      <c r="BI304" t="s">
        <v>31</v>
      </c>
      <c r="BJ304" s="3">
        <f t="shared" si="135"/>
        <v>3.6339999999999999</v>
      </c>
      <c r="BK304" s="3">
        <f t="shared" si="136"/>
        <v>0.56038492297201548</v>
      </c>
      <c r="BL304">
        <v>2</v>
      </c>
      <c r="BM304" s="3">
        <f t="shared" si="149"/>
        <v>0.63890610086787747</v>
      </c>
      <c r="BN304" t="s">
        <v>33</v>
      </c>
      <c r="BO304" s="3">
        <f t="shared" si="132"/>
        <v>4.354177215189873</v>
      </c>
      <c r="BP304" t="s">
        <v>33</v>
      </c>
      <c r="BQ304" t="s">
        <v>33</v>
      </c>
      <c r="BR304" t="s">
        <v>33</v>
      </c>
      <c r="BS304" t="s">
        <v>33</v>
      </c>
      <c r="BT304" t="s">
        <v>32</v>
      </c>
      <c r="BU304" t="s">
        <v>207</v>
      </c>
      <c r="BV304">
        <v>2014</v>
      </c>
      <c r="BW304" s="2" t="s">
        <v>242</v>
      </c>
      <c r="BX304" t="s">
        <v>78</v>
      </c>
      <c r="BY304" t="s">
        <v>33</v>
      </c>
      <c r="BZ304" t="s">
        <v>33</v>
      </c>
      <c r="CA304" t="str">
        <f t="shared" si="133"/>
        <v>low acid</v>
      </c>
    </row>
    <row r="305" spans="1:79">
      <c r="A305" t="s">
        <v>590</v>
      </c>
      <c r="B305" t="s">
        <v>565</v>
      </c>
      <c r="C305" t="s">
        <v>564</v>
      </c>
      <c r="D305" t="s">
        <v>609</v>
      </c>
      <c r="E305" t="s">
        <v>77</v>
      </c>
      <c r="F305" t="s">
        <v>32</v>
      </c>
      <c r="G305">
        <v>40</v>
      </c>
      <c r="H305">
        <v>49</v>
      </c>
      <c r="I305" t="b">
        <v>0</v>
      </c>
      <c r="J305" t="s">
        <v>33</v>
      </c>
      <c r="K305" t="s">
        <v>33</v>
      </c>
      <c r="L305">
        <v>24</v>
      </c>
      <c r="M305" s="4">
        <v>120</v>
      </c>
      <c r="N305" t="e">
        <f>(#REF!*Y305)/(T305*X305*O305)</f>
        <v>#REF!</v>
      </c>
      <c r="O305">
        <v>3</v>
      </c>
      <c r="P305" t="s">
        <v>33</v>
      </c>
      <c r="Q305" s="1">
        <f t="shared" si="147"/>
        <v>0.12743055555555555</v>
      </c>
      <c r="R305" t="s">
        <v>183</v>
      </c>
      <c r="S305" t="s">
        <v>612</v>
      </c>
      <c r="T305">
        <v>4</v>
      </c>
      <c r="U305">
        <v>3</v>
      </c>
      <c r="V305">
        <v>2.6</v>
      </c>
      <c r="W305">
        <v>1.5900000000000001E-2</v>
      </c>
      <c r="X305">
        <f t="shared" si="148"/>
        <v>1.5927874753700257E-2</v>
      </c>
      <c r="Y305">
        <v>8.3333299999999999E-2</v>
      </c>
      <c r="Z305" s="3">
        <f t="shared" si="150"/>
        <v>0.1249925866230429</v>
      </c>
      <c r="AA305" t="s">
        <v>33</v>
      </c>
      <c r="AB305">
        <f t="shared" si="157"/>
        <v>15.291666666666666</v>
      </c>
      <c r="AC305" s="1" t="str">
        <f t="shared" si="134"/>
        <v>NA</v>
      </c>
      <c r="AE305" s="3">
        <f t="shared" si="151"/>
        <v>121.5504</v>
      </c>
      <c r="AF305">
        <v>183.5</v>
      </c>
      <c r="AG305" s="1" t="str">
        <f>IFERROR((N305*P305*Q305), "NA")</f>
        <v>NA</v>
      </c>
      <c r="AH305" s="1" t="str">
        <f>IFERROR((AG305*U305*AI305), "NA")</f>
        <v>NA</v>
      </c>
      <c r="AI305" s="1">
        <v>1</v>
      </c>
      <c r="AJ305" s="11" t="s">
        <v>31</v>
      </c>
      <c r="AK305">
        <v>1150</v>
      </c>
      <c r="AL305" t="s">
        <v>551</v>
      </c>
      <c r="AM305" t="s">
        <v>86</v>
      </c>
      <c r="AN305" t="s">
        <v>186</v>
      </c>
      <c r="AO305" t="s">
        <v>794</v>
      </c>
      <c r="AP305">
        <v>5.92</v>
      </c>
      <c r="AQ305" t="s">
        <v>33</v>
      </c>
      <c r="AR305" t="s">
        <v>33</v>
      </c>
      <c r="AS305">
        <v>6</v>
      </c>
      <c r="AT305">
        <f>AS305-AU305</f>
        <v>3.41</v>
      </c>
      <c r="AU305" s="6">
        <v>2.59</v>
      </c>
      <c r="AV305" t="b">
        <v>1</v>
      </c>
      <c r="AW305" t="s">
        <v>626</v>
      </c>
      <c r="AX305" t="s">
        <v>627</v>
      </c>
      <c r="AY305" t="s">
        <v>631</v>
      </c>
      <c r="AZ305" t="s">
        <v>33</v>
      </c>
      <c r="BA305" s="18" t="s">
        <v>800</v>
      </c>
      <c r="BB305" s="3" t="b">
        <v>0</v>
      </c>
      <c r="BC305" t="s">
        <v>81</v>
      </c>
      <c r="BD305">
        <v>20</v>
      </c>
      <c r="BE305" t="s">
        <v>80</v>
      </c>
      <c r="BF305">
        <v>20</v>
      </c>
      <c r="BG305" t="s">
        <v>695</v>
      </c>
      <c r="BH305" t="s">
        <v>32</v>
      </c>
      <c r="BI305" t="s">
        <v>31</v>
      </c>
      <c r="BJ305">
        <f t="shared" si="135"/>
        <v>2.59</v>
      </c>
      <c r="BK305" s="3">
        <f t="shared" si="136"/>
        <v>0.4132997640812518</v>
      </c>
      <c r="BL305">
        <v>2</v>
      </c>
      <c r="BM305" s="3">
        <f t="shared" si="149"/>
        <v>1.67145662828368</v>
      </c>
      <c r="BN305" t="s">
        <v>33</v>
      </c>
      <c r="BO305" s="3">
        <f t="shared" si="132"/>
        <v>46.930656370656372</v>
      </c>
      <c r="BP305" t="s">
        <v>33</v>
      </c>
      <c r="BQ305" t="s">
        <v>33</v>
      </c>
      <c r="BR305" t="s">
        <v>33</v>
      </c>
      <c r="BS305" t="s">
        <v>33</v>
      </c>
      <c r="BT305" t="s">
        <v>32</v>
      </c>
      <c r="BU305" s="15" t="s">
        <v>207</v>
      </c>
      <c r="BV305">
        <v>2014</v>
      </c>
      <c r="BW305" t="s">
        <v>242</v>
      </c>
      <c r="BX305" t="s">
        <v>78</v>
      </c>
      <c r="BY305" s="13" t="s">
        <v>678</v>
      </c>
      <c r="CA305" t="str">
        <f t="shared" si="133"/>
        <v>low acid</v>
      </c>
    </row>
    <row r="306" spans="1:79">
      <c r="A306" t="s">
        <v>237</v>
      </c>
      <c r="B306" t="s">
        <v>565</v>
      </c>
      <c r="C306" t="s">
        <v>563</v>
      </c>
      <c r="D306" t="s">
        <v>118</v>
      </c>
      <c r="E306" t="s">
        <v>77</v>
      </c>
      <c r="F306" t="s">
        <v>32</v>
      </c>
      <c r="G306">
        <v>4</v>
      </c>
      <c r="H306">
        <v>32.5</v>
      </c>
      <c r="I306" t="b">
        <v>0</v>
      </c>
      <c r="J306" t="s">
        <v>33</v>
      </c>
      <c r="K306" t="s">
        <v>33</v>
      </c>
      <c r="L306">
        <v>30</v>
      </c>
      <c r="M306" s="4">
        <v>200</v>
      </c>
      <c r="N306" s="3">
        <f t="shared" ref="N306:N312" si="158">IFERROR(AF306/((T306*X306/Y306)*O306*AI306),"NA")</f>
        <v>1545.5137286547574</v>
      </c>
      <c r="O306">
        <v>4</v>
      </c>
      <c r="P306" t="s">
        <v>33</v>
      </c>
      <c r="Q306" s="9">
        <f t="shared" si="147"/>
        <v>9.3749999999999986E-2</v>
      </c>
      <c r="R306" t="s">
        <v>183</v>
      </c>
      <c r="S306" t="s">
        <v>613</v>
      </c>
      <c r="T306" s="11">
        <v>8</v>
      </c>
      <c r="U306">
        <v>2.92</v>
      </c>
      <c r="V306">
        <v>2.2999999999999998</v>
      </c>
      <c r="W306">
        <v>1.2E-2</v>
      </c>
      <c r="X306" s="8">
        <f t="shared" si="148"/>
        <v>1.2131888350367701E-2</v>
      </c>
      <c r="Y306" s="6">
        <f>60/60</f>
        <v>1</v>
      </c>
      <c r="Z306" s="3">
        <f t="shared" si="150"/>
        <v>0.12940680907058882</v>
      </c>
      <c r="AA306" t="s">
        <v>33</v>
      </c>
      <c r="AB306" s="6">
        <f t="shared" si="157"/>
        <v>18.749999999999996</v>
      </c>
      <c r="AC306" t="str">
        <f t="shared" si="134"/>
        <v>NA</v>
      </c>
      <c r="AD306" s="4">
        <f>AB306*T306*AI306</f>
        <v>149.99999999999997</v>
      </c>
      <c r="AE306" s="3">
        <f t="shared" si="151"/>
        <v>2289.5999999999995</v>
      </c>
      <c r="AF306">
        <v>600</v>
      </c>
      <c r="AG306" t="str">
        <f t="shared" ref="AG306:AG312" si="159">IFERROR((M306*O306*P306), "NA")</f>
        <v>NA</v>
      </c>
      <c r="AH306" t="str">
        <f t="shared" ref="AH306:AH312" si="160">IFERROR((AG306*T306*AI306), "NA")</f>
        <v>NA</v>
      </c>
      <c r="AI306">
        <v>1</v>
      </c>
      <c r="AJ306" t="s">
        <v>31</v>
      </c>
      <c r="AK306">
        <v>4240</v>
      </c>
      <c r="AL306" t="s">
        <v>238</v>
      </c>
      <c r="AM306" t="s">
        <v>86</v>
      </c>
      <c r="AN306" t="s">
        <v>205</v>
      </c>
      <c r="AO306" t="s">
        <v>789</v>
      </c>
      <c r="AP306">
        <v>3.56</v>
      </c>
      <c r="AQ306" t="s">
        <v>33</v>
      </c>
      <c r="AR306" t="s">
        <v>33</v>
      </c>
      <c r="AS306">
        <f>LOG(10^8)</f>
        <v>8</v>
      </c>
      <c r="AT306" s="3">
        <f t="shared" ref="AT306:AT312" si="161">IFERROR(AS306-AU306,"NA")</f>
        <v>3.4139999999999997</v>
      </c>
      <c r="AU306" s="6">
        <v>4.5860000000000003</v>
      </c>
      <c r="AV306" t="b">
        <v>1</v>
      </c>
      <c r="AW306" t="s">
        <v>172</v>
      </c>
      <c r="AX306" t="s">
        <v>173</v>
      </c>
      <c r="AY306" t="s">
        <v>239</v>
      </c>
      <c r="AZ306" t="s">
        <v>33</v>
      </c>
      <c r="BA306" s="18" t="s">
        <v>799</v>
      </c>
      <c r="BB306" t="b">
        <v>0</v>
      </c>
      <c r="BC306" t="s">
        <v>81</v>
      </c>
      <c r="BD306">
        <v>48</v>
      </c>
      <c r="BE306" t="s">
        <v>80</v>
      </c>
      <c r="BF306" s="11">
        <v>120</v>
      </c>
      <c r="BG306" t="s">
        <v>571</v>
      </c>
      <c r="BH306" t="s">
        <v>31</v>
      </c>
      <c r="BI306" t="s">
        <v>31</v>
      </c>
      <c r="BJ306" s="3">
        <f t="shared" si="135"/>
        <v>4.5860000000000003</v>
      </c>
      <c r="BK306" s="3">
        <f t="shared" si="136"/>
        <v>0.66143405039392011</v>
      </c>
      <c r="BL306">
        <v>2</v>
      </c>
      <c r="BM306" s="3">
        <f t="shared" si="149"/>
        <v>2.6983255660217811</v>
      </c>
      <c r="BN306" t="s">
        <v>33</v>
      </c>
      <c r="BO306" s="3">
        <f t="shared" si="132"/>
        <v>499.2586131705188</v>
      </c>
      <c r="BP306" t="s">
        <v>33</v>
      </c>
      <c r="BQ306" t="s">
        <v>33</v>
      </c>
      <c r="BR306" t="s">
        <v>33</v>
      </c>
      <c r="BS306" t="s">
        <v>33</v>
      </c>
      <c r="BT306" t="s">
        <v>31</v>
      </c>
      <c r="BU306" t="s">
        <v>240</v>
      </c>
      <c r="BV306">
        <v>2004</v>
      </c>
      <c r="BW306" t="s">
        <v>241</v>
      </c>
      <c r="BX306" t="s">
        <v>78</v>
      </c>
      <c r="BY306" t="s">
        <v>33</v>
      </c>
      <c r="BZ306" t="s">
        <v>33</v>
      </c>
      <c r="CA306" t="str">
        <f t="shared" si="133"/>
        <v>high acid</v>
      </c>
    </row>
    <row r="307" spans="1:79">
      <c r="A307" t="s">
        <v>533</v>
      </c>
      <c r="B307" t="s">
        <v>565</v>
      </c>
      <c r="C307" t="s">
        <v>564</v>
      </c>
      <c r="D307" t="s">
        <v>209</v>
      </c>
      <c r="E307" t="s">
        <v>77</v>
      </c>
      <c r="F307" t="s">
        <v>32</v>
      </c>
      <c r="G307">
        <v>30</v>
      </c>
      <c r="H307">
        <v>38.200000000000003</v>
      </c>
      <c r="I307" t="b">
        <v>0</v>
      </c>
      <c r="J307" t="s">
        <v>33</v>
      </c>
      <c r="K307" t="s">
        <v>33</v>
      </c>
      <c r="L307">
        <v>24</v>
      </c>
      <c r="M307" s="4">
        <v>120</v>
      </c>
      <c r="N307" s="3">
        <f t="shared" si="158"/>
        <v>119.28772855013848</v>
      </c>
      <c r="O307">
        <v>3</v>
      </c>
      <c r="P307" t="s">
        <v>33</v>
      </c>
      <c r="Q307">
        <f t="shared" si="147"/>
        <v>0.125</v>
      </c>
      <c r="R307" t="s">
        <v>183</v>
      </c>
      <c r="S307" t="s">
        <v>612</v>
      </c>
      <c r="T307" s="11">
        <v>4</v>
      </c>
      <c r="U307">
        <v>3</v>
      </c>
      <c r="V307">
        <v>2.6</v>
      </c>
      <c r="W307" t="s">
        <v>33</v>
      </c>
      <c r="X307" s="8">
        <f t="shared" si="148"/>
        <v>1.5927874753700257E-2</v>
      </c>
      <c r="Y307" s="6">
        <f>7.6/60</f>
        <v>0.12666666666666665</v>
      </c>
      <c r="Z307" s="3">
        <f t="shared" si="150"/>
        <v>0.12742299802960205</v>
      </c>
      <c r="AA307" t="s">
        <v>33</v>
      </c>
      <c r="AB307" s="6">
        <f t="shared" si="157"/>
        <v>15</v>
      </c>
      <c r="AC307" t="str">
        <f t="shared" si="134"/>
        <v>NA</v>
      </c>
      <c r="AD307" s="4">
        <f>IFERROR(AB307*T307*AI307, "NA")</f>
        <v>60</v>
      </c>
      <c r="AE307" s="3">
        <f t="shared" si="151"/>
        <v>101.60639999999999</v>
      </c>
      <c r="AF307">
        <v>180</v>
      </c>
      <c r="AG307" t="str">
        <f t="shared" si="159"/>
        <v>NA</v>
      </c>
      <c r="AH307" t="str">
        <f t="shared" si="160"/>
        <v>NA</v>
      </c>
      <c r="AI307" s="11">
        <v>1</v>
      </c>
      <c r="AJ307" t="s">
        <v>31</v>
      </c>
      <c r="AK307">
        <v>980</v>
      </c>
      <c r="AL307" t="s">
        <v>551</v>
      </c>
      <c r="AM307" t="s">
        <v>86</v>
      </c>
      <c r="AN307" t="s">
        <v>186</v>
      </c>
      <c r="AO307" t="s">
        <v>794</v>
      </c>
      <c r="AP307">
        <v>5.98</v>
      </c>
      <c r="AQ307" t="s">
        <v>33</v>
      </c>
      <c r="AR307" t="s">
        <v>33</v>
      </c>
      <c r="AS307" s="6">
        <v>6.5</v>
      </c>
      <c r="AT307" s="3">
        <f t="shared" si="161"/>
        <v>3.419</v>
      </c>
      <c r="AU307" s="6">
        <v>3.081</v>
      </c>
      <c r="AV307" t="b">
        <v>1</v>
      </c>
      <c r="AW307" t="s">
        <v>29</v>
      </c>
      <c r="AX307" t="s">
        <v>30</v>
      </c>
      <c r="AY307" t="s">
        <v>211</v>
      </c>
      <c r="AZ307" t="s">
        <v>33</v>
      </c>
      <c r="BA307" s="18" t="s">
        <v>798</v>
      </c>
      <c r="BB307" t="b">
        <v>0</v>
      </c>
      <c r="BC307" t="s">
        <v>81</v>
      </c>
      <c r="BD307">
        <v>20</v>
      </c>
      <c r="BE307" t="s">
        <v>80</v>
      </c>
      <c r="BF307" s="11">
        <v>20</v>
      </c>
      <c r="BG307" t="s">
        <v>570</v>
      </c>
      <c r="BH307" t="s">
        <v>31</v>
      </c>
      <c r="BI307" t="s">
        <v>31</v>
      </c>
      <c r="BJ307" s="3">
        <f t="shared" si="135"/>
        <v>3.081</v>
      </c>
      <c r="BK307" s="3">
        <f t="shared" si="136"/>
        <v>0.48869169831694065</v>
      </c>
      <c r="BL307">
        <v>2</v>
      </c>
      <c r="BM307" s="3">
        <f t="shared" si="149"/>
        <v>1.5182293659020722</v>
      </c>
      <c r="BN307" t="s">
        <v>33</v>
      </c>
      <c r="BO307" s="3">
        <f t="shared" si="132"/>
        <v>32.978383641674782</v>
      </c>
      <c r="BP307" t="s">
        <v>33</v>
      </c>
      <c r="BQ307" t="s">
        <v>33</v>
      </c>
      <c r="BR307" t="s">
        <v>33</v>
      </c>
      <c r="BS307" t="s">
        <v>33</v>
      </c>
      <c r="BT307" t="s">
        <v>32</v>
      </c>
      <c r="BU307" t="s">
        <v>207</v>
      </c>
      <c r="BV307">
        <v>2014</v>
      </c>
      <c r="BW307" t="s">
        <v>208</v>
      </c>
      <c r="BX307" t="s">
        <v>78</v>
      </c>
      <c r="BY307" t="s">
        <v>33</v>
      </c>
      <c r="BZ307" t="s">
        <v>33</v>
      </c>
      <c r="CA307" t="str">
        <f t="shared" si="133"/>
        <v>low acid</v>
      </c>
    </row>
    <row r="308" spans="1:79">
      <c r="A308" s="3" t="s">
        <v>303</v>
      </c>
      <c r="B308" t="s">
        <v>566</v>
      </c>
      <c r="C308" t="s">
        <v>563</v>
      </c>
      <c r="D308" s="3" t="s">
        <v>279</v>
      </c>
      <c r="E308" s="3" t="s">
        <v>77</v>
      </c>
      <c r="F308" t="s">
        <v>32</v>
      </c>
      <c r="G308" s="11">
        <v>10</v>
      </c>
      <c r="H308" s="11">
        <v>30</v>
      </c>
      <c r="I308" s="3" t="b">
        <v>0</v>
      </c>
      <c r="J308" s="3" t="s">
        <v>33</v>
      </c>
      <c r="K308" s="3" t="s">
        <v>33</v>
      </c>
      <c r="L308" s="11">
        <v>20</v>
      </c>
      <c r="M308" s="4">
        <v>1000</v>
      </c>
      <c r="N308" s="3">
        <f t="shared" si="158"/>
        <v>2526.2689379665921</v>
      </c>
      <c r="O308" s="3">
        <v>16</v>
      </c>
      <c r="P308" s="3" t="s">
        <v>33</v>
      </c>
      <c r="Q308" s="3">
        <f t="shared" si="147"/>
        <v>7.5000000000000011E-2</v>
      </c>
      <c r="R308" t="s">
        <v>183</v>
      </c>
      <c r="S308" t="s">
        <v>613</v>
      </c>
      <c r="T308" s="11">
        <v>1</v>
      </c>
      <c r="U308" s="3">
        <v>2.8</v>
      </c>
      <c r="V308" s="3">
        <v>3</v>
      </c>
      <c r="W308" s="3">
        <v>0.02</v>
      </c>
      <c r="X308" s="3">
        <f>IFERROR(((PI())*(((V308*10^-1)/2)^2)*(U308*10^-1)), "NA")</f>
        <v>1.97920337176157E-2</v>
      </c>
      <c r="Y308" s="3">
        <f>40/60</f>
        <v>0.66666666666666663</v>
      </c>
      <c r="Z308" s="3">
        <f t="shared" si="150"/>
        <v>0.26389378290154264</v>
      </c>
      <c r="AA308" s="3" t="s">
        <v>33</v>
      </c>
      <c r="AB308" s="3">
        <f t="shared" si="157"/>
        <v>75</v>
      </c>
      <c r="AC308" s="3" t="str">
        <f t="shared" si="134"/>
        <v>NA</v>
      </c>
      <c r="AD308" s="4">
        <f>IFERROR(AB308*T308*AI308, "NA")</f>
        <v>75</v>
      </c>
      <c r="AE308" s="3">
        <f t="shared" si="151"/>
        <v>96.000000000000014</v>
      </c>
      <c r="AF308" s="3">
        <v>1200</v>
      </c>
      <c r="AG308" s="3" t="str">
        <f t="shared" si="159"/>
        <v>NA</v>
      </c>
      <c r="AH308" s="3" t="str">
        <f t="shared" si="160"/>
        <v>NA</v>
      </c>
      <c r="AI308" s="11">
        <v>1</v>
      </c>
      <c r="AJ308" t="s">
        <v>31</v>
      </c>
      <c r="AK308" s="11">
        <v>200</v>
      </c>
      <c r="AL308" s="3" t="s">
        <v>526</v>
      </c>
      <c r="AM308" s="3" t="s">
        <v>103</v>
      </c>
      <c r="AN308" t="s">
        <v>130</v>
      </c>
      <c r="AO308" t="s">
        <v>795</v>
      </c>
      <c r="AP308" s="3" t="s">
        <v>33</v>
      </c>
      <c r="AQ308" s="3" t="s">
        <v>33</v>
      </c>
      <c r="AR308" s="3" t="s">
        <v>33</v>
      </c>
      <c r="AS308" s="3">
        <f>4.049</f>
        <v>4.0490000000000004</v>
      </c>
      <c r="AT308" s="3">
        <f t="shared" si="161"/>
        <v>3.4460000000000006</v>
      </c>
      <c r="AU308" s="6">
        <v>0.60299999999999998</v>
      </c>
      <c r="AV308" s="3" t="b">
        <v>1</v>
      </c>
      <c r="AW308" s="3" t="s">
        <v>172</v>
      </c>
      <c r="AX308" s="3" t="s">
        <v>173</v>
      </c>
      <c r="AY308" s="3" t="s">
        <v>283</v>
      </c>
      <c r="AZ308" s="3" t="s">
        <v>33</v>
      </c>
      <c r="BA308" s="18" t="s">
        <v>799</v>
      </c>
      <c r="BB308" s="3" t="b">
        <v>0</v>
      </c>
      <c r="BC308" t="s">
        <v>81</v>
      </c>
      <c r="BD308" s="3">
        <v>2</v>
      </c>
      <c r="BE308" s="3" t="s">
        <v>252</v>
      </c>
      <c r="BF308" s="11">
        <v>72</v>
      </c>
      <c r="BG308" s="3" t="s">
        <v>574</v>
      </c>
      <c r="BH308" s="3" t="s">
        <v>31</v>
      </c>
      <c r="BI308" s="3" t="s">
        <v>31</v>
      </c>
      <c r="BJ308" s="3">
        <f t="shared" si="135"/>
        <v>0.60299999999999998</v>
      </c>
      <c r="BK308" s="3">
        <f t="shared" si="136"/>
        <v>-0.21968268785984871</v>
      </c>
      <c r="BL308" s="3">
        <v>2</v>
      </c>
      <c r="BM308" s="3">
        <f t="shared" si="149"/>
        <v>2.2019539208994172</v>
      </c>
      <c r="BN308" s="3" t="s">
        <v>33</v>
      </c>
      <c r="BO308" s="3">
        <f t="shared" si="132"/>
        <v>159.20398009950253</v>
      </c>
      <c r="BP308" s="3" t="s">
        <v>33</v>
      </c>
      <c r="BQ308" s="3" t="s">
        <v>33</v>
      </c>
      <c r="BR308" s="3" t="s">
        <v>33</v>
      </c>
      <c r="BS308" s="3" t="s">
        <v>33</v>
      </c>
      <c r="BT308" t="s">
        <v>31</v>
      </c>
      <c r="BU308" s="3" t="s">
        <v>247</v>
      </c>
      <c r="BV308" s="11">
        <v>2016</v>
      </c>
      <c r="BW308" s="3" t="s">
        <v>284</v>
      </c>
      <c r="BX308" t="s">
        <v>78</v>
      </c>
      <c r="BY308" s="3" t="s">
        <v>33</v>
      </c>
      <c r="BZ308" s="3" t="s">
        <v>289</v>
      </c>
      <c r="CA308" t="str">
        <f t="shared" si="133"/>
        <v>low acid</v>
      </c>
    </row>
    <row r="309" spans="1:79">
      <c r="A309" t="s">
        <v>764</v>
      </c>
      <c r="B309" t="s">
        <v>565</v>
      </c>
      <c r="C309" t="s">
        <v>563</v>
      </c>
      <c r="D309" t="s">
        <v>765</v>
      </c>
      <c r="E309" t="s">
        <v>77</v>
      </c>
      <c r="F309" t="s">
        <v>31</v>
      </c>
      <c r="G309">
        <v>22</v>
      </c>
      <c r="H309">
        <v>58</v>
      </c>
      <c r="I309" t="b">
        <v>0</v>
      </c>
      <c r="J309" t="s">
        <v>33</v>
      </c>
      <c r="K309" t="s">
        <v>33</v>
      </c>
      <c r="L309">
        <v>20</v>
      </c>
      <c r="M309" s="4">
        <f>N309</f>
        <v>231.62097403321073</v>
      </c>
      <c r="N309" s="3">
        <f t="shared" si="158"/>
        <v>231.62097403321073</v>
      </c>
      <c r="O309">
        <v>3</v>
      </c>
      <c r="P309">
        <v>7.1800000000000003E-2</v>
      </c>
      <c r="Q309" s="8">
        <f>IFERROR(X309/Y309, "NA")</f>
        <v>7.1812725090036014E-2</v>
      </c>
      <c r="R309" t="s">
        <v>183</v>
      </c>
      <c r="S309" t="s">
        <v>33</v>
      </c>
      <c r="T309" s="11">
        <v>1</v>
      </c>
      <c r="U309" t="s">
        <v>33</v>
      </c>
      <c r="V309" t="s">
        <v>33</v>
      </c>
      <c r="W309">
        <v>9.9699999999999997E-2</v>
      </c>
      <c r="X309">
        <f>W309</f>
        <v>9.9699999999999997E-2</v>
      </c>
      <c r="Y309" s="6">
        <f>83.3/60</f>
        <v>1.3883333333333332</v>
      </c>
      <c r="Z309" s="6">
        <f>Y309</f>
        <v>1.3883333333333332</v>
      </c>
      <c r="AA309" t="s">
        <v>33</v>
      </c>
      <c r="AB309" s="4">
        <f>IFERROR(((X309*M309)/Y309), "NA")</f>
        <v>16.633333333333333</v>
      </c>
      <c r="AC309" s="4">
        <f t="shared" si="134"/>
        <v>16.630385935584531</v>
      </c>
      <c r="AD309" s="4">
        <f>AB309*T309*AI309</f>
        <v>16.633333333333333</v>
      </c>
      <c r="AE309" s="3">
        <f t="shared" si="151"/>
        <v>59.879999999999995</v>
      </c>
      <c r="AF309">
        <v>49.9</v>
      </c>
      <c r="AG309" s="4">
        <f t="shared" si="159"/>
        <v>49.891157806753597</v>
      </c>
      <c r="AH309" s="4">
        <f t="shared" si="160"/>
        <v>49.891157806753597</v>
      </c>
      <c r="AI309">
        <v>1</v>
      </c>
      <c r="AJ309" s="11" t="s">
        <v>31</v>
      </c>
      <c r="AK309">
        <v>3000</v>
      </c>
      <c r="AL309" t="s">
        <v>169</v>
      </c>
      <c r="AM309" t="s">
        <v>103</v>
      </c>
      <c r="AN309" t="s">
        <v>130</v>
      </c>
      <c r="AO309" t="s">
        <v>795</v>
      </c>
      <c r="AP309">
        <v>7.3</v>
      </c>
      <c r="AQ309" t="s">
        <v>33</v>
      </c>
      <c r="AR309" t="s">
        <v>33</v>
      </c>
      <c r="AS309">
        <v>7</v>
      </c>
      <c r="AT309" s="3">
        <f t="shared" si="161"/>
        <v>3.4489999999999998</v>
      </c>
      <c r="AU309" s="6">
        <v>3.5510000000000002</v>
      </c>
      <c r="AV309" t="b">
        <v>1</v>
      </c>
      <c r="AW309" t="s">
        <v>29</v>
      </c>
      <c r="AX309" t="s">
        <v>30</v>
      </c>
      <c r="AY309" t="s">
        <v>766</v>
      </c>
      <c r="AZ309" t="s">
        <v>33</v>
      </c>
      <c r="BA309" s="18" t="s">
        <v>798</v>
      </c>
      <c r="BB309" s="3" t="b">
        <v>0</v>
      </c>
      <c r="BC309" t="s">
        <v>81</v>
      </c>
      <c r="BD309">
        <v>16</v>
      </c>
      <c r="BE309" t="s">
        <v>80</v>
      </c>
      <c r="BF309">
        <v>24</v>
      </c>
      <c r="BG309" t="s">
        <v>569</v>
      </c>
      <c r="BH309" t="s">
        <v>31</v>
      </c>
      <c r="BI309" t="s">
        <v>31</v>
      </c>
      <c r="BJ309" s="3">
        <f t="shared" si="135"/>
        <v>3.5510000000000002</v>
      </c>
      <c r="BK309" s="3">
        <f t="shared" si="136"/>
        <v>0.5503506723016155</v>
      </c>
      <c r="BL309">
        <v>2</v>
      </c>
      <c r="BM309" s="3">
        <f t="shared" si="149"/>
        <v>1.2269311193693992</v>
      </c>
      <c r="BN309" t="s">
        <v>33</v>
      </c>
      <c r="BO309" s="3">
        <f t="shared" si="132"/>
        <v>16.862855533652489</v>
      </c>
      <c r="BP309" t="s">
        <v>33</v>
      </c>
      <c r="BQ309" t="s">
        <v>33</v>
      </c>
      <c r="BR309" t="s">
        <v>33</v>
      </c>
      <c r="BS309" t="s">
        <v>33</v>
      </c>
      <c r="BT309" t="s">
        <v>31</v>
      </c>
      <c r="BU309" t="s">
        <v>767</v>
      </c>
      <c r="BV309">
        <v>2021</v>
      </c>
      <c r="BW309" t="s">
        <v>768</v>
      </c>
      <c r="BX309" t="s">
        <v>78</v>
      </c>
      <c r="BY309" t="s">
        <v>769</v>
      </c>
      <c r="CA309" t="str">
        <f t="shared" si="133"/>
        <v>low acid</v>
      </c>
    </row>
    <row r="310" spans="1:79">
      <c r="A310" t="s">
        <v>273</v>
      </c>
      <c r="B310" t="s">
        <v>565</v>
      </c>
      <c r="C310" t="s">
        <v>563</v>
      </c>
      <c r="D310" t="s">
        <v>118</v>
      </c>
      <c r="E310" t="s">
        <v>77</v>
      </c>
      <c r="F310" t="s">
        <v>32</v>
      </c>
      <c r="G310">
        <v>20</v>
      </c>
      <c r="H310">
        <v>55</v>
      </c>
      <c r="I310" t="b">
        <v>0</v>
      </c>
      <c r="J310" t="s">
        <v>33</v>
      </c>
      <c r="K310" t="s">
        <v>33</v>
      </c>
      <c r="L310">
        <v>40</v>
      </c>
      <c r="M310" s="4" t="s">
        <v>33</v>
      </c>
      <c r="N310" s="3">
        <f t="shared" si="158"/>
        <v>323.10790161261019</v>
      </c>
      <c r="O310">
        <v>2.5</v>
      </c>
      <c r="P310" t="s">
        <v>33</v>
      </c>
      <c r="Q310" s="8">
        <f t="shared" ref="Q310:Q325" si="162">IFERROR(X310/Z310, "NA")</f>
        <v>1.2173435913211428E-2</v>
      </c>
      <c r="R310" t="s">
        <v>183</v>
      </c>
      <c r="S310" t="s">
        <v>613</v>
      </c>
      <c r="T310" s="11">
        <v>6</v>
      </c>
      <c r="U310">
        <v>2.93</v>
      </c>
      <c r="V310">
        <v>2.2999999999999998</v>
      </c>
      <c r="W310" t="s">
        <v>33</v>
      </c>
      <c r="X310" s="8">
        <f t="shared" ref="X310:X321" si="163">IFERROR(((PI())*(((V310*10^-1)/2)^2)*(U310*10^-1)), "NA")</f>
        <v>1.2173435913211428E-2</v>
      </c>
      <c r="Y310">
        <f>60/60</f>
        <v>1</v>
      </c>
      <c r="Z310" s="3">
        <f>IFERROR(X310*N310*O310*T310*AI310/AF310, "NA")</f>
        <v>1</v>
      </c>
      <c r="AA310" t="s">
        <v>33</v>
      </c>
      <c r="AB310" s="6">
        <f>IFERROR(((X310*N310)/Y310), "NA")</f>
        <v>3.9333333333333336</v>
      </c>
      <c r="AC310" t="str">
        <f t="shared" si="134"/>
        <v>NA</v>
      </c>
      <c r="AD310" s="4">
        <f>AB310*T310*AI310</f>
        <v>23.6</v>
      </c>
      <c r="AE310" s="3">
        <f>IFERROR(((L310^2)*N310*O310*AK310*10^-6*Q310*T310*AI310), "NA")</f>
        <v>274.70400000000006</v>
      </c>
      <c r="AF310">
        <v>59</v>
      </c>
      <c r="AG310" t="str">
        <f t="shared" si="159"/>
        <v>NA</v>
      </c>
      <c r="AH310" t="str">
        <f t="shared" si="160"/>
        <v>NA</v>
      </c>
      <c r="AI310">
        <v>1</v>
      </c>
      <c r="AJ310" t="s">
        <v>31</v>
      </c>
      <c r="AK310">
        <v>2910</v>
      </c>
      <c r="AL310" t="s">
        <v>543</v>
      </c>
      <c r="AM310" t="s">
        <v>86</v>
      </c>
      <c r="AN310" t="s">
        <v>205</v>
      </c>
      <c r="AO310" t="s">
        <v>789</v>
      </c>
      <c r="AP310">
        <v>4.05</v>
      </c>
      <c r="AQ310" t="s">
        <v>33</v>
      </c>
      <c r="AR310" t="s">
        <v>33</v>
      </c>
      <c r="AS310">
        <f>LOG(10^6)</f>
        <v>6</v>
      </c>
      <c r="AT310" s="3">
        <f t="shared" si="161"/>
        <v>3.452</v>
      </c>
      <c r="AU310" s="6">
        <v>2.548</v>
      </c>
      <c r="AV310" t="b">
        <v>1</v>
      </c>
      <c r="AW310" t="s">
        <v>29</v>
      </c>
      <c r="AX310" t="s">
        <v>30</v>
      </c>
      <c r="AY310" t="s">
        <v>216</v>
      </c>
      <c r="AZ310" t="s">
        <v>33</v>
      </c>
      <c r="BA310" s="18" t="s">
        <v>798</v>
      </c>
      <c r="BB310" t="b">
        <v>0</v>
      </c>
      <c r="BC310" t="s">
        <v>81</v>
      </c>
      <c r="BD310">
        <v>4</v>
      </c>
      <c r="BE310" t="s">
        <v>159</v>
      </c>
      <c r="BF310" s="11">
        <v>24</v>
      </c>
      <c r="BG310" t="s">
        <v>572</v>
      </c>
      <c r="BH310" t="s">
        <v>31</v>
      </c>
      <c r="BI310" t="s">
        <v>31</v>
      </c>
      <c r="BJ310" s="3">
        <f t="shared" si="135"/>
        <v>2.548</v>
      </c>
      <c r="BK310" s="3">
        <f t="shared" si="136"/>
        <v>0.40619942366331285</v>
      </c>
      <c r="BL310">
        <v>2</v>
      </c>
      <c r="BM310" s="3">
        <f t="shared" si="149"/>
        <v>2.0326655596206633</v>
      </c>
      <c r="BN310" t="s">
        <v>33</v>
      </c>
      <c r="BO310" s="3">
        <f t="shared" si="132"/>
        <v>107.81161695447412</v>
      </c>
      <c r="BP310" t="s">
        <v>33</v>
      </c>
      <c r="BQ310" t="s">
        <v>33</v>
      </c>
      <c r="BR310" t="s">
        <v>33</v>
      </c>
      <c r="BS310" t="s">
        <v>33</v>
      </c>
      <c r="BT310" t="s">
        <v>31</v>
      </c>
      <c r="BU310" t="s">
        <v>274</v>
      </c>
      <c r="BV310">
        <v>2006</v>
      </c>
      <c r="BW310" t="s">
        <v>275</v>
      </c>
      <c r="BX310" t="s">
        <v>78</v>
      </c>
      <c r="BY310" t="s">
        <v>277</v>
      </c>
      <c r="BZ310" t="s">
        <v>33</v>
      </c>
      <c r="CA310" t="str">
        <f t="shared" si="133"/>
        <v>high acid</v>
      </c>
    </row>
    <row r="311" spans="1:79">
      <c r="A311" t="s">
        <v>154</v>
      </c>
      <c r="B311" t="s">
        <v>565</v>
      </c>
      <c r="C311" t="s">
        <v>563</v>
      </c>
      <c r="D311" t="s">
        <v>118</v>
      </c>
      <c r="E311" t="s">
        <v>77</v>
      </c>
      <c r="F311" t="s">
        <v>32</v>
      </c>
      <c r="G311">
        <v>9</v>
      </c>
      <c r="H311">
        <v>29</v>
      </c>
      <c r="I311" t="b">
        <v>1</v>
      </c>
      <c r="J311">
        <v>9000</v>
      </c>
      <c r="K311" t="s">
        <v>33</v>
      </c>
      <c r="L311">
        <v>31</v>
      </c>
      <c r="M311" s="4">
        <v>700</v>
      </c>
      <c r="N311" s="3">
        <f t="shared" si="158"/>
        <v>401.97124629513036</v>
      </c>
      <c r="O311">
        <v>4</v>
      </c>
      <c r="P311" t="s">
        <v>33</v>
      </c>
      <c r="Q311" s="8">
        <f t="shared" si="162"/>
        <v>1.2023809523809523E-2</v>
      </c>
      <c r="R311" t="s">
        <v>183</v>
      </c>
      <c r="S311" t="s">
        <v>612</v>
      </c>
      <c r="T311" s="11">
        <v>6</v>
      </c>
      <c r="U311">
        <v>3.17</v>
      </c>
      <c r="V311">
        <v>2.9</v>
      </c>
      <c r="W311" t="s">
        <v>33</v>
      </c>
      <c r="X311" s="8">
        <f t="shared" si="163"/>
        <v>2.0938479416726951E-2</v>
      </c>
      <c r="Y311" s="6">
        <v>1</v>
      </c>
      <c r="Z311" s="3">
        <f t="shared" ref="Z311:Z318" si="164">IFERROR(X311*M311*O311*T311*AI311/AF311, "NA")</f>
        <v>1.7414180901040237</v>
      </c>
      <c r="AA311" t="s">
        <v>33</v>
      </c>
      <c r="AB311" s="6">
        <f>IFERROR(((X311*M311)/Z311), "NA")</f>
        <v>8.4166666666666661</v>
      </c>
      <c r="AC311" t="str">
        <f t="shared" si="134"/>
        <v>NA</v>
      </c>
      <c r="AD311" s="4">
        <f>AB311*T311*AI311</f>
        <v>50.5</v>
      </c>
      <c r="AE311" s="3">
        <f t="shared" ref="AE311:AE318" si="165">IFERROR(((L311^2)*M311*O311*AK311*10^-6*Q311*T311*AI311), "NA")</f>
        <v>446.48059999999998</v>
      </c>
      <c r="AF311">
        <v>202</v>
      </c>
      <c r="AG311" t="str">
        <f t="shared" si="159"/>
        <v>NA</v>
      </c>
      <c r="AH311" t="str">
        <f t="shared" si="160"/>
        <v>NA</v>
      </c>
      <c r="AI311">
        <v>1</v>
      </c>
      <c r="AJ311" t="s">
        <v>31</v>
      </c>
      <c r="AK311">
        <v>2300</v>
      </c>
      <c r="AL311" t="s">
        <v>149</v>
      </c>
      <c r="AM311" t="s">
        <v>86</v>
      </c>
      <c r="AN311" t="s">
        <v>205</v>
      </c>
      <c r="AO311" t="s">
        <v>789</v>
      </c>
      <c r="AP311">
        <v>3.7</v>
      </c>
      <c r="AQ311" t="s">
        <v>33</v>
      </c>
      <c r="AR311" t="s">
        <v>33</v>
      </c>
      <c r="AS311" s="3">
        <v>6.0369999999999999</v>
      </c>
      <c r="AT311" s="3">
        <f t="shared" si="161"/>
        <v>3.4569999999999999</v>
      </c>
      <c r="AU311" s="6">
        <v>2.58</v>
      </c>
      <c r="AV311" t="b">
        <v>1</v>
      </c>
      <c r="AW311" t="s">
        <v>29</v>
      </c>
      <c r="AX311" t="s">
        <v>30</v>
      </c>
      <c r="AY311" t="s">
        <v>33</v>
      </c>
      <c r="AZ311" t="s">
        <v>134</v>
      </c>
      <c r="BA311" s="18" t="s">
        <v>798</v>
      </c>
      <c r="BB311" t="b">
        <v>0</v>
      </c>
      <c r="BC311" t="s">
        <v>81</v>
      </c>
      <c r="BD311">
        <v>12</v>
      </c>
      <c r="BE311" t="s">
        <v>159</v>
      </c>
      <c r="BF311" s="11">
        <v>48</v>
      </c>
      <c r="BG311" t="s">
        <v>158</v>
      </c>
      <c r="BH311" t="s">
        <v>31</v>
      </c>
      <c r="BI311" t="s">
        <v>31</v>
      </c>
      <c r="BJ311" s="3">
        <f t="shared" si="135"/>
        <v>2.58</v>
      </c>
      <c r="BK311" s="3">
        <f t="shared" si="136"/>
        <v>0.41161970596323016</v>
      </c>
      <c r="BL311">
        <v>2</v>
      </c>
      <c r="BM311" s="3">
        <f t="shared" si="149"/>
        <v>2.2381828871695317</v>
      </c>
      <c r="BN311" t="s">
        <v>33</v>
      </c>
      <c r="BO311" s="3">
        <f t="shared" si="132"/>
        <v>173.054496124031</v>
      </c>
      <c r="BP311" t="s">
        <v>33</v>
      </c>
      <c r="BQ311" t="s">
        <v>33</v>
      </c>
      <c r="BR311" t="s">
        <v>33</v>
      </c>
      <c r="BS311" t="s">
        <v>33</v>
      </c>
      <c r="BT311" t="s">
        <v>31</v>
      </c>
      <c r="BU311" t="s">
        <v>160</v>
      </c>
      <c r="BV311">
        <v>2004</v>
      </c>
      <c r="BW311" s="1" t="s">
        <v>161</v>
      </c>
      <c r="BX311" t="s">
        <v>78</v>
      </c>
      <c r="BY311" t="s">
        <v>33</v>
      </c>
      <c r="BZ311" t="s">
        <v>33</v>
      </c>
      <c r="CA311" t="str">
        <f t="shared" si="133"/>
        <v>high acid</v>
      </c>
    </row>
    <row r="312" spans="1:79">
      <c r="A312" t="s">
        <v>431</v>
      </c>
      <c r="B312" t="s">
        <v>565</v>
      </c>
      <c r="C312" t="s">
        <v>563</v>
      </c>
      <c r="D312" t="s">
        <v>118</v>
      </c>
      <c r="E312" t="s">
        <v>77</v>
      </c>
      <c r="F312" t="s">
        <v>32</v>
      </c>
      <c r="G312">
        <v>20</v>
      </c>
      <c r="H312">
        <v>25</v>
      </c>
      <c r="I312" t="b">
        <v>0</v>
      </c>
      <c r="J312" t="s">
        <v>33</v>
      </c>
      <c r="K312" t="s">
        <v>33</v>
      </c>
      <c r="L312">
        <v>27.4</v>
      </c>
      <c r="M312" s="4">
        <v>667</v>
      </c>
      <c r="N312" s="3" t="str">
        <f t="shared" si="158"/>
        <v>NA</v>
      </c>
      <c r="O312">
        <v>2</v>
      </c>
      <c r="P312" t="s">
        <v>33</v>
      </c>
      <c r="Q312" s="8">
        <f t="shared" si="162"/>
        <v>1.999000499750125E-2</v>
      </c>
      <c r="R312" t="s">
        <v>183</v>
      </c>
      <c r="S312" t="s">
        <v>613</v>
      </c>
      <c r="T312" s="11">
        <v>6</v>
      </c>
      <c r="U312">
        <v>2.92</v>
      </c>
      <c r="V312">
        <v>2.2999999999999998</v>
      </c>
      <c r="W312" t="s">
        <v>33</v>
      </c>
      <c r="X312" s="9">
        <f t="shared" si="163"/>
        <v>1.2131888350367701E-2</v>
      </c>
      <c r="Y312" s="6" t="s">
        <v>33</v>
      </c>
      <c r="Z312" s="3">
        <f t="shared" si="164"/>
        <v>0.60689771472714416</v>
      </c>
      <c r="AA312" t="s">
        <v>33</v>
      </c>
      <c r="AB312" s="6" t="str">
        <f>IFERROR(((X312*M312)/Y312), "NA")</f>
        <v>NA</v>
      </c>
      <c r="AC312" t="str">
        <f t="shared" si="134"/>
        <v>NA</v>
      </c>
      <c r="AD312" s="4" t="str">
        <f>IFERROR(AB312*T312*AI312, "NA")</f>
        <v>NA</v>
      </c>
      <c r="AE312" s="3">
        <f t="shared" si="165"/>
        <v>120.12159999999999</v>
      </c>
      <c r="AF312">
        <v>160</v>
      </c>
      <c r="AG312" t="str">
        <f t="shared" si="159"/>
        <v>NA</v>
      </c>
      <c r="AH312" t="str">
        <f t="shared" si="160"/>
        <v>NA</v>
      </c>
      <c r="AI312" s="11">
        <v>1</v>
      </c>
      <c r="AJ312" t="s">
        <v>31</v>
      </c>
      <c r="AK312">
        <v>1000</v>
      </c>
      <c r="AL312" t="s">
        <v>430</v>
      </c>
      <c r="AM312" t="s">
        <v>530</v>
      </c>
      <c r="AN312" t="s">
        <v>186</v>
      </c>
      <c r="AO312" t="s">
        <v>796</v>
      </c>
      <c r="AP312" s="4">
        <v>6</v>
      </c>
      <c r="AQ312" t="s">
        <v>33</v>
      </c>
      <c r="AR312" t="s">
        <v>33</v>
      </c>
      <c r="AS312" s="3">
        <f>LOG((10^6+10^7)/2)</f>
        <v>6.7403626894942441</v>
      </c>
      <c r="AT312" s="3">
        <f t="shared" si="161"/>
        <v>3.4573626894942442</v>
      </c>
      <c r="AU312" s="6">
        <v>3.2829999999999999</v>
      </c>
      <c r="AV312" t="b">
        <v>1</v>
      </c>
      <c r="AW312" t="s">
        <v>29</v>
      </c>
      <c r="AX312" t="s">
        <v>30</v>
      </c>
      <c r="AY312" t="s">
        <v>216</v>
      </c>
      <c r="AZ312" t="s">
        <v>33</v>
      </c>
      <c r="BA312" s="18" t="s">
        <v>798</v>
      </c>
      <c r="BB312" s="3" t="b">
        <v>0</v>
      </c>
      <c r="BC312" t="s">
        <v>81</v>
      </c>
      <c r="BD312">
        <v>15</v>
      </c>
      <c r="BE312" t="s">
        <v>80</v>
      </c>
      <c r="BF312" s="11">
        <v>240</v>
      </c>
      <c r="BG312" t="s">
        <v>139</v>
      </c>
      <c r="BH312" t="s">
        <v>31</v>
      </c>
      <c r="BI312" t="s">
        <v>31</v>
      </c>
      <c r="BJ312" s="3">
        <f t="shared" si="135"/>
        <v>3.2829999999999999</v>
      </c>
      <c r="BK312" s="3">
        <f t="shared" si="136"/>
        <v>0.51627088272934007</v>
      </c>
      <c r="BL312">
        <v>2</v>
      </c>
      <c r="BM312" s="3">
        <f t="shared" si="149"/>
        <v>1.5633502255673606</v>
      </c>
      <c r="BN312" t="s">
        <v>33</v>
      </c>
      <c r="BO312" s="3">
        <f t="shared" si="132"/>
        <v>36.588973499847697</v>
      </c>
      <c r="BP312" t="s">
        <v>33</v>
      </c>
      <c r="BQ312" t="s">
        <v>33</v>
      </c>
      <c r="BR312" t="s">
        <v>33</v>
      </c>
      <c r="BS312" t="s">
        <v>33</v>
      </c>
      <c r="BT312" t="s">
        <v>32</v>
      </c>
      <c r="BU312" t="s">
        <v>344</v>
      </c>
      <c r="BV312">
        <v>2008</v>
      </c>
      <c r="BW312" t="s">
        <v>432</v>
      </c>
      <c r="BX312" t="s">
        <v>78</v>
      </c>
      <c r="BY312" t="s">
        <v>33</v>
      </c>
      <c r="BZ312" t="s">
        <v>33</v>
      </c>
      <c r="CA312" t="str">
        <f t="shared" si="133"/>
        <v>low acid</v>
      </c>
    </row>
    <row r="313" spans="1:79">
      <c r="A313" t="s">
        <v>580</v>
      </c>
      <c r="B313" t="s">
        <v>565</v>
      </c>
      <c r="C313" t="s">
        <v>563</v>
      </c>
      <c r="D313" t="s">
        <v>118</v>
      </c>
      <c r="E313" t="s">
        <v>77</v>
      </c>
      <c r="F313" t="s">
        <v>32</v>
      </c>
      <c r="G313">
        <v>22</v>
      </c>
      <c r="H313">
        <v>40</v>
      </c>
      <c r="I313" t="b">
        <v>0</v>
      </c>
      <c r="J313">
        <v>10220</v>
      </c>
      <c r="K313">
        <v>59.68</v>
      </c>
      <c r="L313">
        <v>35</v>
      </c>
      <c r="M313" s="4">
        <v>100</v>
      </c>
      <c r="N313" t="e">
        <f>(#REF!*Y313)/(T313*X313*O313)</f>
        <v>#REF!</v>
      </c>
      <c r="O313">
        <v>4</v>
      </c>
      <c r="P313">
        <f>AVERAGE(0.0066, 0.0091)</f>
        <v>7.8499999999999993E-3</v>
      </c>
      <c r="Q313" s="1">
        <f t="shared" si="162"/>
        <v>0.39062499999999994</v>
      </c>
      <c r="R313" t="s">
        <v>183</v>
      </c>
      <c r="S313" t="s">
        <v>613</v>
      </c>
      <c r="T313">
        <v>8</v>
      </c>
      <c r="U313">
        <v>2.92</v>
      </c>
      <c r="V313">
        <v>2.2999999999999998</v>
      </c>
      <c r="W313">
        <v>1.21E-2</v>
      </c>
      <c r="X313">
        <f t="shared" si="163"/>
        <v>1.2131888350367701E-2</v>
      </c>
      <c r="Y313">
        <v>1.3333299999999999</v>
      </c>
      <c r="Z313" s="3">
        <f t="shared" si="164"/>
        <v>3.1057634176941316E-2</v>
      </c>
      <c r="AA313" t="s">
        <v>33</v>
      </c>
      <c r="AB313">
        <f>IFERROR(((X313*M313)/Z313), "NA")</f>
        <v>39.0625</v>
      </c>
      <c r="AC313" s="1">
        <f t="shared" si="134"/>
        <v>0.78499999999999992</v>
      </c>
      <c r="AE313" s="3">
        <f t="shared" si="165"/>
        <v>7855.3124999999982</v>
      </c>
      <c r="AF313">
        <v>1250</v>
      </c>
      <c r="AG313" s="1" t="str">
        <f>IFERROR((N313*P313*Q313), "NA")</f>
        <v>NA</v>
      </c>
      <c r="AH313" s="1" t="str">
        <f>IFERROR((AG313*U313*AI313), "NA")</f>
        <v>NA</v>
      </c>
      <c r="AI313" s="1">
        <v>1</v>
      </c>
      <c r="AJ313" s="11" t="s">
        <v>31</v>
      </c>
      <c r="AK313">
        <v>5130</v>
      </c>
      <c r="AL313" t="s">
        <v>547</v>
      </c>
      <c r="AM313" t="s">
        <v>86</v>
      </c>
      <c r="AN313" t="s">
        <v>205</v>
      </c>
      <c r="AO313" t="s">
        <v>789</v>
      </c>
      <c r="AP313">
        <v>3.16</v>
      </c>
      <c r="AQ313" t="s">
        <v>33</v>
      </c>
      <c r="AR313" t="s">
        <v>33</v>
      </c>
      <c r="AS313">
        <v>7.5</v>
      </c>
      <c r="AT313">
        <f>AS313-AU313</f>
        <v>3.46</v>
      </c>
      <c r="AU313" s="6">
        <v>4.04</v>
      </c>
      <c r="AV313" t="b">
        <v>1</v>
      </c>
      <c r="AW313" t="s">
        <v>617</v>
      </c>
      <c r="AX313" t="s">
        <v>33</v>
      </c>
      <c r="AY313" t="s">
        <v>33</v>
      </c>
      <c r="AZ313" t="s">
        <v>619</v>
      </c>
      <c r="BA313" s="18" t="s">
        <v>802</v>
      </c>
      <c r="BB313" s="3" t="b">
        <v>0</v>
      </c>
      <c r="BC313" t="s">
        <v>81</v>
      </c>
      <c r="BD313">
        <v>15</v>
      </c>
      <c r="BE313" t="s">
        <v>80</v>
      </c>
      <c r="BF313">
        <v>24</v>
      </c>
      <c r="BG313" t="s">
        <v>697</v>
      </c>
      <c r="BH313" t="s">
        <v>32</v>
      </c>
      <c r="BI313" t="s">
        <v>31</v>
      </c>
      <c r="BJ313">
        <f t="shared" si="135"/>
        <v>4.04</v>
      </c>
      <c r="BK313" s="3">
        <f t="shared" si="136"/>
        <v>0.60638136511060492</v>
      </c>
      <c r="BL313">
        <v>2</v>
      </c>
      <c r="BM313" s="3">
        <f t="shared" si="149"/>
        <v>3.2887821017098187</v>
      </c>
      <c r="BN313" t="s">
        <v>33</v>
      </c>
      <c r="BO313" s="3">
        <f t="shared" si="132"/>
        <v>1944.3842821782173</v>
      </c>
      <c r="BP313" t="s">
        <v>33</v>
      </c>
      <c r="BQ313" t="s">
        <v>33</v>
      </c>
      <c r="BR313" t="s">
        <v>33</v>
      </c>
      <c r="BS313" t="s">
        <v>33</v>
      </c>
      <c r="BT313" t="s">
        <v>31</v>
      </c>
      <c r="BU313" t="s">
        <v>219</v>
      </c>
      <c r="BV313" s="14">
        <v>2008</v>
      </c>
      <c r="BW313" t="s">
        <v>257</v>
      </c>
      <c r="BX313" t="s">
        <v>78</v>
      </c>
      <c r="BY313" s="13" t="s">
        <v>670</v>
      </c>
      <c r="CA313" t="str">
        <f t="shared" si="133"/>
        <v>high acid</v>
      </c>
    </row>
    <row r="314" spans="1:79">
      <c r="A314" t="s">
        <v>332</v>
      </c>
      <c r="B314" t="s">
        <v>565</v>
      </c>
      <c r="C314" t="s">
        <v>563</v>
      </c>
      <c r="D314" t="s">
        <v>118</v>
      </c>
      <c r="E314" t="s">
        <v>77</v>
      </c>
      <c r="F314" t="s">
        <v>32</v>
      </c>
      <c r="G314">
        <v>15</v>
      </c>
      <c r="H314">
        <v>30.4</v>
      </c>
      <c r="I314" t="b">
        <v>0</v>
      </c>
      <c r="J314" t="s">
        <v>33</v>
      </c>
      <c r="K314" t="s">
        <v>33</v>
      </c>
      <c r="L314">
        <v>35</v>
      </c>
      <c r="M314" s="4">
        <v>600</v>
      </c>
      <c r="N314" s="3">
        <f t="shared" ref="N314:N321" si="166">IFERROR(AF314/((T314*X314/Y314)*O314*AI314),"NA")</f>
        <v>6909.4056514700696</v>
      </c>
      <c r="O314">
        <v>5</v>
      </c>
      <c r="P314" t="s">
        <v>33</v>
      </c>
      <c r="Q314" s="8">
        <f t="shared" si="162"/>
        <v>4.1666666666666664E-2</v>
      </c>
      <c r="R314" t="s">
        <v>183</v>
      </c>
      <c r="S314" t="s">
        <v>613</v>
      </c>
      <c r="T314" s="11">
        <v>8</v>
      </c>
      <c r="U314">
        <v>2.9</v>
      </c>
      <c r="V314">
        <v>2.2999999999999998</v>
      </c>
      <c r="W314">
        <v>1.2E-2</v>
      </c>
      <c r="X314" s="8">
        <f t="shared" si="163"/>
        <v>1.204879322468025E-2</v>
      </c>
      <c r="Y314">
        <v>3.33</v>
      </c>
      <c r="Z314" s="3">
        <f t="shared" si="164"/>
        <v>0.28917103739232602</v>
      </c>
      <c r="AA314" t="s">
        <v>33</v>
      </c>
      <c r="AB314" s="6">
        <f>IFERROR(((X314*M314)/Z314), "NA")</f>
        <v>25</v>
      </c>
      <c r="AC314" t="str">
        <f t="shared" si="134"/>
        <v>NA</v>
      </c>
      <c r="AD314" s="4">
        <f t="shared" ref="AD314:AD319" si="167">AB314*T314*AI314</f>
        <v>200</v>
      </c>
      <c r="AE314" s="3">
        <f t="shared" si="165"/>
        <v>2572.5</v>
      </c>
      <c r="AF314">
        <v>1000</v>
      </c>
      <c r="AG314" t="str">
        <f t="shared" ref="AG314:AG321" si="168">IFERROR((M314*O314*P314), "NA")</f>
        <v>NA</v>
      </c>
      <c r="AH314" t="str">
        <f t="shared" ref="AH314:AH321" si="169">IFERROR((AG314*T314*AI314), "NA")</f>
        <v>NA</v>
      </c>
      <c r="AI314">
        <v>1</v>
      </c>
      <c r="AJ314" t="s">
        <v>31</v>
      </c>
      <c r="AK314">
        <v>2100</v>
      </c>
      <c r="AL314" t="s">
        <v>551</v>
      </c>
      <c r="AM314" t="s">
        <v>86</v>
      </c>
      <c r="AN314" t="s">
        <v>205</v>
      </c>
      <c r="AO314" t="s">
        <v>789</v>
      </c>
      <c r="AP314">
        <v>3.79</v>
      </c>
      <c r="AQ314">
        <v>1060</v>
      </c>
      <c r="AR314" t="s">
        <v>33</v>
      </c>
      <c r="AS314" s="6">
        <f>LOG((10^6+10^7)/2)</f>
        <v>6.7403626894942441</v>
      </c>
      <c r="AT314" s="3">
        <f t="shared" ref="AT314:AT321" si="170">IFERROR(AS314-AU314,"NA")</f>
        <v>3.4603626894942443</v>
      </c>
      <c r="AU314" s="6">
        <v>3.28</v>
      </c>
      <c r="AV314" t="b">
        <v>1</v>
      </c>
      <c r="AW314" t="s">
        <v>172</v>
      </c>
      <c r="AX314" t="s">
        <v>173</v>
      </c>
      <c r="AY314" t="s">
        <v>333</v>
      </c>
      <c r="AZ314" t="s">
        <v>33</v>
      </c>
      <c r="BA314" s="18" t="s">
        <v>799</v>
      </c>
      <c r="BB314" t="b">
        <v>0</v>
      </c>
      <c r="BC314" t="s">
        <v>81</v>
      </c>
      <c r="BD314">
        <v>72</v>
      </c>
      <c r="BE314" t="s">
        <v>80</v>
      </c>
      <c r="BF314" s="11">
        <v>168</v>
      </c>
      <c r="BG314" t="s">
        <v>334</v>
      </c>
      <c r="BH314" t="s">
        <v>31</v>
      </c>
      <c r="BI314" t="s">
        <v>31</v>
      </c>
      <c r="BJ314" s="3">
        <f t="shared" si="135"/>
        <v>3.28</v>
      </c>
      <c r="BK314" s="3">
        <f t="shared" si="136"/>
        <v>0.5158738437116791</v>
      </c>
      <c r="BL314">
        <v>2</v>
      </c>
      <c r="BM314" s="3">
        <f t="shared" si="149"/>
        <v>2.8944815397227917</v>
      </c>
      <c r="BN314" t="s">
        <v>33</v>
      </c>
      <c r="BO314" s="3">
        <f t="shared" si="132"/>
        <v>784.29878048780495</v>
      </c>
      <c r="BP314" t="s">
        <v>33</v>
      </c>
      <c r="BQ314" t="s">
        <v>33</v>
      </c>
      <c r="BR314" t="s">
        <v>33</v>
      </c>
      <c r="BS314" t="s">
        <v>33</v>
      </c>
      <c r="BT314" t="s">
        <v>31</v>
      </c>
      <c r="BU314" t="s">
        <v>330</v>
      </c>
      <c r="BV314">
        <v>2009</v>
      </c>
      <c r="BW314" t="s">
        <v>331</v>
      </c>
      <c r="BX314" t="s">
        <v>78</v>
      </c>
      <c r="BY314" t="s">
        <v>33</v>
      </c>
      <c r="BZ314" t="s">
        <v>33</v>
      </c>
      <c r="CA314" t="str">
        <f t="shared" si="133"/>
        <v>high acid</v>
      </c>
    </row>
    <row r="315" spans="1:79">
      <c r="A315" t="s">
        <v>770</v>
      </c>
      <c r="B315" t="s">
        <v>565</v>
      </c>
      <c r="C315" t="s">
        <v>563</v>
      </c>
      <c r="D315" t="s">
        <v>118</v>
      </c>
      <c r="E315" t="s">
        <v>77</v>
      </c>
      <c r="F315" t="s">
        <v>32</v>
      </c>
      <c r="G315">
        <v>20</v>
      </c>
      <c r="H315" t="s">
        <v>33</v>
      </c>
      <c r="I315" t="b">
        <v>0</v>
      </c>
      <c r="J315" t="s">
        <v>33</v>
      </c>
      <c r="K315" t="s">
        <v>33</v>
      </c>
      <c r="L315">
        <v>30</v>
      </c>
      <c r="M315" s="4">
        <v>500</v>
      </c>
      <c r="N315" s="3">
        <f t="shared" si="166"/>
        <v>2397.1108735599319</v>
      </c>
      <c r="O315">
        <v>3</v>
      </c>
      <c r="P315" s="8">
        <f>Q315</f>
        <v>6.7111111111111107E-2</v>
      </c>
      <c r="Q315" s="8">
        <f t="shared" si="162"/>
        <v>6.7111111111111107E-2</v>
      </c>
      <c r="R315" t="s">
        <v>183</v>
      </c>
      <c r="S315" t="s">
        <v>613</v>
      </c>
      <c r="T315" s="11">
        <v>6</v>
      </c>
      <c r="U315">
        <v>2.92</v>
      </c>
      <c r="V315">
        <v>2.2999999999999998</v>
      </c>
      <c r="W315" s="16">
        <f>X315</f>
        <v>1.2131888350367701E-2</v>
      </c>
      <c r="X315" s="16">
        <f t="shared" si="163"/>
        <v>1.2131888350367701E-2</v>
      </c>
      <c r="Y315" s="6">
        <f>52/60</f>
        <v>0.8666666666666667</v>
      </c>
      <c r="Z315" s="3">
        <f t="shared" si="164"/>
        <v>0.18077317078362468</v>
      </c>
      <c r="AA315" t="s">
        <v>33</v>
      </c>
      <c r="AB315" s="4">
        <f>IFERROR(((X315*M315)/Y315), "NA")</f>
        <v>6.9991663559813659</v>
      </c>
      <c r="AC315" s="4">
        <f t="shared" si="134"/>
        <v>33.555555555555557</v>
      </c>
      <c r="AD315" s="4">
        <f t="shared" si="167"/>
        <v>41.994998135888196</v>
      </c>
      <c r="AE315" s="3">
        <f t="shared" si="165"/>
        <v>1494.8999999999999</v>
      </c>
      <c r="AF315">
        <v>604</v>
      </c>
      <c r="AG315" s="4">
        <f t="shared" si="168"/>
        <v>100.66666666666666</v>
      </c>
      <c r="AH315" s="4">
        <f t="shared" si="169"/>
        <v>604</v>
      </c>
      <c r="AI315">
        <v>1</v>
      </c>
      <c r="AJ315" s="11" t="s">
        <v>31</v>
      </c>
      <c r="AK315">
        <v>2750</v>
      </c>
      <c r="AL315" t="s">
        <v>149</v>
      </c>
      <c r="AM315" t="s">
        <v>86</v>
      </c>
      <c r="AN315" t="s">
        <v>205</v>
      </c>
      <c r="AO315" t="s">
        <v>789</v>
      </c>
      <c r="AP315">
        <v>3.67</v>
      </c>
      <c r="AQ315" t="s">
        <v>33</v>
      </c>
      <c r="AR315" t="s">
        <v>33</v>
      </c>
      <c r="AS315">
        <v>6.7469999999999999</v>
      </c>
      <c r="AT315" s="3">
        <f t="shared" si="170"/>
        <v>3.464</v>
      </c>
      <c r="AU315" s="6">
        <f>AS315-3.464</f>
        <v>3.2829999999999999</v>
      </c>
      <c r="AV315" t="b">
        <v>1</v>
      </c>
      <c r="AW315" t="s">
        <v>29</v>
      </c>
      <c r="AX315" t="s">
        <v>30</v>
      </c>
      <c r="AY315" t="s">
        <v>773</v>
      </c>
      <c r="AZ315" t="s">
        <v>134</v>
      </c>
      <c r="BA315" s="18" t="s">
        <v>798</v>
      </c>
      <c r="BB315" s="3" t="b">
        <v>0</v>
      </c>
      <c r="BC315" t="s">
        <v>81</v>
      </c>
      <c r="BD315">
        <v>24</v>
      </c>
      <c r="BE315" t="s">
        <v>80</v>
      </c>
      <c r="BF315">
        <v>36</v>
      </c>
      <c r="BG315" t="s">
        <v>774</v>
      </c>
      <c r="BH315" t="s">
        <v>32</v>
      </c>
      <c r="BI315" t="s">
        <v>31</v>
      </c>
      <c r="BJ315" s="3">
        <f t="shared" si="135"/>
        <v>3.2829999999999999</v>
      </c>
      <c r="BK315" s="3">
        <f t="shared" si="136"/>
        <v>0.51627088272934007</v>
      </c>
      <c r="BL315">
        <v>2</v>
      </c>
      <c r="BM315" s="3">
        <f t="shared" si="149"/>
        <v>2.6583412591613791</v>
      </c>
      <c r="BN315" t="s">
        <v>33</v>
      </c>
      <c r="BO315" s="3">
        <f t="shared" si="132"/>
        <v>455.34572037770329</v>
      </c>
      <c r="BP315" t="s">
        <v>33</v>
      </c>
      <c r="BQ315" t="s">
        <v>33</v>
      </c>
      <c r="BR315" t="s">
        <v>33</v>
      </c>
      <c r="BS315" t="s">
        <v>33</v>
      </c>
      <c r="BT315" t="s">
        <v>31</v>
      </c>
      <c r="BU315" t="s">
        <v>163</v>
      </c>
      <c r="BV315">
        <v>2023</v>
      </c>
      <c r="BW315" t="s">
        <v>776</v>
      </c>
      <c r="BX315" t="s">
        <v>78</v>
      </c>
      <c r="BY315" t="s">
        <v>772</v>
      </c>
      <c r="CA315" t="str">
        <f t="shared" si="133"/>
        <v>high acid</v>
      </c>
    </row>
    <row r="316" spans="1:79">
      <c r="A316" t="s">
        <v>151</v>
      </c>
      <c r="B316" t="s">
        <v>565</v>
      </c>
      <c r="C316" t="s">
        <v>563</v>
      </c>
      <c r="D316" t="s">
        <v>118</v>
      </c>
      <c r="E316" t="s">
        <v>77</v>
      </c>
      <c r="F316" t="s">
        <v>32</v>
      </c>
      <c r="G316">
        <v>20</v>
      </c>
      <c r="H316" t="s">
        <v>33</v>
      </c>
      <c r="I316" t="b">
        <v>0</v>
      </c>
      <c r="J316" t="s">
        <v>33</v>
      </c>
      <c r="K316" t="s">
        <v>33</v>
      </c>
      <c r="L316">
        <v>30</v>
      </c>
      <c r="M316" s="4">
        <v>500</v>
      </c>
      <c r="N316" s="3">
        <f t="shared" si="166"/>
        <v>503.35454362283343</v>
      </c>
      <c r="O316">
        <v>3</v>
      </c>
      <c r="P316" t="s">
        <v>33</v>
      </c>
      <c r="Q316" s="8">
        <f t="shared" si="162"/>
        <v>1.4555555555555556E-2</v>
      </c>
      <c r="R316" t="s">
        <v>183</v>
      </c>
      <c r="S316" t="s">
        <v>613</v>
      </c>
      <c r="T316" s="11">
        <v>6</v>
      </c>
      <c r="U316">
        <v>2.9</v>
      </c>
      <c r="V316">
        <v>2.2999999999999998</v>
      </c>
      <c r="W316" t="s">
        <v>33</v>
      </c>
      <c r="X316" s="8">
        <f t="shared" si="163"/>
        <v>1.204879322468025E-2</v>
      </c>
      <c r="Y316" s="6">
        <f>50/60</f>
        <v>0.83333333333333337</v>
      </c>
      <c r="Z316" s="3">
        <f t="shared" si="164"/>
        <v>0.82777968719177286</v>
      </c>
      <c r="AA316" t="s">
        <v>33</v>
      </c>
      <c r="AB316" s="6">
        <f>IFERROR(((X316*M316)/Z316), "NA")</f>
        <v>7.2777777777777786</v>
      </c>
      <c r="AC316" t="str">
        <f t="shared" si="134"/>
        <v>NA</v>
      </c>
      <c r="AD316" s="4">
        <f t="shared" si="167"/>
        <v>43.666666666666671</v>
      </c>
      <c r="AE316" s="3">
        <f t="shared" si="165"/>
        <v>455.09400000000005</v>
      </c>
      <c r="AF316">
        <v>131</v>
      </c>
      <c r="AG316" t="str">
        <f t="shared" si="168"/>
        <v>NA</v>
      </c>
      <c r="AH316" t="str">
        <f t="shared" si="169"/>
        <v>NA</v>
      </c>
      <c r="AI316">
        <v>1</v>
      </c>
      <c r="AJ316" t="s">
        <v>31</v>
      </c>
      <c r="AK316">
        <v>3860</v>
      </c>
      <c r="AL316" t="s">
        <v>138</v>
      </c>
      <c r="AM316" t="s">
        <v>86</v>
      </c>
      <c r="AN316" t="s">
        <v>205</v>
      </c>
      <c r="AO316" t="s">
        <v>789</v>
      </c>
      <c r="AP316">
        <v>3.9</v>
      </c>
      <c r="AQ316" t="s">
        <v>33</v>
      </c>
      <c r="AR316" t="s">
        <v>33</v>
      </c>
      <c r="AS316" s="3">
        <v>7.2050000000000001</v>
      </c>
      <c r="AT316" s="3">
        <f t="shared" si="170"/>
        <v>3.4689999999999999</v>
      </c>
      <c r="AU316" s="6">
        <v>3.7360000000000002</v>
      </c>
      <c r="AV316" t="b">
        <v>1</v>
      </c>
      <c r="AW316" t="s">
        <v>29</v>
      </c>
      <c r="AX316" t="s">
        <v>30</v>
      </c>
      <c r="AY316" t="s">
        <v>33</v>
      </c>
      <c r="AZ316" t="s">
        <v>134</v>
      </c>
      <c r="BA316" s="18" t="s">
        <v>798</v>
      </c>
      <c r="BB316" t="b">
        <v>0</v>
      </c>
      <c r="BC316" t="s">
        <v>81</v>
      </c>
      <c r="BD316">
        <f>(48+24)/2</f>
        <v>36</v>
      </c>
      <c r="BE316" t="s">
        <v>80</v>
      </c>
      <c r="BF316" s="11">
        <f>(48+24)/2</f>
        <v>36</v>
      </c>
      <c r="BG316" t="s">
        <v>139</v>
      </c>
      <c r="BH316" t="s">
        <v>31</v>
      </c>
      <c r="BI316" t="s">
        <v>31</v>
      </c>
      <c r="BJ316" s="3">
        <f t="shared" si="135"/>
        <v>3.7360000000000002</v>
      </c>
      <c r="BK316" s="3">
        <f t="shared" si="136"/>
        <v>0.57240686755805581</v>
      </c>
      <c r="BL316">
        <v>2</v>
      </c>
      <c r="BM316" s="3">
        <f t="shared" si="149"/>
        <v>2.0856942422087883</v>
      </c>
      <c r="BN316" t="s">
        <v>33</v>
      </c>
      <c r="BO316" s="3">
        <f t="shared" si="132"/>
        <v>121.81316916488224</v>
      </c>
      <c r="BP316" t="s">
        <v>33</v>
      </c>
      <c r="BQ316" t="s">
        <v>33</v>
      </c>
      <c r="BR316" t="s">
        <v>33</v>
      </c>
      <c r="BS316" t="s">
        <v>33</v>
      </c>
      <c r="BT316" t="s">
        <v>31</v>
      </c>
      <c r="BU316" t="s">
        <v>135</v>
      </c>
      <c r="BV316">
        <v>2011</v>
      </c>
      <c r="BW316" s="7" t="s">
        <v>136</v>
      </c>
      <c r="BX316" t="s">
        <v>78</v>
      </c>
      <c r="BY316" t="s">
        <v>33</v>
      </c>
      <c r="BZ316" t="s">
        <v>33</v>
      </c>
      <c r="CA316" t="str">
        <f t="shared" si="133"/>
        <v>high acid</v>
      </c>
    </row>
    <row r="317" spans="1:79">
      <c r="A317" t="s">
        <v>237</v>
      </c>
      <c r="B317" t="s">
        <v>565</v>
      </c>
      <c r="C317" t="s">
        <v>563</v>
      </c>
      <c r="D317" t="s">
        <v>118</v>
      </c>
      <c r="E317" t="s">
        <v>77</v>
      </c>
      <c r="F317" t="s">
        <v>32</v>
      </c>
      <c r="G317">
        <v>4</v>
      </c>
      <c r="H317">
        <v>32.5</v>
      </c>
      <c r="I317" t="b">
        <v>0</v>
      </c>
      <c r="J317" t="s">
        <v>33</v>
      </c>
      <c r="K317" t="s">
        <v>33</v>
      </c>
      <c r="L317">
        <v>35</v>
      </c>
      <c r="M317" s="4">
        <v>200</v>
      </c>
      <c r="N317" s="3">
        <f t="shared" si="166"/>
        <v>1545.5137286547574</v>
      </c>
      <c r="O317">
        <v>4</v>
      </c>
      <c r="P317" t="s">
        <v>33</v>
      </c>
      <c r="Q317" s="9">
        <f t="shared" si="162"/>
        <v>9.3749999999999986E-2</v>
      </c>
      <c r="R317" t="s">
        <v>183</v>
      </c>
      <c r="S317" t="s">
        <v>613</v>
      </c>
      <c r="T317" s="11">
        <v>8</v>
      </c>
      <c r="U317">
        <v>2.92</v>
      </c>
      <c r="V317">
        <v>2.2999999999999998</v>
      </c>
      <c r="W317">
        <v>1.2E-2</v>
      </c>
      <c r="X317" s="8">
        <f t="shared" si="163"/>
        <v>1.2131888350367701E-2</v>
      </c>
      <c r="Y317" s="6">
        <f>60/60</f>
        <v>1</v>
      </c>
      <c r="Z317" s="3">
        <f t="shared" si="164"/>
        <v>0.12940680907058882</v>
      </c>
      <c r="AA317" t="s">
        <v>33</v>
      </c>
      <c r="AB317" s="6">
        <f>IFERROR(((X317*M317)/Z317), "NA")</f>
        <v>18.749999999999996</v>
      </c>
      <c r="AC317" t="str">
        <f t="shared" si="134"/>
        <v>NA</v>
      </c>
      <c r="AD317" s="4">
        <f t="shared" si="167"/>
        <v>149.99999999999997</v>
      </c>
      <c r="AE317" s="3">
        <f t="shared" si="165"/>
        <v>3116.3999999999992</v>
      </c>
      <c r="AF317">
        <v>600</v>
      </c>
      <c r="AG317" t="str">
        <f t="shared" si="168"/>
        <v>NA</v>
      </c>
      <c r="AH317" t="str">
        <f t="shared" si="169"/>
        <v>NA</v>
      </c>
      <c r="AI317">
        <v>1</v>
      </c>
      <c r="AJ317" t="s">
        <v>31</v>
      </c>
      <c r="AK317">
        <v>4240</v>
      </c>
      <c r="AL317" t="s">
        <v>238</v>
      </c>
      <c r="AM317" t="s">
        <v>86</v>
      </c>
      <c r="AN317" t="s">
        <v>205</v>
      </c>
      <c r="AO317" t="s">
        <v>789</v>
      </c>
      <c r="AP317">
        <v>3.56</v>
      </c>
      <c r="AQ317" t="s">
        <v>33</v>
      </c>
      <c r="AR317" t="s">
        <v>33</v>
      </c>
      <c r="AS317">
        <f>LOG(10^8)</f>
        <v>8</v>
      </c>
      <c r="AT317" s="3">
        <f t="shared" si="170"/>
        <v>3.4690000000000003</v>
      </c>
      <c r="AU317" s="6">
        <v>4.5309999999999997</v>
      </c>
      <c r="AV317" t="b">
        <v>1</v>
      </c>
      <c r="AW317" t="s">
        <v>172</v>
      </c>
      <c r="AX317" t="s">
        <v>173</v>
      </c>
      <c r="AY317" t="s">
        <v>239</v>
      </c>
      <c r="AZ317" t="s">
        <v>33</v>
      </c>
      <c r="BA317" s="18" t="s">
        <v>799</v>
      </c>
      <c r="BB317" t="b">
        <v>0</v>
      </c>
      <c r="BC317" t="s">
        <v>81</v>
      </c>
      <c r="BD317">
        <v>48</v>
      </c>
      <c r="BE317" t="s">
        <v>80</v>
      </c>
      <c r="BF317" s="11">
        <v>120</v>
      </c>
      <c r="BG317" t="s">
        <v>571</v>
      </c>
      <c r="BH317" t="s">
        <v>31</v>
      </c>
      <c r="BI317" t="s">
        <v>31</v>
      </c>
      <c r="BJ317" s="3">
        <f t="shared" si="135"/>
        <v>4.5309999999999997</v>
      </c>
      <c r="BK317" s="3">
        <f t="shared" si="136"/>
        <v>0.65619406217918574</v>
      </c>
      <c r="BL317">
        <v>2</v>
      </c>
      <c r="BM317" s="3">
        <f t="shared" si="149"/>
        <v>2.8374591334977417</v>
      </c>
      <c r="BN317" t="s">
        <v>33</v>
      </c>
      <c r="BO317" s="3">
        <f t="shared" si="132"/>
        <v>687.79518870006609</v>
      </c>
      <c r="BP317" t="s">
        <v>33</v>
      </c>
      <c r="BQ317" t="s">
        <v>33</v>
      </c>
      <c r="BR317" t="s">
        <v>33</v>
      </c>
      <c r="BS317" t="s">
        <v>33</v>
      </c>
      <c r="BT317" t="s">
        <v>31</v>
      </c>
      <c r="BU317" t="s">
        <v>240</v>
      </c>
      <c r="BV317">
        <v>2004</v>
      </c>
      <c r="BW317" t="s">
        <v>241</v>
      </c>
      <c r="BX317" t="s">
        <v>78</v>
      </c>
      <c r="BY317" t="s">
        <v>33</v>
      </c>
      <c r="BZ317" t="s">
        <v>33</v>
      </c>
      <c r="CA317" t="str">
        <f t="shared" si="133"/>
        <v>high acid</v>
      </c>
    </row>
    <row r="318" spans="1:79">
      <c r="A318" t="s">
        <v>258</v>
      </c>
      <c r="B318" t="s">
        <v>565</v>
      </c>
      <c r="C318" t="s">
        <v>563</v>
      </c>
      <c r="D318" t="s">
        <v>118</v>
      </c>
      <c r="E318" t="s">
        <v>77</v>
      </c>
      <c r="F318" t="s">
        <v>32</v>
      </c>
      <c r="G318">
        <v>5</v>
      </c>
      <c r="H318">
        <v>40</v>
      </c>
      <c r="I318" t="b">
        <v>0</v>
      </c>
      <c r="J318" t="s">
        <v>33</v>
      </c>
      <c r="K318" t="s">
        <v>33</v>
      </c>
      <c r="L318">
        <v>35</v>
      </c>
      <c r="M318" s="4">
        <v>175</v>
      </c>
      <c r="N318" s="3">
        <f t="shared" si="166"/>
        <v>9444.8061195568516</v>
      </c>
      <c r="O318">
        <v>4</v>
      </c>
      <c r="P318" t="s">
        <v>33</v>
      </c>
      <c r="Q318" s="8">
        <f t="shared" si="162"/>
        <v>0.35714285714285715</v>
      </c>
      <c r="R318" t="s">
        <v>183</v>
      </c>
      <c r="S318" t="s">
        <v>613</v>
      </c>
      <c r="T318" s="11">
        <v>8</v>
      </c>
      <c r="U318">
        <v>2.92</v>
      </c>
      <c r="V318">
        <v>2.2999999999999998</v>
      </c>
      <c r="W318">
        <v>1.21E-2</v>
      </c>
      <c r="X318" s="8">
        <f t="shared" si="163"/>
        <v>1.2131888350367701E-2</v>
      </c>
      <c r="Y318" s="6">
        <f>110/60</f>
        <v>1.8333333333333333</v>
      </c>
      <c r="Z318" s="3">
        <f t="shared" si="164"/>
        <v>3.3969287381029563E-2</v>
      </c>
      <c r="AA318" t="s">
        <v>33</v>
      </c>
      <c r="AB318" s="6">
        <f>IFERROR(((X318*M318)/Z318), "NA")</f>
        <v>62.499999999999993</v>
      </c>
      <c r="AC318" t="str">
        <f t="shared" si="134"/>
        <v>NA</v>
      </c>
      <c r="AD318" s="4">
        <f t="shared" si="167"/>
        <v>499.99999999999994</v>
      </c>
      <c r="AE318" s="3">
        <f t="shared" si="165"/>
        <v>5341</v>
      </c>
      <c r="AF318">
        <v>2000</v>
      </c>
      <c r="AG318" t="str">
        <f t="shared" si="168"/>
        <v>NA</v>
      </c>
      <c r="AH318" t="str">
        <f t="shared" si="169"/>
        <v>NA</v>
      </c>
      <c r="AI318">
        <v>1</v>
      </c>
      <c r="AJ318" t="s">
        <v>31</v>
      </c>
      <c r="AK318">
        <v>2180</v>
      </c>
      <c r="AL318" t="s">
        <v>149</v>
      </c>
      <c r="AM318" t="s">
        <v>86</v>
      </c>
      <c r="AN318" t="s">
        <v>205</v>
      </c>
      <c r="AO318" t="s">
        <v>789</v>
      </c>
      <c r="AP318">
        <v>4.46</v>
      </c>
      <c r="AQ318" t="s">
        <v>33</v>
      </c>
      <c r="AR318" t="s">
        <v>33</v>
      </c>
      <c r="AS318" s="6">
        <f>LOG((10^7+10^8)/2)</f>
        <v>7.7403626894942441</v>
      </c>
      <c r="AT318" s="3">
        <f t="shared" si="170"/>
        <v>3.4723626894942443</v>
      </c>
      <c r="AU318" s="6">
        <v>4.2679999999999998</v>
      </c>
      <c r="AV318" t="b">
        <v>1</v>
      </c>
      <c r="AW318" t="s">
        <v>29</v>
      </c>
      <c r="AX318" t="s">
        <v>30</v>
      </c>
      <c r="AY318" t="s">
        <v>33</v>
      </c>
      <c r="AZ318" t="s">
        <v>134</v>
      </c>
      <c r="BA318" s="18" t="s">
        <v>798</v>
      </c>
      <c r="BB318" t="b">
        <v>0</v>
      </c>
      <c r="BC318" t="s">
        <v>81</v>
      </c>
      <c r="BD318">
        <v>15</v>
      </c>
      <c r="BE318" t="s">
        <v>80</v>
      </c>
      <c r="BF318" s="11">
        <v>24</v>
      </c>
      <c r="BG318" t="s">
        <v>262</v>
      </c>
      <c r="BH318" t="s">
        <v>31</v>
      </c>
      <c r="BI318" t="s">
        <v>31</v>
      </c>
      <c r="BJ318" s="3">
        <f t="shared" si="135"/>
        <v>4.2679999999999998</v>
      </c>
      <c r="BK318" s="3">
        <f t="shared" si="136"/>
        <v>0.6302244107524323</v>
      </c>
      <c r="BL318">
        <v>2</v>
      </c>
      <c r="BM318" s="3">
        <f t="shared" si="149"/>
        <v>3.097398167216705</v>
      </c>
      <c r="BN318" t="s">
        <v>33</v>
      </c>
      <c r="BO318" s="3">
        <f t="shared" si="132"/>
        <v>1251.4058106841612</v>
      </c>
      <c r="BP318" t="s">
        <v>33</v>
      </c>
      <c r="BQ318" t="s">
        <v>33</v>
      </c>
      <c r="BR318" t="s">
        <v>33</v>
      </c>
      <c r="BS318" t="s">
        <v>33</v>
      </c>
      <c r="BT318" t="s">
        <v>31</v>
      </c>
      <c r="BU318" t="s">
        <v>219</v>
      </c>
      <c r="BV318">
        <v>2008</v>
      </c>
      <c r="BW318" s="2" t="s">
        <v>257</v>
      </c>
      <c r="BX318" t="s">
        <v>78</v>
      </c>
      <c r="BY318" t="s">
        <v>33</v>
      </c>
      <c r="BZ318" t="s">
        <v>33</v>
      </c>
      <c r="CA318" t="str">
        <f t="shared" si="133"/>
        <v>high acid</v>
      </c>
    </row>
    <row r="319" spans="1:79">
      <c r="A319" t="s">
        <v>273</v>
      </c>
      <c r="B319" t="s">
        <v>565</v>
      </c>
      <c r="C319" t="s">
        <v>563</v>
      </c>
      <c r="D319" t="s">
        <v>118</v>
      </c>
      <c r="E319" t="s">
        <v>77</v>
      </c>
      <c r="F319" t="s">
        <v>32</v>
      </c>
      <c r="G319">
        <v>20</v>
      </c>
      <c r="H319">
        <v>55</v>
      </c>
      <c r="I319" t="b">
        <v>0</v>
      </c>
      <c r="J319" t="s">
        <v>33</v>
      </c>
      <c r="K319" t="s">
        <v>33</v>
      </c>
      <c r="L319">
        <v>25</v>
      </c>
      <c r="M319" s="4" t="s">
        <v>33</v>
      </c>
      <c r="N319" s="3">
        <f t="shared" si="166"/>
        <v>700.97985434600173</v>
      </c>
      <c r="O319">
        <v>2.5</v>
      </c>
      <c r="P319" t="s">
        <v>33</v>
      </c>
      <c r="Q319" s="8">
        <f t="shared" si="162"/>
        <v>1.2173435913211428E-2</v>
      </c>
      <c r="R319" t="s">
        <v>183</v>
      </c>
      <c r="S319" t="s">
        <v>613</v>
      </c>
      <c r="T319" s="11">
        <v>6</v>
      </c>
      <c r="U319">
        <v>2.93</v>
      </c>
      <c r="V319">
        <v>2.2999999999999998</v>
      </c>
      <c r="W319" t="s">
        <v>33</v>
      </c>
      <c r="X319" s="8">
        <f t="shared" si="163"/>
        <v>1.2173435913211428E-2</v>
      </c>
      <c r="Y319">
        <f>60/60</f>
        <v>1</v>
      </c>
      <c r="Z319" s="3">
        <f>IFERROR(X319*N319*O319*T319*AI319/AF319, "NA")</f>
        <v>1</v>
      </c>
      <c r="AA319" t="s">
        <v>33</v>
      </c>
      <c r="AB319" s="6">
        <f>IFERROR(((X319*N319)/Y319), "NA")</f>
        <v>8.5333333333333332</v>
      </c>
      <c r="AC319" t="str">
        <f t="shared" si="134"/>
        <v>NA</v>
      </c>
      <c r="AD319" s="4">
        <f t="shared" si="167"/>
        <v>51.2</v>
      </c>
      <c r="AE319" s="3">
        <f>IFERROR(((L319^2)*N319*O319*AK319*10^-6*Q319*T319*AI319), "NA")</f>
        <v>232.79999999999998</v>
      </c>
      <c r="AF319">
        <v>128</v>
      </c>
      <c r="AG319" t="str">
        <f t="shared" si="168"/>
        <v>NA</v>
      </c>
      <c r="AH319" t="str">
        <f t="shared" si="169"/>
        <v>NA</v>
      </c>
      <c r="AI319">
        <v>1</v>
      </c>
      <c r="AJ319" t="s">
        <v>31</v>
      </c>
      <c r="AK319">
        <v>2910</v>
      </c>
      <c r="AL319" t="s">
        <v>543</v>
      </c>
      <c r="AM319" t="s">
        <v>86</v>
      </c>
      <c r="AN319" t="s">
        <v>205</v>
      </c>
      <c r="AO319" t="s">
        <v>789</v>
      </c>
      <c r="AP319">
        <v>4.05</v>
      </c>
      <c r="AQ319" t="s">
        <v>33</v>
      </c>
      <c r="AR319" t="s">
        <v>33</v>
      </c>
      <c r="AS319">
        <f>LOG(10^6)</f>
        <v>6</v>
      </c>
      <c r="AT319" s="3">
        <f t="shared" si="170"/>
        <v>3.4729999999999999</v>
      </c>
      <c r="AU319" s="6">
        <v>2.5270000000000001</v>
      </c>
      <c r="AV319" t="b">
        <v>1</v>
      </c>
      <c r="AW319" t="s">
        <v>29</v>
      </c>
      <c r="AX319" t="s">
        <v>30</v>
      </c>
      <c r="AY319" t="s">
        <v>216</v>
      </c>
      <c r="AZ319" t="s">
        <v>33</v>
      </c>
      <c r="BA319" s="18" t="s">
        <v>798</v>
      </c>
      <c r="BB319" t="b">
        <v>0</v>
      </c>
      <c r="BC319" t="s">
        <v>81</v>
      </c>
      <c r="BD319">
        <v>4</v>
      </c>
      <c r="BE319" t="s">
        <v>159</v>
      </c>
      <c r="BF319" s="11">
        <v>24</v>
      </c>
      <c r="BG319" t="s">
        <v>572</v>
      </c>
      <c r="BH319" t="s">
        <v>31</v>
      </c>
      <c r="BI319" t="s">
        <v>31</v>
      </c>
      <c r="BJ319" s="3">
        <f t="shared" si="135"/>
        <v>2.5270000000000001</v>
      </c>
      <c r="BK319" s="3">
        <f t="shared" si="136"/>
        <v>0.40260524191991476</v>
      </c>
      <c r="BL319">
        <v>2</v>
      </c>
      <c r="BM319" s="3">
        <f t="shared" si="149"/>
        <v>1.964377734057936</v>
      </c>
      <c r="BN319" t="s">
        <v>33</v>
      </c>
      <c r="BO319" s="3">
        <f t="shared" si="132"/>
        <v>92.125049465769678</v>
      </c>
      <c r="BP319" t="s">
        <v>33</v>
      </c>
      <c r="BQ319" t="s">
        <v>33</v>
      </c>
      <c r="BR319" t="s">
        <v>33</v>
      </c>
      <c r="BS319" t="s">
        <v>33</v>
      </c>
      <c r="BT319" t="s">
        <v>31</v>
      </c>
      <c r="BU319" t="s">
        <v>274</v>
      </c>
      <c r="BV319">
        <v>2006</v>
      </c>
      <c r="BW319" t="s">
        <v>275</v>
      </c>
      <c r="BX319" t="s">
        <v>78</v>
      </c>
      <c r="BY319" t="s">
        <v>277</v>
      </c>
      <c r="BZ319" t="s">
        <v>33</v>
      </c>
      <c r="CA319" t="str">
        <f t="shared" si="133"/>
        <v>high acid</v>
      </c>
    </row>
    <row r="320" spans="1:79">
      <c r="A320" t="s">
        <v>89</v>
      </c>
      <c r="B320" t="s">
        <v>565</v>
      </c>
      <c r="C320" t="s">
        <v>563</v>
      </c>
      <c r="D320" t="s">
        <v>118</v>
      </c>
      <c r="E320" t="s">
        <v>77</v>
      </c>
      <c r="F320" t="s">
        <v>32</v>
      </c>
      <c r="G320">
        <v>40</v>
      </c>
      <c r="H320">
        <f>(42+47)/2</f>
        <v>44.5</v>
      </c>
      <c r="I320" t="b">
        <v>0</v>
      </c>
      <c r="J320" t="s">
        <v>33</v>
      </c>
      <c r="K320" t="s">
        <v>33</v>
      </c>
      <c r="L320">
        <v>30</v>
      </c>
      <c r="M320" s="4">
        <v>548</v>
      </c>
      <c r="N320" s="3">
        <f t="shared" si="166"/>
        <v>553.30575787548105</v>
      </c>
      <c r="O320">
        <v>2.5</v>
      </c>
      <c r="P320" t="s">
        <v>33</v>
      </c>
      <c r="Q320" s="8">
        <f t="shared" si="162"/>
        <v>6.0827250608272501E-3</v>
      </c>
      <c r="R320" t="s">
        <v>183</v>
      </c>
      <c r="S320" t="s">
        <v>612</v>
      </c>
      <c r="T320" s="11">
        <v>6</v>
      </c>
      <c r="U320">
        <v>2.9</v>
      </c>
      <c r="V320">
        <v>2.2999999999999998</v>
      </c>
      <c r="W320" t="s">
        <v>33</v>
      </c>
      <c r="X320" s="8">
        <f t="shared" si="163"/>
        <v>1.204879322468025E-2</v>
      </c>
      <c r="Y320">
        <f>120/60</f>
        <v>2</v>
      </c>
      <c r="Z320" s="9">
        <f t="shared" ref="Z320:Z361" si="171">IFERROR(X320*M320*O320*T320*AI320/AF320, "NA")</f>
        <v>1.9808216061374333</v>
      </c>
      <c r="AA320">
        <v>3.3</v>
      </c>
      <c r="AB320" s="6">
        <f t="shared" ref="AB320:AB325" si="172">IFERROR(((X320*M320)/Z320), "NA")</f>
        <v>3.333333333333333</v>
      </c>
      <c r="AC320" t="str">
        <f t="shared" si="134"/>
        <v>NA</v>
      </c>
      <c r="AD320" s="4">
        <f>IFERROR(AB320*T320*AI320, "NA")</f>
        <v>20</v>
      </c>
      <c r="AE320">
        <f t="shared" ref="AE320:AE361" si="173">IFERROR(((L320^2)*M320*O320*AK320*10^-6*Q320*T320*AI320), "NA")</f>
        <v>96.749999999999972</v>
      </c>
      <c r="AF320">
        <v>50</v>
      </c>
      <c r="AG320" t="str">
        <f t="shared" si="168"/>
        <v>NA</v>
      </c>
      <c r="AH320" t="str">
        <f t="shared" si="169"/>
        <v>NA</v>
      </c>
      <c r="AI320" s="11">
        <v>1</v>
      </c>
      <c r="AJ320" t="s">
        <v>31</v>
      </c>
      <c r="AK320">
        <v>2150</v>
      </c>
      <c r="AL320" t="s">
        <v>238</v>
      </c>
      <c r="AM320" t="s">
        <v>86</v>
      </c>
      <c r="AN320" t="s">
        <v>205</v>
      </c>
      <c r="AO320" t="s">
        <v>789</v>
      </c>
      <c r="AP320">
        <v>4.16</v>
      </c>
      <c r="AQ320" t="s">
        <v>33</v>
      </c>
      <c r="AR320" t="s">
        <v>33</v>
      </c>
      <c r="AS320" s="3">
        <f>LOG(3.8*10^6)</f>
        <v>6.5797835966168101</v>
      </c>
      <c r="AT320" s="3">
        <f t="shared" si="170"/>
        <v>3.47978359661681</v>
      </c>
      <c r="AU320" s="6">
        <v>3.1</v>
      </c>
      <c r="AV320" t="b">
        <v>1</v>
      </c>
      <c r="AW320" t="s">
        <v>123</v>
      </c>
      <c r="AX320" t="s">
        <v>88</v>
      </c>
      <c r="AY320" t="s">
        <v>518</v>
      </c>
      <c r="AZ320" t="s">
        <v>33</v>
      </c>
      <c r="BA320" s="18" t="s">
        <v>579</v>
      </c>
      <c r="BB320" t="b">
        <v>1</v>
      </c>
      <c r="BC320" t="s">
        <v>81</v>
      </c>
      <c r="BD320">
        <v>24</v>
      </c>
      <c r="BE320" t="s">
        <v>80</v>
      </c>
      <c r="BF320" s="11">
        <v>72</v>
      </c>
      <c r="BG320" t="s">
        <v>395</v>
      </c>
      <c r="BH320" t="s">
        <v>31</v>
      </c>
      <c r="BI320" t="s">
        <v>31</v>
      </c>
      <c r="BJ320">
        <f t="shared" si="135"/>
        <v>3.1</v>
      </c>
      <c r="BK320" s="3">
        <f t="shared" si="136"/>
        <v>0.49136169383427269</v>
      </c>
      <c r="BL320">
        <v>2</v>
      </c>
      <c r="BM320" s="3">
        <f>LOG(BO320)</f>
        <v>1.4942892798566763</v>
      </c>
      <c r="BN320" t="s">
        <v>33</v>
      </c>
      <c r="BO320" s="3">
        <f t="shared" si="132"/>
        <v>31.209677419354829</v>
      </c>
      <c r="BP320" t="s">
        <v>33</v>
      </c>
      <c r="BQ320" t="s">
        <v>33</v>
      </c>
      <c r="BR320" t="s">
        <v>33</v>
      </c>
      <c r="BS320" t="s">
        <v>33</v>
      </c>
      <c r="BT320" t="s">
        <v>32</v>
      </c>
      <c r="BU320" t="s">
        <v>84</v>
      </c>
      <c r="BV320">
        <v>2013</v>
      </c>
      <c r="BW320" t="s">
        <v>83</v>
      </c>
      <c r="BX320" t="s">
        <v>78</v>
      </c>
      <c r="BY320" t="s">
        <v>33</v>
      </c>
      <c r="BZ320" t="s">
        <v>33</v>
      </c>
      <c r="CA320" t="str">
        <f t="shared" si="133"/>
        <v>high acid</v>
      </c>
    </row>
    <row r="321" spans="1:79">
      <c r="A321" t="s">
        <v>391</v>
      </c>
      <c r="B321" t="s">
        <v>565</v>
      </c>
      <c r="C321" t="s">
        <v>563</v>
      </c>
      <c r="D321" t="s">
        <v>118</v>
      </c>
      <c r="E321" t="s">
        <v>77</v>
      </c>
      <c r="F321" t="s">
        <v>32</v>
      </c>
      <c r="G321">
        <v>25</v>
      </c>
      <c r="H321">
        <v>36</v>
      </c>
      <c r="I321" t="b">
        <v>0</v>
      </c>
      <c r="J321" t="s">
        <v>33</v>
      </c>
      <c r="K321" t="s">
        <v>33</v>
      </c>
      <c r="L321">
        <v>25</v>
      </c>
      <c r="M321" s="4">
        <v>200</v>
      </c>
      <c r="N321" s="3" t="str">
        <f t="shared" si="166"/>
        <v>NA</v>
      </c>
      <c r="O321">
        <v>4</v>
      </c>
      <c r="P321" t="s">
        <v>33</v>
      </c>
      <c r="Q321" s="8">
        <f t="shared" si="162"/>
        <v>0.15625</v>
      </c>
      <c r="R321" t="s">
        <v>183</v>
      </c>
      <c r="S321" t="s">
        <v>613</v>
      </c>
      <c r="T321" s="11">
        <v>8</v>
      </c>
      <c r="U321">
        <v>2.9</v>
      </c>
      <c r="V321">
        <v>2.2999999999999998</v>
      </c>
      <c r="W321">
        <v>1.2E-2</v>
      </c>
      <c r="X321" s="8">
        <f t="shared" si="163"/>
        <v>1.204879322468025E-2</v>
      </c>
      <c r="Y321" t="s">
        <v>33</v>
      </c>
      <c r="Z321" s="3">
        <f t="shared" si="171"/>
        <v>7.71122766379536E-2</v>
      </c>
      <c r="AA321" t="s">
        <v>33</v>
      </c>
      <c r="AB321" s="6">
        <f t="shared" si="172"/>
        <v>31.25</v>
      </c>
      <c r="AC321" t="str">
        <f t="shared" si="134"/>
        <v>NA</v>
      </c>
      <c r="AD321" s="4">
        <f>AB321*T321*AI321</f>
        <v>250</v>
      </c>
      <c r="AE321" s="3">
        <f t="shared" si="173"/>
        <v>2650</v>
      </c>
      <c r="AF321">
        <v>1000</v>
      </c>
      <c r="AG321" t="str">
        <f t="shared" si="168"/>
        <v>NA</v>
      </c>
      <c r="AH321" t="str">
        <f t="shared" si="169"/>
        <v>NA</v>
      </c>
      <c r="AI321">
        <v>1</v>
      </c>
      <c r="AJ321" t="s">
        <v>31</v>
      </c>
      <c r="AK321">
        <v>4240</v>
      </c>
      <c r="AL321" t="s">
        <v>238</v>
      </c>
      <c r="AM321" t="s">
        <v>86</v>
      </c>
      <c r="AN321" t="s">
        <v>205</v>
      </c>
      <c r="AO321" t="s">
        <v>789</v>
      </c>
      <c r="AP321">
        <v>3.56</v>
      </c>
      <c r="AQ321" t="s">
        <v>33</v>
      </c>
      <c r="AR321" t="s">
        <v>33</v>
      </c>
      <c r="AS321" s="6">
        <f>LOG(10^8)</f>
        <v>8</v>
      </c>
      <c r="AT321" s="3">
        <f t="shared" si="170"/>
        <v>3.4800000000000004</v>
      </c>
      <c r="AU321" s="6">
        <v>4.5199999999999996</v>
      </c>
      <c r="AV321" t="b">
        <v>1</v>
      </c>
      <c r="AW321" t="s">
        <v>123</v>
      </c>
      <c r="AX321" t="s">
        <v>393</v>
      </c>
      <c r="AY321" t="s">
        <v>394</v>
      </c>
      <c r="AZ321" t="s">
        <v>33</v>
      </c>
      <c r="BA321" s="18" t="s">
        <v>579</v>
      </c>
      <c r="BB321" t="b">
        <v>1</v>
      </c>
      <c r="BC321" t="s">
        <v>81</v>
      </c>
      <c r="BD321">
        <v>72</v>
      </c>
      <c r="BE321" t="s">
        <v>80</v>
      </c>
      <c r="BF321" s="11">
        <v>72</v>
      </c>
      <c r="BG321" t="s">
        <v>395</v>
      </c>
      <c r="BH321" t="s">
        <v>31</v>
      </c>
      <c r="BI321" t="s">
        <v>31</v>
      </c>
      <c r="BJ321" s="3">
        <f t="shared" si="135"/>
        <v>4.5199999999999996</v>
      </c>
      <c r="BK321" s="3">
        <f t="shared" si="136"/>
        <v>0.65513843481138212</v>
      </c>
      <c r="BL321">
        <v>2</v>
      </c>
      <c r="BM321" s="3">
        <f t="shared" ref="BM321:BM333" si="174">IFERROR(LOG(BO321),"NA")</f>
        <v>2.7681074391254259</v>
      </c>
      <c r="BN321" t="s">
        <v>33</v>
      </c>
      <c r="BO321" s="3">
        <f t="shared" si="132"/>
        <v>586.28318584070803</v>
      </c>
      <c r="BP321" t="s">
        <v>33</v>
      </c>
      <c r="BQ321" t="s">
        <v>33</v>
      </c>
      <c r="BR321" t="s">
        <v>33</v>
      </c>
      <c r="BS321" t="s">
        <v>33</v>
      </c>
      <c r="BT321" t="s">
        <v>31</v>
      </c>
      <c r="BU321" t="s">
        <v>240</v>
      </c>
      <c r="BV321">
        <v>2005</v>
      </c>
      <c r="BW321" t="s">
        <v>396</v>
      </c>
      <c r="BX321" t="s">
        <v>78</v>
      </c>
      <c r="BY321" t="s">
        <v>33</v>
      </c>
      <c r="BZ321" t="s">
        <v>33</v>
      </c>
      <c r="CA321" t="str">
        <f t="shared" si="133"/>
        <v>high acid</v>
      </c>
    </row>
    <row r="322" spans="1:79">
      <c r="A322" t="s">
        <v>596</v>
      </c>
      <c r="B322" t="s">
        <v>565</v>
      </c>
      <c r="C322" t="s">
        <v>563</v>
      </c>
      <c r="D322" t="s">
        <v>610</v>
      </c>
      <c r="E322" t="s">
        <v>77</v>
      </c>
      <c r="F322" t="s">
        <v>33</v>
      </c>
      <c r="G322">
        <v>20</v>
      </c>
      <c r="H322" t="s">
        <v>33</v>
      </c>
      <c r="I322" t="b">
        <v>0</v>
      </c>
      <c r="J322">
        <v>12000</v>
      </c>
      <c r="K322" t="s">
        <v>33</v>
      </c>
      <c r="L322">
        <v>30</v>
      </c>
      <c r="M322" s="4">
        <v>10</v>
      </c>
      <c r="N322" t="e">
        <f>(#REF!*Y322)/(T322*X322*O322)</f>
        <v>#REF!</v>
      </c>
      <c r="O322">
        <v>5</v>
      </c>
      <c r="P322" t="s">
        <v>33</v>
      </c>
      <c r="Q322" s="1">
        <f t="shared" si="162"/>
        <v>0.92000000000000015</v>
      </c>
      <c r="R322" t="s">
        <v>183</v>
      </c>
      <c r="S322" t="s">
        <v>613</v>
      </c>
      <c r="T322">
        <v>1</v>
      </c>
      <c r="U322">
        <v>4</v>
      </c>
      <c r="V322">
        <v>4</v>
      </c>
      <c r="W322" t="s">
        <v>33</v>
      </c>
      <c r="X322">
        <f>IFERROR(((PI())*(((V322*10^-1)/2)^2)*(U322*10^-1)), "NA")</f>
        <v>5.02654824574367E-2</v>
      </c>
      <c r="Y322">
        <v>0.106667</v>
      </c>
      <c r="Z322" s="3">
        <f t="shared" si="171"/>
        <v>5.4636393975474665E-2</v>
      </c>
      <c r="AA322" t="s">
        <v>33</v>
      </c>
      <c r="AB322">
        <f t="shared" si="172"/>
        <v>9.2000000000000011</v>
      </c>
      <c r="AC322" s="1" t="str">
        <f t="shared" si="134"/>
        <v>NA</v>
      </c>
      <c r="AE322" s="3">
        <f t="shared" si="173"/>
        <v>82.800000000000011</v>
      </c>
      <c r="AF322">
        <v>46</v>
      </c>
      <c r="AG322" s="1" t="str">
        <f>IFERROR((N322*P322*Q322), "NA")</f>
        <v>NA</v>
      </c>
      <c r="AH322" s="1" t="str">
        <f>IFERROR((AG322*U322*AI322), "NA")</f>
        <v>NA</v>
      </c>
      <c r="AI322" s="1">
        <v>1</v>
      </c>
      <c r="AJ322" s="11" t="s">
        <v>31</v>
      </c>
      <c r="AK322">
        <v>2000</v>
      </c>
      <c r="AL322" t="s">
        <v>149</v>
      </c>
      <c r="AM322" t="s">
        <v>86</v>
      </c>
      <c r="AN322" t="s">
        <v>205</v>
      </c>
      <c r="AO322" t="s">
        <v>789</v>
      </c>
      <c r="AP322" t="s">
        <v>33</v>
      </c>
      <c r="AQ322" t="s">
        <v>33</v>
      </c>
      <c r="AR322" t="s">
        <v>33</v>
      </c>
      <c r="AS322">
        <f>AVERAGE(6,8)</f>
        <v>7</v>
      </c>
      <c r="AT322">
        <f>AS322-AU322</f>
        <v>3.49</v>
      </c>
      <c r="AU322" s="6">
        <v>3.51</v>
      </c>
      <c r="AV322" t="b">
        <v>1</v>
      </c>
      <c r="AW322" t="s">
        <v>626</v>
      </c>
      <c r="AX322" t="s">
        <v>627</v>
      </c>
      <c r="AY322" t="s">
        <v>634</v>
      </c>
      <c r="AZ322" t="s">
        <v>33</v>
      </c>
      <c r="BA322" s="18" t="s">
        <v>800</v>
      </c>
      <c r="BB322" s="3" t="b">
        <v>0</v>
      </c>
      <c r="BC322" t="s">
        <v>81</v>
      </c>
      <c r="BD322">
        <v>18</v>
      </c>
      <c r="BE322" t="s">
        <v>80</v>
      </c>
      <c r="BF322">
        <v>24</v>
      </c>
      <c r="BG322" t="s">
        <v>644</v>
      </c>
      <c r="BH322" t="s">
        <v>31</v>
      </c>
      <c r="BI322" t="s">
        <v>31</v>
      </c>
      <c r="BJ322">
        <f t="shared" si="135"/>
        <v>3.51</v>
      </c>
      <c r="BK322" s="3">
        <f t="shared" si="136"/>
        <v>0.54530711646582408</v>
      </c>
      <c r="BL322">
        <v>2</v>
      </c>
      <c r="BM322" s="3">
        <f t="shared" si="174"/>
        <v>1.3727232203190562</v>
      </c>
      <c r="BN322" t="s">
        <v>33</v>
      </c>
      <c r="BO322" s="3">
        <f t="shared" ref="BO322:BO385" si="175">IFERROR((AE322/BJ322),"NA")</f>
        <v>23.589743589743595</v>
      </c>
      <c r="BP322" t="s">
        <v>33</v>
      </c>
      <c r="BQ322" t="s">
        <v>33</v>
      </c>
      <c r="BR322" t="s">
        <v>33</v>
      </c>
      <c r="BS322" t="s">
        <v>33</v>
      </c>
      <c r="BT322" t="s">
        <v>32</v>
      </c>
      <c r="BU322" t="s">
        <v>661</v>
      </c>
      <c r="BV322">
        <v>2013</v>
      </c>
      <c r="BW322" t="s">
        <v>662</v>
      </c>
      <c r="BX322" s="13" t="s">
        <v>663</v>
      </c>
      <c r="BY322" s="13" t="s">
        <v>684</v>
      </c>
      <c r="CA322" t="str">
        <f t="shared" si="133"/>
        <v>high acid</v>
      </c>
    </row>
    <row r="323" spans="1:79">
      <c r="A323" t="s">
        <v>592</v>
      </c>
      <c r="B323" t="s">
        <v>566</v>
      </c>
      <c r="C323" t="s">
        <v>563</v>
      </c>
      <c r="D323" t="s">
        <v>607</v>
      </c>
      <c r="E323" t="s">
        <v>77</v>
      </c>
      <c r="F323" t="s">
        <v>32</v>
      </c>
      <c r="G323" t="s">
        <v>33</v>
      </c>
      <c r="H323">
        <v>35</v>
      </c>
      <c r="I323" t="b">
        <v>0</v>
      </c>
      <c r="J323">
        <v>30000</v>
      </c>
      <c r="K323">
        <v>200</v>
      </c>
      <c r="L323">
        <v>35</v>
      </c>
      <c r="M323" s="4">
        <v>1</v>
      </c>
      <c r="N323" t="e">
        <f>(#REF!*Y323)/(T323*X323*O323)</f>
        <v>#REF!</v>
      </c>
      <c r="O323">
        <v>3</v>
      </c>
      <c r="P323" t="s">
        <v>33</v>
      </c>
      <c r="Q323" s="1">
        <f t="shared" si="162"/>
        <v>50.533333333333331</v>
      </c>
      <c r="R323" t="s">
        <v>183</v>
      </c>
      <c r="S323" t="s">
        <v>33</v>
      </c>
      <c r="T323">
        <v>1</v>
      </c>
      <c r="U323">
        <v>2.5</v>
      </c>
      <c r="V323" t="s">
        <v>33</v>
      </c>
      <c r="W323">
        <v>0.50249999999999995</v>
      </c>
      <c r="X323">
        <f>W323</f>
        <v>0.50249999999999995</v>
      </c>
      <c r="Y323" t="s">
        <v>33</v>
      </c>
      <c r="Z323" s="3">
        <f t="shared" si="171"/>
        <v>9.9439313984168859E-3</v>
      </c>
      <c r="AA323" t="s">
        <v>33</v>
      </c>
      <c r="AB323">
        <f t="shared" si="172"/>
        <v>50.533333333333331</v>
      </c>
      <c r="AC323" s="1" t="str">
        <f t="shared" si="134"/>
        <v>NA</v>
      </c>
      <c r="AE323" s="3">
        <f t="shared" si="173"/>
        <v>185.70999999999998</v>
      </c>
      <c r="AF323">
        <v>151.6</v>
      </c>
      <c r="AG323" s="1" t="str">
        <f>IFERROR((N323*P323*Q323), "NA")</f>
        <v>NA</v>
      </c>
      <c r="AH323" s="1" t="str">
        <f>IFERROR((AG323*U323*AI323), "NA")</f>
        <v>NA</v>
      </c>
      <c r="AI323" s="1">
        <v>1</v>
      </c>
      <c r="AJ323" s="11" t="s">
        <v>31</v>
      </c>
      <c r="AK323">
        <v>1000</v>
      </c>
      <c r="AL323" t="s">
        <v>614</v>
      </c>
      <c r="AM323" s="3" t="s">
        <v>103</v>
      </c>
      <c r="AN323" t="s">
        <v>305</v>
      </c>
      <c r="AO323" t="s">
        <v>790</v>
      </c>
      <c r="AP323">
        <v>4.5</v>
      </c>
      <c r="AQ323" t="s">
        <v>33</v>
      </c>
      <c r="AR323" t="s">
        <v>33</v>
      </c>
      <c r="AS323">
        <v>8</v>
      </c>
      <c r="AT323">
        <f>AS323-AU323</f>
        <v>3.49</v>
      </c>
      <c r="AU323" s="6">
        <v>4.51</v>
      </c>
      <c r="AV323" t="b">
        <v>1</v>
      </c>
      <c r="AW323" t="s">
        <v>626</v>
      </c>
      <c r="AX323" t="s">
        <v>627</v>
      </c>
      <c r="AY323" t="s">
        <v>633</v>
      </c>
      <c r="AZ323" t="s">
        <v>33</v>
      </c>
      <c r="BA323" s="18" t="s">
        <v>800</v>
      </c>
      <c r="BB323" s="3" t="b">
        <v>0</v>
      </c>
      <c r="BC323" t="s">
        <v>81</v>
      </c>
      <c r="BD323">
        <v>24</v>
      </c>
      <c r="BE323" t="s">
        <v>80</v>
      </c>
      <c r="BF323">
        <v>48</v>
      </c>
      <c r="BG323" t="s">
        <v>569</v>
      </c>
      <c r="BH323" t="s">
        <v>31</v>
      </c>
      <c r="BI323" t="s">
        <v>31</v>
      </c>
      <c r="BJ323">
        <f t="shared" si="135"/>
        <v>4.51</v>
      </c>
      <c r="BK323" s="3">
        <f t="shared" si="136"/>
        <v>0.65417654187796048</v>
      </c>
      <c r="BL323">
        <v>2</v>
      </c>
      <c r="BM323" s="3">
        <f t="shared" si="174"/>
        <v>1.6146587481186254</v>
      </c>
      <c r="BN323" t="s">
        <v>33</v>
      </c>
      <c r="BO323" s="3">
        <f t="shared" si="175"/>
        <v>41.177383592017733</v>
      </c>
      <c r="BP323" t="s">
        <v>33</v>
      </c>
      <c r="BQ323" t="s">
        <v>33</v>
      </c>
      <c r="BR323" t="s">
        <v>33</v>
      </c>
      <c r="BS323" t="s">
        <v>33</v>
      </c>
      <c r="BT323" t="s">
        <v>31</v>
      </c>
      <c r="BU323" s="15" t="s">
        <v>255</v>
      </c>
      <c r="BV323">
        <v>2010</v>
      </c>
      <c r="BW323" t="s">
        <v>659</v>
      </c>
      <c r="BX323" t="s">
        <v>78</v>
      </c>
      <c r="BY323" s="13" t="s">
        <v>680</v>
      </c>
      <c r="CA323" t="str">
        <f t="shared" ref="CA323:CA386" si="176">IF(OR(AN323="low acidic liquid medium", AN323="low acidic food product"), "low acid",
    IF(OR(AN323="high acidic food product", AN323="high acidic liquid medium"), "high acid", "NA"))</f>
        <v>high acid</v>
      </c>
    </row>
    <row r="324" spans="1:79">
      <c r="A324" t="s">
        <v>592</v>
      </c>
      <c r="B324" t="s">
        <v>566</v>
      </c>
      <c r="C324" t="s">
        <v>563</v>
      </c>
      <c r="D324" t="s">
        <v>607</v>
      </c>
      <c r="E324" t="s">
        <v>77</v>
      </c>
      <c r="F324" t="s">
        <v>32</v>
      </c>
      <c r="G324" t="s">
        <v>33</v>
      </c>
      <c r="H324">
        <v>35</v>
      </c>
      <c r="I324" t="b">
        <v>0</v>
      </c>
      <c r="J324">
        <v>30000</v>
      </c>
      <c r="K324">
        <v>200</v>
      </c>
      <c r="L324">
        <v>35</v>
      </c>
      <c r="M324" s="4">
        <v>1</v>
      </c>
      <c r="N324" t="e">
        <f>(#REF!*Y324)/(T324*X324*O324)</f>
        <v>#REF!</v>
      </c>
      <c r="O324">
        <v>3</v>
      </c>
      <c r="P324" t="s">
        <v>33</v>
      </c>
      <c r="Q324" s="1">
        <f t="shared" si="162"/>
        <v>9.9333333333333336</v>
      </c>
      <c r="R324" t="s">
        <v>183</v>
      </c>
      <c r="S324" t="s">
        <v>33</v>
      </c>
      <c r="T324">
        <v>1</v>
      </c>
      <c r="U324">
        <v>2.5</v>
      </c>
      <c r="V324" t="s">
        <v>33</v>
      </c>
      <c r="W324">
        <v>0.50249999999999995</v>
      </c>
      <c r="X324">
        <f>W324</f>
        <v>0.50249999999999995</v>
      </c>
      <c r="Y324" t="s">
        <v>33</v>
      </c>
      <c r="Z324" s="3">
        <f t="shared" si="171"/>
        <v>5.0587248322147643E-2</v>
      </c>
      <c r="AA324" t="s">
        <v>33</v>
      </c>
      <c r="AB324">
        <f t="shared" si="172"/>
        <v>9.9333333333333336</v>
      </c>
      <c r="AC324" s="1" t="str">
        <f t="shared" ref="AC324:AC336" si="177">IFERROR(M324*P324,"NA")</f>
        <v>NA</v>
      </c>
      <c r="AE324" s="3">
        <f t="shared" si="173"/>
        <v>36.505000000000003</v>
      </c>
      <c r="AF324">
        <v>29.8</v>
      </c>
      <c r="AG324" s="1" t="str">
        <f>IFERROR((N324*P324*Q324), "NA")</f>
        <v>NA</v>
      </c>
      <c r="AH324" s="1" t="str">
        <f>IFERROR((AG324*U324*AI324), "NA")</f>
        <v>NA</v>
      </c>
      <c r="AI324" s="1">
        <v>1</v>
      </c>
      <c r="AJ324" s="11" t="s">
        <v>31</v>
      </c>
      <c r="AK324">
        <v>1000</v>
      </c>
      <c r="AL324" t="s">
        <v>614</v>
      </c>
      <c r="AM324" s="3" t="s">
        <v>103</v>
      </c>
      <c r="AN324" t="s">
        <v>305</v>
      </c>
      <c r="AO324" t="s">
        <v>790</v>
      </c>
      <c r="AP324">
        <v>4.5</v>
      </c>
      <c r="AQ324" t="s">
        <v>33</v>
      </c>
      <c r="AR324" t="s">
        <v>33</v>
      </c>
      <c r="AS324">
        <v>8</v>
      </c>
      <c r="AT324">
        <f>AS324-AU324</f>
        <v>3.49</v>
      </c>
      <c r="AU324" s="6">
        <v>4.51</v>
      </c>
      <c r="AV324" t="b">
        <v>1</v>
      </c>
      <c r="AW324" t="s">
        <v>626</v>
      </c>
      <c r="AX324" t="s">
        <v>627</v>
      </c>
      <c r="AY324" t="s">
        <v>633</v>
      </c>
      <c r="AZ324" t="s">
        <v>33</v>
      </c>
      <c r="BA324" s="18" t="s">
        <v>800</v>
      </c>
      <c r="BB324" s="3" t="b">
        <v>0</v>
      </c>
      <c r="BC324" t="s">
        <v>81</v>
      </c>
      <c r="BD324">
        <v>24</v>
      </c>
      <c r="BE324" t="s">
        <v>80</v>
      </c>
      <c r="BF324">
        <v>48</v>
      </c>
      <c r="BG324" t="s">
        <v>569</v>
      </c>
      <c r="BH324" t="s">
        <v>31</v>
      </c>
      <c r="BI324" t="s">
        <v>31</v>
      </c>
      <c r="BJ324">
        <f t="shared" ref="BJ324:BJ336" si="178">AU324</f>
        <v>4.51</v>
      </c>
      <c r="BK324" s="3">
        <f t="shared" ref="BK324:BK385" si="179">LOG10(BJ324)</f>
        <v>0.65417654187796048</v>
      </c>
      <c r="BL324">
        <v>2</v>
      </c>
      <c r="BM324" s="3">
        <f t="shared" si="174"/>
        <v>0.90817581089884603</v>
      </c>
      <c r="BN324" t="s">
        <v>33</v>
      </c>
      <c r="BO324" s="3">
        <f t="shared" si="175"/>
        <v>8.0942350332594248</v>
      </c>
      <c r="BP324" t="s">
        <v>33</v>
      </c>
      <c r="BQ324" t="s">
        <v>33</v>
      </c>
      <c r="BR324" t="s">
        <v>33</v>
      </c>
      <c r="BS324" t="s">
        <v>33</v>
      </c>
      <c r="BT324" t="s">
        <v>31</v>
      </c>
      <c r="BU324" s="15" t="s">
        <v>255</v>
      </c>
      <c r="BV324">
        <v>2010</v>
      </c>
      <c r="BW324" t="s">
        <v>659</v>
      </c>
      <c r="BX324" t="s">
        <v>78</v>
      </c>
      <c r="BY324" s="13" t="s">
        <v>680</v>
      </c>
      <c r="CA324" t="str">
        <f t="shared" si="176"/>
        <v>high acid</v>
      </c>
    </row>
    <row r="325" spans="1:79">
      <c r="A325" t="s">
        <v>332</v>
      </c>
      <c r="B325" t="s">
        <v>565</v>
      </c>
      <c r="C325" t="s">
        <v>563</v>
      </c>
      <c r="D325" t="s">
        <v>118</v>
      </c>
      <c r="E325" t="s">
        <v>77</v>
      </c>
      <c r="F325" t="s">
        <v>32</v>
      </c>
      <c r="G325">
        <v>15</v>
      </c>
      <c r="H325">
        <v>30.4</v>
      </c>
      <c r="I325" t="b">
        <v>0</v>
      </c>
      <c r="J325" t="s">
        <v>33</v>
      </c>
      <c r="K325" t="s">
        <v>33</v>
      </c>
      <c r="L325">
        <v>27.5</v>
      </c>
      <c r="M325" s="4">
        <v>200</v>
      </c>
      <c r="N325" s="3">
        <f t="shared" ref="N325:N331" si="180">IFERROR(AF325/((T325*X325/Y325)*O325*AI325),"NA")</f>
        <v>3454.7028257350348</v>
      </c>
      <c r="O325">
        <v>5</v>
      </c>
      <c r="P325" t="s">
        <v>33</v>
      </c>
      <c r="Q325" s="8">
        <f t="shared" si="162"/>
        <v>6.2500000000000014E-2</v>
      </c>
      <c r="R325" t="s">
        <v>183</v>
      </c>
      <c r="S325" t="s">
        <v>613</v>
      </c>
      <c r="T325" s="11">
        <v>8</v>
      </c>
      <c r="U325">
        <v>2.9</v>
      </c>
      <c r="V325">
        <v>2.2999999999999998</v>
      </c>
      <c r="W325">
        <v>1.2E-2</v>
      </c>
      <c r="X325" s="8">
        <f>IFERROR(((PI())*(((V325*10^-1)/2)^2)*(U325*10^-1)), "NA")</f>
        <v>1.204879322468025E-2</v>
      </c>
      <c r="Y325">
        <v>3.33</v>
      </c>
      <c r="Z325" s="3">
        <f t="shared" si="171"/>
        <v>0.19278069159488398</v>
      </c>
      <c r="AA325" t="s">
        <v>33</v>
      </c>
      <c r="AB325" s="6">
        <f t="shared" si="172"/>
        <v>12.500000000000002</v>
      </c>
      <c r="AC325" t="str">
        <f t="shared" si="177"/>
        <v>NA</v>
      </c>
      <c r="AD325" s="4">
        <f>AB325*T325*AI325</f>
        <v>100.00000000000001</v>
      </c>
      <c r="AE325" s="3">
        <f t="shared" si="173"/>
        <v>794.06250000000023</v>
      </c>
      <c r="AF325">
        <v>500</v>
      </c>
      <c r="AG325" t="str">
        <f t="shared" ref="AG325:AG331" si="181">IFERROR((M325*O325*P325), "NA")</f>
        <v>NA</v>
      </c>
      <c r="AH325" t="str">
        <f t="shared" ref="AH325:AH331" si="182">IFERROR((AG325*T325*AI325), "NA")</f>
        <v>NA</v>
      </c>
      <c r="AI325">
        <v>1</v>
      </c>
      <c r="AJ325" t="s">
        <v>31</v>
      </c>
      <c r="AK325">
        <v>2100</v>
      </c>
      <c r="AL325" t="s">
        <v>551</v>
      </c>
      <c r="AM325" t="s">
        <v>86</v>
      </c>
      <c r="AN325" t="s">
        <v>205</v>
      </c>
      <c r="AO325" t="s">
        <v>789</v>
      </c>
      <c r="AP325">
        <v>3.79</v>
      </c>
      <c r="AQ325">
        <v>1060</v>
      </c>
      <c r="AR325" t="s">
        <v>33</v>
      </c>
      <c r="AS325" s="6">
        <f>LOG((10^6+10^7)/2)</f>
        <v>6.7403626894942441</v>
      </c>
      <c r="AT325" s="3">
        <f t="shared" ref="AT325:AT331" si="183">IFERROR(AS325-AU325,"NA")</f>
        <v>3.4903626894942441</v>
      </c>
      <c r="AU325" s="6">
        <v>3.25</v>
      </c>
      <c r="AV325" t="b">
        <v>1</v>
      </c>
      <c r="AW325" t="s">
        <v>172</v>
      </c>
      <c r="AX325" t="s">
        <v>173</v>
      </c>
      <c r="AY325" t="s">
        <v>333</v>
      </c>
      <c r="AZ325" t="s">
        <v>33</v>
      </c>
      <c r="BA325" s="18" t="s">
        <v>799</v>
      </c>
      <c r="BB325" t="b">
        <v>0</v>
      </c>
      <c r="BC325" t="s">
        <v>81</v>
      </c>
      <c r="BD325">
        <v>72</v>
      </c>
      <c r="BE325" t="s">
        <v>80</v>
      </c>
      <c r="BF325" s="11">
        <v>168</v>
      </c>
      <c r="BG325" t="s">
        <v>334</v>
      </c>
      <c r="BH325" t="s">
        <v>31</v>
      </c>
      <c r="BI325" t="s">
        <v>31</v>
      </c>
      <c r="BJ325" s="3">
        <f t="shared" si="178"/>
        <v>3.25</v>
      </c>
      <c r="BK325" s="3">
        <f t="shared" si="179"/>
        <v>0.51188336097887432</v>
      </c>
      <c r="BL325">
        <v>2</v>
      </c>
      <c r="BM325" s="3">
        <f t="shared" si="174"/>
        <v>2.3879713257515891</v>
      </c>
      <c r="BN325" t="s">
        <v>33</v>
      </c>
      <c r="BO325" s="3">
        <f t="shared" si="175"/>
        <v>244.32692307692315</v>
      </c>
      <c r="BP325" t="s">
        <v>33</v>
      </c>
      <c r="BQ325" t="s">
        <v>33</v>
      </c>
      <c r="BR325" t="s">
        <v>33</v>
      </c>
      <c r="BS325" t="s">
        <v>33</v>
      </c>
      <c r="BT325" t="s">
        <v>31</v>
      </c>
      <c r="BU325" t="s">
        <v>330</v>
      </c>
      <c r="BV325">
        <v>2009</v>
      </c>
      <c r="BW325" t="s">
        <v>331</v>
      </c>
      <c r="BX325" t="s">
        <v>78</v>
      </c>
      <c r="BY325" t="s">
        <v>33</v>
      </c>
      <c r="BZ325" t="s">
        <v>33</v>
      </c>
      <c r="CA325" t="str">
        <f t="shared" si="176"/>
        <v>high acid</v>
      </c>
    </row>
    <row r="326" spans="1:79">
      <c r="A326" t="s">
        <v>733</v>
      </c>
      <c r="B326" t="s">
        <v>566</v>
      </c>
      <c r="C326" t="s">
        <v>563</v>
      </c>
      <c r="D326" t="s">
        <v>699</v>
      </c>
      <c r="E326" t="s">
        <v>77</v>
      </c>
      <c r="F326" t="s">
        <v>32</v>
      </c>
      <c r="G326">
        <v>20</v>
      </c>
      <c r="H326">
        <v>64</v>
      </c>
      <c r="I326" t="b">
        <v>1</v>
      </c>
      <c r="J326" t="s">
        <v>33</v>
      </c>
      <c r="K326" t="s">
        <v>33</v>
      </c>
      <c r="L326">
        <v>20</v>
      </c>
      <c r="M326" s="4">
        <v>64</v>
      </c>
      <c r="N326" s="3">
        <f t="shared" si="180"/>
        <v>63.657407407407391</v>
      </c>
      <c r="O326">
        <v>5</v>
      </c>
      <c r="P326">
        <v>0.43</v>
      </c>
      <c r="Q326" s="8">
        <f>IFERROR(X326/Y326, "NA")</f>
        <v>0.43200000000000011</v>
      </c>
      <c r="R326" t="s">
        <v>183</v>
      </c>
      <c r="S326" t="s">
        <v>612</v>
      </c>
      <c r="T326" s="11">
        <v>1</v>
      </c>
      <c r="U326">
        <v>4</v>
      </c>
      <c r="V326" t="s">
        <v>33</v>
      </c>
      <c r="W326">
        <f>0.4*3*0.5</f>
        <v>0.60000000000000009</v>
      </c>
      <c r="X326" s="9">
        <f>W326</f>
        <v>0.60000000000000009</v>
      </c>
      <c r="Y326" s="6">
        <f>5000/3600</f>
        <v>1.3888888888888888</v>
      </c>
      <c r="Z326" s="3">
        <f t="shared" si="171"/>
        <v>1.3963636363636365</v>
      </c>
      <c r="AA326" t="s">
        <v>33</v>
      </c>
      <c r="AB326" s="4">
        <f>IFERROR(((X326*M326)/Y326), "NA")</f>
        <v>27.648000000000007</v>
      </c>
      <c r="AC326" s="4">
        <f t="shared" si="177"/>
        <v>27.52</v>
      </c>
      <c r="AD326" s="4">
        <f>AB326*T326*AI326</f>
        <v>27.648000000000007</v>
      </c>
      <c r="AE326" s="3">
        <f t="shared" si="173"/>
        <v>110.59200000000003</v>
      </c>
      <c r="AF326">
        <v>137.5</v>
      </c>
      <c r="AG326" s="4">
        <f t="shared" si="181"/>
        <v>137.6</v>
      </c>
      <c r="AH326" s="4">
        <f t="shared" si="182"/>
        <v>137.6</v>
      </c>
      <c r="AI326">
        <v>1</v>
      </c>
      <c r="AJ326" s="11" t="s">
        <v>31</v>
      </c>
      <c r="AK326">
        <v>2000</v>
      </c>
      <c r="AL326" t="s">
        <v>784</v>
      </c>
      <c r="AM326" t="s">
        <v>103</v>
      </c>
      <c r="AN326" t="s">
        <v>130</v>
      </c>
      <c r="AO326" t="s">
        <v>795</v>
      </c>
      <c r="AP326">
        <v>7</v>
      </c>
      <c r="AQ326" t="s">
        <v>33</v>
      </c>
      <c r="AR326" t="s">
        <v>33</v>
      </c>
      <c r="AS326" s="6">
        <f>LOG(AVERAGE(10^8, 10^9))</f>
        <v>8.7403626894942441</v>
      </c>
      <c r="AT326" s="3">
        <f t="shared" si="183"/>
        <v>3.4923626894942439</v>
      </c>
      <c r="AU326" s="6">
        <v>5.2480000000000002</v>
      </c>
      <c r="AV326" t="b">
        <v>1</v>
      </c>
      <c r="AW326" t="s">
        <v>172</v>
      </c>
      <c r="AX326" t="s">
        <v>173</v>
      </c>
      <c r="AY326">
        <v>130.00139999999999</v>
      </c>
      <c r="AZ326" t="s">
        <v>33</v>
      </c>
      <c r="BA326" s="18" t="s">
        <v>799</v>
      </c>
      <c r="BB326" s="3" t="b">
        <v>0</v>
      </c>
      <c r="BC326" t="s">
        <v>81</v>
      </c>
      <c r="BD326">
        <v>24</v>
      </c>
      <c r="BE326" t="s">
        <v>80</v>
      </c>
      <c r="BF326">
        <v>48</v>
      </c>
      <c r="BG326" t="s">
        <v>734</v>
      </c>
      <c r="BH326" t="s">
        <v>31</v>
      </c>
      <c r="BI326" t="s">
        <v>31</v>
      </c>
      <c r="BJ326" s="3">
        <f t="shared" si="178"/>
        <v>5.2480000000000002</v>
      </c>
      <c r="BK326" s="3">
        <f t="shared" si="179"/>
        <v>0.7199938263676039</v>
      </c>
      <c r="BL326">
        <v>2</v>
      </c>
      <c r="BM326" s="3">
        <f t="shared" si="174"/>
        <v>1.323729885759158</v>
      </c>
      <c r="BN326" t="s">
        <v>33</v>
      </c>
      <c r="BO326" s="3">
        <f t="shared" si="175"/>
        <v>21.073170731707322</v>
      </c>
      <c r="BP326" t="s">
        <v>33</v>
      </c>
      <c r="BQ326" t="s">
        <v>33</v>
      </c>
      <c r="BR326" t="s">
        <v>33</v>
      </c>
      <c r="BS326" t="s">
        <v>33</v>
      </c>
      <c r="BT326" t="s">
        <v>32</v>
      </c>
      <c r="BU326" t="s">
        <v>709</v>
      </c>
      <c r="BV326">
        <v>2024</v>
      </c>
      <c r="BW326" t="s">
        <v>710</v>
      </c>
      <c r="BX326" t="s">
        <v>78</v>
      </c>
      <c r="BY326" t="s">
        <v>711</v>
      </c>
      <c r="CA326" t="str">
        <f t="shared" si="176"/>
        <v>low acid</v>
      </c>
    </row>
    <row r="327" spans="1:79">
      <c r="A327" t="s">
        <v>268</v>
      </c>
      <c r="B327" t="s">
        <v>565</v>
      </c>
      <c r="C327" t="s">
        <v>563</v>
      </c>
      <c r="D327" t="s">
        <v>118</v>
      </c>
      <c r="E327" t="s">
        <v>77</v>
      </c>
      <c r="F327" t="s">
        <v>31</v>
      </c>
      <c r="G327">
        <v>18</v>
      </c>
      <c r="H327" t="s">
        <v>33</v>
      </c>
      <c r="I327" t="b">
        <v>0</v>
      </c>
      <c r="J327" t="s">
        <v>33</v>
      </c>
      <c r="K327" t="s">
        <v>33</v>
      </c>
      <c r="L327">
        <v>30</v>
      </c>
      <c r="M327" s="4">
        <v>500</v>
      </c>
      <c r="N327" s="3">
        <f t="shared" si="180"/>
        <v>496.39611314422439</v>
      </c>
      <c r="O327">
        <v>3</v>
      </c>
      <c r="P327" t="s">
        <v>33</v>
      </c>
      <c r="Q327" s="8">
        <f t="shared" ref="Q327:Q340" si="184">IFERROR(X327/Z327, "NA")</f>
        <v>1.2044444444444444E-2</v>
      </c>
      <c r="R327" t="s">
        <v>183</v>
      </c>
      <c r="S327" t="s">
        <v>613</v>
      </c>
      <c r="T327" s="11">
        <v>6</v>
      </c>
      <c r="U327">
        <v>2.92</v>
      </c>
      <c r="V327">
        <v>2.2999999999999998</v>
      </c>
      <c r="W327" t="s">
        <v>33</v>
      </c>
      <c r="X327" s="8">
        <f t="shared" ref="X327:X332" si="185">IFERROR(((PI())*(((V327*10^-1)/2)^2)*(U327*10^-1)), "NA")</f>
        <v>1.2131888350367701E-2</v>
      </c>
      <c r="Y327">
        <v>1</v>
      </c>
      <c r="Z327" s="3">
        <f t="shared" si="171"/>
        <v>1.0072601028903072</v>
      </c>
      <c r="AA327" t="s">
        <v>33</v>
      </c>
      <c r="AB327" s="6">
        <f>IFERROR(((X327*M327)/Z327), "NA")</f>
        <v>6.022222222222223</v>
      </c>
      <c r="AC327" t="str">
        <f t="shared" si="177"/>
        <v>NA</v>
      </c>
      <c r="AD327" s="4">
        <f>AB327*T327*AI327</f>
        <v>36.13333333333334</v>
      </c>
      <c r="AE327" s="3">
        <f t="shared" si="173"/>
        <v>504.3852</v>
      </c>
      <c r="AF327">
        <v>108.4</v>
      </c>
      <c r="AG327" t="str">
        <f t="shared" si="181"/>
        <v>NA</v>
      </c>
      <c r="AH327" t="str">
        <f t="shared" si="182"/>
        <v>NA</v>
      </c>
      <c r="AI327">
        <v>1</v>
      </c>
      <c r="AJ327" t="s">
        <v>31</v>
      </c>
      <c r="AK327">
        <v>5170</v>
      </c>
      <c r="AL327" t="s">
        <v>265</v>
      </c>
      <c r="AM327" t="s">
        <v>86</v>
      </c>
      <c r="AN327" t="s">
        <v>205</v>
      </c>
      <c r="AO327" t="s">
        <v>789</v>
      </c>
      <c r="AP327">
        <v>3.28</v>
      </c>
      <c r="AQ327" t="s">
        <v>33</v>
      </c>
      <c r="AR327" t="s">
        <v>33</v>
      </c>
      <c r="AS327" s="6">
        <v>5.665</v>
      </c>
      <c r="AT327" s="3">
        <f t="shared" si="183"/>
        <v>3.4969999999999999</v>
      </c>
      <c r="AU327" s="6">
        <v>2.1680000000000001</v>
      </c>
      <c r="AV327" t="b">
        <v>1</v>
      </c>
      <c r="AW327" t="s">
        <v>29</v>
      </c>
      <c r="AX327" t="s">
        <v>30</v>
      </c>
      <c r="AY327" t="s">
        <v>33</v>
      </c>
      <c r="AZ327" t="s">
        <v>134</v>
      </c>
      <c r="BA327" s="18" t="s">
        <v>798</v>
      </c>
      <c r="BB327" t="b">
        <v>0</v>
      </c>
      <c r="BC327" t="s">
        <v>81</v>
      </c>
      <c r="BD327">
        <v>24</v>
      </c>
      <c r="BE327" t="s">
        <v>80</v>
      </c>
      <c r="BF327" s="11">
        <f>(24+48)/2</f>
        <v>36</v>
      </c>
      <c r="BG327" t="s">
        <v>262</v>
      </c>
      <c r="BH327" t="s">
        <v>31</v>
      </c>
      <c r="BI327" t="s">
        <v>31</v>
      </c>
      <c r="BJ327" s="3">
        <f t="shared" si="178"/>
        <v>2.1680000000000001</v>
      </c>
      <c r="BK327" s="3">
        <f t="shared" si="179"/>
        <v>0.33605927786634937</v>
      </c>
      <c r="BL327">
        <v>2</v>
      </c>
      <c r="BM327" s="3">
        <f t="shared" si="174"/>
        <v>2.3667030568692859</v>
      </c>
      <c r="BN327" t="s">
        <v>33</v>
      </c>
      <c r="BO327" s="3">
        <f t="shared" si="175"/>
        <v>232.64999999999998</v>
      </c>
      <c r="BP327" t="s">
        <v>33</v>
      </c>
      <c r="BQ327" t="s">
        <v>33</v>
      </c>
      <c r="BR327" t="s">
        <v>33</v>
      </c>
      <c r="BS327" t="s">
        <v>33</v>
      </c>
      <c r="BT327" t="s">
        <v>31</v>
      </c>
      <c r="BU327" t="s">
        <v>267</v>
      </c>
      <c r="BV327">
        <v>2017</v>
      </c>
      <c r="BW327" s="2" t="s">
        <v>266</v>
      </c>
      <c r="BX327" t="s">
        <v>78</v>
      </c>
      <c r="BY327" t="s">
        <v>269</v>
      </c>
      <c r="BZ327" t="s">
        <v>33</v>
      </c>
      <c r="CA327" t="str">
        <f t="shared" si="176"/>
        <v>high acid</v>
      </c>
    </row>
    <row r="328" spans="1:79">
      <c r="A328" s="3" t="s">
        <v>280</v>
      </c>
      <c r="B328" t="s">
        <v>566</v>
      </c>
      <c r="C328" t="s">
        <v>563</v>
      </c>
      <c r="D328" s="3" t="s">
        <v>279</v>
      </c>
      <c r="E328" s="3" t="s">
        <v>77</v>
      </c>
      <c r="F328" t="s">
        <v>32</v>
      </c>
      <c r="G328" s="11">
        <v>10</v>
      </c>
      <c r="H328" s="11">
        <v>30</v>
      </c>
      <c r="I328" s="3" t="b">
        <v>0</v>
      </c>
      <c r="J328" s="3" t="s">
        <v>33</v>
      </c>
      <c r="K328" s="3" t="s">
        <v>33</v>
      </c>
      <c r="L328" s="11">
        <v>20</v>
      </c>
      <c r="M328" s="4">
        <v>1000</v>
      </c>
      <c r="N328" s="3">
        <f t="shared" si="180"/>
        <v>2526.2689379665921</v>
      </c>
      <c r="O328" s="3">
        <v>16</v>
      </c>
      <c r="P328" s="3" t="s">
        <v>33</v>
      </c>
      <c r="Q328" s="3">
        <f t="shared" si="184"/>
        <v>7.5000000000000011E-2</v>
      </c>
      <c r="R328" t="s">
        <v>183</v>
      </c>
      <c r="S328" t="s">
        <v>613</v>
      </c>
      <c r="T328" s="11">
        <v>1</v>
      </c>
      <c r="U328" s="3">
        <v>2.8</v>
      </c>
      <c r="V328" s="3">
        <v>3</v>
      </c>
      <c r="W328" s="3">
        <v>0.02</v>
      </c>
      <c r="X328" s="3">
        <f t="shared" si="185"/>
        <v>1.97920337176157E-2</v>
      </c>
      <c r="Y328" s="3">
        <f>40/60</f>
        <v>0.66666666666666663</v>
      </c>
      <c r="Z328" s="3">
        <f t="shared" si="171"/>
        <v>0.26389378290154264</v>
      </c>
      <c r="AA328" s="3" t="s">
        <v>33</v>
      </c>
      <c r="AB328" s="3">
        <f>IFERROR(((X328*M328)/Z328), "NA")</f>
        <v>75</v>
      </c>
      <c r="AC328" s="3" t="str">
        <f t="shared" si="177"/>
        <v>NA</v>
      </c>
      <c r="AD328" s="4">
        <f>IFERROR(AB328*T328*AI328, "NA")</f>
        <v>75</v>
      </c>
      <c r="AE328" s="3">
        <f t="shared" si="173"/>
        <v>192.00000000000003</v>
      </c>
      <c r="AF328" s="3">
        <v>1200</v>
      </c>
      <c r="AG328" s="3" t="str">
        <f t="shared" si="181"/>
        <v>NA</v>
      </c>
      <c r="AH328" s="3" t="str">
        <f t="shared" si="182"/>
        <v>NA</v>
      </c>
      <c r="AI328" s="11">
        <v>1</v>
      </c>
      <c r="AJ328" t="s">
        <v>31</v>
      </c>
      <c r="AK328" s="11">
        <v>400</v>
      </c>
      <c r="AL328" s="3" t="s">
        <v>526</v>
      </c>
      <c r="AM328" s="3" t="s">
        <v>103</v>
      </c>
      <c r="AN328" t="s">
        <v>130</v>
      </c>
      <c r="AO328" t="s">
        <v>795</v>
      </c>
      <c r="AP328" s="3" t="s">
        <v>33</v>
      </c>
      <c r="AQ328" s="3" t="s">
        <v>33</v>
      </c>
      <c r="AR328" s="3" t="s">
        <v>33</v>
      </c>
      <c r="AS328" s="3">
        <v>4.0880000000000001</v>
      </c>
      <c r="AT328" s="3">
        <f t="shared" si="183"/>
        <v>3.5</v>
      </c>
      <c r="AU328" s="6">
        <v>0.58799999999999997</v>
      </c>
      <c r="AV328" s="3" t="b">
        <v>1</v>
      </c>
      <c r="AW328" s="3" t="s">
        <v>172</v>
      </c>
      <c r="AX328" s="3" t="s">
        <v>173</v>
      </c>
      <c r="AY328" s="3" t="s">
        <v>283</v>
      </c>
      <c r="AZ328" s="3" t="s">
        <v>33</v>
      </c>
      <c r="BA328" s="18" t="s">
        <v>799</v>
      </c>
      <c r="BB328" s="3" t="b">
        <v>0</v>
      </c>
      <c r="BC328" t="s">
        <v>81</v>
      </c>
      <c r="BD328" s="3">
        <v>2</v>
      </c>
      <c r="BE328" s="3" t="s">
        <v>252</v>
      </c>
      <c r="BF328" s="11">
        <v>72</v>
      </c>
      <c r="BG328" s="3" t="s">
        <v>574</v>
      </c>
      <c r="BH328" s="3" t="s">
        <v>31</v>
      </c>
      <c r="BI328" s="3" t="s">
        <v>31</v>
      </c>
      <c r="BJ328" s="3">
        <f t="shared" si="178"/>
        <v>0.58799999999999997</v>
      </c>
      <c r="BK328" s="3">
        <f t="shared" si="179"/>
        <v>-0.23062267392386154</v>
      </c>
      <c r="BL328" s="3">
        <v>2</v>
      </c>
      <c r="BM328" s="3">
        <f t="shared" si="174"/>
        <v>2.5139239026274112</v>
      </c>
      <c r="BN328" s="3" t="s">
        <v>33</v>
      </c>
      <c r="BO328" s="3">
        <f t="shared" si="175"/>
        <v>326.53061224489801</v>
      </c>
      <c r="BP328" s="3" t="s">
        <v>33</v>
      </c>
      <c r="BQ328" s="3" t="s">
        <v>33</v>
      </c>
      <c r="BR328" s="3" t="s">
        <v>33</v>
      </c>
      <c r="BS328" s="3" t="s">
        <v>33</v>
      </c>
      <c r="BT328" t="s">
        <v>31</v>
      </c>
      <c r="BU328" s="3" t="s">
        <v>247</v>
      </c>
      <c r="BV328" s="11">
        <v>2016</v>
      </c>
      <c r="BW328" s="3" t="s">
        <v>284</v>
      </c>
      <c r="BX328" t="s">
        <v>78</v>
      </c>
      <c r="BY328" s="3" t="s">
        <v>33</v>
      </c>
      <c r="BZ328" s="3" t="s">
        <v>282</v>
      </c>
      <c r="CA328" t="str">
        <f t="shared" si="176"/>
        <v>low acid</v>
      </c>
    </row>
    <row r="329" spans="1:79">
      <c r="A329" t="s">
        <v>415</v>
      </c>
      <c r="B329" t="s">
        <v>565</v>
      </c>
      <c r="C329" t="s">
        <v>563</v>
      </c>
      <c r="D329" t="s">
        <v>33</v>
      </c>
      <c r="E329" t="s">
        <v>77</v>
      </c>
      <c r="F329" t="s">
        <v>32</v>
      </c>
      <c r="G329">
        <v>25</v>
      </c>
      <c r="H329">
        <v>45.5</v>
      </c>
      <c r="I329" t="b">
        <v>0</v>
      </c>
      <c r="J329">
        <v>8125</v>
      </c>
      <c r="K329">
        <v>26.9</v>
      </c>
      <c r="L329">
        <v>30</v>
      </c>
      <c r="M329" s="4">
        <v>250</v>
      </c>
      <c r="N329" s="3">
        <f t="shared" si="180"/>
        <v>251.11113243387931</v>
      </c>
      <c r="O329">
        <v>4</v>
      </c>
      <c r="P329" t="s">
        <v>33</v>
      </c>
      <c r="Q329" s="8">
        <f t="shared" si="184"/>
        <v>1.4200000000000001E-2</v>
      </c>
      <c r="R329" t="s">
        <v>183</v>
      </c>
      <c r="S329" t="s">
        <v>612</v>
      </c>
      <c r="T329" s="11">
        <v>6</v>
      </c>
      <c r="U329">
        <v>2.7</v>
      </c>
      <c r="V329">
        <v>2</v>
      </c>
      <c r="W329">
        <v>8.5000000000000006E-3</v>
      </c>
      <c r="X329" s="9">
        <f t="shared" si="185"/>
        <v>8.4823001646924419E-3</v>
      </c>
      <c r="Y329" s="6">
        <f>36/60</f>
        <v>0.6</v>
      </c>
      <c r="Z329" s="3">
        <f t="shared" si="171"/>
        <v>0.59734508202059444</v>
      </c>
      <c r="AA329">
        <f>21.3/6</f>
        <v>3.5500000000000003</v>
      </c>
      <c r="AB329" s="6">
        <f>IFERROR(((X329*M329)/Y329), "NA")</f>
        <v>3.5342917352885173</v>
      </c>
      <c r="AC329" t="str">
        <f t="shared" si="177"/>
        <v>NA</v>
      </c>
      <c r="AD329" s="4">
        <f>AB329*T329*AI329</f>
        <v>21.205750411731103</v>
      </c>
      <c r="AE329" s="3">
        <f t="shared" si="173"/>
        <v>306.72000000000003</v>
      </c>
      <c r="AF329">
        <f>AI329*T329*O329*AA329</f>
        <v>85.2</v>
      </c>
      <c r="AG329" t="str">
        <f t="shared" si="181"/>
        <v>NA</v>
      </c>
      <c r="AH329" t="str">
        <f t="shared" si="182"/>
        <v>NA</v>
      </c>
      <c r="AI329">
        <v>1</v>
      </c>
      <c r="AJ329" t="s">
        <v>31</v>
      </c>
      <c r="AK329">
        <v>4000</v>
      </c>
      <c r="AL329" t="s">
        <v>416</v>
      </c>
      <c r="AM329" t="s">
        <v>103</v>
      </c>
      <c r="AN329" t="s">
        <v>130</v>
      </c>
      <c r="AO329" t="s">
        <v>795</v>
      </c>
      <c r="AP329" s="4">
        <v>6</v>
      </c>
      <c r="AQ329" t="s">
        <v>33</v>
      </c>
      <c r="AR329" t="s">
        <v>33</v>
      </c>
      <c r="AS329" s="3">
        <f>LOG(10^8)</f>
        <v>8</v>
      </c>
      <c r="AT329" s="3">
        <f t="shared" si="183"/>
        <v>3.5</v>
      </c>
      <c r="AU329" s="6">
        <v>4.5</v>
      </c>
      <c r="AV329" t="b">
        <v>1</v>
      </c>
      <c r="AW329" t="s">
        <v>29</v>
      </c>
      <c r="AX329" t="s">
        <v>30</v>
      </c>
      <c r="AY329" t="s">
        <v>226</v>
      </c>
      <c r="AZ329" t="s">
        <v>33</v>
      </c>
      <c r="BA329" s="18" t="s">
        <v>798</v>
      </c>
      <c r="BB329" t="b">
        <v>0</v>
      </c>
      <c r="BC329" t="s">
        <v>81</v>
      </c>
      <c r="BD329">
        <v>14</v>
      </c>
      <c r="BE329" t="s">
        <v>80</v>
      </c>
      <c r="BF329" s="11">
        <v>48</v>
      </c>
      <c r="BG329" t="s">
        <v>139</v>
      </c>
      <c r="BH329" t="s">
        <v>31</v>
      </c>
      <c r="BI329" t="s">
        <v>31</v>
      </c>
      <c r="BJ329" s="3">
        <f t="shared" si="178"/>
        <v>4.5</v>
      </c>
      <c r="BK329" s="3">
        <f t="shared" si="179"/>
        <v>0.65321251377534373</v>
      </c>
      <c r="BL329">
        <v>2</v>
      </c>
      <c r="BM329" s="3">
        <f t="shared" si="174"/>
        <v>1.8335295817586437</v>
      </c>
      <c r="BN329" t="s">
        <v>33</v>
      </c>
      <c r="BO329" s="3">
        <f t="shared" si="175"/>
        <v>68.160000000000011</v>
      </c>
      <c r="BP329" t="s">
        <v>33</v>
      </c>
      <c r="BQ329" t="s">
        <v>33</v>
      </c>
      <c r="BR329" t="s">
        <v>33</v>
      </c>
      <c r="BS329" t="s">
        <v>33</v>
      </c>
      <c r="BT329" t="s">
        <v>31</v>
      </c>
      <c r="BU329" t="s">
        <v>227</v>
      </c>
      <c r="BV329">
        <v>2004</v>
      </c>
      <c r="BW329" t="s">
        <v>417</v>
      </c>
      <c r="BX329" t="s">
        <v>78</v>
      </c>
      <c r="BY329" t="s">
        <v>33</v>
      </c>
      <c r="BZ329" t="s">
        <v>33</v>
      </c>
      <c r="CA329" t="str">
        <f t="shared" si="176"/>
        <v>low acid</v>
      </c>
    </row>
    <row r="330" spans="1:79">
      <c r="A330" t="s">
        <v>332</v>
      </c>
      <c r="B330" t="s">
        <v>565</v>
      </c>
      <c r="C330" t="s">
        <v>563</v>
      </c>
      <c r="D330" t="s">
        <v>118</v>
      </c>
      <c r="E330" t="s">
        <v>77</v>
      </c>
      <c r="F330" t="s">
        <v>32</v>
      </c>
      <c r="G330">
        <v>15</v>
      </c>
      <c r="H330">
        <v>30.4</v>
      </c>
      <c r="I330" t="b">
        <v>0</v>
      </c>
      <c r="J330" t="s">
        <v>33</v>
      </c>
      <c r="K330" t="s">
        <v>33</v>
      </c>
      <c r="L330">
        <v>20</v>
      </c>
      <c r="M330" s="4">
        <v>600</v>
      </c>
      <c r="N330" s="3">
        <f t="shared" si="180"/>
        <v>6909.4056514700696</v>
      </c>
      <c r="O330">
        <v>5</v>
      </c>
      <c r="P330" t="s">
        <v>33</v>
      </c>
      <c r="Q330" s="8">
        <f t="shared" si="184"/>
        <v>4.1666666666666664E-2</v>
      </c>
      <c r="R330" t="s">
        <v>183</v>
      </c>
      <c r="S330" t="s">
        <v>613</v>
      </c>
      <c r="T330" s="11">
        <v>8</v>
      </c>
      <c r="U330">
        <v>2.9</v>
      </c>
      <c r="V330">
        <v>2.2999999999999998</v>
      </c>
      <c r="W330">
        <v>1.2E-2</v>
      </c>
      <c r="X330" s="8">
        <f t="shared" si="185"/>
        <v>1.204879322468025E-2</v>
      </c>
      <c r="Y330">
        <v>3.33</v>
      </c>
      <c r="Z330" s="3">
        <f t="shared" si="171"/>
        <v>0.28917103739232602</v>
      </c>
      <c r="AA330" t="s">
        <v>33</v>
      </c>
      <c r="AB330" s="6">
        <f t="shared" ref="AB330:AB336" si="186">IFERROR(((X330*M330)/Z330), "NA")</f>
        <v>25</v>
      </c>
      <c r="AC330" t="str">
        <f t="shared" si="177"/>
        <v>NA</v>
      </c>
      <c r="AD330" s="4">
        <f>AB330*T330*AI330</f>
        <v>200</v>
      </c>
      <c r="AE330" s="3">
        <f t="shared" si="173"/>
        <v>840</v>
      </c>
      <c r="AF330">
        <v>1000</v>
      </c>
      <c r="AG330" t="str">
        <f t="shared" si="181"/>
        <v>NA</v>
      </c>
      <c r="AH330" t="str">
        <f t="shared" si="182"/>
        <v>NA</v>
      </c>
      <c r="AI330">
        <v>1</v>
      </c>
      <c r="AJ330" t="s">
        <v>31</v>
      </c>
      <c r="AK330">
        <v>2100</v>
      </c>
      <c r="AL330" t="s">
        <v>551</v>
      </c>
      <c r="AM330" t="s">
        <v>86</v>
      </c>
      <c r="AN330" t="s">
        <v>205</v>
      </c>
      <c r="AO330" t="s">
        <v>789</v>
      </c>
      <c r="AP330">
        <v>3.79</v>
      </c>
      <c r="AQ330">
        <v>1060</v>
      </c>
      <c r="AR330" t="s">
        <v>33</v>
      </c>
      <c r="AS330" s="6">
        <f>LOG((10^6+10^7)/2)</f>
        <v>6.7403626894942441</v>
      </c>
      <c r="AT330" s="3">
        <f t="shared" si="183"/>
        <v>3.5003626894942439</v>
      </c>
      <c r="AU330" s="6">
        <v>3.24</v>
      </c>
      <c r="AV330" t="b">
        <v>1</v>
      </c>
      <c r="AW330" t="s">
        <v>172</v>
      </c>
      <c r="AX330" t="s">
        <v>173</v>
      </c>
      <c r="AY330" t="s">
        <v>333</v>
      </c>
      <c r="AZ330" t="s">
        <v>33</v>
      </c>
      <c r="BA330" s="18" t="s">
        <v>799</v>
      </c>
      <c r="BB330" t="b">
        <v>0</v>
      </c>
      <c r="BC330" t="s">
        <v>81</v>
      </c>
      <c r="BD330">
        <v>72</v>
      </c>
      <c r="BE330" t="s">
        <v>80</v>
      </c>
      <c r="BF330" s="11">
        <v>168</v>
      </c>
      <c r="BG330" t="s">
        <v>334</v>
      </c>
      <c r="BH330" t="s">
        <v>31</v>
      </c>
      <c r="BI330" t="s">
        <v>31</v>
      </c>
      <c r="BJ330" s="3">
        <f t="shared" si="178"/>
        <v>3.24</v>
      </c>
      <c r="BK330" s="3">
        <f t="shared" si="179"/>
        <v>0.51054501020661214</v>
      </c>
      <c r="BL330">
        <v>2</v>
      </c>
      <c r="BM330" s="3">
        <f t="shared" si="174"/>
        <v>2.4137342758552696</v>
      </c>
      <c r="BN330" t="s">
        <v>33</v>
      </c>
      <c r="BO330" s="3">
        <f t="shared" si="175"/>
        <v>259.25925925925924</v>
      </c>
      <c r="BP330" t="s">
        <v>33</v>
      </c>
      <c r="BQ330" t="s">
        <v>33</v>
      </c>
      <c r="BR330" t="s">
        <v>33</v>
      </c>
      <c r="BS330" t="s">
        <v>33</v>
      </c>
      <c r="BT330" t="s">
        <v>31</v>
      </c>
      <c r="BU330" t="s">
        <v>330</v>
      </c>
      <c r="BV330">
        <v>2009</v>
      </c>
      <c r="BW330" t="s">
        <v>331</v>
      </c>
      <c r="BX330" t="s">
        <v>78</v>
      </c>
      <c r="BY330" t="s">
        <v>33</v>
      </c>
      <c r="BZ330" t="s">
        <v>33</v>
      </c>
      <c r="CA330" t="str">
        <f t="shared" si="176"/>
        <v>high acid</v>
      </c>
    </row>
    <row r="331" spans="1:79">
      <c r="A331" s="3" t="s">
        <v>303</v>
      </c>
      <c r="B331" t="s">
        <v>566</v>
      </c>
      <c r="C331" t="s">
        <v>563</v>
      </c>
      <c r="D331" s="3" t="s">
        <v>279</v>
      </c>
      <c r="E331" s="3" t="s">
        <v>77</v>
      </c>
      <c r="F331" t="s">
        <v>32</v>
      </c>
      <c r="G331" s="11">
        <v>10</v>
      </c>
      <c r="H331" s="11">
        <v>30</v>
      </c>
      <c r="I331" s="3" t="b">
        <v>0</v>
      </c>
      <c r="J331" s="3" t="s">
        <v>33</v>
      </c>
      <c r="K331" s="3" t="s">
        <v>33</v>
      </c>
      <c r="L331" s="11">
        <v>20</v>
      </c>
      <c r="M331" s="4">
        <v>1000</v>
      </c>
      <c r="N331" s="3">
        <f t="shared" si="180"/>
        <v>2526.2689379665921</v>
      </c>
      <c r="O331" s="3">
        <v>16</v>
      </c>
      <c r="P331" s="3" t="s">
        <v>33</v>
      </c>
      <c r="Q331" s="3">
        <f t="shared" si="184"/>
        <v>7.5000000000000011E-2</v>
      </c>
      <c r="R331" t="s">
        <v>183</v>
      </c>
      <c r="S331" t="s">
        <v>613</v>
      </c>
      <c r="T331" s="11">
        <v>1</v>
      </c>
      <c r="U331" s="3">
        <v>2.8</v>
      </c>
      <c r="V331" s="3">
        <v>3</v>
      </c>
      <c r="W331" s="3">
        <v>0.02</v>
      </c>
      <c r="X331" s="3">
        <f t="shared" si="185"/>
        <v>1.97920337176157E-2</v>
      </c>
      <c r="Y331" s="3">
        <f>40/60</f>
        <v>0.66666666666666663</v>
      </c>
      <c r="Z331" s="3">
        <f t="shared" si="171"/>
        <v>0.26389378290154264</v>
      </c>
      <c r="AA331" s="3" t="s">
        <v>33</v>
      </c>
      <c r="AB331" s="3">
        <f t="shared" si="186"/>
        <v>75</v>
      </c>
      <c r="AC331" s="3" t="str">
        <f t="shared" si="177"/>
        <v>NA</v>
      </c>
      <c r="AD331" s="4">
        <f>IFERROR(AB331*T331*AI331, "NA")</f>
        <v>75</v>
      </c>
      <c r="AE331" s="3">
        <f t="shared" si="173"/>
        <v>48.000000000000007</v>
      </c>
      <c r="AF331" s="3">
        <v>1200</v>
      </c>
      <c r="AG331" s="3" t="str">
        <f t="shared" si="181"/>
        <v>NA</v>
      </c>
      <c r="AH331" s="3" t="str">
        <f t="shared" si="182"/>
        <v>NA</v>
      </c>
      <c r="AI331" s="11">
        <v>1</v>
      </c>
      <c r="AJ331" t="s">
        <v>31</v>
      </c>
      <c r="AK331" s="11">
        <v>100</v>
      </c>
      <c r="AL331" s="3" t="s">
        <v>526</v>
      </c>
      <c r="AM331" s="3" t="s">
        <v>103</v>
      </c>
      <c r="AN331" t="s">
        <v>130</v>
      </c>
      <c r="AO331" t="s">
        <v>795</v>
      </c>
      <c r="AP331" s="3" t="s">
        <v>33</v>
      </c>
      <c r="AQ331" s="3" t="s">
        <v>33</v>
      </c>
      <c r="AR331" s="3" t="s">
        <v>33</v>
      </c>
      <c r="AS331" s="3">
        <f>4.049</f>
        <v>4.0490000000000004</v>
      </c>
      <c r="AT331" s="3">
        <f t="shared" si="183"/>
        <v>3.5040000000000004</v>
      </c>
      <c r="AU331" s="6">
        <v>0.54500000000000004</v>
      </c>
      <c r="AV331" s="3" t="b">
        <v>1</v>
      </c>
      <c r="AW331" s="3" t="s">
        <v>172</v>
      </c>
      <c r="AX331" s="3" t="s">
        <v>173</v>
      </c>
      <c r="AY331" s="3" t="s">
        <v>283</v>
      </c>
      <c r="AZ331" s="3" t="s">
        <v>33</v>
      </c>
      <c r="BA331" s="18" t="s">
        <v>799</v>
      </c>
      <c r="BB331" s="3" t="b">
        <v>0</v>
      </c>
      <c r="BC331" t="s">
        <v>81</v>
      </c>
      <c r="BD331" s="3">
        <v>2</v>
      </c>
      <c r="BE331" s="3" t="s">
        <v>252</v>
      </c>
      <c r="BF331" s="11">
        <v>72</v>
      </c>
      <c r="BG331" s="3" t="s">
        <v>574</v>
      </c>
      <c r="BH331" s="3" t="s">
        <v>31</v>
      </c>
      <c r="BI331" s="3" t="s">
        <v>31</v>
      </c>
      <c r="BJ331" s="3">
        <f t="shared" si="178"/>
        <v>0.54500000000000004</v>
      </c>
      <c r="BK331" s="3">
        <f t="shared" si="179"/>
        <v>-0.2636034977233575</v>
      </c>
      <c r="BL331" s="3">
        <v>2</v>
      </c>
      <c r="BM331" s="3">
        <f t="shared" si="174"/>
        <v>1.9448447350989448</v>
      </c>
      <c r="BN331" s="3" t="s">
        <v>33</v>
      </c>
      <c r="BO331" s="3">
        <f t="shared" si="175"/>
        <v>88.073394495412856</v>
      </c>
      <c r="BP331" s="3" t="s">
        <v>33</v>
      </c>
      <c r="BQ331" s="3" t="s">
        <v>33</v>
      </c>
      <c r="BR331" s="3" t="s">
        <v>33</v>
      </c>
      <c r="BS331" s="3" t="s">
        <v>33</v>
      </c>
      <c r="BT331" t="s">
        <v>31</v>
      </c>
      <c r="BU331" s="3" t="s">
        <v>247</v>
      </c>
      <c r="BV331" s="11">
        <v>2016</v>
      </c>
      <c r="BW331" s="3" t="s">
        <v>284</v>
      </c>
      <c r="BX331" t="s">
        <v>78</v>
      </c>
      <c r="BY331" s="3" t="s">
        <v>33</v>
      </c>
      <c r="BZ331" s="3" t="s">
        <v>285</v>
      </c>
      <c r="CA331" t="str">
        <f t="shared" si="176"/>
        <v>low acid</v>
      </c>
    </row>
    <row r="332" spans="1:79">
      <c r="A332" t="s">
        <v>596</v>
      </c>
      <c r="B332" t="s">
        <v>565</v>
      </c>
      <c r="C332" t="s">
        <v>563</v>
      </c>
      <c r="D332" t="s">
        <v>610</v>
      </c>
      <c r="E332" t="s">
        <v>77</v>
      </c>
      <c r="F332" t="s">
        <v>33</v>
      </c>
      <c r="G332">
        <v>20</v>
      </c>
      <c r="H332" t="s">
        <v>33</v>
      </c>
      <c r="I332" t="b">
        <v>0</v>
      </c>
      <c r="J332">
        <v>12000</v>
      </c>
      <c r="K332" t="s">
        <v>33</v>
      </c>
      <c r="L332">
        <v>30</v>
      </c>
      <c r="M332" s="4">
        <v>10</v>
      </c>
      <c r="N332" t="e">
        <f>(#REF!*Y332)/(T332*X332*O332)</f>
        <v>#REF!</v>
      </c>
      <c r="O332">
        <v>5</v>
      </c>
      <c r="P332" t="s">
        <v>33</v>
      </c>
      <c r="Q332" s="1">
        <f t="shared" si="184"/>
        <v>0.92000000000000015</v>
      </c>
      <c r="R332" t="s">
        <v>183</v>
      </c>
      <c r="S332" t="s">
        <v>613</v>
      </c>
      <c r="T332">
        <v>1</v>
      </c>
      <c r="U332">
        <v>4</v>
      </c>
      <c r="V332">
        <v>4</v>
      </c>
      <c r="W332" t="s">
        <v>33</v>
      </c>
      <c r="X332">
        <f t="shared" si="185"/>
        <v>5.02654824574367E-2</v>
      </c>
      <c r="Y332">
        <v>0.106667</v>
      </c>
      <c r="Z332" s="3">
        <f t="shared" si="171"/>
        <v>5.4636393975474665E-2</v>
      </c>
      <c r="AA332" t="s">
        <v>33</v>
      </c>
      <c r="AB332">
        <f t="shared" si="186"/>
        <v>9.2000000000000011</v>
      </c>
      <c r="AC332" s="1" t="str">
        <f t="shared" si="177"/>
        <v>NA</v>
      </c>
      <c r="AE332" s="3">
        <f t="shared" si="173"/>
        <v>82.800000000000011</v>
      </c>
      <c r="AF332">
        <v>46</v>
      </c>
      <c r="AG332" s="1" t="str">
        <f>IFERROR((N332*P332*Q332), "NA")</f>
        <v>NA</v>
      </c>
      <c r="AH332" s="1" t="str">
        <f>IFERROR((AG332*U332*AI332), "NA")</f>
        <v>NA</v>
      </c>
      <c r="AI332" s="1">
        <v>1</v>
      </c>
      <c r="AJ332" s="11" t="s">
        <v>31</v>
      </c>
      <c r="AK332">
        <v>2000</v>
      </c>
      <c r="AL332" t="s">
        <v>149</v>
      </c>
      <c r="AM332" t="s">
        <v>86</v>
      </c>
      <c r="AN332" t="s">
        <v>205</v>
      </c>
      <c r="AO332" t="s">
        <v>789</v>
      </c>
      <c r="AP332" t="s">
        <v>33</v>
      </c>
      <c r="AQ332" t="s">
        <v>33</v>
      </c>
      <c r="AR332" t="s">
        <v>33</v>
      </c>
      <c r="AS332">
        <f>AVERAGE(6,8)</f>
        <v>7</v>
      </c>
      <c r="AT332">
        <f>AS332-AU332</f>
        <v>3.51</v>
      </c>
      <c r="AU332" s="6">
        <v>3.49</v>
      </c>
      <c r="AV332" t="b">
        <v>1</v>
      </c>
      <c r="AW332" t="s">
        <v>626</v>
      </c>
      <c r="AX332" t="s">
        <v>627</v>
      </c>
      <c r="AY332" t="s">
        <v>634</v>
      </c>
      <c r="AZ332" t="s">
        <v>33</v>
      </c>
      <c r="BA332" s="18" t="s">
        <v>800</v>
      </c>
      <c r="BB332" s="3" t="b">
        <v>0</v>
      </c>
      <c r="BC332" t="s">
        <v>81</v>
      </c>
      <c r="BD332">
        <v>18</v>
      </c>
      <c r="BE332" t="s">
        <v>80</v>
      </c>
      <c r="BF332">
        <v>24</v>
      </c>
      <c r="BG332" t="s">
        <v>644</v>
      </c>
      <c r="BH332" t="s">
        <v>31</v>
      </c>
      <c r="BI332" t="s">
        <v>31</v>
      </c>
      <c r="BJ332">
        <f t="shared" si="178"/>
        <v>3.49</v>
      </c>
      <c r="BK332" s="3">
        <f t="shared" si="179"/>
        <v>0.5428254269591799</v>
      </c>
      <c r="BL332">
        <v>2</v>
      </c>
      <c r="BM332" s="3">
        <f t="shared" si="174"/>
        <v>1.3752049098257002</v>
      </c>
      <c r="BN332" t="s">
        <v>33</v>
      </c>
      <c r="BO332" s="3">
        <f t="shared" si="175"/>
        <v>23.724928366762178</v>
      </c>
      <c r="BP332" t="s">
        <v>33</v>
      </c>
      <c r="BQ332" t="s">
        <v>33</v>
      </c>
      <c r="BR332" t="s">
        <v>33</v>
      </c>
      <c r="BS332" t="s">
        <v>33</v>
      </c>
      <c r="BT332" t="s">
        <v>32</v>
      </c>
      <c r="BU332" t="s">
        <v>661</v>
      </c>
      <c r="BV332">
        <v>2013</v>
      </c>
      <c r="BW332" t="s">
        <v>662</v>
      </c>
      <c r="BX332" s="13" t="s">
        <v>663</v>
      </c>
      <c r="BY332" s="13" t="s">
        <v>684</v>
      </c>
      <c r="CA332" t="str">
        <f t="shared" si="176"/>
        <v>high acid</v>
      </c>
    </row>
    <row r="333" spans="1:79">
      <c r="A333" t="s">
        <v>597</v>
      </c>
      <c r="B333" t="s">
        <v>565</v>
      </c>
      <c r="C333" t="s">
        <v>563</v>
      </c>
      <c r="D333" t="s">
        <v>33</v>
      </c>
      <c r="E333" t="s">
        <v>77</v>
      </c>
      <c r="F333" t="s">
        <v>33</v>
      </c>
      <c r="G333">
        <v>20</v>
      </c>
      <c r="H333">
        <v>35</v>
      </c>
      <c r="I333" t="b">
        <v>0</v>
      </c>
      <c r="J333" t="s">
        <v>33</v>
      </c>
      <c r="K333" t="s">
        <v>33</v>
      </c>
      <c r="L333">
        <v>15</v>
      </c>
      <c r="M333" s="4">
        <v>1</v>
      </c>
      <c r="N333" t="e">
        <f>(#REF!*Y333)/(T333*X333*O333)</f>
        <v>#REF!</v>
      </c>
      <c r="O333">
        <v>2</v>
      </c>
      <c r="P333" t="s">
        <v>33</v>
      </c>
      <c r="Q333" s="1">
        <f t="shared" si="184"/>
        <v>397.59</v>
      </c>
      <c r="R333" t="s">
        <v>183</v>
      </c>
      <c r="S333" t="s">
        <v>33</v>
      </c>
      <c r="T333">
        <v>1</v>
      </c>
      <c r="U333">
        <v>2.5</v>
      </c>
      <c r="V333" t="s">
        <v>33</v>
      </c>
      <c r="W333">
        <v>0.50249999999999995</v>
      </c>
      <c r="X333">
        <f>W333</f>
        <v>0.50249999999999995</v>
      </c>
      <c r="Y333" t="s">
        <v>33</v>
      </c>
      <c r="Z333" s="3">
        <f t="shared" si="171"/>
        <v>1.263864785331623E-3</v>
      </c>
      <c r="AA333" t="s">
        <v>33</v>
      </c>
      <c r="AB333">
        <f t="shared" si="186"/>
        <v>397.59</v>
      </c>
      <c r="AC333" s="1" t="str">
        <f t="shared" si="177"/>
        <v>NA</v>
      </c>
      <c r="AE333" s="3">
        <f t="shared" si="173"/>
        <v>357.83099999999996</v>
      </c>
      <c r="AF333">
        <v>795.18</v>
      </c>
      <c r="AG333" s="1" t="str">
        <f>IFERROR((N333*P333*Q333), "NA")</f>
        <v>NA</v>
      </c>
      <c r="AH333" s="1" t="str">
        <f>IFERROR((AG333*U333*AI333), "NA")</f>
        <v>NA</v>
      </c>
      <c r="AI333" s="1">
        <v>1</v>
      </c>
      <c r="AJ333" s="11" t="s">
        <v>31</v>
      </c>
      <c r="AK333">
        <v>2000</v>
      </c>
      <c r="AL333" t="s">
        <v>784</v>
      </c>
      <c r="AM333" s="3" t="s">
        <v>103</v>
      </c>
      <c r="AN333" t="s">
        <v>130</v>
      </c>
      <c r="AO333" t="s">
        <v>795</v>
      </c>
      <c r="AP333">
        <v>7</v>
      </c>
      <c r="AQ333" t="s">
        <v>33</v>
      </c>
      <c r="AR333" t="s">
        <v>33</v>
      </c>
      <c r="AS333">
        <v>9</v>
      </c>
      <c r="AT333">
        <f>AS333-AU333</f>
        <v>3.51</v>
      </c>
      <c r="AU333" s="6">
        <v>5.49</v>
      </c>
      <c r="AV333" t="b">
        <v>1</v>
      </c>
      <c r="AW333" t="s">
        <v>617</v>
      </c>
      <c r="AX333" t="s">
        <v>635</v>
      </c>
      <c r="AY333" t="s">
        <v>636</v>
      </c>
      <c r="AZ333" t="s">
        <v>33</v>
      </c>
      <c r="BA333" s="18" t="s">
        <v>802</v>
      </c>
      <c r="BB333" s="3" t="b">
        <v>0</v>
      </c>
      <c r="BC333" t="s">
        <v>81</v>
      </c>
      <c r="BD333">
        <v>24</v>
      </c>
      <c r="BE333" t="s">
        <v>80</v>
      </c>
      <c r="BF333">
        <v>24</v>
      </c>
      <c r="BG333" t="s">
        <v>644</v>
      </c>
      <c r="BH333" t="s">
        <v>31</v>
      </c>
      <c r="BI333" t="s">
        <v>32</v>
      </c>
      <c r="BJ333">
        <f t="shared" si="178"/>
        <v>5.49</v>
      </c>
      <c r="BK333" s="3">
        <f t="shared" si="179"/>
        <v>0.7395723444500919</v>
      </c>
      <c r="BL333">
        <v>2</v>
      </c>
      <c r="BM333" s="3">
        <f t="shared" si="174"/>
        <v>1.8141056176777017</v>
      </c>
      <c r="BN333" t="s">
        <v>33</v>
      </c>
      <c r="BO333" s="3">
        <f t="shared" si="175"/>
        <v>65.178688524590157</v>
      </c>
      <c r="BP333" t="s">
        <v>33</v>
      </c>
      <c r="BQ333" t="s">
        <v>33</v>
      </c>
      <c r="BR333" t="s">
        <v>33</v>
      </c>
      <c r="BS333" t="s">
        <v>33</v>
      </c>
      <c r="BT333" t="s">
        <v>31</v>
      </c>
      <c r="BU333" t="s">
        <v>664</v>
      </c>
      <c r="BV333">
        <v>2000</v>
      </c>
      <c r="BW333" t="s">
        <v>665</v>
      </c>
      <c r="BX333" t="s">
        <v>78</v>
      </c>
      <c r="BY333" s="13" t="s">
        <v>685</v>
      </c>
      <c r="CA333" t="str">
        <f t="shared" si="176"/>
        <v>low acid</v>
      </c>
    </row>
    <row r="334" spans="1:79">
      <c r="A334" t="s">
        <v>141</v>
      </c>
      <c r="B334" t="s">
        <v>565</v>
      </c>
      <c r="C334" t="s">
        <v>563</v>
      </c>
      <c r="D334" t="s">
        <v>118</v>
      </c>
      <c r="E334" t="s">
        <v>77</v>
      </c>
      <c r="F334" t="s">
        <v>32</v>
      </c>
      <c r="G334">
        <v>20</v>
      </c>
      <c r="H334" t="s">
        <v>33</v>
      </c>
      <c r="I334" t="b">
        <v>0</v>
      </c>
      <c r="J334" t="s">
        <v>33</v>
      </c>
      <c r="K334" t="s">
        <v>33</v>
      </c>
      <c r="L334">
        <v>30</v>
      </c>
      <c r="M334" s="4">
        <v>500</v>
      </c>
      <c r="N334" s="3">
        <f>IFERROR(AF334/((T334*X334/Y334)*O334*AI334),"NA")</f>
        <v>503.35454362283343</v>
      </c>
      <c r="O334">
        <v>3</v>
      </c>
      <c r="P334" t="s">
        <v>33</v>
      </c>
      <c r="Q334" s="8">
        <f t="shared" si="184"/>
        <v>1.4555555555555556E-2</v>
      </c>
      <c r="R334" t="s">
        <v>183</v>
      </c>
      <c r="S334" t="s">
        <v>613</v>
      </c>
      <c r="T334" s="11">
        <v>6</v>
      </c>
      <c r="U334">
        <v>2.9</v>
      </c>
      <c r="V334">
        <v>2.2999999999999998</v>
      </c>
      <c r="W334" t="s">
        <v>33</v>
      </c>
      <c r="X334">
        <f>IFERROR(((PI())*(((V334*10^-1)/2)^2)*(U334*10^-1)), "NA")</f>
        <v>1.204879322468025E-2</v>
      </c>
      <c r="Y334" s="8">
        <f>50/60</f>
        <v>0.83333333333333337</v>
      </c>
      <c r="Z334" s="9">
        <f t="shared" si="171"/>
        <v>0.82777968719177286</v>
      </c>
      <c r="AA334" t="s">
        <v>33</v>
      </c>
      <c r="AB334" s="6">
        <f t="shared" si="186"/>
        <v>7.2777777777777786</v>
      </c>
      <c r="AC334" t="str">
        <f t="shared" si="177"/>
        <v>NA</v>
      </c>
      <c r="AD334" s="4">
        <f>AB334*T334*AI334</f>
        <v>43.666666666666671</v>
      </c>
      <c r="AE334" s="3">
        <f t="shared" si="173"/>
        <v>455.09400000000005</v>
      </c>
      <c r="AF334">
        <v>131</v>
      </c>
      <c r="AG334" t="str">
        <f>IFERROR((M334*O334*P334), "NA")</f>
        <v>NA</v>
      </c>
      <c r="AH334" t="str">
        <f>IFERROR((AG334*T334*AI334), "NA")</f>
        <v>NA</v>
      </c>
      <c r="AI334">
        <v>1</v>
      </c>
      <c r="AJ334" t="s">
        <v>31</v>
      </c>
      <c r="AK334">
        <v>3860</v>
      </c>
      <c r="AL334" t="s">
        <v>138</v>
      </c>
      <c r="AM334" t="s">
        <v>86</v>
      </c>
      <c r="AN334" t="s">
        <v>205</v>
      </c>
      <c r="AO334" t="s">
        <v>789</v>
      </c>
      <c r="AP334">
        <v>3.9</v>
      </c>
      <c r="AQ334" t="s">
        <v>33</v>
      </c>
      <c r="AR334" t="s">
        <v>33</v>
      </c>
      <c r="AS334" s="3">
        <v>7.2510000000000003</v>
      </c>
      <c r="AT334" s="3">
        <f>IFERROR(AS334-AU334,"NA")</f>
        <v>3.5110000000000001</v>
      </c>
      <c r="AU334" s="6">
        <v>3.74</v>
      </c>
      <c r="AV334" t="b">
        <v>1</v>
      </c>
      <c r="AW334" t="s">
        <v>92</v>
      </c>
      <c r="AX334" t="s">
        <v>93</v>
      </c>
      <c r="AY334" t="s">
        <v>137</v>
      </c>
      <c r="AZ334" t="s">
        <v>33</v>
      </c>
      <c r="BA334" s="18" t="s">
        <v>801</v>
      </c>
      <c r="BB334" t="b">
        <v>0</v>
      </c>
      <c r="BC334" t="s">
        <v>81</v>
      </c>
      <c r="BD334">
        <f>(48+24)/2</f>
        <v>36</v>
      </c>
      <c r="BE334" t="s">
        <v>80</v>
      </c>
      <c r="BF334" s="11">
        <f>(48+24)/2</f>
        <v>36</v>
      </c>
      <c r="BG334" t="s">
        <v>139</v>
      </c>
      <c r="BH334" t="s">
        <v>31</v>
      </c>
      <c r="BI334" t="s">
        <v>31</v>
      </c>
      <c r="BJ334">
        <f t="shared" si="178"/>
        <v>3.74</v>
      </c>
      <c r="BK334" s="3">
        <f t="shared" si="179"/>
        <v>0.57287160220048017</v>
      </c>
      <c r="BL334">
        <v>2</v>
      </c>
      <c r="BM334" s="3">
        <f>LOG(BO334)</f>
        <v>2.085229507566364</v>
      </c>
      <c r="BN334" t="s">
        <v>33</v>
      </c>
      <c r="BO334" s="3">
        <f t="shared" si="175"/>
        <v>121.68288770053476</v>
      </c>
      <c r="BP334" t="s">
        <v>33</v>
      </c>
      <c r="BQ334" t="s">
        <v>33</v>
      </c>
      <c r="BR334" t="s">
        <v>33</v>
      </c>
      <c r="BS334" t="s">
        <v>33</v>
      </c>
      <c r="BT334" t="s">
        <v>31</v>
      </c>
      <c r="BU334" t="s">
        <v>135</v>
      </c>
      <c r="BV334">
        <v>2011</v>
      </c>
      <c r="BW334" s="2" t="s">
        <v>136</v>
      </c>
      <c r="BX334" t="s">
        <v>78</v>
      </c>
      <c r="BY334" t="s">
        <v>33</v>
      </c>
      <c r="BZ334" t="s">
        <v>33</v>
      </c>
      <c r="CA334" t="str">
        <f t="shared" si="176"/>
        <v>high acid</v>
      </c>
    </row>
    <row r="335" spans="1:79">
      <c r="A335" t="s">
        <v>584</v>
      </c>
      <c r="B335" t="s">
        <v>566</v>
      </c>
      <c r="C335" t="s">
        <v>563</v>
      </c>
      <c r="D335" t="s">
        <v>607</v>
      </c>
      <c r="E335" t="s">
        <v>77</v>
      </c>
      <c r="F335" t="s">
        <v>33</v>
      </c>
      <c r="G335">
        <v>20</v>
      </c>
      <c r="H335">
        <v>35</v>
      </c>
      <c r="I335" t="b">
        <v>0</v>
      </c>
      <c r="J335">
        <v>1000</v>
      </c>
      <c r="K335">
        <v>200</v>
      </c>
      <c r="L335">
        <v>25</v>
      </c>
      <c r="M335" s="4">
        <v>1</v>
      </c>
      <c r="N335" t="e">
        <f>(#REF!*Y335)/(T335*X335*O335)</f>
        <v>#REF!</v>
      </c>
      <c r="O335">
        <v>3</v>
      </c>
      <c r="P335" t="s">
        <v>33</v>
      </c>
      <c r="Q335" s="1">
        <f t="shared" si="184"/>
        <v>166.66666666666666</v>
      </c>
      <c r="R335" t="s">
        <v>183</v>
      </c>
      <c r="S335" t="s">
        <v>33</v>
      </c>
      <c r="T335">
        <v>1</v>
      </c>
      <c r="U335">
        <v>2.5</v>
      </c>
      <c r="V335" t="s">
        <v>33</v>
      </c>
      <c r="W335">
        <v>0.50249999999999995</v>
      </c>
      <c r="X335">
        <f>W335</f>
        <v>0.50249999999999995</v>
      </c>
      <c r="Y335" t="s">
        <v>33</v>
      </c>
      <c r="Z335" s="3">
        <f t="shared" si="171"/>
        <v>3.0149999999999999E-3</v>
      </c>
      <c r="AA335" t="s">
        <v>33</v>
      </c>
      <c r="AB335">
        <f t="shared" si="186"/>
        <v>166.66666666666666</v>
      </c>
      <c r="AC335" s="1" t="str">
        <f t="shared" si="177"/>
        <v>NA</v>
      </c>
      <c r="AE335" s="3">
        <f t="shared" si="173"/>
        <v>312.5</v>
      </c>
      <c r="AF335">
        <v>500</v>
      </c>
      <c r="AG335" s="1" t="str">
        <f>IFERROR((N335*P335*Q335), "NA")</f>
        <v>NA</v>
      </c>
      <c r="AH335" s="1" t="str">
        <f>IFERROR((AG335*U335*AI335), "NA")</f>
        <v>NA</v>
      </c>
      <c r="AI335" s="1">
        <v>1</v>
      </c>
      <c r="AJ335" s="11" t="s">
        <v>31</v>
      </c>
      <c r="AK335">
        <v>1000</v>
      </c>
      <c r="AL335" t="s">
        <v>614</v>
      </c>
      <c r="AM335" s="3" t="s">
        <v>103</v>
      </c>
      <c r="AN335" t="s">
        <v>130</v>
      </c>
      <c r="AO335" t="s">
        <v>795</v>
      </c>
      <c r="AP335">
        <v>7</v>
      </c>
      <c r="AQ335" t="s">
        <v>33</v>
      </c>
      <c r="AR335" t="s">
        <v>33</v>
      </c>
      <c r="AS335">
        <v>8</v>
      </c>
      <c r="AT335">
        <f>AS335-AU335</f>
        <v>3.5199999999999996</v>
      </c>
      <c r="AU335" s="6">
        <v>4.4800000000000004</v>
      </c>
      <c r="AV335" t="b">
        <v>1</v>
      </c>
      <c r="AW335" t="s">
        <v>617</v>
      </c>
      <c r="AX335" t="s">
        <v>33</v>
      </c>
      <c r="AY335" t="s">
        <v>623</v>
      </c>
      <c r="AZ335" t="s">
        <v>621</v>
      </c>
      <c r="BA335" s="18" t="s">
        <v>802</v>
      </c>
      <c r="BB335" s="3" t="b">
        <v>0</v>
      </c>
      <c r="BC335" t="s">
        <v>81</v>
      </c>
      <c r="BD335">
        <v>18</v>
      </c>
      <c r="BE335" t="s">
        <v>80</v>
      </c>
      <c r="BF335">
        <v>24</v>
      </c>
      <c r="BG335" t="s">
        <v>569</v>
      </c>
      <c r="BH335" t="s">
        <v>31</v>
      </c>
      <c r="BI335" t="s">
        <v>31</v>
      </c>
      <c r="BJ335">
        <f t="shared" si="178"/>
        <v>4.4800000000000004</v>
      </c>
      <c r="BK335" s="3">
        <f t="shared" si="179"/>
        <v>0.651278013998144</v>
      </c>
      <c r="BL335">
        <v>2</v>
      </c>
      <c r="BM335" s="3">
        <f t="shared" ref="BM335:BM363" si="187">IFERROR(LOG(BO335),"NA")</f>
        <v>1.84357200768195</v>
      </c>
      <c r="BN335" t="s">
        <v>33</v>
      </c>
      <c r="BO335" s="3">
        <f t="shared" si="175"/>
        <v>69.754464285714278</v>
      </c>
      <c r="BP335" t="s">
        <v>33</v>
      </c>
      <c r="BQ335" t="s">
        <v>33</v>
      </c>
      <c r="BR335" t="s">
        <v>33</v>
      </c>
      <c r="BS335" t="s">
        <v>33</v>
      </c>
      <c r="BT335" t="s">
        <v>31</v>
      </c>
      <c r="BU335" t="s">
        <v>255</v>
      </c>
      <c r="BV335">
        <v>2010</v>
      </c>
      <c r="BW335" t="s">
        <v>651</v>
      </c>
      <c r="BX335" t="s">
        <v>78</v>
      </c>
      <c r="BY335" s="13" t="s">
        <v>674</v>
      </c>
      <c r="CA335" t="str">
        <f t="shared" si="176"/>
        <v>low acid</v>
      </c>
    </row>
    <row r="336" spans="1:79">
      <c r="A336" t="s">
        <v>580</v>
      </c>
      <c r="B336" t="s">
        <v>565</v>
      </c>
      <c r="C336" t="s">
        <v>563</v>
      </c>
      <c r="D336" t="s">
        <v>118</v>
      </c>
      <c r="E336" t="s">
        <v>77</v>
      </c>
      <c r="F336" t="s">
        <v>32</v>
      </c>
      <c r="G336">
        <v>22</v>
      </c>
      <c r="H336">
        <v>40</v>
      </c>
      <c r="I336" t="b">
        <v>0</v>
      </c>
      <c r="J336">
        <v>10220</v>
      </c>
      <c r="K336">
        <v>25.36</v>
      </c>
      <c r="L336">
        <v>35</v>
      </c>
      <c r="M336" s="4">
        <v>175</v>
      </c>
      <c r="N336" t="e">
        <f>(#REF!*Y336)/(T336*X336*O336)</f>
        <v>#REF!</v>
      </c>
      <c r="O336">
        <v>4</v>
      </c>
      <c r="P336">
        <f>AVERAGE(0.0066, 0.0091)</f>
        <v>7.8499999999999993E-3</v>
      </c>
      <c r="Q336" s="1">
        <f t="shared" si="184"/>
        <v>0.22321428571428573</v>
      </c>
      <c r="R336" t="s">
        <v>183</v>
      </c>
      <c r="S336" t="s">
        <v>613</v>
      </c>
      <c r="T336">
        <v>8</v>
      </c>
      <c r="U336">
        <v>2.92</v>
      </c>
      <c r="V336">
        <v>2.2999999999999998</v>
      </c>
      <c r="W336">
        <v>1.21E-2</v>
      </c>
      <c r="X336">
        <f>IFERROR(((PI())*(((V336*10^-1)/2)^2)*(U336*10^-1)), "NA")</f>
        <v>1.2131888350367701E-2</v>
      </c>
      <c r="Y336">
        <v>1.5</v>
      </c>
      <c r="Z336" s="3">
        <f t="shared" si="171"/>
        <v>5.4350859809647295E-2</v>
      </c>
      <c r="AA336" t="s">
        <v>33</v>
      </c>
      <c r="AB336">
        <f t="shared" si="186"/>
        <v>39.0625</v>
      </c>
      <c r="AC336" s="1">
        <f t="shared" si="177"/>
        <v>1.3737499999999998</v>
      </c>
      <c r="AE336" s="3">
        <f t="shared" si="173"/>
        <v>3338.125</v>
      </c>
      <c r="AF336">
        <v>1250</v>
      </c>
      <c r="AG336" s="1" t="str">
        <f>IFERROR((N336*P336*Q336), "NA")</f>
        <v>NA</v>
      </c>
      <c r="AH336" s="1" t="str">
        <f>IFERROR((AG336*U336*AI336), "NA")</f>
        <v>NA</v>
      </c>
      <c r="AI336" s="1">
        <v>1</v>
      </c>
      <c r="AJ336" s="11" t="s">
        <v>31</v>
      </c>
      <c r="AK336">
        <v>2180</v>
      </c>
      <c r="AL336" t="s">
        <v>149</v>
      </c>
      <c r="AM336" t="s">
        <v>86</v>
      </c>
      <c r="AN336" t="s">
        <v>205</v>
      </c>
      <c r="AO336" t="s">
        <v>789</v>
      </c>
      <c r="AP336">
        <v>4.46</v>
      </c>
      <c r="AQ336" t="s">
        <v>33</v>
      </c>
      <c r="AR336" t="s">
        <v>33</v>
      </c>
      <c r="AS336">
        <v>7.5</v>
      </c>
      <c r="AT336">
        <f>AS336-AU336</f>
        <v>3.52</v>
      </c>
      <c r="AU336" s="6">
        <v>3.98</v>
      </c>
      <c r="AV336" t="b">
        <v>1</v>
      </c>
      <c r="AW336" t="s">
        <v>617</v>
      </c>
      <c r="AX336" t="s">
        <v>33</v>
      </c>
      <c r="AY336" t="s">
        <v>33</v>
      </c>
      <c r="AZ336" t="s">
        <v>619</v>
      </c>
      <c r="BA336" s="18" t="s">
        <v>802</v>
      </c>
      <c r="BB336" s="3" t="b">
        <v>0</v>
      </c>
      <c r="BC336" t="s">
        <v>81</v>
      </c>
      <c r="BD336">
        <v>15</v>
      </c>
      <c r="BE336" t="s">
        <v>80</v>
      </c>
      <c r="BF336">
        <v>24</v>
      </c>
      <c r="BG336" t="s">
        <v>697</v>
      </c>
      <c r="BH336" t="s">
        <v>32</v>
      </c>
      <c r="BI336" t="s">
        <v>31</v>
      </c>
      <c r="BJ336">
        <f t="shared" si="178"/>
        <v>3.98</v>
      </c>
      <c r="BK336" s="3">
        <f t="shared" si="179"/>
        <v>0.59988307207368785</v>
      </c>
      <c r="BL336">
        <v>2</v>
      </c>
      <c r="BM336" s="3">
        <f t="shared" si="187"/>
        <v>2.9236195232395246</v>
      </c>
      <c r="BN336" t="s">
        <v>33</v>
      </c>
      <c r="BO336" s="3">
        <f t="shared" si="175"/>
        <v>838.7248743718593</v>
      </c>
      <c r="BP336" t="s">
        <v>33</v>
      </c>
      <c r="BQ336" t="s">
        <v>33</v>
      </c>
      <c r="BR336" t="s">
        <v>33</v>
      </c>
      <c r="BS336" t="s">
        <v>33</v>
      </c>
      <c r="BT336" t="s">
        <v>31</v>
      </c>
      <c r="BU336" t="s">
        <v>219</v>
      </c>
      <c r="BV336" s="14">
        <v>2008</v>
      </c>
      <c r="BW336" t="s">
        <v>257</v>
      </c>
      <c r="BX336" t="s">
        <v>78</v>
      </c>
      <c r="BY336" s="13" t="s">
        <v>670</v>
      </c>
      <c r="CA336" t="str">
        <f t="shared" si="176"/>
        <v>high acid</v>
      </c>
    </row>
    <row r="337" spans="1:79">
      <c r="A337" t="s">
        <v>581</v>
      </c>
      <c r="B337" t="s">
        <v>565</v>
      </c>
      <c r="C337" t="s">
        <v>563</v>
      </c>
      <c r="D337" t="s">
        <v>118</v>
      </c>
      <c r="E337" t="s">
        <v>77</v>
      </c>
      <c r="F337" t="s">
        <v>32</v>
      </c>
      <c r="G337">
        <v>5</v>
      </c>
      <c r="H337">
        <v>39.1</v>
      </c>
      <c r="I337" t="b">
        <v>0</v>
      </c>
      <c r="J337" s="10" t="s">
        <v>33</v>
      </c>
      <c r="K337" t="s">
        <v>33</v>
      </c>
      <c r="L337">
        <v>35</v>
      </c>
      <c r="M337" s="4">
        <v>193</v>
      </c>
      <c r="N337">
        <v>6873.2567453089614</v>
      </c>
      <c r="O337">
        <v>4</v>
      </c>
      <c r="P337" t="s">
        <v>33</v>
      </c>
      <c r="Q337" s="1">
        <f t="shared" si="184"/>
        <v>0.27671632124352336</v>
      </c>
      <c r="R337" t="s">
        <v>183</v>
      </c>
      <c r="S337" t="s">
        <v>613</v>
      </c>
      <c r="T337">
        <v>8</v>
      </c>
      <c r="U337">
        <v>2.92</v>
      </c>
      <c r="V337">
        <v>2.2999999999999998</v>
      </c>
      <c r="W337">
        <v>1.21E-2</v>
      </c>
      <c r="X337">
        <v>1.2131888350367701E-2</v>
      </c>
      <c r="Y337">
        <v>1.6666700000000001</v>
      </c>
      <c r="Z337" s="3">
        <f t="shared" si="171"/>
        <v>4.3842330281960745E-2</v>
      </c>
      <c r="AA337" t="s">
        <v>33</v>
      </c>
      <c r="AB337">
        <v>50.03125</v>
      </c>
      <c r="AC337" s="1" t="s">
        <v>33</v>
      </c>
      <c r="AE337" s="3">
        <f t="shared" si="173"/>
        <v>10949.135750000001</v>
      </c>
      <c r="AF337">
        <v>1709</v>
      </c>
      <c r="AG337" s="1" t="s">
        <v>33</v>
      </c>
      <c r="AH337" s="1" t="s">
        <v>33</v>
      </c>
      <c r="AI337" s="1">
        <v>1</v>
      </c>
      <c r="AJ337" s="11" t="s">
        <v>31</v>
      </c>
      <c r="AK337">
        <v>5230</v>
      </c>
      <c r="AL337" t="s">
        <v>542</v>
      </c>
      <c r="AM337" t="s">
        <v>86</v>
      </c>
      <c r="AN337" t="s">
        <v>186</v>
      </c>
      <c r="AO337" t="s">
        <v>794</v>
      </c>
      <c r="AP337">
        <v>5.82</v>
      </c>
      <c r="AQ337" t="s">
        <v>33</v>
      </c>
      <c r="AR337" t="s">
        <v>33</v>
      </c>
      <c r="AS337">
        <v>7.5</v>
      </c>
      <c r="AT337">
        <v>3.52</v>
      </c>
      <c r="AU337" s="6">
        <v>3.92</v>
      </c>
      <c r="AV337" t="b">
        <v>1</v>
      </c>
      <c r="AW337" t="s">
        <v>617</v>
      </c>
      <c r="AX337" t="s">
        <v>618</v>
      </c>
      <c r="AY337" t="s">
        <v>33</v>
      </c>
      <c r="AZ337" t="s">
        <v>619</v>
      </c>
      <c r="BA337" s="18" t="s">
        <v>802</v>
      </c>
      <c r="BB337" s="3" t="b">
        <v>0</v>
      </c>
      <c r="BC337" t="s">
        <v>81</v>
      </c>
      <c r="BD337">
        <v>15</v>
      </c>
      <c r="BE337" t="s">
        <v>80</v>
      </c>
      <c r="BF337">
        <v>15</v>
      </c>
      <c r="BG337" t="s">
        <v>697</v>
      </c>
      <c r="BH337" t="s">
        <v>32</v>
      </c>
      <c r="BI337" t="s">
        <v>31</v>
      </c>
      <c r="BJ337">
        <v>3.98</v>
      </c>
      <c r="BK337" s="3">
        <f t="shared" si="179"/>
        <v>0.59988307207368785</v>
      </c>
      <c r="BL337">
        <v>2</v>
      </c>
      <c r="BM337" s="3">
        <f t="shared" si="187"/>
        <v>3.4394967682148745</v>
      </c>
      <c r="BN337" t="s">
        <v>33</v>
      </c>
      <c r="BO337" s="3">
        <f t="shared" si="175"/>
        <v>2751.0391331658293</v>
      </c>
      <c r="BP337" t="s">
        <v>33</v>
      </c>
      <c r="BQ337" t="s">
        <v>33</v>
      </c>
      <c r="BR337" t="s">
        <v>33</v>
      </c>
      <c r="BS337" t="s">
        <v>33</v>
      </c>
      <c r="BT337" t="s">
        <v>31</v>
      </c>
      <c r="BU337" t="s">
        <v>219</v>
      </c>
      <c r="BV337" s="14">
        <v>2007</v>
      </c>
      <c r="BW337" t="s">
        <v>648</v>
      </c>
      <c r="BX337" t="s">
        <v>78</v>
      </c>
      <c r="BY337" s="13" t="s">
        <v>671</v>
      </c>
      <c r="CA337" t="str">
        <f t="shared" si="176"/>
        <v>low acid</v>
      </c>
    </row>
    <row r="338" spans="1:79">
      <c r="A338" t="s">
        <v>581</v>
      </c>
      <c r="B338" t="s">
        <v>565</v>
      </c>
      <c r="C338" t="s">
        <v>563</v>
      </c>
      <c r="D338" t="s">
        <v>118</v>
      </c>
      <c r="E338" t="s">
        <v>77</v>
      </c>
      <c r="F338" t="s">
        <v>32</v>
      </c>
      <c r="G338">
        <v>5</v>
      </c>
      <c r="H338">
        <v>39.1</v>
      </c>
      <c r="I338" t="b">
        <v>0</v>
      </c>
      <c r="J338" t="s">
        <v>33</v>
      </c>
      <c r="K338" t="s">
        <v>33</v>
      </c>
      <c r="L338">
        <v>35</v>
      </c>
      <c r="M338" s="4">
        <v>230</v>
      </c>
      <c r="N338" t="e">
        <f>(#REF!*Y338)/(T338*X338*O338)</f>
        <v>#REF!</v>
      </c>
      <c r="O338">
        <v>4</v>
      </c>
      <c r="P338" t="s">
        <v>33</v>
      </c>
      <c r="Q338" s="1">
        <f t="shared" si="184"/>
        <v>0.21752717391304346</v>
      </c>
      <c r="R338" t="s">
        <v>183</v>
      </c>
      <c r="S338" t="s">
        <v>613</v>
      </c>
      <c r="T338">
        <v>8</v>
      </c>
      <c r="U338">
        <v>2.92</v>
      </c>
      <c r="V338">
        <v>2.2999999999999998</v>
      </c>
      <c r="W338">
        <v>1.21E-2</v>
      </c>
      <c r="X338">
        <f>IFERROR(((PI())*(((V338*10^-1)/2)^2)*(U338*10^-1)), "NA")</f>
        <v>1.2131888350367701E-2</v>
      </c>
      <c r="Y338">
        <v>1.6666700000000001</v>
      </c>
      <c r="Z338" s="3">
        <f t="shared" si="171"/>
        <v>5.5771829018554826E-2</v>
      </c>
      <c r="AA338" t="s">
        <v>33</v>
      </c>
      <c r="AB338">
        <f>IFERROR(((X338*M338)/Z338), "NA")</f>
        <v>50.03125</v>
      </c>
      <c r="AC338" s="1" t="str">
        <f t="shared" ref="AC338:AC358" si="188">IFERROR(M338*P338,"NA")</f>
        <v>NA</v>
      </c>
      <c r="AE338" s="3">
        <f t="shared" si="173"/>
        <v>10257.206749999999</v>
      </c>
      <c r="AF338">
        <v>1601</v>
      </c>
      <c r="AG338" s="1" t="str">
        <f>IFERROR((N338*P338*Q338), "NA")</f>
        <v>NA</v>
      </c>
      <c r="AH338" s="1" t="str">
        <f>IFERROR((AG338*U338*AI338), "NA")</f>
        <v>NA</v>
      </c>
      <c r="AI338" s="1">
        <v>1</v>
      </c>
      <c r="AJ338" s="11" t="s">
        <v>31</v>
      </c>
      <c r="AK338">
        <v>5230</v>
      </c>
      <c r="AL338" t="s">
        <v>542</v>
      </c>
      <c r="AM338" t="s">
        <v>86</v>
      </c>
      <c r="AN338" t="s">
        <v>186</v>
      </c>
      <c r="AO338" t="s">
        <v>794</v>
      </c>
      <c r="AP338">
        <v>5.82</v>
      </c>
      <c r="AQ338" t="s">
        <v>33</v>
      </c>
      <c r="AR338" t="s">
        <v>33</v>
      </c>
      <c r="AS338">
        <v>7.5</v>
      </c>
      <c r="AT338">
        <f>AS338-AU338</f>
        <v>3.52</v>
      </c>
      <c r="AU338" s="6">
        <v>3.98</v>
      </c>
      <c r="AV338" t="b">
        <v>1</v>
      </c>
      <c r="AW338" t="s">
        <v>617</v>
      </c>
      <c r="AX338" t="s">
        <v>618</v>
      </c>
      <c r="AY338" t="s">
        <v>33</v>
      </c>
      <c r="AZ338" t="s">
        <v>619</v>
      </c>
      <c r="BA338" s="18" t="s">
        <v>802</v>
      </c>
      <c r="BB338" s="3" t="b">
        <v>0</v>
      </c>
      <c r="BC338" t="s">
        <v>81</v>
      </c>
      <c r="BD338">
        <v>15</v>
      </c>
      <c r="BE338" t="s">
        <v>80</v>
      </c>
      <c r="BF338">
        <v>15</v>
      </c>
      <c r="BG338" t="s">
        <v>697</v>
      </c>
      <c r="BH338" t="s">
        <v>32</v>
      </c>
      <c r="BI338" t="s">
        <v>31</v>
      </c>
      <c r="BJ338">
        <v>3.98</v>
      </c>
      <c r="BK338" s="3">
        <f t="shared" si="179"/>
        <v>0.59988307207368785</v>
      </c>
      <c r="BL338">
        <v>2</v>
      </c>
      <c r="BM338" s="3">
        <f t="shared" si="187"/>
        <v>3.4111460374134372</v>
      </c>
      <c r="BN338" t="s">
        <v>33</v>
      </c>
      <c r="BO338" s="3">
        <f t="shared" si="175"/>
        <v>2577.1876256281407</v>
      </c>
      <c r="BP338" t="s">
        <v>33</v>
      </c>
      <c r="BQ338" t="s">
        <v>33</v>
      </c>
      <c r="BR338" t="s">
        <v>33</v>
      </c>
      <c r="BS338" t="s">
        <v>33</v>
      </c>
      <c r="BT338" t="s">
        <v>31</v>
      </c>
      <c r="BU338" t="s">
        <v>219</v>
      </c>
      <c r="BV338" s="14">
        <v>2007</v>
      </c>
      <c r="BW338" s="2" t="s">
        <v>648</v>
      </c>
      <c r="BX338" t="s">
        <v>78</v>
      </c>
      <c r="BY338" s="13" t="s">
        <v>671</v>
      </c>
      <c r="CA338" t="str">
        <f t="shared" si="176"/>
        <v>low acid</v>
      </c>
    </row>
    <row r="339" spans="1:79">
      <c r="A339" t="s">
        <v>147</v>
      </c>
      <c r="B339" t="s">
        <v>565</v>
      </c>
      <c r="C339" t="s">
        <v>563</v>
      </c>
      <c r="D339" t="s">
        <v>118</v>
      </c>
      <c r="E339" t="s">
        <v>77</v>
      </c>
      <c r="F339" t="s">
        <v>32</v>
      </c>
      <c r="G339">
        <v>10</v>
      </c>
      <c r="H339" t="s">
        <v>33</v>
      </c>
      <c r="I339" t="b">
        <v>0</v>
      </c>
      <c r="J339" t="s">
        <v>33</v>
      </c>
      <c r="K339" t="s">
        <v>33</v>
      </c>
      <c r="L339">
        <v>17</v>
      </c>
      <c r="M339" s="4">
        <v>500</v>
      </c>
      <c r="N339" s="3">
        <f>IFERROR(AF339/((T339*X339/Y339)*O339*AI339),"NA")</f>
        <v>806.90423023507651</v>
      </c>
      <c r="O339">
        <v>3</v>
      </c>
      <c r="P339" t="s">
        <v>33</v>
      </c>
      <c r="Q339" s="8">
        <f t="shared" si="184"/>
        <v>2.3333333333333334E-2</v>
      </c>
      <c r="R339" t="s">
        <v>183</v>
      </c>
      <c r="S339" t="s">
        <v>613</v>
      </c>
      <c r="T339" s="11">
        <v>6</v>
      </c>
      <c r="U339">
        <v>2.9</v>
      </c>
      <c r="V339">
        <v>2.2999999999999998</v>
      </c>
      <c r="W339">
        <v>0.36420000000000002</v>
      </c>
      <c r="X339" s="8">
        <f>IFERROR(((PI())*(((V339*10^-1)/2)^2)*(U339*10^-1)), "NA")</f>
        <v>1.204879322468025E-2</v>
      </c>
      <c r="Y339" s="6">
        <f>50/60</f>
        <v>0.83333333333333337</v>
      </c>
      <c r="Z339" s="3">
        <f t="shared" si="171"/>
        <v>0.51637685248629639</v>
      </c>
      <c r="AA339" t="s">
        <v>33</v>
      </c>
      <c r="AB339" s="6">
        <f>IFERROR(((X339*M339)/Z339), "NA")</f>
        <v>11.666666666666668</v>
      </c>
      <c r="AC339" t="str">
        <f t="shared" si="188"/>
        <v>NA</v>
      </c>
      <c r="AD339" s="4">
        <f>AB339*T339*AI339</f>
        <v>70</v>
      </c>
      <c r="AE339" s="3">
        <f t="shared" si="173"/>
        <v>234.26339999999999</v>
      </c>
      <c r="AF339">
        <v>210</v>
      </c>
      <c r="AG339" t="str">
        <f>IFERROR((M339*O339*P339), "NA")</f>
        <v>NA</v>
      </c>
      <c r="AH339" t="str">
        <f>IFERROR((AG339*T339*AI339), "NA")</f>
        <v>NA</v>
      </c>
      <c r="AI339">
        <v>1</v>
      </c>
      <c r="AJ339" t="s">
        <v>31</v>
      </c>
      <c r="AK339">
        <v>3860</v>
      </c>
      <c r="AL339" t="s">
        <v>145</v>
      </c>
      <c r="AM339" t="s">
        <v>86</v>
      </c>
      <c r="AN339" t="s">
        <v>205</v>
      </c>
      <c r="AO339" t="s">
        <v>789</v>
      </c>
      <c r="AP339">
        <v>3.19</v>
      </c>
      <c r="AQ339" t="s">
        <v>33</v>
      </c>
      <c r="AR339" t="s">
        <v>33</v>
      </c>
      <c r="AS339" s="3">
        <v>7.1470000000000002</v>
      </c>
      <c r="AT339" s="3">
        <f>IFERROR(AS339-AU339,"NA")</f>
        <v>3.5270000000000001</v>
      </c>
      <c r="AU339" s="6">
        <v>3.62</v>
      </c>
      <c r="AV339" t="b">
        <v>1</v>
      </c>
      <c r="AW339" t="s">
        <v>29</v>
      </c>
      <c r="AX339" t="s">
        <v>30</v>
      </c>
      <c r="AY339" t="s">
        <v>33</v>
      </c>
      <c r="AZ339" t="s">
        <v>134</v>
      </c>
      <c r="BA339" s="18" t="s">
        <v>798</v>
      </c>
      <c r="BB339" t="b">
        <v>0</v>
      </c>
      <c r="BC339" t="s">
        <v>81</v>
      </c>
      <c r="BD339">
        <f>(48+24)/2</f>
        <v>36</v>
      </c>
      <c r="BE339" t="s">
        <v>80</v>
      </c>
      <c r="BF339" s="11">
        <f>(48+24)/2</f>
        <v>36</v>
      </c>
      <c r="BG339" t="s">
        <v>139</v>
      </c>
      <c r="BH339" t="s">
        <v>31</v>
      </c>
      <c r="BI339" t="s">
        <v>31</v>
      </c>
      <c r="BJ339" s="3">
        <f t="shared" ref="BJ339:BJ358" si="189">AU339</f>
        <v>3.62</v>
      </c>
      <c r="BK339" s="3">
        <f t="shared" si="179"/>
        <v>0.55870857053316569</v>
      </c>
      <c r="BL339">
        <v>2</v>
      </c>
      <c r="BM339" s="3">
        <f t="shared" si="187"/>
        <v>1.8109958716290564</v>
      </c>
      <c r="BN339" t="s">
        <v>33</v>
      </c>
      <c r="BO339" s="3">
        <f t="shared" si="175"/>
        <v>64.713646408839779</v>
      </c>
      <c r="BP339" t="s">
        <v>33</v>
      </c>
      <c r="BQ339" t="s">
        <v>33</v>
      </c>
      <c r="BR339" t="s">
        <v>33</v>
      </c>
      <c r="BS339" t="s">
        <v>33</v>
      </c>
      <c r="BT339" t="s">
        <v>31</v>
      </c>
      <c r="BU339" t="s">
        <v>135</v>
      </c>
      <c r="BV339">
        <v>2010</v>
      </c>
      <c r="BW339" s="1" t="s">
        <v>140</v>
      </c>
      <c r="BX339" t="s">
        <v>78</v>
      </c>
      <c r="BY339" t="s">
        <v>33</v>
      </c>
      <c r="BZ339" t="s">
        <v>148</v>
      </c>
      <c r="CA339" t="str">
        <f t="shared" si="176"/>
        <v>high acid</v>
      </c>
    </row>
    <row r="340" spans="1:79">
      <c r="A340" t="s">
        <v>595</v>
      </c>
      <c r="B340" t="s">
        <v>565</v>
      </c>
      <c r="C340" t="s">
        <v>564</v>
      </c>
      <c r="D340" t="s">
        <v>609</v>
      </c>
      <c r="E340" t="s">
        <v>77</v>
      </c>
      <c r="F340" t="s">
        <v>32</v>
      </c>
      <c r="G340">
        <v>30</v>
      </c>
      <c r="H340">
        <v>38.200000000000003</v>
      </c>
      <c r="I340" t="b">
        <v>0</v>
      </c>
      <c r="J340" t="s">
        <v>33</v>
      </c>
      <c r="K340" t="s">
        <v>33</v>
      </c>
      <c r="L340">
        <v>24</v>
      </c>
      <c r="M340" s="4">
        <v>120</v>
      </c>
      <c r="N340" t="e">
        <f>(#REF!*Y340)/(T340*X340*O340)</f>
        <v>#REF!</v>
      </c>
      <c r="O340">
        <v>3</v>
      </c>
      <c r="P340" t="s">
        <v>33</v>
      </c>
      <c r="Q340" s="1">
        <f t="shared" si="184"/>
        <v>0.10416666666666666</v>
      </c>
      <c r="R340" t="s">
        <v>183</v>
      </c>
      <c r="S340" t="s">
        <v>612</v>
      </c>
      <c r="T340">
        <v>4</v>
      </c>
      <c r="U340">
        <v>3</v>
      </c>
      <c r="V340">
        <v>2.6</v>
      </c>
      <c r="W340" t="s">
        <v>33</v>
      </c>
      <c r="X340">
        <f>IFERROR(((PI())*(((V340*10^-1)/2)^2)*(U340*10^-1)), "NA")</f>
        <v>1.5927874753700257E-2</v>
      </c>
      <c r="Y340">
        <v>0.126667</v>
      </c>
      <c r="Z340" s="3">
        <f t="shared" si="171"/>
        <v>0.15290759763552247</v>
      </c>
      <c r="AA340" t="s">
        <v>33</v>
      </c>
      <c r="AB340">
        <f>IFERROR(((X340*M340)/Z340), "NA")</f>
        <v>12.5</v>
      </c>
      <c r="AC340" s="1" t="str">
        <f t="shared" si="188"/>
        <v>NA</v>
      </c>
      <c r="AE340" s="3">
        <f t="shared" si="173"/>
        <v>84.671999999999983</v>
      </c>
      <c r="AF340">
        <v>150</v>
      </c>
      <c r="AG340" s="1" t="str">
        <f>IFERROR((N340*P340*Q340), "NA")</f>
        <v>NA</v>
      </c>
      <c r="AH340" s="1" t="str">
        <f>IFERROR((AG340*U340*AI340), "NA")</f>
        <v>NA</v>
      </c>
      <c r="AI340" s="1">
        <v>1</v>
      </c>
      <c r="AJ340" s="11" t="s">
        <v>31</v>
      </c>
      <c r="AK340">
        <v>980</v>
      </c>
      <c r="AL340" t="s">
        <v>551</v>
      </c>
      <c r="AM340" t="s">
        <v>86</v>
      </c>
      <c r="AN340" t="s">
        <v>186</v>
      </c>
      <c r="AO340" t="s">
        <v>794</v>
      </c>
      <c r="AP340">
        <v>5.98</v>
      </c>
      <c r="AQ340" t="s">
        <v>33</v>
      </c>
      <c r="AR340" t="s">
        <v>33</v>
      </c>
      <c r="AS340">
        <v>6</v>
      </c>
      <c r="AT340">
        <f>AS340-AU340</f>
        <v>3.53</v>
      </c>
      <c r="AU340" s="6">
        <v>2.4700000000000002</v>
      </c>
      <c r="AV340" t="b">
        <v>1</v>
      </c>
      <c r="AW340" t="s">
        <v>626</v>
      </c>
      <c r="AX340" t="s">
        <v>627</v>
      </c>
      <c r="AY340" t="s">
        <v>631</v>
      </c>
      <c r="AZ340" t="s">
        <v>33</v>
      </c>
      <c r="BA340" s="18" t="s">
        <v>800</v>
      </c>
      <c r="BB340" s="3" t="b">
        <v>0</v>
      </c>
      <c r="BC340" t="s">
        <v>81</v>
      </c>
      <c r="BD340">
        <v>20</v>
      </c>
      <c r="BE340" t="s">
        <v>80</v>
      </c>
      <c r="BF340">
        <v>20</v>
      </c>
      <c r="BG340" t="s">
        <v>695</v>
      </c>
      <c r="BH340" t="s">
        <v>32</v>
      </c>
      <c r="BI340" t="s">
        <v>31</v>
      </c>
      <c r="BJ340">
        <f t="shared" si="189"/>
        <v>2.4700000000000002</v>
      </c>
      <c r="BK340" s="3">
        <f t="shared" si="179"/>
        <v>0.39269695325966575</v>
      </c>
      <c r="BL340">
        <v>2</v>
      </c>
      <c r="BM340" s="3">
        <f t="shared" si="187"/>
        <v>1.5350428649117223</v>
      </c>
      <c r="BN340" t="s">
        <v>33</v>
      </c>
      <c r="BO340" s="3">
        <f t="shared" si="175"/>
        <v>34.280161943319825</v>
      </c>
      <c r="BP340" t="s">
        <v>33</v>
      </c>
      <c r="BQ340" t="s">
        <v>33</v>
      </c>
      <c r="BR340" t="s">
        <v>33</v>
      </c>
      <c r="BS340" t="s">
        <v>33</v>
      </c>
      <c r="BT340" t="s">
        <v>32</v>
      </c>
      <c r="BU340" t="s">
        <v>207</v>
      </c>
      <c r="BV340">
        <v>2014</v>
      </c>
      <c r="BW340" t="s">
        <v>208</v>
      </c>
      <c r="BX340" t="s">
        <v>78</v>
      </c>
      <c r="BY340" s="13" t="s">
        <v>683</v>
      </c>
      <c r="CA340" t="str">
        <f t="shared" si="176"/>
        <v>low acid</v>
      </c>
    </row>
    <row r="341" spans="1:79">
      <c r="A341" t="s">
        <v>733</v>
      </c>
      <c r="B341" t="s">
        <v>566</v>
      </c>
      <c r="C341" t="s">
        <v>563</v>
      </c>
      <c r="D341" t="s">
        <v>699</v>
      </c>
      <c r="E341" t="s">
        <v>77</v>
      </c>
      <c r="F341" t="s">
        <v>32</v>
      </c>
      <c r="G341">
        <v>20</v>
      </c>
      <c r="H341">
        <v>64</v>
      </c>
      <c r="I341" t="b">
        <v>1</v>
      </c>
      <c r="J341" t="s">
        <v>33</v>
      </c>
      <c r="K341" t="s">
        <v>33</v>
      </c>
      <c r="L341">
        <v>20</v>
      </c>
      <c r="M341" s="4">
        <v>64</v>
      </c>
      <c r="N341" s="3">
        <f>IFERROR(AF341/((T341*X341/Y341)*O341*AI341),"NA")</f>
        <v>63.657407407407391</v>
      </c>
      <c r="O341">
        <v>5</v>
      </c>
      <c r="P341">
        <v>0.43</v>
      </c>
      <c r="Q341" s="8">
        <f>IFERROR(X341/Y341, "NA")</f>
        <v>0.43200000000000011</v>
      </c>
      <c r="R341" t="s">
        <v>183</v>
      </c>
      <c r="S341" t="s">
        <v>612</v>
      </c>
      <c r="T341" s="11">
        <v>1</v>
      </c>
      <c r="U341">
        <v>4</v>
      </c>
      <c r="V341" t="s">
        <v>33</v>
      </c>
      <c r="W341">
        <f>0.4*3*0.5</f>
        <v>0.60000000000000009</v>
      </c>
      <c r="X341" s="9">
        <f>W341</f>
        <v>0.60000000000000009</v>
      </c>
      <c r="Y341" s="6">
        <f>5000/3600</f>
        <v>1.3888888888888888</v>
      </c>
      <c r="Z341" s="3">
        <f t="shared" si="171"/>
        <v>1.3963636363636365</v>
      </c>
      <c r="AA341" t="s">
        <v>33</v>
      </c>
      <c r="AB341" s="4">
        <f>IFERROR(((X341*M341)/Y341), "NA")</f>
        <v>27.648000000000007</v>
      </c>
      <c r="AC341" s="4">
        <f t="shared" si="188"/>
        <v>27.52</v>
      </c>
      <c r="AD341" s="4">
        <f>AB341*T341*AI341</f>
        <v>27.648000000000007</v>
      </c>
      <c r="AE341" s="3">
        <f t="shared" si="173"/>
        <v>110.59200000000003</v>
      </c>
      <c r="AF341">
        <v>137.5</v>
      </c>
      <c r="AG341" s="4">
        <f>IFERROR((M341*O341*P341), "NA")</f>
        <v>137.6</v>
      </c>
      <c r="AH341" s="4">
        <f>IFERROR((AG341*T341*AI341), "NA")</f>
        <v>137.6</v>
      </c>
      <c r="AI341">
        <v>1</v>
      </c>
      <c r="AJ341" s="11" t="s">
        <v>31</v>
      </c>
      <c r="AK341">
        <v>2000</v>
      </c>
      <c r="AL341" t="s">
        <v>784</v>
      </c>
      <c r="AM341" t="s">
        <v>103</v>
      </c>
      <c r="AN341" t="s">
        <v>130</v>
      </c>
      <c r="AO341" t="s">
        <v>795</v>
      </c>
      <c r="AP341">
        <v>7</v>
      </c>
      <c r="AQ341" t="s">
        <v>33</v>
      </c>
      <c r="AR341" t="s">
        <v>33</v>
      </c>
      <c r="AS341" s="6">
        <f>LOG(AVERAGE(10^8, 10^9))</f>
        <v>8.7403626894942441</v>
      </c>
      <c r="AT341" s="3">
        <f>IFERROR(AS341-AU341,"NA")</f>
        <v>3.5373626894942438</v>
      </c>
      <c r="AU341" s="6">
        <v>5.2030000000000003</v>
      </c>
      <c r="AV341" t="b">
        <v>1</v>
      </c>
      <c r="AW341" t="s">
        <v>172</v>
      </c>
      <c r="AX341" t="s">
        <v>173</v>
      </c>
      <c r="AY341">
        <v>77.000100000000003</v>
      </c>
      <c r="AZ341" t="s">
        <v>33</v>
      </c>
      <c r="BA341" s="18" t="s">
        <v>799</v>
      </c>
      <c r="BB341" s="3" t="b">
        <v>0</v>
      </c>
      <c r="BC341" t="s">
        <v>81</v>
      </c>
      <c r="BD341">
        <v>24</v>
      </c>
      <c r="BE341" t="s">
        <v>80</v>
      </c>
      <c r="BF341">
        <v>48</v>
      </c>
      <c r="BG341" t="s">
        <v>734</v>
      </c>
      <c r="BH341" t="s">
        <v>31</v>
      </c>
      <c r="BI341" t="s">
        <v>31</v>
      </c>
      <c r="BJ341" s="3">
        <f t="shared" si="189"/>
        <v>5.2030000000000003</v>
      </c>
      <c r="BK341" s="3">
        <f t="shared" si="179"/>
        <v>0.71625382589603659</v>
      </c>
      <c r="BL341">
        <v>2</v>
      </c>
      <c r="BM341" s="3">
        <f t="shared" si="187"/>
        <v>1.327469886230725</v>
      </c>
      <c r="BN341" t="s">
        <v>33</v>
      </c>
      <c r="BO341" s="3">
        <f t="shared" si="175"/>
        <v>21.255429559869309</v>
      </c>
      <c r="BP341" t="s">
        <v>33</v>
      </c>
      <c r="BQ341" t="s">
        <v>33</v>
      </c>
      <c r="BR341" t="s">
        <v>33</v>
      </c>
      <c r="BS341" t="s">
        <v>33</v>
      </c>
      <c r="BT341" t="s">
        <v>32</v>
      </c>
      <c r="BU341" t="s">
        <v>709</v>
      </c>
      <c r="BV341">
        <v>2024</v>
      </c>
      <c r="BW341" t="s">
        <v>710</v>
      </c>
      <c r="BX341" t="s">
        <v>78</v>
      </c>
      <c r="BY341" t="s">
        <v>711</v>
      </c>
      <c r="CA341" t="str">
        <f t="shared" si="176"/>
        <v>low acid</v>
      </c>
    </row>
    <row r="342" spans="1:79">
      <c r="A342" t="s">
        <v>588</v>
      </c>
      <c r="B342" t="s">
        <v>565</v>
      </c>
      <c r="C342" t="s">
        <v>563</v>
      </c>
      <c r="D342" t="s">
        <v>608</v>
      </c>
      <c r="E342" t="s">
        <v>77</v>
      </c>
      <c r="F342" t="s">
        <v>32</v>
      </c>
      <c r="G342" t="s">
        <v>33</v>
      </c>
      <c r="H342">
        <v>40</v>
      </c>
      <c r="I342" t="b">
        <v>0</v>
      </c>
      <c r="J342" t="s">
        <v>33</v>
      </c>
      <c r="K342" t="s">
        <v>33</v>
      </c>
      <c r="L342">
        <v>35</v>
      </c>
      <c r="M342" s="4">
        <v>250</v>
      </c>
      <c r="N342" t="e">
        <f>(#REF!*Y342)/(T342*X342*O342)</f>
        <v>#REF!</v>
      </c>
      <c r="O342">
        <v>3.7</v>
      </c>
      <c r="P342" t="s">
        <v>33</v>
      </c>
      <c r="Q342" s="1">
        <f>IFERROR(X342/Z342, "NA")</f>
        <v>8.1081081081081072E-2</v>
      </c>
      <c r="R342" t="s">
        <v>183</v>
      </c>
      <c r="S342" t="s">
        <v>613</v>
      </c>
      <c r="T342">
        <v>6</v>
      </c>
      <c r="U342">
        <v>1.9</v>
      </c>
      <c r="V342">
        <v>2.2999999999999998</v>
      </c>
      <c r="W342" t="s">
        <v>33</v>
      </c>
      <c r="X342">
        <f t="shared" ref="X342:X347" si="190">IFERROR(((PI())*(((V342*10^-1)/2)^2)*(U342*10^-1)), "NA")</f>
        <v>7.8940369403077502E-3</v>
      </c>
      <c r="Y342">
        <v>1</v>
      </c>
      <c r="Z342" s="3">
        <f t="shared" si="171"/>
        <v>9.7359788930462265E-2</v>
      </c>
      <c r="AA342" t="s">
        <v>33</v>
      </c>
      <c r="AB342">
        <f>IFERROR(((X342*M342)/Z342), "NA")</f>
        <v>20.27027027027027</v>
      </c>
      <c r="AC342" s="1" t="str">
        <f t="shared" si="188"/>
        <v>NA</v>
      </c>
      <c r="AE342" s="3">
        <f t="shared" si="173"/>
        <v>2645.9999999999995</v>
      </c>
      <c r="AF342">
        <v>450</v>
      </c>
      <c r="AG342" s="1" t="str">
        <f>IFERROR((N342*P342*Q342), "NA")</f>
        <v>NA</v>
      </c>
      <c r="AH342" s="1" t="str">
        <f>IFERROR((AG342*U342*AI342), "NA")</f>
        <v>NA</v>
      </c>
      <c r="AI342" s="1">
        <v>1</v>
      </c>
      <c r="AJ342" s="11" t="s">
        <v>31</v>
      </c>
      <c r="AK342">
        <v>4800</v>
      </c>
      <c r="AL342" t="s">
        <v>156</v>
      </c>
      <c r="AM342" t="s">
        <v>157</v>
      </c>
      <c r="AN342" t="s">
        <v>186</v>
      </c>
      <c r="AO342" t="s">
        <v>792</v>
      </c>
      <c r="AP342">
        <v>6.53</v>
      </c>
      <c r="AQ342" t="s">
        <v>33</v>
      </c>
      <c r="AR342" t="s">
        <v>33</v>
      </c>
      <c r="AS342">
        <v>6.5</v>
      </c>
      <c r="AT342">
        <v>3.54</v>
      </c>
      <c r="AU342" s="6">
        <f>AS342-AT342</f>
        <v>2.96</v>
      </c>
      <c r="AV342" t="b">
        <v>1</v>
      </c>
      <c r="AW342" t="s">
        <v>626</v>
      </c>
      <c r="AX342" t="s">
        <v>627</v>
      </c>
      <c r="AY342" t="s">
        <v>625</v>
      </c>
      <c r="AZ342" t="s">
        <v>33</v>
      </c>
      <c r="BA342" s="18" t="s">
        <v>800</v>
      </c>
      <c r="BB342" s="3" t="b">
        <v>0</v>
      </c>
      <c r="BC342" t="s">
        <v>81</v>
      </c>
      <c r="BD342">
        <v>12</v>
      </c>
      <c r="BE342" t="s">
        <v>80</v>
      </c>
      <c r="BF342">
        <v>48</v>
      </c>
      <c r="BG342" t="s">
        <v>568</v>
      </c>
      <c r="BH342" t="s">
        <v>31</v>
      </c>
      <c r="BI342" t="s">
        <v>31</v>
      </c>
      <c r="BJ342">
        <f t="shared" si="189"/>
        <v>2.96</v>
      </c>
      <c r="BK342" s="3">
        <f t="shared" si="179"/>
        <v>0.47129171105893858</v>
      </c>
      <c r="BL342">
        <v>2</v>
      </c>
      <c r="BM342" s="3">
        <f t="shared" si="187"/>
        <v>2.9512981287925437</v>
      </c>
      <c r="BN342" t="s">
        <v>33</v>
      </c>
      <c r="BO342" s="3">
        <f t="shared" si="175"/>
        <v>893.91891891891873</v>
      </c>
      <c r="BP342" t="s">
        <v>33</v>
      </c>
      <c r="BQ342" t="s">
        <v>33</v>
      </c>
      <c r="BR342" t="s">
        <v>33</v>
      </c>
      <c r="BS342" t="s">
        <v>33</v>
      </c>
      <c r="BT342" t="s">
        <v>31</v>
      </c>
      <c r="BU342" s="13" t="s">
        <v>163</v>
      </c>
      <c r="BV342">
        <v>2004</v>
      </c>
      <c r="BW342" t="s">
        <v>654</v>
      </c>
      <c r="BX342" t="s">
        <v>78</v>
      </c>
      <c r="BY342" s="13" t="s">
        <v>677</v>
      </c>
      <c r="CA342" t="str">
        <f t="shared" si="176"/>
        <v>low acid</v>
      </c>
    </row>
    <row r="343" spans="1:79">
      <c r="A343" t="s">
        <v>581</v>
      </c>
      <c r="B343" t="s">
        <v>565</v>
      </c>
      <c r="C343" t="s">
        <v>563</v>
      </c>
      <c r="D343" t="s">
        <v>118</v>
      </c>
      <c r="E343" t="s">
        <v>77</v>
      </c>
      <c r="F343" t="s">
        <v>32</v>
      </c>
      <c r="G343">
        <v>5</v>
      </c>
      <c r="H343">
        <v>39.1</v>
      </c>
      <c r="I343" t="b">
        <v>0</v>
      </c>
      <c r="J343" t="s">
        <v>33</v>
      </c>
      <c r="K343" t="s">
        <v>33</v>
      </c>
      <c r="L343">
        <v>35</v>
      </c>
      <c r="M343" s="4">
        <v>175</v>
      </c>
      <c r="N343" t="e">
        <f>(#REF!*Y343)/(T343*X343*O343)</f>
        <v>#REF!</v>
      </c>
      <c r="O343">
        <v>4</v>
      </c>
      <c r="P343" t="s">
        <v>33</v>
      </c>
      <c r="Q343" s="1">
        <f>IFERROR(X343/Z343, "NA")</f>
        <v>0.22321428571428573</v>
      </c>
      <c r="R343" t="s">
        <v>183</v>
      </c>
      <c r="S343" t="s">
        <v>613</v>
      </c>
      <c r="T343">
        <v>8</v>
      </c>
      <c r="U343">
        <v>2.92</v>
      </c>
      <c r="V343">
        <v>2.2999999999999998</v>
      </c>
      <c r="W343">
        <v>1.21E-2</v>
      </c>
      <c r="X343">
        <f t="shared" si="190"/>
        <v>1.2131888350367701E-2</v>
      </c>
      <c r="Y343">
        <v>1.6666700000000001</v>
      </c>
      <c r="Z343" s="3">
        <f t="shared" si="171"/>
        <v>5.4350859809647295E-2</v>
      </c>
      <c r="AA343" t="s">
        <v>33</v>
      </c>
      <c r="AB343">
        <f>IFERROR(((X343*M343)/Z343), "NA")</f>
        <v>39.0625</v>
      </c>
      <c r="AC343" s="1" t="str">
        <f t="shared" si="188"/>
        <v>NA</v>
      </c>
      <c r="AE343" s="3">
        <f t="shared" si="173"/>
        <v>8008.4374999999991</v>
      </c>
      <c r="AF343">
        <v>1250</v>
      </c>
      <c r="AG343" s="1" t="str">
        <f>IFERROR((N343*P343*Q343), "NA")</f>
        <v>NA</v>
      </c>
      <c r="AH343" s="1" t="str">
        <f>IFERROR((AG343*U343*AI343), "NA")</f>
        <v>NA</v>
      </c>
      <c r="AI343" s="1">
        <v>1</v>
      </c>
      <c r="AJ343" s="11" t="s">
        <v>31</v>
      </c>
      <c r="AK343">
        <v>5230</v>
      </c>
      <c r="AL343" t="s">
        <v>542</v>
      </c>
      <c r="AM343" t="s">
        <v>86</v>
      </c>
      <c r="AN343" t="s">
        <v>186</v>
      </c>
      <c r="AO343" t="s">
        <v>794</v>
      </c>
      <c r="AP343">
        <v>5.82</v>
      </c>
      <c r="AQ343" t="s">
        <v>33</v>
      </c>
      <c r="AR343" t="s">
        <v>33</v>
      </c>
      <c r="AS343">
        <v>7.5</v>
      </c>
      <c r="AT343">
        <f>AS343-AU343</f>
        <v>3.54</v>
      </c>
      <c r="AU343" s="6">
        <v>3.96</v>
      </c>
      <c r="AV343" t="b">
        <v>1</v>
      </c>
      <c r="AW343" t="s">
        <v>617</v>
      </c>
      <c r="AX343" t="s">
        <v>618</v>
      </c>
      <c r="AY343" t="s">
        <v>33</v>
      </c>
      <c r="AZ343" t="s">
        <v>619</v>
      </c>
      <c r="BA343" s="18" t="s">
        <v>802</v>
      </c>
      <c r="BB343" s="3" t="b">
        <v>0</v>
      </c>
      <c r="BC343" t="s">
        <v>81</v>
      </c>
      <c r="BD343">
        <v>15</v>
      </c>
      <c r="BE343" t="s">
        <v>80</v>
      </c>
      <c r="BF343">
        <v>15</v>
      </c>
      <c r="BG343" t="s">
        <v>697</v>
      </c>
      <c r="BH343" t="s">
        <v>32</v>
      </c>
      <c r="BI343" t="s">
        <v>31</v>
      </c>
      <c r="BJ343">
        <f t="shared" si="189"/>
        <v>3.96</v>
      </c>
      <c r="BK343" s="3">
        <f t="shared" si="179"/>
        <v>0.5976951859255123</v>
      </c>
      <c r="BL343">
        <v>2</v>
      </c>
      <c r="BM343" s="3">
        <f t="shared" si="187"/>
        <v>3.3058526046503696</v>
      </c>
      <c r="BN343" t="s">
        <v>33</v>
      </c>
      <c r="BO343" s="3">
        <f t="shared" si="175"/>
        <v>2022.3327020202019</v>
      </c>
      <c r="BP343" t="s">
        <v>33</v>
      </c>
      <c r="BQ343" t="s">
        <v>33</v>
      </c>
      <c r="BR343" t="s">
        <v>33</v>
      </c>
      <c r="BS343" t="s">
        <v>33</v>
      </c>
      <c r="BT343" t="s">
        <v>31</v>
      </c>
      <c r="BU343" t="s">
        <v>219</v>
      </c>
      <c r="BV343" s="14">
        <v>2007</v>
      </c>
      <c r="BW343" s="2" t="s">
        <v>648</v>
      </c>
      <c r="BX343" t="s">
        <v>78</v>
      </c>
      <c r="BY343" s="13" t="s">
        <v>671</v>
      </c>
      <c r="CA343" t="str">
        <f t="shared" si="176"/>
        <v>low acid</v>
      </c>
    </row>
    <row r="344" spans="1:79">
      <c r="A344" t="s">
        <v>146</v>
      </c>
      <c r="B344" t="s">
        <v>565</v>
      </c>
      <c r="C344" t="s">
        <v>563</v>
      </c>
      <c r="D344" t="s">
        <v>118</v>
      </c>
      <c r="E344" t="s">
        <v>77</v>
      </c>
      <c r="F344" t="s">
        <v>32</v>
      </c>
      <c r="G344">
        <v>10</v>
      </c>
      <c r="H344" t="s">
        <v>33</v>
      </c>
      <c r="I344" t="b">
        <v>0</v>
      </c>
      <c r="J344" t="s">
        <v>33</v>
      </c>
      <c r="K344" t="s">
        <v>33</v>
      </c>
      <c r="L344">
        <v>30</v>
      </c>
      <c r="M344" s="4">
        <v>500</v>
      </c>
      <c r="N344" s="3">
        <f>IFERROR(AF344/((T344*X344/Y344)*O344*AI344),"NA")</f>
        <v>503.35454362283343</v>
      </c>
      <c r="O344">
        <v>3</v>
      </c>
      <c r="P344" t="s">
        <v>33</v>
      </c>
      <c r="Q344" s="8">
        <f>IFERROR(X344/Z344, "NA")</f>
        <v>1.4555555555555556E-2</v>
      </c>
      <c r="R344" t="s">
        <v>183</v>
      </c>
      <c r="S344" t="s">
        <v>613</v>
      </c>
      <c r="T344" s="11">
        <v>6</v>
      </c>
      <c r="U344">
        <v>2.9</v>
      </c>
      <c r="V344">
        <v>2.2999999999999998</v>
      </c>
      <c r="W344">
        <v>0.36420000000000002</v>
      </c>
      <c r="X344" s="8">
        <f t="shared" si="190"/>
        <v>1.204879322468025E-2</v>
      </c>
      <c r="Y344" s="6">
        <f>50/60</f>
        <v>0.83333333333333337</v>
      </c>
      <c r="Z344" s="3">
        <f t="shared" si="171"/>
        <v>0.82777968719177286</v>
      </c>
      <c r="AA344" t="s">
        <v>33</v>
      </c>
      <c r="AB344" s="6">
        <f>IFERROR(((X344*M344)/Z344), "NA")</f>
        <v>7.2777777777777786</v>
      </c>
      <c r="AC344" t="str">
        <f t="shared" si="188"/>
        <v>NA</v>
      </c>
      <c r="AD344" s="4">
        <f>AB344*T344*AI344</f>
        <v>43.666666666666671</v>
      </c>
      <c r="AE344" s="3">
        <f t="shared" si="173"/>
        <v>381.99600000000004</v>
      </c>
      <c r="AF344">
        <v>131</v>
      </c>
      <c r="AG344" t="str">
        <f>IFERROR((M344*O344*P344), "NA")</f>
        <v>NA</v>
      </c>
      <c r="AH344" t="str">
        <f>IFERROR((AG344*T344*AI344), "NA")</f>
        <v>NA</v>
      </c>
      <c r="AI344">
        <v>1</v>
      </c>
      <c r="AJ344" t="s">
        <v>31</v>
      </c>
      <c r="AK344">
        <v>3240</v>
      </c>
      <c r="AL344" t="s">
        <v>145</v>
      </c>
      <c r="AM344" t="s">
        <v>86</v>
      </c>
      <c r="AN344" t="s">
        <v>205</v>
      </c>
      <c r="AO344" t="s">
        <v>789</v>
      </c>
      <c r="AP344">
        <v>3.21</v>
      </c>
      <c r="AQ344" t="s">
        <v>33</v>
      </c>
      <c r="AR344" t="s">
        <v>33</v>
      </c>
      <c r="AS344" s="3">
        <v>7.6529999999999996</v>
      </c>
      <c r="AT344" s="3">
        <f>IFERROR(AS344-AU344,"NA")</f>
        <v>3.5429999999999993</v>
      </c>
      <c r="AU344" s="6">
        <v>4.1100000000000003</v>
      </c>
      <c r="AV344" t="b">
        <v>1</v>
      </c>
      <c r="AW344" t="s">
        <v>29</v>
      </c>
      <c r="AX344" t="s">
        <v>30</v>
      </c>
      <c r="AY344" t="s">
        <v>33</v>
      </c>
      <c r="AZ344" t="s">
        <v>134</v>
      </c>
      <c r="BA344" s="18" t="s">
        <v>798</v>
      </c>
      <c r="BB344" t="b">
        <v>0</v>
      </c>
      <c r="BC344" t="s">
        <v>81</v>
      </c>
      <c r="BD344">
        <f>(48+24)/2</f>
        <v>36</v>
      </c>
      <c r="BE344" t="s">
        <v>80</v>
      </c>
      <c r="BF344" s="11">
        <f>(48+24)/2</f>
        <v>36</v>
      </c>
      <c r="BG344" t="s">
        <v>139</v>
      </c>
      <c r="BH344" t="s">
        <v>31</v>
      </c>
      <c r="BI344" t="s">
        <v>31</v>
      </c>
      <c r="BJ344" s="3">
        <f t="shared" si="189"/>
        <v>4.1100000000000003</v>
      </c>
      <c r="BK344" s="3">
        <f t="shared" si="179"/>
        <v>0.61384182187606928</v>
      </c>
      <c r="BL344">
        <v>2</v>
      </c>
      <c r="BM344" s="3">
        <f t="shared" si="187"/>
        <v>1.9682169934256322</v>
      </c>
      <c r="BN344" t="s">
        <v>33</v>
      </c>
      <c r="BO344" s="3">
        <f t="shared" si="175"/>
        <v>92.943065693430654</v>
      </c>
      <c r="BP344" t="s">
        <v>33</v>
      </c>
      <c r="BQ344" t="s">
        <v>33</v>
      </c>
      <c r="BR344" t="s">
        <v>33</v>
      </c>
      <c r="BS344" t="s">
        <v>33</v>
      </c>
      <c r="BT344" t="s">
        <v>31</v>
      </c>
      <c r="BU344" t="s">
        <v>135</v>
      </c>
      <c r="BV344">
        <v>2010</v>
      </c>
      <c r="BW344" s="1" t="s">
        <v>140</v>
      </c>
      <c r="BX344" t="s">
        <v>78</v>
      </c>
      <c r="BY344" t="s">
        <v>33</v>
      </c>
      <c r="BZ344" t="s">
        <v>33</v>
      </c>
      <c r="CA344" t="str">
        <f t="shared" si="176"/>
        <v>high acid</v>
      </c>
    </row>
    <row r="345" spans="1:79">
      <c r="A345" t="s">
        <v>259</v>
      </c>
      <c r="B345" t="s">
        <v>565</v>
      </c>
      <c r="C345" t="s">
        <v>563</v>
      </c>
      <c r="D345" t="s">
        <v>118</v>
      </c>
      <c r="E345" t="s">
        <v>77</v>
      </c>
      <c r="F345" t="s">
        <v>32</v>
      </c>
      <c r="G345">
        <v>5</v>
      </c>
      <c r="H345">
        <v>40</v>
      </c>
      <c r="I345" t="b">
        <v>0</v>
      </c>
      <c r="J345" t="s">
        <v>33</v>
      </c>
      <c r="K345" t="s">
        <v>33</v>
      </c>
      <c r="L345">
        <v>35</v>
      </c>
      <c r="M345" s="4">
        <v>250</v>
      </c>
      <c r="N345" s="3">
        <f>IFERROR(AF345/((T345*X345/Y345)*O345*AI345),"NA")</f>
        <v>9444.8061195568516</v>
      </c>
      <c r="O345">
        <v>4</v>
      </c>
      <c r="P345" t="s">
        <v>33</v>
      </c>
      <c r="Q345">
        <f>IFERROR(X345/Z345, "NA")</f>
        <v>0.25</v>
      </c>
      <c r="R345" t="s">
        <v>183</v>
      </c>
      <c r="S345" t="s">
        <v>613</v>
      </c>
      <c r="T345" s="11">
        <v>8</v>
      </c>
      <c r="U345">
        <v>2.92</v>
      </c>
      <c r="V345">
        <v>2.2999999999999998</v>
      </c>
      <c r="W345">
        <v>1.21E-2</v>
      </c>
      <c r="X345" s="8">
        <f t="shared" si="190"/>
        <v>1.2131888350367701E-2</v>
      </c>
      <c r="Y345" s="6">
        <f>110/60</f>
        <v>1.8333333333333333</v>
      </c>
      <c r="Z345" s="3">
        <f t="shared" si="171"/>
        <v>4.8527553401470802E-2</v>
      </c>
      <c r="AA345" t="s">
        <v>33</v>
      </c>
      <c r="AB345" s="6">
        <f>IFERROR(((X345*M345)/Z345), "NA")</f>
        <v>62.5</v>
      </c>
      <c r="AC345" t="str">
        <f t="shared" si="188"/>
        <v>NA</v>
      </c>
      <c r="AD345" s="4">
        <f>AB345*T345*AI345</f>
        <v>500</v>
      </c>
      <c r="AE345" s="3">
        <f t="shared" si="173"/>
        <v>7325.5</v>
      </c>
      <c r="AF345">
        <v>2000</v>
      </c>
      <c r="AG345" t="str">
        <f>IFERROR((M345*O345*P345), "NA")</f>
        <v>NA</v>
      </c>
      <c r="AH345" t="str">
        <f>IFERROR((AG345*T345*AI345), "NA")</f>
        <v>NA</v>
      </c>
      <c r="AI345">
        <v>1</v>
      </c>
      <c r="AJ345" t="s">
        <v>31</v>
      </c>
      <c r="AK345">
        <v>2990</v>
      </c>
      <c r="AL345" t="s">
        <v>544</v>
      </c>
      <c r="AM345" t="s">
        <v>86</v>
      </c>
      <c r="AN345" t="s">
        <v>205</v>
      </c>
      <c r="AO345" t="s">
        <v>789</v>
      </c>
      <c r="AP345">
        <v>4.4000000000000004</v>
      </c>
      <c r="AQ345" t="s">
        <v>33</v>
      </c>
      <c r="AR345" t="s">
        <v>33</v>
      </c>
      <c r="AS345" s="6">
        <f>LOG((10^7+10^8)/2)</f>
        <v>7.7403626894942441</v>
      </c>
      <c r="AT345" s="3">
        <f>IFERROR(AS345-AU345,"NA")</f>
        <v>3.5503626894942437</v>
      </c>
      <c r="AU345" s="6">
        <v>4.1900000000000004</v>
      </c>
      <c r="AV345" t="b">
        <v>1</v>
      </c>
      <c r="AW345" t="s">
        <v>29</v>
      </c>
      <c r="AX345" t="s">
        <v>30</v>
      </c>
      <c r="AY345" t="s">
        <v>33</v>
      </c>
      <c r="AZ345" t="s">
        <v>134</v>
      </c>
      <c r="BA345" s="18" t="s">
        <v>798</v>
      </c>
      <c r="BB345" t="b">
        <v>0</v>
      </c>
      <c r="BC345" t="s">
        <v>81</v>
      </c>
      <c r="BD345">
        <v>15</v>
      </c>
      <c r="BE345" t="s">
        <v>80</v>
      </c>
      <c r="BF345" s="11">
        <v>24</v>
      </c>
      <c r="BG345" t="s">
        <v>262</v>
      </c>
      <c r="BH345" t="s">
        <v>31</v>
      </c>
      <c r="BI345" t="s">
        <v>31</v>
      </c>
      <c r="BJ345" s="3">
        <f t="shared" si="189"/>
        <v>4.1900000000000004</v>
      </c>
      <c r="BK345" s="3">
        <f t="shared" si="179"/>
        <v>0.62221402296629535</v>
      </c>
      <c r="BL345">
        <v>2</v>
      </c>
      <c r="BM345" s="3">
        <f t="shared" si="187"/>
        <v>3.2426232497226666</v>
      </c>
      <c r="BN345" t="s">
        <v>33</v>
      </c>
      <c r="BO345" s="3">
        <f t="shared" si="175"/>
        <v>1748.3293556085916</v>
      </c>
      <c r="BP345" t="s">
        <v>33</v>
      </c>
      <c r="BQ345" t="s">
        <v>33</v>
      </c>
      <c r="BR345" t="s">
        <v>33</v>
      </c>
      <c r="BS345" t="s">
        <v>33</v>
      </c>
      <c r="BT345" t="s">
        <v>31</v>
      </c>
      <c r="BU345" t="s">
        <v>219</v>
      </c>
      <c r="BV345">
        <v>2008</v>
      </c>
      <c r="BW345" s="2" t="s">
        <v>257</v>
      </c>
      <c r="BX345" t="s">
        <v>78</v>
      </c>
      <c r="BY345" t="s">
        <v>33</v>
      </c>
      <c r="BZ345" t="s">
        <v>33</v>
      </c>
      <c r="CA345" t="str">
        <f t="shared" si="176"/>
        <v>high acid</v>
      </c>
    </row>
    <row r="346" spans="1:79">
      <c r="A346" t="s">
        <v>758</v>
      </c>
      <c r="B346" t="s">
        <v>565</v>
      </c>
      <c r="C346" t="s">
        <v>563</v>
      </c>
      <c r="D346" t="s">
        <v>759</v>
      </c>
      <c r="E346" t="s">
        <v>77</v>
      </c>
      <c r="F346" t="s">
        <v>32</v>
      </c>
      <c r="G346">
        <v>30</v>
      </c>
      <c r="H346" t="s">
        <v>33</v>
      </c>
      <c r="I346" t="b">
        <v>0</v>
      </c>
      <c r="J346" t="s">
        <v>33</v>
      </c>
      <c r="K346" t="s">
        <v>33</v>
      </c>
      <c r="L346">
        <v>24.2</v>
      </c>
      <c r="M346" s="4">
        <v>140</v>
      </c>
      <c r="N346" s="3" t="str">
        <f>IFERROR(AF346/((T346*X346/Y346)*O346*AI346),"NA")</f>
        <v>NA</v>
      </c>
      <c r="O346">
        <v>20</v>
      </c>
      <c r="P346">
        <v>9.4E-2</v>
      </c>
      <c r="Q346" s="8">
        <f>IFERROR(X346/Y346, "NA")</f>
        <v>4.7123889803846894E-2</v>
      </c>
      <c r="R346" t="s">
        <v>183</v>
      </c>
      <c r="S346" t="s">
        <v>612</v>
      </c>
      <c r="T346" s="11">
        <v>2</v>
      </c>
      <c r="U346">
        <v>10</v>
      </c>
      <c r="V346">
        <v>10</v>
      </c>
      <c r="W346">
        <f>1.57/2</f>
        <v>0.78500000000000003</v>
      </c>
      <c r="X346">
        <f t="shared" si="190"/>
        <v>0.78539816339744828</v>
      </c>
      <c r="Y346" s="6">
        <f>60000/3600</f>
        <v>16.666666666666668</v>
      </c>
      <c r="Z346" s="3" t="str">
        <f t="shared" si="171"/>
        <v>NA</v>
      </c>
      <c r="AA346" t="s">
        <v>33</v>
      </c>
      <c r="AB346" s="4">
        <f>IFERROR(((X346*M346)/Y346), "NA")</f>
        <v>6.5973445725385647</v>
      </c>
      <c r="AC346" s="4">
        <f t="shared" si="188"/>
        <v>13.16</v>
      </c>
      <c r="AD346" s="4">
        <f>AB346*T346*AI346</f>
        <v>13.194689145077129</v>
      </c>
      <c r="AE346" s="3">
        <f t="shared" si="173"/>
        <v>249.12936908975649</v>
      </c>
      <c r="AF346" t="s">
        <v>33</v>
      </c>
      <c r="AG346" s="4">
        <f>IFERROR((M346*O346*P346), "NA")</f>
        <v>263.2</v>
      </c>
      <c r="AH346" s="4">
        <f>IFERROR((AG346*T346*AI346), "NA")</f>
        <v>526.4</v>
      </c>
      <c r="AI346">
        <v>1</v>
      </c>
      <c r="AJ346" s="11" t="s">
        <v>31</v>
      </c>
      <c r="AK346">
        <v>1612</v>
      </c>
      <c r="AL346" t="s">
        <v>760</v>
      </c>
      <c r="AM346" t="s">
        <v>103</v>
      </c>
      <c r="AN346" t="s">
        <v>130</v>
      </c>
      <c r="AO346" t="s">
        <v>795</v>
      </c>
      <c r="AP346">
        <v>6.5</v>
      </c>
      <c r="AQ346" t="s">
        <v>33</v>
      </c>
      <c r="AR346" t="s">
        <v>33</v>
      </c>
      <c r="AS346">
        <v>6</v>
      </c>
      <c r="AT346" s="3">
        <f>IFERROR(AS346-AU346,"NA")</f>
        <v>3.5529999999999999</v>
      </c>
      <c r="AU346" s="6">
        <v>2.4470000000000001</v>
      </c>
      <c r="AV346" t="b">
        <v>1</v>
      </c>
      <c r="AW346" t="s">
        <v>470</v>
      </c>
      <c r="AX346" t="s">
        <v>464</v>
      </c>
      <c r="AY346" t="s">
        <v>33</v>
      </c>
      <c r="AZ346" t="s">
        <v>33</v>
      </c>
      <c r="BA346" s="18" t="s">
        <v>579</v>
      </c>
      <c r="BB346" s="3" t="b">
        <v>1</v>
      </c>
      <c r="BC346" t="s">
        <v>81</v>
      </c>
      <c r="BD346">
        <v>24</v>
      </c>
      <c r="BE346" t="s">
        <v>80</v>
      </c>
      <c r="BF346">
        <v>24</v>
      </c>
      <c r="BG346" t="s">
        <v>139</v>
      </c>
      <c r="BH346" t="s">
        <v>31</v>
      </c>
      <c r="BI346" t="s">
        <v>31</v>
      </c>
      <c r="BJ346" s="3">
        <f t="shared" si="189"/>
        <v>2.4470000000000001</v>
      </c>
      <c r="BK346" s="3">
        <f t="shared" si="179"/>
        <v>0.38863396935178918</v>
      </c>
      <c r="BL346">
        <v>2</v>
      </c>
      <c r="BM346" s="3">
        <f t="shared" si="187"/>
        <v>2.0077909588341605</v>
      </c>
      <c r="BN346" t="s">
        <v>33</v>
      </c>
      <c r="BO346" s="3">
        <f t="shared" si="175"/>
        <v>101.81012222711749</v>
      </c>
      <c r="BP346" t="s">
        <v>33</v>
      </c>
      <c r="BQ346" t="s">
        <v>33</v>
      </c>
      <c r="BR346" t="s">
        <v>33</v>
      </c>
      <c r="BS346" t="s">
        <v>33</v>
      </c>
      <c r="BT346" t="s">
        <v>32</v>
      </c>
      <c r="BU346" t="s">
        <v>761</v>
      </c>
      <c r="BV346">
        <v>2024</v>
      </c>
      <c r="BW346" t="s">
        <v>762</v>
      </c>
      <c r="BX346" t="s">
        <v>78</v>
      </c>
      <c r="BY346" t="s">
        <v>763</v>
      </c>
      <c r="CA346" t="str">
        <f t="shared" si="176"/>
        <v>low acid</v>
      </c>
    </row>
    <row r="347" spans="1:79">
      <c r="A347" t="s">
        <v>237</v>
      </c>
      <c r="B347" t="s">
        <v>565</v>
      </c>
      <c r="C347" t="s">
        <v>563</v>
      </c>
      <c r="D347" t="s">
        <v>118</v>
      </c>
      <c r="E347" t="s">
        <v>77</v>
      </c>
      <c r="F347" t="s">
        <v>32</v>
      </c>
      <c r="G347">
        <v>4</v>
      </c>
      <c r="H347">
        <v>32.5</v>
      </c>
      <c r="I347" t="b">
        <v>0</v>
      </c>
      <c r="J347" t="s">
        <v>33</v>
      </c>
      <c r="K347" t="s">
        <v>33</v>
      </c>
      <c r="L347">
        <v>30</v>
      </c>
      <c r="M347" s="4">
        <v>200</v>
      </c>
      <c r="N347" s="3">
        <f>IFERROR(AF347/((T347*X347/Y347)*O347*AI347),"NA")</f>
        <v>2575.8562144245957</v>
      </c>
      <c r="O347">
        <v>4</v>
      </c>
      <c r="P347" t="s">
        <v>33</v>
      </c>
      <c r="Q347" s="9">
        <f t="shared" ref="Q347:Q355" si="191">IFERROR(X347/Z347, "NA")</f>
        <v>0.15625</v>
      </c>
      <c r="R347" t="s">
        <v>183</v>
      </c>
      <c r="S347" t="s">
        <v>612</v>
      </c>
      <c r="T347" s="11">
        <v>8</v>
      </c>
      <c r="U347">
        <v>2.92</v>
      </c>
      <c r="V347">
        <v>2.2999999999999998</v>
      </c>
      <c r="W347">
        <v>1.2E-2</v>
      </c>
      <c r="X347" s="8">
        <f t="shared" si="190"/>
        <v>1.2131888350367701E-2</v>
      </c>
      <c r="Y347" s="6">
        <f>60/60</f>
        <v>1</v>
      </c>
      <c r="Z347" s="3">
        <f t="shared" si="171"/>
        <v>7.7644085442353281E-2</v>
      </c>
      <c r="AA347" t="s">
        <v>33</v>
      </c>
      <c r="AB347" s="6">
        <f t="shared" ref="AB347:AB355" si="192">IFERROR(((X347*M347)/Z347), "NA")</f>
        <v>31.250000000000004</v>
      </c>
      <c r="AC347" t="str">
        <f t="shared" si="188"/>
        <v>NA</v>
      </c>
      <c r="AD347" s="4">
        <f>AB347*T347*AI347</f>
        <v>250.00000000000003</v>
      </c>
      <c r="AE347" s="3">
        <f t="shared" si="173"/>
        <v>3815.9999999999995</v>
      </c>
      <c r="AF347">
        <v>1000</v>
      </c>
      <c r="AG347" t="str">
        <f>IFERROR((M347*O347*P347), "NA")</f>
        <v>NA</v>
      </c>
      <c r="AH347" t="str">
        <f>IFERROR((AG347*T347*AI347), "NA")</f>
        <v>NA</v>
      </c>
      <c r="AI347">
        <v>1</v>
      </c>
      <c r="AJ347" t="s">
        <v>31</v>
      </c>
      <c r="AK347">
        <v>4240</v>
      </c>
      <c r="AL347" t="s">
        <v>238</v>
      </c>
      <c r="AM347" t="s">
        <v>86</v>
      </c>
      <c r="AN347" t="s">
        <v>205</v>
      </c>
      <c r="AO347" t="s">
        <v>789</v>
      </c>
      <c r="AP347">
        <v>3.56</v>
      </c>
      <c r="AQ347" t="s">
        <v>33</v>
      </c>
      <c r="AR347" t="s">
        <v>33</v>
      </c>
      <c r="AS347">
        <f>LOG(10^8)</f>
        <v>8</v>
      </c>
      <c r="AT347" s="3">
        <f>IFERROR(AS347-AU347,"NA")</f>
        <v>3.5579999999999998</v>
      </c>
      <c r="AU347" s="6">
        <v>4.4420000000000002</v>
      </c>
      <c r="AV347" t="b">
        <v>1</v>
      </c>
      <c r="AW347" t="s">
        <v>172</v>
      </c>
      <c r="AX347" t="s">
        <v>173</v>
      </c>
      <c r="AY347" t="s">
        <v>239</v>
      </c>
      <c r="AZ347" t="s">
        <v>33</v>
      </c>
      <c r="BA347" s="18" t="s">
        <v>799</v>
      </c>
      <c r="BB347" t="b">
        <v>0</v>
      </c>
      <c r="BC347" t="s">
        <v>81</v>
      </c>
      <c r="BD347">
        <v>48</v>
      </c>
      <c r="BE347" t="s">
        <v>80</v>
      </c>
      <c r="BF347" s="11">
        <v>120</v>
      </c>
      <c r="BG347" t="s">
        <v>571</v>
      </c>
      <c r="BH347" t="s">
        <v>31</v>
      </c>
      <c r="BI347" t="s">
        <v>31</v>
      </c>
      <c r="BJ347" s="3">
        <f t="shared" si="189"/>
        <v>4.4420000000000002</v>
      </c>
      <c r="BK347" s="3">
        <f t="shared" si="179"/>
        <v>0.64757855421245514</v>
      </c>
      <c r="BL347">
        <v>2</v>
      </c>
      <c r="BM347" s="3">
        <f t="shared" si="187"/>
        <v>2.9340298118196024</v>
      </c>
      <c r="BN347" t="s">
        <v>33</v>
      </c>
      <c r="BO347" s="3">
        <f t="shared" si="175"/>
        <v>859.07248986942807</v>
      </c>
      <c r="BP347" t="s">
        <v>33</v>
      </c>
      <c r="BQ347" t="s">
        <v>33</v>
      </c>
      <c r="BR347" t="s">
        <v>33</v>
      </c>
      <c r="BS347" t="s">
        <v>33</v>
      </c>
      <c r="BT347" t="s">
        <v>31</v>
      </c>
      <c r="BU347" t="s">
        <v>240</v>
      </c>
      <c r="BV347">
        <v>2004</v>
      </c>
      <c r="BW347" t="s">
        <v>241</v>
      </c>
      <c r="BX347" t="s">
        <v>78</v>
      </c>
      <c r="BY347" t="s">
        <v>33</v>
      </c>
      <c r="BZ347" t="s">
        <v>33</v>
      </c>
      <c r="CA347" t="str">
        <f t="shared" si="176"/>
        <v>high acid</v>
      </c>
    </row>
    <row r="348" spans="1:79">
      <c r="A348" t="s">
        <v>584</v>
      </c>
      <c r="B348" t="s">
        <v>566</v>
      </c>
      <c r="C348" t="s">
        <v>563</v>
      </c>
      <c r="D348" t="s">
        <v>607</v>
      </c>
      <c r="E348" t="s">
        <v>77</v>
      </c>
      <c r="F348" t="s">
        <v>33</v>
      </c>
      <c r="G348">
        <v>20</v>
      </c>
      <c r="H348">
        <v>35</v>
      </c>
      <c r="I348" t="b">
        <v>0</v>
      </c>
      <c r="J348">
        <v>1000</v>
      </c>
      <c r="K348">
        <v>200</v>
      </c>
      <c r="L348">
        <v>25</v>
      </c>
      <c r="M348" s="4">
        <v>1</v>
      </c>
      <c r="N348" t="e">
        <f>(#REF!*Y348)/(T348*X348*O348)</f>
        <v>#REF!</v>
      </c>
      <c r="O348">
        <v>3</v>
      </c>
      <c r="P348" t="s">
        <v>33</v>
      </c>
      <c r="Q348" s="1">
        <f t="shared" si="191"/>
        <v>166.66666666666666</v>
      </c>
      <c r="R348" t="s">
        <v>183</v>
      </c>
      <c r="S348" t="s">
        <v>33</v>
      </c>
      <c r="T348">
        <v>1</v>
      </c>
      <c r="U348">
        <v>2.5</v>
      </c>
      <c r="V348" t="s">
        <v>33</v>
      </c>
      <c r="W348">
        <v>0.50249999999999995</v>
      </c>
      <c r="X348">
        <f>W348</f>
        <v>0.50249999999999995</v>
      </c>
      <c r="Y348" t="s">
        <v>33</v>
      </c>
      <c r="Z348" s="3">
        <f t="shared" si="171"/>
        <v>3.0149999999999999E-3</v>
      </c>
      <c r="AA348" t="s">
        <v>33</v>
      </c>
      <c r="AB348">
        <f t="shared" si="192"/>
        <v>166.66666666666666</v>
      </c>
      <c r="AC348" s="1" t="str">
        <f t="shared" si="188"/>
        <v>NA</v>
      </c>
      <c r="AE348" s="3">
        <f t="shared" si="173"/>
        <v>312.5</v>
      </c>
      <c r="AF348">
        <v>500</v>
      </c>
      <c r="AG348" s="1" t="str">
        <f>IFERROR((N348*P348*Q348), "NA")</f>
        <v>NA</v>
      </c>
      <c r="AH348" s="1" t="str">
        <f>IFERROR((AG348*U348*AI348), "NA")</f>
        <v>NA</v>
      </c>
      <c r="AI348" s="1">
        <v>1</v>
      </c>
      <c r="AJ348" s="11" t="s">
        <v>31</v>
      </c>
      <c r="AK348">
        <v>1000</v>
      </c>
      <c r="AL348" t="s">
        <v>614</v>
      </c>
      <c r="AM348" s="3" t="s">
        <v>103</v>
      </c>
      <c r="AN348" t="s">
        <v>305</v>
      </c>
      <c r="AO348" t="s">
        <v>790</v>
      </c>
      <c r="AP348">
        <v>4.5</v>
      </c>
      <c r="AQ348" t="s">
        <v>33</v>
      </c>
      <c r="AR348" t="s">
        <v>33</v>
      </c>
      <c r="AS348">
        <v>8</v>
      </c>
      <c r="AT348">
        <f>AS348-AU348</f>
        <v>3.5599999999999996</v>
      </c>
      <c r="AU348" s="6">
        <v>4.4400000000000004</v>
      </c>
      <c r="AV348" t="b">
        <v>1</v>
      </c>
      <c r="AW348" t="s">
        <v>617</v>
      </c>
      <c r="AX348" t="s">
        <v>33</v>
      </c>
      <c r="AY348" t="s">
        <v>623</v>
      </c>
      <c r="AZ348" t="s">
        <v>621</v>
      </c>
      <c r="BA348" s="18" t="s">
        <v>802</v>
      </c>
      <c r="BB348" s="3" t="b">
        <v>0</v>
      </c>
      <c r="BC348" t="s">
        <v>81</v>
      </c>
      <c r="BD348">
        <v>18</v>
      </c>
      <c r="BE348" t="s">
        <v>80</v>
      </c>
      <c r="BF348">
        <v>24</v>
      </c>
      <c r="BG348" t="s">
        <v>569</v>
      </c>
      <c r="BH348" t="s">
        <v>31</v>
      </c>
      <c r="BI348" t="s">
        <v>31</v>
      </c>
      <c r="BJ348">
        <f t="shared" si="189"/>
        <v>4.4400000000000004</v>
      </c>
      <c r="BK348" s="3">
        <f t="shared" si="179"/>
        <v>0.64738297011461987</v>
      </c>
      <c r="BL348">
        <v>2</v>
      </c>
      <c r="BM348" s="3">
        <f t="shared" si="187"/>
        <v>1.8474670515654741</v>
      </c>
      <c r="BN348" t="s">
        <v>33</v>
      </c>
      <c r="BO348" s="3">
        <f t="shared" si="175"/>
        <v>70.382882882882882</v>
      </c>
      <c r="BP348" t="s">
        <v>33</v>
      </c>
      <c r="BQ348" t="s">
        <v>33</v>
      </c>
      <c r="BR348" t="s">
        <v>33</v>
      </c>
      <c r="BS348" t="s">
        <v>33</v>
      </c>
      <c r="BT348" t="s">
        <v>31</v>
      </c>
      <c r="BU348" t="s">
        <v>255</v>
      </c>
      <c r="BV348">
        <v>2010</v>
      </c>
      <c r="BW348" t="s">
        <v>651</v>
      </c>
      <c r="BX348" t="s">
        <v>78</v>
      </c>
      <c r="BY348" s="13" t="s">
        <v>674</v>
      </c>
      <c r="CA348" t="str">
        <f t="shared" si="176"/>
        <v>high acid</v>
      </c>
    </row>
    <row r="349" spans="1:79">
      <c r="A349" t="s">
        <v>588</v>
      </c>
      <c r="B349" t="s">
        <v>565</v>
      </c>
      <c r="C349" t="s">
        <v>563</v>
      </c>
      <c r="D349" t="s">
        <v>608</v>
      </c>
      <c r="E349" t="s">
        <v>77</v>
      </c>
      <c r="F349" t="s">
        <v>32</v>
      </c>
      <c r="G349" t="s">
        <v>33</v>
      </c>
      <c r="H349">
        <v>40</v>
      </c>
      <c r="I349" t="b">
        <v>0</v>
      </c>
      <c r="J349" t="s">
        <v>33</v>
      </c>
      <c r="K349" t="s">
        <v>33</v>
      </c>
      <c r="L349">
        <v>35</v>
      </c>
      <c r="M349" s="4">
        <v>250</v>
      </c>
      <c r="N349" t="e">
        <f>(#REF!*Y349)/(T349*X349*O349)</f>
        <v>#REF!</v>
      </c>
      <c r="O349">
        <v>3.7</v>
      </c>
      <c r="P349" t="s">
        <v>33</v>
      </c>
      <c r="Q349" s="1">
        <f t="shared" si="191"/>
        <v>8.1081081081081072E-2</v>
      </c>
      <c r="R349" t="s">
        <v>183</v>
      </c>
      <c r="S349" t="s">
        <v>613</v>
      </c>
      <c r="T349">
        <v>6</v>
      </c>
      <c r="U349">
        <v>1.9</v>
      </c>
      <c r="V349">
        <v>2.2999999999999998</v>
      </c>
      <c r="W349" t="s">
        <v>33</v>
      </c>
      <c r="X349">
        <f>IFERROR(((PI())*(((V349*10^-1)/2)^2)*(U349*10^-1)), "NA")</f>
        <v>7.8940369403077502E-3</v>
      </c>
      <c r="Y349">
        <v>1</v>
      </c>
      <c r="Z349" s="3">
        <f t="shared" si="171"/>
        <v>9.7359788930462265E-2</v>
      </c>
      <c r="AA349" t="s">
        <v>33</v>
      </c>
      <c r="AB349">
        <f t="shared" si="192"/>
        <v>20.27027027027027</v>
      </c>
      <c r="AC349" s="1" t="str">
        <f t="shared" si="188"/>
        <v>NA</v>
      </c>
      <c r="AE349" s="3">
        <f t="shared" si="173"/>
        <v>2645.9999999999995</v>
      </c>
      <c r="AF349">
        <v>450</v>
      </c>
      <c r="AG349" s="1" t="str">
        <f>IFERROR((N349*P349*Q349), "NA")</f>
        <v>NA</v>
      </c>
      <c r="AH349" s="1" t="str">
        <f>IFERROR((AG349*U349*AI349), "NA")</f>
        <v>NA</v>
      </c>
      <c r="AI349" s="1">
        <v>1</v>
      </c>
      <c r="AJ349" s="11" t="s">
        <v>31</v>
      </c>
      <c r="AK349">
        <v>4800</v>
      </c>
      <c r="AL349" t="s">
        <v>156</v>
      </c>
      <c r="AM349" t="s">
        <v>157</v>
      </c>
      <c r="AN349" t="s">
        <v>186</v>
      </c>
      <c r="AO349" t="s">
        <v>792</v>
      </c>
      <c r="AP349">
        <v>6.53</v>
      </c>
      <c r="AQ349" t="s">
        <v>33</v>
      </c>
      <c r="AR349" t="s">
        <v>33</v>
      </c>
      <c r="AS349">
        <v>6.5</v>
      </c>
      <c r="AT349">
        <v>3.56</v>
      </c>
      <c r="AU349" s="6">
        <f>AS349-AT349</f>
        <v>2.94</v>
      </c>
      <c r="AV349" t="b">
        <v>1</v>
      </c>
      <c r="AW349" t="s">
        <v>626</v>
      </c>
      <c r="AX349" t="s">
        <v>627</v>
      </c>
      <c r="AY349" t="s">
        <v>625</v>
      </c>
      <c r="AZ349" t="s">
        <v>33</v>
      </c>
      <c r="BA349" s="18" t="s">
        <v>800</v>
      </c>
      <c r="BB349" s="3" t="b">
        <v>0</v>
      </c>
      <c r="BC349" t="s">
        <v>81</v>
      </c>
      <c r="BD349">
        <v>12</v>
      </c>
      <c r="BE349" t="s">
        <v>80</v>
      </c>
      <c r="BF349">
        <v>48</v>
      </c>
      <c r="BG349" t="s">
        <v>568</v>
      </c>
      <c r="BH349" t="s">
        <v>31</v>
      </c>
      <c r="BI349" t="s">
        <v>31</v>
      </c>
      <c r="BJ349">
        <f t="shared" si="189"/>
        <v>2.94</v>
      </c>
      <c r="BK349" s="3">
        <f t="shared" si="179"/>
        <v>0.46834733041215726</v>
      </c>
      <c r="BL349">
        <v>2</v>
      </c>
      <c r="BM349" s="3">
        <f t="shared" si="187"/>
        <v>2.9542425094393248</v>
      </c>
      <c r="BN349" t="s">
        <v>33</v>
      </c>
      <c r="BO349" s="3">
        <f t="shared" si="175"/>
        <v>899.99999999999989</v>
      </c>
      <c r="BP349" t="s">
        <v>33</v>
      </c>
      <c r="BQ349" t="s">
        <v>33</v>
      </c>
      <c r="BR349" t="s">
        <v>33</v>
      </c>
      <c r="BS349" t="s">
        <v>33</v>
      </c>
      <c r="BT349" t="s">
        <v>31</v>
      </c>
      <c r="BU349" s="13" t="s">
        <v>163</v>
      </c>
      <c r="BV349">
        <v>2004</v>
      </c>
      <c r="BW349" t="s">
        <v>654</v>
      </c>
      <c r="BX349" t="s">
        <v>78</v>
      </c>
      <c r="BY349" s="13" t="s">
        <v>677</v>
      </c>
      <c r="CA349" t="str">
        <f t="shared" si="176"/>
        <v>low acid</v>
      </c>
    </row>
    <row r="350" spans="1:79">
      <c r="A350" t="s">
        <v>258</v>
      </c>
      <c r="B350" t="s">
        <v>565</v>
      </c>
      <c r="C350" t="s">
        <v>563</v>
      </c>
      <c r="D350" t="s">
        <v>118</v>
      </c>
      <c r="E350" t="s">
        <v>77</v>
      </c>
      <c r="F350" t="s">
        <v>32</v>
      </c>
      <c r="G350">
        <v>5</v>
      </c>
      <c r="H350">
        <v>40</v>
      </c>
      <c r="I350" t="b">
        <v>0</v>
      </c>
      <c r="J350" t="s">
        <v>33</v>
      </c>
      <c r="K350" t="s">
        <v>33</v>
      </c>
      <c r="L350">
        <v>35</v>
      </c>
      <c r="M350" s="4">
        <v>100</v>
      </c>
      <c r="N350" s="3">
        <f>IFERROR(AF350/((T350*X350/Y350)*O350*AI350),"NA")</f>
        <v>9444.8061195568516</v>
      </c>
      <c r="O350">
        <v>4</v>
      </c>
      <c r="P350" t="s">
        <v>33</v>
      </c>
      <c r="Q350">
        <f t="shared" si="191"/>
        <v>0.625</v>
      </c>
      <c r="R350" t="s">
        <v>183</v>
      </c>
      <c r="S350" t="s">
        <v>613</v>
      </c>
      <c r="T350" s="11">
        <v>8</v>
      </c>
      <c r="U350">
        <v>2.92</v>
      </c>
      <c r="V350">
        <v>2.2999999999999998</v>
      </c>
      <c r="W350">
        <v>1.21E-2</v>
      </c>
      <c r="X350" s="8">
        <f>IFERROR(((PI())*(((V350*10^-1)/2)^2)*(U350*10^-1)), "NA")</f>
        <v>1.2131888350367701E-2</v>
      </c>
      <c r="Y350" s="6">
        <f>110/60</f>
        <v>1.8333333333333333</v>
      </c>
      <c r="Z350" s="3">
        <f t="shared" si="171"/>
        <v>1.941102136058832E-2</v>
      </c>
      <c r="AA350" t="s">
        <v>33</v>
      </c>
      <c r="AB350" s="6">
        <f t="shared" si="192"/>
        <v>62.500000000000007</v>
      </c>
      <c r="AC350" t="str">
        <f t="shared" si="188"/>
        <v>NA</v>
      </c>
      <c r="AD350" s="4">
        <f>AB350*T350*AI350</f>
        <v>500.00000000000006</v>
      </c>
      <c r="AE350" s="3">
        <f t="shared" si="173"/>
        <v>5341</v>
      </c>
      <c r="AF350">
        <v>2000</v>
      </c>
      <c r="AG350" t="str">
        <f>IFERROR((M350*O350*P350), "NA")</f>
        <v>NA</v>
      </c>
      <c r="AH350" t="str">
        <f>IFERROR((AG350*T350*AI350), "NA")</f>
        <v>NA</v>
      </c>
      <c r="AI350">
        <v>1</v>
      </c>
      <c r="AJ350" t="s">
        <v>31</v>
      </c>
      <c r="AK350">
        <v>2180</v>
      </c>
      <c r="AL350" t="s">
        <v>149</v>
      </c>
      <c r="AM350" t="s">
        <v>86</v>
      </c>
      <c r="AN350" t="s">
        <v>205</v>
      </c>
      <c r="AO350" t="s">
        <v>789</v>
      </c>
      <c r="AP350">
        <v>4.46</v>
      </c>
      <c r="AQ350" t="s">
        <v>33</v>
      </c>
      <c r="AR350" t="s">
        <v>33</v>
      </c>
      <c r="AS350" s="6">
        <f>LOG((10^7+10^8)/2)</f>
        <v>7.7403626894942441</v>
      </c>
      <c r="AT350" s="3">
        <f>IFERROR(AS350-AU350,"NA")</f>
        <v>3.5633626894942445</v>
      </c>
      <c r="AU350" s="6">
        <v>4.1769999999999996</v>
      </c>
      <c r="AV350" t="b">
        <v>1</v>
      </c>
      <c r="AW350" t="s">
        <v>29</v>
      </c>
      <c r="AX350" t="s">
        <v>30</v>
      </c>
      <c r="AY350" t="s">
        <v>33</v>
      </c>
      <c r="AZ350" t="s">
        <v>134</v>
      </c>
      <c r="BA350" s="18" t="s">
        <v>798</v>
      </c>
      <c r="BB350" t="b">
        <v>0</v>
      </c>
      <c r="BC350" t="s">
        <v>81</v>
      </c>
      <c r="BD350">
        <v>15</v>
      </c>
      <c r="BE350" t="s">
        <v>80</v>
      </c>
      <c r="BF350" s="11">
        <v>24</v>
      </c>
      <c r="BG350" t="s">
        <v>262</v>
      </c>
      <c r="BH350" t="s">
        <v>31</v>
      </c>
      <c r="BI350" t="s">
        <v>31</v>
      </c>
      <c r="BJ350" s="3">
        <f t="shared" si="189"/>
        <v>4.1769999999999996</v>
      </c>
      <c r="BK350" s="3">
        <f t="shared" si="179"/>
        <v>0.62086447526512112</v>
      </c>
      <c r="BL350">
        <v>2</v>
      </c>
      <c r="BM350" s="3">
        <f t="shared" si="187"/>
        <v>3.1067581027040161</v>
      </c>
      <c r="BN350" t="s">
        <v>33</v>
      </c>
      <c r="BO350" s="3">
        <f t="shared" si="175"/>
        <v>1278.6689011252097</v>
      </c>
      <c r="BP350" t="s">
        <v>33</v>
      </c>
      <c r="BQ350" t="s">
        <v>33</v>
      </c>
      <c r="BR350" t="s">
        <v>33</v>
      </c>
      <c r="BS350" t="s">
        <v>33</v>
      </c>
      <c r="BT350" t="s">
        <v>31</v>
      </c>
      <c r="BU350" t="s">
        <v>219</v>
      </c>
      <c r="BV350">
        <v>2008</v>
      </c>
      <c r="BW350" s="2" t="s">
        <v>257</v>
      </c>
      <c r="BX350" t="s">
        <v>78</v>
      </c>
      <c r="BY350" t="s">
        <v>33</v>
      </c>
      <c r="BZ350" t="s">
        <v>33</v>
      </c>
      <c r="CA350" t="str">
        <f t="shared" si="176"/>
        <v>high acid</v>
      </c>
    </row>
    <row r="351" spans="1:79">
      <c r="A351" t="s">
        <v>595</v>
      </c>
      <c r="B351" t="s">
        <v>565</v>
      </c>
      <c r="C351" t="s">
        <v>564</v>
      </c>
      <c r="D351" t="s">
        <v>609</v>
      </c>
      <c r="E351" t="s">
        <v>77</v>
      </c>
      <c r="F351" t="s">
        <v>32</v>
      </c>
      <c r="G351">
        <v>30</v>
      </c>
      <c r="H351">
        <v>38.200000000000003</v>
      </c>
      <c r="I351" t="b">
        <v>0</v>
      </c>
      <c r="J351" t="s">
        <v>33</v>
      </c>
      <c r="K351" t="s">
        <v>33</v>
      </c>
      <c r="L351">
        <v>24</v>
      </c>
      <c r="M351" s="4">
        <v>120</v>
      </c>
      <c r="N351" t="e">
        <f>(#REF!*Y351)/(T351*X351*O351)</f>
        <v>#REF!</v>
      </c>
      <c r="O351">
        <v>4</v>
      </c>
      <c r="P351" t="s">
        <v>33</v>
      </c>
      <c r="Q351" s="1">
        <f t="shared" si="191"/>
        <v>7.8125E-2</v>
      </c>
      <c r="R351" t="s">
        <v>183</v>
      </c>
      <c r="S351" t="s">
        <v>612</v>
      </c>
      <c r="T351">
        <v>4</v>
      </c>
      <c r="U351">
        <v>3</v>
      </c>
      <c r="V351">
        <v>2.6</v>
      </c>
      <c r="W351" t="s">
        <v>33</v>
      </c>
      <c r="X351">
        <f>IFERROR(((PI())*(((V351*10^-1)/2)^2)*(U351*10^-1)), "NA")</f>
        <v>1.5927874753700257E-2</v>
      </c>
      <c r="Y351">
        <v>0.126667</v>
      </c>
      <c r="Z351" s="3">
        <f t="shared" si="171"/>
        <v>0.20387679684736329</v>
      </c>
      <c r="AA351" t="s">
        <v>33</v>
      </c>
      <c r="AB351">
        <f t="shared" si="192"/>
        <v>9.375</v>
      </c>
      <c r="AC351" s="1" t="str">
        <f t="shared" si="188"/>
        <v>NA</v>
      </c>
      <c r="AE351" s="3">
        <f t="shared" si="173"/>
        <v>84.671999999999997</v>
      </c>
      <c r="AF351">
        <v>150</v>
      </c>
      <c r="AG351" s="1" t="str">
        <f>IFERROR((N351*P351*Q351), "NA")</f>
        <v>NA</v>
      </c>
      <c r="AH351" s="1" t="str">
        <f>IFERROR((AG351*U351*AI351), "NA")</f>
        <v>NA</v>
      </c>
      <c r="AI351" s="1">
        <v>1</v>
      </c>
      <c r="AJ351" s="11" t="s">
        <v>31</v>
      </c>
      <c r="AK351">
        <v>980</v>
      </c>
      <c r="AL351" t="s">
        <v>551</v>
      </c>
      <c r="AM351" t="s">
        <v>86</v>
      </c>
      <c r="AN351" t="s">
        <v>186</v>
      </c>
      <c r="AO351" t="s">
        <v>794</v>
      </c>
      <c r="AP351">
        <v>5.98</v>
      </c>
      <c r="AQ351" t="s">
        <v>33</v>
      </c>
      <c r="AR351" t="s">
        <v>33</v>
      </c>
      <c r="AS351">
        <v>6</v>
      </c>
      <c r="AT351">
        <f>AS351-AU351</f>
        <v>3.57</v>
      </c>
      <c r="AU351" s="6">
        <v>2.4300000000000002</v>
      </c>
      <c r="AV351" t="b">
        <v>1</v>
      </c>
      <c r="AW351" t="s">
        <v>626</v>
      </c>
      <c r="AX351" t="s">
        <v>627</v>
      </c>
      <c r="AY351" t="s">
        <v>631</v>
      </c>
      <c r="AZ351" t="s">
        <v>33</v>
      </c>
      <c r="BA351" s="18" t="s">
        <v>800</v>
      </c>
      <c r="BB351" s="3" t="b">
        <v>0</v>
      </c>
      <c r="BC351" t="s">
        <v>81</v>
      </c>
      <c r="BD351">
        <v>20</v>
      </c>
      <c r="BE351" t="s">
        <v>80</v>
      </c>
      <c r="BF351">
        <v>20</v>
      </c>
      <c r="BG351" t="s">
        <v>695</v>
      </c>
      <c r="BH351" t="s">
        <v>32</v>
      </c>
      <c r="BI351" t="s">
        <v>31</v>
      </c>
      <c r="BJ351">
        <f t="shared" si="189"/>
        <v>2.4300000000000002</v>
      </c>
      <c r="BK351" s="3">
        <f t="shared" si="179"/>
        <v>0.38560627359831223</v>
      </c>
      <c r="BL351">
        <v>2</v>
      </c>
      <c r="BM351" s="3">
        <f t="shared" si="187"/>
        <v>1.5421335445730759</v>
      </c>
      <c r="BN351" t="s">
        <v>33</v>
      </c>
      <c r="BO351" s="3">
        <f t="shared" si="175"/>
        <v>34.844444444444441</v>
      </c>
      <c r="BP351" t="s">
        <v>33</v>
      </c>
      <c r="BQ351" t="s">
        <v>33</v>
      </c>
      <c r="BR351" t="s">
        <v>33</v>
      </c>
      <c r="BS351" t="s">
        <v>33</v>
      </c>
      <c r="BT351" t="s">
        <v>32</v>
      </c>
      <c r="BU351" t="s">
        <v>207</v>
      </c>
      <c r="BV351">
        <v>2014</v>
      </c>
      <c r="BW351" t="s">
        <v>208</v>
      </c>
      <c r="BX351" t="s">
        <v>78</v>
      </c>
      <c r="BY351" s="13" t="s">
        <v>683</v>
      </c>
      <c r="CA351" t="str">
        <f t="shared" si="176"/>
        <v>low acid</v>
      </c>
    </row>
    <row r="352" spans="1:79">
      <c r="A352" t="s">
        <v>391</v>
      </c>
      <c r="B352" t="s">
        <v>565</v>
      </c>
      <c r="C352" t="s">
        <v>563</v>
      </c>
      <c r="D352" t="s">
        <v>118</v>
      </c>
      <c r="E352" t="s">
        <v>77</v>
      </c>
      <c r="F352" t="s">
        <v>32</v>
      </c>
      <c r="G352">
        <v>25</v>
      </c>
      <c r="H352">
        <v>36</v>
      </c>
      <c r="I352" t="b">
        <v>0</v>
      </c>
      <c r="J352" t="s">
        <v>33</v>
      </c>
      <c r="K352" t="s">
        <v>33</v>
      </c>
      <c r="L352">
        <v>35</v>
      </c>
      <c r="M352" s="4">
        <v>200</v>
      </c>
      <c r="N352" s="3" t="str">
        <f>IFERROR(AF352/((T352*X352/Y352)*O352*AI352),"NA")</f>
        <v>NA</v>
      </c>
      <c r="O352">
        <v>4</v>
      </c>
      <c r="P352" t="s">
        <v>33</v>
      </c>
      <c r="Q352" s="8">
        <f t="shared" si="191"/>
        <v>9.3750000000000014E-2</v>
      </c>
      <c r="R352" t="s">
        <v>183</v>
      </c>
      <c r="S352" t="s">
        <v>612</v>
      </c>
      <c r="T352" s="11">
        <v>8</v>
      </c>
      <c r="U352">
        <v>2.9</v>
      </c>
      <c r="V352">
        <v>2.2999999999999998</v>
      </c>
      <c r="W352">
        <v>1.2E-2</v>
      </c>
      <c r="X352" s="8">
        <f>IFERROR(((PI())*(((V352*10^-1)/2)^2)*(U352*10^-1)), "NA")</f>
        <v>1.204879322468025E-2</v>
      </c>
      <c r="Y352" t="s">
        <v>33</v>
      </c>
      <c r="Z352" s="3">
        <f t="shared" si="171"/>
        <v>0.12852046106325599</v>
      </c>
      <c r="AA352" t="s">
        <v>33</v>
      </c>
      <c r="AB352" s="6">
        <f t="shared" si="192"/>
        <v>18.75</v>
      </c>
      <c r="AC352" t="str">
        <f t="shared" si="188"/>
        <v>NA</v>
      </c>
      <c r="AD352" s="4">
        <f>AB352*T352*AI352</f>
        <v>150</v>
      </c>
      <c r="AE352" s="3">
        <f t="shared" si="173"/>
        <v>3116.4000000000005</v>
      </c>
      <c r="AF352">
        <v>600</v>
      </c>
      <c r="AG352" t="str">
        <f>IFERROR((M352*O352*P352), "NA")</f>
        <v>NA</v>
      </c>
      <c r="AH352" t="str">
        <f>IFERROR((AG352*T352*AI352), "NA")</f>
        <v>NA</v>
      </c>
      <c r="AI352">
        <v>1</v>
      </c>
      <c r="AJ352" t="s">
        <v>31</v>
      </c>
      <c r="AK352">
        <v>4240</v>
      </c>
      <c r="AL352" t="s">
        <v>238</v>
      </c>
      <c r="AM352" t="s">
        <v>86</v>
      </c>
      <c r="AN352" t="s">
        <v>205</v>
      </c>
      <c r="AO352" t="s">
        <v>789</v>
      </c>
      <c r="AP352">
        <v>3.56</v>
      </c>
      <c r="AQ352" t="s">
        <v>33</v>
      </c>
      <c r="AR352" t="s">
        <v>33</v>
      </c>
      <c r="AS352" s="6">
        <f>LOG(10^8)</f>
        <v>8</v>
      </c>
      <c r="AT352" s="3">
        <f>IFERROR(AS352-AU352,"NA")</f>
        <v>3.5700000000000003</v>
      </c>
      <c r="AU352" s="6">
        <v>4.43</v>
      </c>
      <c r="AV352" t="b">
        <v>1</v>
      </c>
      <c r="AW352" t="s">
        <v>123</v>
      </c>
      <c r="AX352" t="s">
        <v>393</v>
      </c>
      <c r="AY352" t="s">
        <v>394</v>
      </c>
      <c r="AZ352" t="s">
        <v>33</v>
      </c>
      <c r="BA352" s="18" t="s">
        <v>579</v>
      </c>
      <c r="BB352" t="b">
        <v>1</v>
      </c>
      <c r="BC352" t="s">
        <v>81</v>
      </c>
      <c r="BD352">
        <v>72</v>
      </c>
      <c r="BE352" t="s">
        <v>80</v>
      </c>
      <c r="BF352" s="11">
        <v>72</v>
      </c>
      <c r="BG352" t="s">
        <v>395</v>
      </c>
      <c r="BH352" t="s">
        <v>31</v>
      </c>
      <c r="BI352" t="s">
        <v>31</v>
      </c>
      <c r="BJ352" s="3">
        <f t="shared" si="189"/>
        <v>4.43</v>
      </c>
      <c r="BK352" s="3">
        <f t="shared" si="179"/>
        <v>0.64640372622306952</v>
      </c>
      <c r="BL352">
        <v>2</v>
      </c>
      <c r="BM352" s="3">
        <f t="shared" si="187"/>
        <v>2.8472494694538582</v>
      </c>
      <c r="BN352" t="s">
        <v>33</v>
      </c>
      <c r="BO352" s="3">
        <f t="shared" si="175"/>
        <v>703.47629796839749</v>
      </c>
      <c r="BP352" t="s">
        <v>33</v>
      </c>
      <c r="BQ352" t="s">
        <v>33</v>
      </c>
      <c r="BR352" t="s">
        <v>33</v>
      </c>
      <c r="BS352" t="s">
        <v>33</v>
      </c>
      <c r="BT352" t="s">
        <v>31</v>
      </c>
      <c r="BU352" t="s">
        <v>240</v>
      </c>
      <c r="BV352">
        <v>2005</v>
      </c>
      <c r="BW352" t="s">
        <v>396</v>
      </c>
      <c r="BX352" t="s">
        <v>78</v>
      </c>
      <c r="BY352" t="s">
        <v>33</v>
      </c>
      <c r="BZ352" t="s">
        <v>33</v>
      </c>
      <c r="CA352" t="str">
        <f t="shared" si="176"/>
        <v>high acid</v>
      </c>
    </row>
    <row r="353" spans="1:79">
      <c r="A353" s="3" t="s">
        <v>280</v>
      </c>
      <c r="B353" t="s">
        <v>566</v>
      </c>
      <c r="C353" t="s">
        <v>563</v>
      </c>
      <c r="D353" s="3" t="s">
        <v>279</v>
      </c>
      <c r="E353" s="3" t="s">
        <v>77</v>
      </c>
      <c r="F353" t="s">
        <v>32</v>
      </c>
      <c r="G353" s="11">
        <v>10</v>
      </c>
      <c r="H353" s="11">
        <v>30</v>
      </c>
      <c r="I353" s="3" t="b">
        <v>0</v>
      </c>
      <c r="J353" s="3" t="s">
        <v>33</v>
      </c>
      <c r="K353" s="3" t="s">
        <v>33</v>
      </c>
      <c r="L353" s="11">
        <v>30</v>
      </c>
      <c r="M353" s="4">
        <v>1000</v>
      </c>
      <c r="N353" s="3">
        <f>IFERROR(AF353/((T353*X353/Y353)*O353*AI353),"NA")</f>
        <v>2526.2689379665921</v>
      </c>
      <c r="O353" s="3">
        <v>16</v>
      </c>
      <c r="P353" s="3" t="s">
        <v>33</v>
      </c>
      <c r="Q353" s="3">
        <f t="shared" si="191"/>
        <v>7.5000000000000011E-2</v>
      </c>
      <c r="R353" t="s">
        <v>183</v>
      </c>
      <c r="S353" t="s">
        <v>613</v>
      </c>
      <c r="T353" s="11">
        <v>1</v>
      </c>
      <c r="U353" s="3">
        <v>2.8</v>
      </c>
      <c r="V353" s="3">
        <v>3</v>
      </c>
      <c r="W353" s="3">
        <v>0.02</v>
      </c>
      <c r="X353" s="3">
        <f>IFERROR(((PI())*(((V353*10^-1)/2)^2)*(U353*10^-1)), "NA")</f>
        <v>1.97920337176157E-2</v>
      </c>
      <c r="Y353" s="3">
        <f>40/60</f>
        <v>0.66666666666666663</v>
      </c>
      <c r="Z353" s="3">
        <f t="shared" si="171"/>
        <v>0.26389378290154264</v>
      </c>
      <c r="AA353" s="3" t="s">
        <v>33</v>
      </c>
      <c r="AB353" s="3">
        <f t="shared" si="192"/>
        <v>75</v>
      </c>
      <c r="AC353" s="3" t="str">
        <f t="shared" si="188"/>
        <v>NA</v>
      </c>
      <c r="AD353" s="4">
        <f>AB353*T353*AI353</f>
        <v>75</v>
      </c>
      <c r="AE353" s="3">
        <f t="shared" si="173"/>
        <v>324.00000000000006</v>
      </c>
      <c r="AF353" s="3">
        <v>1200</v>
      </c>
      <c r="AG353" s="3" t="str">
        <f>IFERROR((M353*O353*P353), "NA")</f>
        <v>NA</v>
      </c>
      <c r="AH353" s="3" t="str">
        <f>IFERROR((AG353*T353*AI353), "NA")</f>
        <v>NA</v>
      </c>
      <c r="AI353" s="3">
        <v>1</v>
      </c>
      <c r="AJ353" t="s">
        <v>31</v>
      </c>
      <c r="AK353" s="3">
        <v>300</v>
      </c>
      <c r="AL353" s="3" t="s">
        <v>281</v>
      </c>
      <c r="AM353" s="3" t="s">
        <v>103</v>
      </c>
      <c r="AN353" t="s">
        <v>130</v>
      </c>
      <c r="AO353" t="s">
        <v>795</v>
      </c>
      <c r="AP353" s="3" t="s">
        <v>33</v>
      </c>
      <c r="AQ353" s="3" t="s">
        <v>33</v>
      </c>
      <c r="AR353" s="3" t="s">
        <v>33</v>
      </c>
      <c r="AS353" s="3">
        <v>4.0880000000000001</v>
      </c>
      <c r="AT353" s="3">
        <f>IFERROR(AS353-AU353,"NA")</f>
        <v>3.5700000000000003</v>
      </c>
      <c r="AU353" s="6">
        <v>0.51800000000000002</v>
      </c>
      <c r="AV353" s="3" t="b">
        <v>1</v>
      </c>
      <c r="AW353" s="3" t="s">
        <v>172</v>
      </c>
      <c r="AX353" s="3" t="s">
        <v>173</v>
      </c>
      <c r="AY353" s="3" t="s">
        <v>283</v>
      </c>
      <c r="AZ353" s="3" t="s">
        <v>33</v>
      </c>
      <c r="BA353" s="18" t="s">
        <v>799</v>
      </c>
      <c r="BB353" s="3" t="b">
        <v>0</v>
      </c>
      <c r="BC353" t="s">
        <v>81</v>
      </c>
      <c r="BD353" s="3">
        <v>2</v>
      </c>
      <c r="BE353" s="3" t="s">
        <v>252</v>
      </c>
      <c r="BF353" s="11">
        <v>72</v>
      </c>
      <c r="BG353" s="3" t="s">
        <v>574</v>
      </c>
      <c r="BH353" s="3" t="s">
        <v>31</v>
      </c>
      <c r="BI353" s="3" t="s">
        <v>31</v>
      </c>
      <c r="BJ353" s="3">
        <f t="shared" si="189"/>
        <v>0.51800000000000002</v>
      </c>
      <c r="BK353" s="3">
        <f t="shared" si="179"/>
        <v>-0.28567024025476695</v>
      </c>
      <c r="BL353" s="3">
        <v>2</v>
      </c>
      <c r="BM353" s="3">
        <f t="shared" si="187"/>
        <v>2.7962152504613793</v>
      </c>
      <c r="BN353" s="3" t="s">
        <v>33</v>
      </c>
      <c r="BO353" s="3">
        <f t="shared" si="175"/>
        <v>625.48262548262562</v>
      </c>
      <c r="BP353" s="3" t="s">
        <v>33</v>
      </c>
      <c r="BQ353" s="3" t="s">
        <v>33</v>
      </c>
      <c r="BR353" s="3" t="s">
        <v>33</v>
      </c>
      <c r="BS353" s="3" t="s">
        <v>33</v>
      </c>
      <c r="BT353" t="s">
        <v>31</v>
      </c>
      <c r="BU353" s="3" t="s">
        <v>247</v>
      </c>
      <c r="BV353" s="11">
        <v>2016</v>
      </c>
      <c r="BW353" s="3" t="s">
        <v>284</v>
      </c>
      <c r="BX353" t="s">
        <v>78</v>
      </c>
      <c r="BY353" s="3" t="s">
        <v>33</v>
      </c>
      <c r="BZ353" s="3" t="s">
        <v>282</v>
      </c>
      <c r="CA353" t="str">
        <f t="shared" si="176"/>
        <v>low acid</v>
      </c>
    </row>
    <row r="354" spans="1:79">
      <c r="A354" t="s">
        <v>600</v>
      </c>
      <c r="B354" t="s">
        <v>566</v>
      </c>
      <c r="C354" t="s">
        <v>563</v>
      </c>
      <c r="D354" t="s">
        <v>33</v>
      </c>
      <c r="E354" t="s">
        <v>77</v>
      </c>
      <c r="F354" t="s">
        <v>33</v>
      </c>
      <c r="G354" t="s">
        <v>33</v>
      </c>
      <c r="H354">
        <v>35</v>
      </c>
      <c r="I354" t="b">
        <v>0</v>
      </c>
      <c r="J354" t="s">
        <v>33</v>
      </c>
      <c r="K354" t="s">
        <v>33</v>
      </c>
      <c r="L354">
        <v>28</v>
      </c>
      <c r="M354" s="4">
        <v>1</v>
      </c>
      <c r="N354" t="e">
        <f>(#REF!*Y354)/(T354*X354*O354)</f>
        <v>#REF!</v>
      </c>
      <c r="O354">
        <v>2</v>
      </c>
      <c r="P354" t="s">
        <v>33</v>
      </c>
      <c r="Q354" s="1">
        <f t="shared" si="191"/>
        <v>200.00000000000003</v>
      </c>
      <c r="R354" t="s">
        <v>183</v>
      </c>
      <c r="S354" t="s">
        <v>33</v>
      </c>
      <c r="T354">
        <v>1</v>
      </c>
      <c r="U354">
        <v>2.5</v>
      </c>
      <c r="V354" t="s">
        <v>33</v>
      </c>
      <c r="W354">
        <v>0.50249999999999995</v>
      </c>
      <c r="X354">
        <f>W354</f>
        <v>0.50249999999999995</v>
      </c>
      <c r="Y354" t="s">
        <v>33</v>
      </c>
      <c r="Z354" s="3">
        <f t="shared" si="171"/>
        <v>2.5124999999999995E-3</v>
      </c>
      <c r="AA354" t="s">
        <v>33</v>
      </c>
      <c r="AB354">
        <f t="shared" si="192"/>
        <v>200.00000000000003</v>
      </c>
      <c r="AC354" s="1" t="str">
        <f t="shared" si="188"/>
        <v>NA</v>
      </c>
      <c r="AE354" s="3">
        <f t="shared" si="173"/>
        <v>627.20000000000005</v>
      </c>
      <c r="AF354">
        <v>400</v>
      </c>
      <c r="AG354" s="1" t="str">
        <f>IFERROR((N354*P354*Q354), "NA")</f>
        <v>NA</v>
      </c>
      <c r="AH354" s="1" t="str">
        <f>IFERROR((O354*Q354*R354), "NA")</f>
        <v>NA</v>
      </c>
      <c r="AI354" s="1">
        <v>1</v>
      </c>
      <c r="AJ354" s="11" t="s">
        <v>31</v>
      </c>
      <c r="AK354">
        <v>2000</v>
      </c>
      <c r="AL354" t="s">
        <v>784</v>
      </c>
      <c r="AM354" s="3" t="s">
        <v>103</v>
      </c>
      <c r="AN354" t="s">
        <v>130</v>
      </c>
      <c r="AO354" t="s">
        <v>795</v>
      </c>
      <c r="AP354">
        <v>7</v>
      </c>
      <c r="AQ354" t="s">
        <v>33</v>
      </c>
      <c r="AR354" t="s">
        <v>33</v>
      </c>
      <c r="AS354">
        <v>8</v>
      </c>
      <c r="AT354">
        <f>AS354-AU354</f>
        <v>3.5700000000000003</v>
      </c>
      <c r="AU354" s="6">
        <v>4.43</v>
      </c>
      <c r="AV354" t="b">
        <v>1</v>
      </c>
      <c r="AW354" t="s">
        <v>626</v>
      </c>
      <c r="AX354" t="s">
        <v>627</v>
      </c>
      <c r="AY354" t="s">
        <v>640</v>
      </c>
      <c r="AZ354" t="s">
        <v>33</v>
      </c>
      <c r="BA354" s="18" t="s">
        <v>800</v>
      </c>
      <c r="BB354" s="3" t="b">
        <v>0</v>
      </c>
      <c r="BC354" t="s">
        <v>81</v>
      </c>
      <c r="BD354">
        <f>AVERAGE(24,30)</f>
        <v>27</v>
      </c>
      <c r="BE354" t="s">
        <v>80</v>
      </c>
      <c r="BF354">
        <v>24</v>
      </c>
      <c r="BG354" t="s">
        <v>568</v>
      </c>
      <c r="BH354" t="s">
        <v>31</v>
      </c>
      <c r="BI354" t="s">
        <v>31</v>
      </c>
      <c r="BJ354" s="3">
        <f t="shared" si="189"/>
        <v>4.43</v>
      </c>
      <c r="BK354" s="3">
        <f t="shared" si="179"/>
        <v>0.64640372622306952</v>
      </c>
      <c r="BL354">
        <v>2</v>
      </c>
      <c r="BM354" s="3">
        <f t="shared" si="187"/>
        <v>2.1510023234533127</v>
      </c>
      <c r="BN354" t="s">
        <v>33</v>
      </c>
      <c r="BO354" s="3">
        <f t="shared" si="175"/>
        <v>141.58013544018061</v>
      </c>
      <c r="BP354" t="s">
        <v>33</v>
      </c>
      <c r="BQ354" t="s">
        <v>33</v>
      </c>
      <c r="BR354" t="s">
        <v>33</v>
      </c>
      <c r="BS354" t="s">
        <v>33</v>
      </c>
      <c r="BT354" t="s">
        <v>31</v>
      </c>
      <c r="BU354" t="s">
        <v>666</v>
      </c>
      <c r="BV354" s="14">
        <v>2006</v>
      </c>
      <c r="BW354" t="s">
        <v>667</v>
      </c>
      <c r="BX354" t="s">
        <v>78</v>
      </c>
      <c r="BY354" s="13" t="s">
        <v>688</v>
      </c>
      <c r="CA354" t="str">
        <f t="shared" si="176"/>
        <v>low acid</v>
      </c>
    </row>
    <row r="355" spans="1:79">
      <c r="A355" t="s">
        <v>597</v>
      </c>
      <c r="B355" t="s">
        <v>565</v>
      </c>
      <c r="C355" t="s">
        <v>563</v>
      </c>
      <c r="D355" t="s">
        <v>33</v>
      </c>
      <c r="E355" t="s">
        <v>77</v>
      </c>
      <c r="F355" t="s">
        <v>33</v>
      </c>
      <c r="G355">
        <v>20</v>
      </c>
      <c r="H355">
        <v>35</v>
      </c>
      <c r="I355" t="b">
        <v>0</v>
      </c>
      <c r="J355" t="s">
        <v>33</v>
      </c>
      <c r="K355" t="s">
        <v>33</v>
      </c>
      <c r="L355">
        <v>22</v>
      </c>
      <c r="M355" s="4">
        <v>1</v>
      </c>
      <c r="N355" t="e">
        <f>(#REF!*Y355)/(T355*X355*O355)</f>
        <v>#REF!</v>
      </c>
      <c r="O355">
        <v>2</v>
      </c>
      <c r="P355" t="s">
        <v>33</v>
      </c>
      <c r="Q355" s="1">
        <f t="shared" si="191"/>
        <v>1000.0000000000001</v>
      </c>
      <c r="R355" t="s">
        <v>183</v>
      </c>
      <c r="S355" t="s">
        <v>33</v>
      </c>
      <c r="T355">
        <v>1</v>
      </c>
      <c r="U355">
        <v>2.5</v>
      </c>
      <c r="V355" t="s">
        <v>33</v>
      </c>
      <c r="W355">
        <v>0.50249999999999995</v>
      </c>
      <c r="X355">
        <f>W355</f>
        <v>0.50249999999999995</v>
      </c>
      <c r="Y355" t="s">
        <v>33</v>
      </c>
      <c r="Z355" s="3">
        <f t="shared" si="171"/>
        <v>5.0249999999999991E-4</v>
      </c>
      <c r="AA355" t="s">
        <v>33</v>
      </c>
      <c r="AB355">
        <f t="shared" si="192"/>
        <v>1000.0000000000001</v>
      </c>
      <c r="AC355" s="1" t="str">
        <f t="shared" si="188"/>
        <v>NA</v>
      </c>
      <c r="AE355" s="3">
        <f t="shared" si="173"/>
        <v>1936.0000000000002</v>
      </c>
      <c r="AF355">
        <v>2000</v>
      </c>
      <c r="AG355" s="1" t="str">
        <f>IFERROR((N355*P355*Q355), "NA")</f>
        <v>NA</v>
      </c>
      <c r="AH355" s="1" t="str">
        <f>IFERROR((AG355*U355*AI355), "NA")</f>
        <v>NA</v>
      </c>
      <c r="AI355" s="1">
        <v>1</v>
      </c>
      <c r="AJ355" s="11" t="s">
        <v>31</v>
      </c>
      <c r="AK355">
        <v>2000</v>
      </c>
      <c r="AL355" t="s">
        <v>784</v>
      </c>
      <c r="AM355" s="3" t="s">
        <v>103</v>
      </c>
      <c r="AN355" t="s">
        <v>130</v>
      </c>
      <c r="AO355" t="s">
        <v>795</v>
      </c>
      <c r="AP355">
        <v>7</v>
      </c>
      <c r="AQ355" t="s">
        <v>33</v>
      </c>
      <c r="AR355" t="s">
        <v>33</v>
      </c>
      <c r="AS355">
        <v>9</v>
      </c>
      <c r="AT355">
        <f>AS355-AU355</f>
        <v>3.5700000000000003</v>
      </c>
      <c r="AU355" s="6">
        <v>5.43</v>
      </c>
      <c r="AV355" t="b">
        <v>1</v>
      </c>
      <c r="AW355" t="s">
        <v>617</v>
      </c>
      <c r="AX355" t="s">
        <v>635</v>
      </c>
      <c r="AY355" t="s">
        <v>636</v>
      </c>
      <c r="AZ355" t="s">
        <v>33</v>
      </c>
      <c r="BA355" s="18" t="s">
        <v>802</v>
      </c>
      <c r="BB355" s="3" t="b">
        <v>0</v>
      </c>
      <c r="BC355" t="s">
        <v>81</v>
      </c>
      <c r="BD355">
        <v>24</v>
      </c>
      <c r="BE355" t="s">
        <v>80</v>
      </c>
      <c r="BF355">
        <v>24</v>
      </c>
      <c r="BG355" t="s">
        <v>644</v>
      </c>
      <c r="BH355" t="s">
        <v>31</v>
      </c>
      <c r="BI355" t="s">
        <v>32</v>
      </c>
      <c r="BJ355">
        <f t="shared" si="189"/>
        <v>5.43</v>
      </c>
      <c r="BK355" s="3">
        <f t="shared" si="179"/>
        <v>0.73479982958884693</v>
      </c>
      <c r="BL355">
        <v>2</v>
      </c>
      <c r="BM355" s="3">
        <f t="shared" si="187"/>
        <v>2.5521055233835281</v>
      </c>
      <c r="BN355" t="s">
        <v>33</v>
      </c>
      <c r="BO355" s="3">
        <f t="shared" si="175"/>
        <v>356.53775322283616</v>
      </c>
      <c r="BP355" t="s">
        <v>33</v>
      </c>
      <c r="BQ355" t="s">
        <v>33</v>
      </c>
      <c r="BR355" t="s">
        <v>33</v>
      </c>
      <c r="BS355" t="s">
        <v>33</v>
      </c>
      <c r="BT355" t="s">
        <v>31</v>
      </c>
      <c r="BU355" t="s">
        <v>664</v>
      </c>
      <c r="BV355">
        <v>2000</v>
      </c>
      <c r="BW355" t="s">
        <v>665</v>
      </c>
      <c r="BX355" t="s">
        <v>78</v>
      </c>
      <c r="BY355" s="13" t="s">
        <v>685</v>
      </c>
      <c r="CA355" t="str">
        <f t="shared" si="176"/>
        <v>low acid</v>
      </c>
    </row>
    <row r="356" spans="1:79">
      <c r="A356" t="s">
        <v>758</v>
      </c>
      <c r="B356" t="s">
        <v>565</v>
      </c>
      <c r="C356" t="s">
        <v>563</v>
      </c>
      <c r="D356" t="s">
        <v>759</v>
      </c>
      <c r="E356" t="s">
        <v>77</v>
      </c>
      <c r="F356" t="s">
        <v>32</v>
      </c>
      <c r="G356">
        <v>30</v>
      </c>
      <c r="H356" t="s">
        <v>33</v>
      </c>
      <c r="I356" t="b">
        <v>0</v>
      </c>
      <c r="J356" t="s">
        <v>33</v>
      </c>
      <c r="K356" t="s">
        <v>33</v>
      </c>
      <c r="L356">
        <v>27.2</v>
      </c>
      <c r="M356" s="4">
        <v>120</v>
      </c>
      <c r="N356" s="3" t="str">
        <f>IFERROR(AF356/((T356*X356/Y356)*O356*AI356),"NA")</f>
        <v>NA</v>
      </c>
      <c r="O356">
        <v>20</v>
      </c>
      <c r="P356">
        <v>9.4E-2</v>
      </c>
      <c r="Q356" s="8">
        <f>IFERROR(X356/Y356, "NA")</f>
        <v>4.7123889803846894E-2</v>
      </c>
      <c r="R356" t="s">
        <v>183</v>
      </c>
      <c r="S356" t="s">
        <v>612</v>
      </c>
      <c r="T356" s="11">
        <v>2</v>
      </c>
      <c r="U356">
        <v>10</v>
      </c>
      <c r="V356">
        <v>10</v>
      </c>
      <c r="W356">
        <f>1.57/2</f>
        <v>0.78500000000000003</v>
      </c>
      <c r="X356">
        <f>IFERROR(((PI())*(((V356*10^-1)/2)^2)*(U356*10^-1)), "NA")</f>
        <v>0.78539816339744828</v>
      </c>
      <c r="Y356" s="6">
        <f>60000/3600</f>
        <v>16.666666666666668</v>
      </c>
      <c r="Z356" s="3" t="str">
        <f t="shared" si="171"/>
        <v>NA</v>
      </c>
      <c r="AA356" t="s">
        <v>33</v>
      </c>
      <c r="AB356" s="4">
        <f>IFERROR(((X356*M356)/Y356), "NA")</f>
        <v>5.6548667764616267</v>
      </c>
      <c r="AC356" s="4">
        <f t="shared" si="188"/>
        <v>11.28</v>
      </c>
      <c r="AD356" s="4">
        <f>AB356*T356*AI356</f>
        <v>11.309733552923253</v>
      </c>
      <c r="AE356" s="3">
        <f t="shared" si="173"/>
        <v>269.76475908266235</v>
      </c>
      <c r="AF356" t="s">
        <v>33</v>
      </c>
      <c r="AG356" s="4">
        <f>IFERROR((M356*O356*P356), "NA")</f>
        <v>225.6</v>
      </c>
      <c r="AH356" s="4">
        <f>IFERROR((AG356*T356*AI356), "NA")</f>
        <v>451.2</v>
      </c>
      <c r="AI356">
        <v>1</v>
      </c>
      <c r="AJ356" s="11" t="s">
        <v>31</v>
      </c>
      <c r="AK356">
        <v>1612</v>
      </c>
      <c r="AL356" t="s">
        <v>760</v>
      </c>
      <c r="AM356" t="s">
        <v>103</v>
      </c>
      <c r="AN356" t="s">
        <v>130</v>
      </c>
      <c r="AO356" t="s">
        <v>795</v>
      </c>
      <c r="AP356">
        <v>6.5</v>
      </c>
      <c r="AQ356" t="s">
        <v>33</v>
      </c>
      <c r="AR356" t="s">
        <v>33</v>
      </c>
      <c r="AS356">
        <v>6</v>
      </c>
      <c r="AT356" s="3">
        <f>IFERROR(AS356-AU356,"NA")</f>
        <v>3.5720000000000001</v>
      </c>
      <c r="AU356" s="6">
        <v>2.4279999999999999</v>
      </c>
      <c r="AV356" t="b">
        <v>1</v>
      </c>
      <c r="AW356" t="s">
        <v>470</v>
      </c>
      <c r="AX356" t="s">
        <v>464</v>
      </c>
      <c r="AY356" t="s">
        <v>33</v>
      </c>
      <c r="AZ356" t="s">
        <v>33</v>
      </c>
      <c r="BA356" s="18" t="s">
        <v>579</v>
      </c>
      <c r="BB356" s="3" t="b">
        <v>1</v>
      </c>
      <c r="BC356" t="s">
        <v>81</v>
      </c>
      <c r="BD356">
        <v>24</v>
      </c>
      <c r="BE356" t="s">
        <v>80</v>
      </c>
      <c r="BF356">
        <v>24</v>
      </c>
      <c r="BG356" t="s">
        <v>139</v>
      </c>
      <c r="BH356" t="s">
        <v>31</v>
      </c>
      <c r="BI356" t="s">
        <v>31</v>
      </c>
      <c r="BJ356" s="3">
        <f t="shared" si="189"/>
        <v>2.4279999999999999</v>
      </c>
      <c r="BK356" s="3">
        <f t="shared" si="179"/>
        <v>0.38524868240321997</v>
      </c>
      <c r="BL356">
        <v>2</v>
      </c>
      <c r="BM356" s="3">
        <f t="shared" si="187"/>
        <v>2.0457365322596512</v>
      </c>
      <c r="BN356" t="s">
        <v>33</v>
      </c>
      <c r="BO356" s="3">
        <f t="shared" si="175"/>
        <v>111.10574921032223</v>
      </c>
      <c r="BP356" t="s">
        <v>33</v>
      </c>
      <c r="BQ356" t="s">
        <v>33</v>
      </c>
      <c r="BR356" t="s">
        <v>33</v>
      </c>
      <c r="BS356" t="s">
        <v>33</v>
      </c>
      <c r="BT356" t="s">
        <v>32</v>
      </c>
      <c r="BU356" t="s">
        <v>761</v>
      </c>
      <c r="BV356">
        <v>2024</v>
      </c>
      <c r="BW356" t="s">
        <v>762</v>
      </c>
      <c r="BX356" t="s">
        <v>78</v>
      </c>
      <c r="BY356" t="s">
        <v>763</v>
      </c>
      <c r="CA356" t="str">
        <f t="shared" si="176"/>
        <v>low acid</v>
      </c>
    </row>
    <row r="357" spans="1:79">
      <c r="A357" t="s">
        <v>324</v>
      </c>
      <c r="B357" t="s">
        <v>565</v>
      </c>
      <c r="C357" t="s">
        <v>563</v>
      </c>
      <c r="D357" t="s">
        <v>304</v>
      </c>
      <c r="E357" t="s">
        <v>77</v>
      </c>
      <c r="F357" t="s">
        <v>32</v>
      </c>
      <c r="G357">
        <v>30</v>
      </c>
      <c r="H357">
        <v>33.6</v>
      </c>
      <c r="I357" t="b">
        <v>1</v>
      </c>
      <c r="J357">
        <v>12600</v>
      </c>
      <c r="K357">
        <v>50.4</v>
      </c>
      <c r="L357">
        <v>25</v>
      </c>
      <c r="M357" s="4">
        <v>267</v>
      </c>
      <c r="N357" s="3">
        <f>IFERROR(AF357/((T357*X357/Y357)*O357*AI357),"NA")</f>
        <v>266.29846687271368</v>
      </c>
      <c r="O357">
        <v>5</v>
      </c>
      <c r="P357">
        <v>2.4E-2</v>
      </c>
      <c r="Q357" s="8">
        <f t="shared" ref="Q357:Q368" si="193">IFERROR(X357/Z357, "NA")</f>
        <v>2.3970037453183518E-2</v>
      </c>
      <c r="R357" t="s">
        <v>183</v>
      </c>
      <c r="S357" t="s">
        <v>612</v>
      </c>
      <c r="T357" s="11">
        <v>1</v>
      </c>
      <c r="U357">
        <v>3.4</v>
      </c>
      <c r="V357">
        <v>3</v>
      </c>
      <c r="W357">
        <v>2.4E-2</v>
      </c>
      <c r="X357" s="8">
        <f>IFERROR(((PI())*(((V357*10^-1)/2)^2)*(U357*10^-1)), "NA")</f>
        <v>2.4033183799961926E-2</v>
      </c>
      <c r="Y357" s="6">
        <f>1</f>
        <v>1</v>
      </c>
      <c r="Z357" s="3">
        <f t="shared" si="171"/>
        <v>1.0026343866546616</v>
      </c>
      <c r="AA357">
        <v>6.4</v>
      </c>
      <c r="AB357" s="6">
        <f>IFERROR(((X357*M357)/Z357), "NA")</f>
        <v>6.4</v>
      </c>
      <c r="AC357">
        <f t="shared" si="188"/>
        <v>6.4080000000000004</v>
      </c>
      <c r="AD357" s="4">
        <f>IFERROR(AB357*T357*AI357, "NA")</f>
        <v>6.4</v>
      </c>
      <c r="AE357" s="3">
        <f t="shared" si="173"/>
        <v>19.999999999999996</v>
      </c>
      <c r="AF357">
        <v>32</v>
      </c>
      <c r="AG357">
        <f>IFERROR((M357*O357*P357), "NA")</f>
        <v>32.04</v>
      </c>
      <c r="AH357">
        <f>IFERROR((AG357*T357*AI357), "NA")</f>
        <v>32.04</v>
      </c>
      <c r="AI357" s="11">
        <v>1</v>
      </c>
      <c r="AJ357" t="s">
        <v>31</v>
      </c>
      <c r="AK357">
        <v>1000</v>
      </c>
      <c r="AL357" t="s">
        <v>169</v>
      </c>
      <c r="AM357" t="s">
        <v>103</v>
      </c>
      <c r="AN357" t="s">
        <v>305</v>
      </c>
      <c r="AO357" t="s">
        <v>790</v>
      </c>
      <c r="AP357">
        <v>4.5</v>
      </c>
      <c r="AQ357" t="s">
        <v>33</v>
      </c>
      <c r="AR357" t="s">
        <v>33</v>
      </c>
      <c r="AS357" s="6">
        <f>LOG(3*10^7)</f>
        <v>7.4771212547196626</v>
      </c>
      <c r="AT357" s="3">
        <f>IFERROR(AS357-AU357,"NA")</f>
        <v>3.5771212547196627</v>
      </c>
      <c r="AU357" s="6">
        <v>3.9</v>
      </c>
      <c r="AV357" t="b">
        <v>1</v>
      </c>
      <c r="AW357" t="s">
        <v>123</v>
      </c>
      <c r="AX357" t="s">
        <v>88</v>
      </c>
      <c r="AY357" t="s">
        <v>306</v>
      </c>
      <c r="AZ357" t="s">
        <v>33</v>
      </c>
      <c r="BA357" s="18" t="s">
        <v>579</v>
      </c>
      <c r="BB357" t="b">
        <v>1</v>
      </c>
      <c r="BC357" t="s">
        <v>81</v>
      </c>
      <c r="BD357">
        <v>48</v>
      </c>
      <c r="BE357" t="s">
        <v>80</v>
      </c>
      <c r="BF357" s="11">
        <v>120</v>
      </c>
      <c r="BG357" t="s">
        <v>395</v>
      </c>
      <c r="BH357" t="s">
        <v>31</v>
      </c>
      <c r="BI357" t="s">
        <v>31</v>
      </c>
      <c r="BJ357" s="3">
        <f t="shared" si="189"/>
        <v>3.9</v>
      </c>
      <c r="BK357" s="3">
        <f t="shared" si="179"/>
        <v>0.59106460702649921</v>
      </c>
      <c r="BL357">
        <v>2</v>
      </c>
      <c r="BM357" s="3">
        <f t="shared" si="187"/>
        <v>0.70996538863748193</v>
      </c>
      <c r="BN357" t="s">
        <v>33</v>
      </c>
      <c r="BO357" s="3">
        <f t="shared" si="175"/>
        <v>5.1282051282051277</v>
      </c>
      <c r="BP357" t="s">
        <v>33</v>
      </c>
      <c r="BQ357" t="s">
        <v>33</v>
      </c>
      <c r="BR357" t="s">
        <v>33</v>
      </c>
      <c r="BS357" t="s">
        <v>33</v>
      </c>
      <c r="BT357" t="s">
        <v>32</v>
      </c>
      <c r="BU357" t="s">
        <v>323</v>
      </c>
      <c r="BV357">
        <v>2003</v>
      </c>
      <c r="BW357" s="2" t="s">
        <v>322</v>
      </c>
      <c r="BX357" t="s">
        <v>78</v>
      </c>
      <c r="BY357" t="s">
        <v>33</v>
      </c>
      <c r="BZ357" t="s">
        <v>33</v>
      </c>
      <c r="CA357" t="str">
        <f t="shared" si="176"/>
        <v>high acid</v>
      </c>
    </row>
    <row r="358" spans="1:79">
      <c r="A358" t="s">
        <v>595</v>
      </c>
      <c r="B358" t="s">
        <v>565</v>
      </c>
      <c r="C358" t="s">
        <v>564</v>
      </c>
      <c r="D358" t="s">
        <v>609</v>
      </c>
      <c r="E358" t="s">
        <v>77</v>
      </c>
      <c r="F358" t="s">
        <v>32</v>
      </c>
      <c r="G358">
        <v>30</v>
      </c>
      <c r="H358">
        <v>38.200000000000003</v>
      </c>
      <c r="I358" t="b">
        <v>0</v>
      </c>
      <c r="J358" t="s">
        <v>33</v>
      </c>
      <c r="K358" t="s">
        <v>33</v>
      </c>
      <c r="L358">
        <v>24</v>
      </c>
      <c r="M358" s="4">
        <v>120</v>
      </c>
      <c r="N358" t="e">
        <f>(#REF!*Y358)/(T358*X358*O358)</f>
        <v>#REF!</v>
      </c>
      <c r="O358">
        <v>3</v>
      </c>
      <c r="P358" t="s">
        <v>33</v>
      </c>
      <c r="Q358" s="1">
        <f t="shared" si="193"/>
        <v>0.10416666666666666</v>
      </c>
      <c r="R358" t="s">
        <v>183</v>
      </c>
      <c r="S358" t="s">
        <v>612</v>
      </c>
      <c r="T358">
        <v>4</v>
      </c>
      <c r="U358">
        <v>3</v>
      </c>
      <c r="V358">
        <v>2.6</v>
      </c>
      <c r="W358" t="s">
        <v>33</v>
      </c>
      <c r="X358">
        <f>IFERROR(((PI())*(((V358*10^-1)/2)^2)*(U358*10^-1)), "NA")</f>
        <v>1.5927874753700257E-2</v>
      </c>
      <c r="Y358">
        <v>0.126667</v>
      </c>
      <c r="Z358" s="3">
        <f t="shared" si="171"/>
        <v>0.15290759763552247</v>
      </c>
      <c r="AA358" t="s">
        <v>33</v>
      </c>
      <c r="AB358">
        <f>IFERROR(((X358*M358)/Z358), "NA")</f>
        <v>12.5</v>
      </c>
      <c r="AC358" s="1" t="str">
        <f t="shared" si="188"/>
        <v>NA</v>
      </c>
      <c r="AE358" s="3">
        <f t="shared" si="173"/>
        <v>84.671999999999983</v>
      </c>
      <c r="AF358">
        <v>150</v>
      </c>
      <c r="AG358" s="1" t="str">
        <f>IFERROR((N358*P358*Q358), "NA")</f>
        <v>NA</v>
      </c>
      <c r="AH358" s="1" t="str">
        <f>IFERROR((AG358*U358*AI358), "NA")</f>
        <v>NA</v>
      </c>
      <c r="AI358" s="1">
        <v>1</v>
      </c>
      <c r="AJ358" s="11" t="s">
        <v>31</v>
      </c>
      <c r="AK358">
        <v>980</v>
      </c>
      <c r="AL358" t="s">
        <v>551</v>
      </c>
      <c r="AM358" t="s">
        <v>86</v>
      </c>
      <c r="AN358" t="s">
        <v>186</v>
      </c>
      <c r="AO358" t="s">
        <v>794</v>
      </c>
      <c r="AP358">
        <v>5.98</v>
      </c>
      <c r="AQ358" t="s">
        <v>33</v>
      </c>
      <c r="AR358" t="s">
        <v>33</v>
      </c>
      <c r="AS358">
        <v>6</v>
      </c>
      <c r="AT358">
        <f>AS358-AU358</f>
        <v>3.58</v>
      </c>
      <c r="AU358" s="6">
        <v>2.42</v>
      </c>
      <c r="AV358" t="b">
        <v>1</v>
      </c>
      <c r="AW358" t="s">
        <v>626</v>
      </c>
      <c r="AX358" t="s">
        <v>627</v>
      </c>
      <c r="AY358" t="s">
        <v>631</v>
      </c>
      <c r="AZ358" t="s">
        <v>33</v>
      </c>
      <c r="BA358" s="18" t="s">
        <v>800</v>
      </c>
      <c r="BB358" s="3" t="b">
        <v>0</v>
      </c>
      <c r="BC358" t="s">
        <v>81</v>
      </c>
      <c r="BD358">
        <v>20</v>
      </c>
      <c r="BE358" t="s">
        <v>80</v>
      </c>
      <c r="BF358">
        <v>20</v>
      </c>
      <c r="BG358" t="s">
        <v>695</v>
      </c>
      <c r="BH358" t="s">
        <v>32</v>
      </c>
      <c r="BI358" t="s">
        <v>31</v>
      </c>
      <c r="BJ358">
        <f t="shared" si="189"/>
        <v>2.42</v>
      </c>
      <c r="BK358" s="3">
        <f t="shared" si="179"/>
        <v>0.38381536598043126</v>
      </c>
      <c r="BL358">
        <v>2</v>
      </c>
      <c r="BM358" s="3">
        <f t="shared" si="187"/>
        <v>1.5439244521909568</v>
      </c>
      <c r="BN358" t="s">
        <v>33</v>
      </c>
      <c r="BO358" s="3">
        <f t="shared" si="175"/>
        <v>34.988429752066111</v>
      </c>
      <c r="BP358" t="s">
        <v>33</v>
      </c>
      <c r="BQ358" t="s">
        <v>33</v>
      </c>
      <c r="BR358" t="s">
        <v>33</v>
      </c>
      <c r="BS358" t="s">
        <v>33</v>
      </c>
      <c r="BT358" t="s">
        <v>32</v>
      </c>
      <c r="BU358" t="s">
        <v>207</v>
      </c>
      <c r="BV358">
        <v>2014</v>
      </c>
      <c r="BW358" t="s">
        <v>208</v>
      </c>
      <c r="BX358" t="s">
        <v>78</v>
      </c>
      <c r="BY358" s="13" t="s">
        <v>683</v>
      </c>
      <c r="CA358" t="str">
        <f t="shared" si="176"/>
        <v>low acid</v>
      </c>
    </row>
    <row r="359" spans="1:79">
      <c r="A359" t="s">
        <v>581</v>
      </c>
      <c r="B359" t="s">
        <v>565</v>
      </c>
      <c r="C359" t="s">
        <v>563</v>
      </c>
      <c r="D359" t="s">
        <v>118</v>
      </c>
      <c r="E359" t="s">
        <v>77</v>
      </c>
      <c r="F359" t="s">
        <v>32</v>
      </c>
      <c r="G359">
        <v>5</v>
      </c>
      <c r="H359">
        <v>30.3</v>
      </c>
      <c r="I359" t="b">
        <v>0</v>
      </c>
      <c r="J359" s="10" t="s">
        <v>33</v>
      </c>
      <c r="K359" t="s">
        <v>33</v>
      </c>
      <c r="L359">
        <v>35</v>
      </c>
      <c r="M359" s="4">
        <v>200</v>
      </c>
      <c r="N359">
        <v>6744.4636770021107</v>
      </c>
      <c r="O359">
        <v>4</v>
      </c>
      <c r="P359" t="s">
        <v>33</v>
      </c>
      <c r="Q359" s="1">
        <f t="shared" si="193"/>
        <v>0.2628125</v>
      </c>
      <c r="R359" t="s">
        <v>183</v>
      </c>
      <c r="S359" t="s">
        <v>613</v>
      </c>
      <c r="T359">
        <v>8</v>
      </c>
      <c r="U359">
        <v>2.92</v>
      </c>
      <c r="V359">
        <v>2.2999999999999998</v>
      </c>
      <c r="W359">
        <v>1.21E-2</v>
      </c>
      <c r="X359">
        <v>1.2131888350367701E-2</v>
      </c>
      <c r="Y359">
        <v>1.6666700000000001</v>
      </c>
      <c r="Z359" s="3">
        <f t="shared" si="171"/>
        <v>4.6161763045394343E-2</v>
      </c>
      <c r="AA359" t="s">
        <v>33</v>
      </c>
      <c r="AB359">
        <v>49.09375</v>
      </c>
      <c r="AC359" s="1" t="s">
        <v>33</v>
      </c>
      <c r="AE359" s="3">
        <f t="shared" si="173"/>
        <v>7541.2469999999994</v>
      </c>
      <c r="AF359">
        <v>1682</v>
      </c>
      <c r="AG359" s="1" t="s">
        <v>33</v>
      </c>
      <c r="AH359" s="1" t="s">
        <v>33</v>
      </c>
      <c r="AI359" s="1">
        <v>1</v>
      </c>
      <c r="AJ359" s="11" t="s">
        <v>31</v>
      </c>
      <c r="AK359">
        <v>3660</v>
      </c>
      <c r="AL359" t="s">
        <v>541</v>
      </c>
      <c r="AM359" t="s">
        <v>86</v>
      </c>
      <c r="AN359" t="s">
        <v>186</v>
      </c>
      <c r="AO359" t="s">
        <v>794</v>
      </c>
      <c r="AP359">
        <v>5.46</v>
      </c>
      <c r="AQ359" t="s">
        <v>33</v>
      </c>
      <c r="AR359" t="s">
        <v>33</v>
      </c>
      <c r="AS359">
        <v>7.5</v>
      </c>
      <c r="AT359">
        <v>3.58</v>
      </c>
      <c r="AU359" s="6">
        <v>3.33</v>
      </c>
      <c r="AV359" t="b">
        <v>1</v>
      </c>
      <c r="AW359" t="s">
        <v>617</v>
      </c>
      <c r="AX359" t="s">
        <v>618</v>
      </c>
      <c r="AY359" t="s">
        <v>33</v>
      </c>
      <c r="AZ359" t="s">
        <v>619</v>
      </c>
      <c r="BA359" s="18" t="s">
        <v>802</v>
      </c>
      <c r="BB359" s="3" t="b">
        <v>0</v>
      </c>
      <c r="BC359" t="s">
        <v>81</v>
      </c>
      <c r="BD359">
        <v>15</v>
      </c>
      <c r="BE359" t="s">
        <v>80</v>
      </c>
      <c r="BF359">
        <v>15</v>
      </c>
      <c r="BG359" t="s">
        <v>697</v>
      </c>
      <c r="BH359" t="s">
        <v>32</v>
      </c>
      <c r="BI359" t="s">
        <v>31</v>
      </c>
      <c r="BJ359">
        <v>3.92</v>
      </c>
      <c r="BK359" s="3">
        <f t="shared" si="179"/>
        <v>0.59328606702045728</v>
      </c>
      <c r="BL359">
        <v>2</v>
      </c>
      <c r="BM359" s="3">
        <f t="shared" si="187"/>
        <v>3.2841570985363981</v>
      </c>
      <c r="BN359" t="s">
        <v>33</v>
      </c>
      <c r="BO359" s="3">
        <f t="shared" si="175"/>
        <v>1923.7874999999999</v>
      </c>
      <c r="BP359" t="s">
        <v>33</v>
      </c>
      <c r="BQ359" t="s">
        <v>33</v>
      </c>
      <c r="BR359" t="s">
        <v>33</v>
      </c>
      <c r="BS359" t="s">
        <v>33</v>
      </c>
      <c r="BT359" t="s">
        <v>31</v>
      </c>
      <c r="BU359" t="s">
        <v>219</v>
      </c>
      <c r="BV359" s="14">
        <v>2007</v>
      </c>
      <c r="BW359" t="s">
        <v>648</v>
      </c>
      <c r="BX359" t="s">
        <v>78</v>
      </c>
      <c r="BY359" s="13" t="s">
        <v>671</v>
      </c>
      <c r="CA359" t="str">
        <f t="shared" si="176"/>
        <v>low acid</v>
      </c>
    </row>
    <row r="360" spans="1:79">
      <c r="A360" t="s">
        <v>581</v>
      </c>
      <c r="B360" t="s">
        <v>565</v>
      </c>
      <c r="C360" t="s">
        <v>563</v>
      </c>
      <c r="D360" t="s">
        <v>118</v>
      </c>
      <c r="E360" t="s">
        <v>77</v>
      </c>
      <c r="F360" t="s">
        <v>32</v>
      </c>
      <c r="G360">
        <v>5</v>
      </c>
      <c r="H360">
        <v>30.3</v>
      </c>
      <c r="I360" t="b">
        <v>0</v>
      </c>
      <c r="J360" t="s">
        <v>33</v>
      </c>
      <c r="K360" t="s">
        <v>33</v>
      </c>
      <c r="L360">
        <v>35</v>
      </c>
      <c r="M360" s="4">
        <v>100</v>
      </c>
      <c r="N360" t="e">
        <f>(#REF!*Y360)/(T360*X360*O360)</f>
        <v>#REF!</v>
      </c>
      <c r="O360">
        <v>4</v>
      </c>
      <c r="P360" t="s">
        <v>33</v>
      </c>
      <c r="Q360" s="1">
        <f t="shared" si="193"/>
        <v>0.49093749999999997</v>
      </c>
      <c r="R360" t="s">
        <v>183</v>
      </c>
      <c r="S360" t="s">
        <v>613</v>
      </c>
      <c r="T360">
        <v>8</v>
      </c>
      <c r="U360">
        <v>2.92</v>
      </c>
      <c r="V360">
        <v>2.2999999999999998</v>
      </c>
      <c r="W360">
        <v>1.21E-2</v>
      </c>
      <c r="X360">
        <f>IFERROR(((PI())*(((V360*10^-1)/2)^2)*(U360*10^-1)), "NA")</f>
        <v>1.2131888350367701E-2</v>
      </c>
      <c r="Y360">
        <v>1.6666700000000001</v>
      </c>
      <c r="Z360" s="3">
        <f t="shared" si="171"/>
        <v>2.47116758250647E-2</v>
      </c>
      <c r="AA360" t="s">
        <v>33</v>
      </c>
      <c r="AB360">
        <f>IFERROR(((X360*M360)/Z360), "NA")</f>
        <v>49.09375</v>
      </c>
      <c r="AC360" s="1" t="str">
        <f t="shared" ref="AC360:AC389" si="194">IFERROR(M360*P360,"NA")</f>
        <v>NA</v>
      </c>
      <c r="AE360" s="3">
        <f t="shared" si="173"/>
        <v>7043.5784999999987</v>
      </c>
      <c r="AF360">
        <v>1571</v>
      </c>
      <c r="AG360" s="1" t="str">
        <f>IFERROR((N360*P360*Q360), "NA")</f>
        <v>NA</v>
      </c>
      <c r="AH360" s="1" t="str">
        <f>IFERROR((AG360*U360*AI360), "NA")</f>
        <v>NA</v>
      </c>
      <c r="AI360" s="1">
        <v>1</v>
      </c>
      <c r="AJ360" s="11" t="s">
        <v>31</v>
      </c>
      <c r="AK360">
        <v>3660</v>
      </c>
      <c r="AL360" t="s">
        <v>541</v>
      </c>
      <c r="AM360" t="s">
        <v>86</v>
      </c>
      <c r="AN360" t="s">
        <v>186</v>
      </c>
      <c r="AO360" t="s">
        <v>794</v>
      </c>
      <c r="AP360">
        <v>5.46</v>
      </c>
      <c r="AQ360" t="s">
        <v>33</v>
      </c>
      <c r="AR360" t="s">
        <v>33</v>
      </c>
      <c r="AS360">
        <v>7.5</v>
      </c>
      <c r="AT360">
        <f>AS360-AU360</f>
        <v>3.58</v>
      </c>
      <c r="AU360" s="6">
        <v>3.92</v>
      </c>
      <c r="AV360" t="b">
        <v>1</v>
      </c>
      <c r="AW360" t="s">
        <v>617</v>
      </c>
      <c r="AX360" t="s">
        <v>618</v>
      </c>
      <c r="AY360" t="s">
        <v>33</v>
      </c>
      <c r="AZ360" t="s">
        <v>619</v>
      </c>
      <c r="BA360" s="18" t="s">
        <v>802</v>
      </c>
      <c r="BB360" s="3" t="b">
        <v>0</v>
      </c>
      <c r="BC360" t="s">
        <v>81</v>
      </c>
      <c r="BD360">
        <v>15</v>
      </c>
      <c r="BE360" t="s">
        <v>80</v>
      </c>
      <c r="BF360">
        <v>15</v>
      </c>
      <c r="BG360" t="s">
        <v>697</v>
      </c>
      <c r="BH360" t="s">
        <v>32</v>
      </c>
      <c r="BI360" t="s">
        <v>31</v>
      </c>
      <c r="BJ360">
        <v>3.92</v>
      </c>
      <c r="BK360" s="3">
        <f t="shared" si="179"/>
        <v>0.59328606702045728</v>
      </c>
      <c r="BL360">
        <v>2</v>
      </c>
      <c r="BM360" s="3">
        <f t="shared" si="187"/>
        <v>3.2545072921144778</v>
      </c>
      <c r="BN360" t="s">
        <v>33</v>
      </c>
      <c r="BO360" s="3">
        <f t="shared" si="175"/>
        <v>1796.8312499999997</v>
      </c>
      <c r="BP360" t="s">
        <v>33</v>
      </c>
      <c r="BQ360" t="s">
        <v>33</v>
      </c>
      <c r="BR360" t="s">
        <v>33</v>
      </c>
      <c r="BS360" t="s">
        <v>33</v>
      </c>
      <c r="BT360" t="s">
        <v>31</v>
      </c>
      <c r="BU360" t="s">
        <v>219</v>
      </c>
      <c r="BV360" s="14">
        <v>2007</v>
      </c>
      <c r="BW360" s="2" t="s">
        <v>648</v>
      </c>
      <c r="BX360" t="s">
        <v>78</v>
      </c>
      <c r="BY360" s="13" t="s">
        <v>671</v>
      </c>
      <c r="CA360" t="str">
        <f t="shared" si="176"/>
        <v>low acid</v>
      </c>
    </row>
    <row r="361" spans="1:79">
      <c r="A361" t="s">
        <v>584</v>
      </c>
      <c r="B361" t="s">
        <v>566</v>
      </c>
      <c r="C361" t="s">
        <v>563</v>
      </c>
      <c r="D361" t="s">
        <v>607</v>
      </c>
      <c r="E361" t="s">
        <v>77</v>
      </c>
      <c r="F361" t="s">
        <v>33</v>
      </c>
      <c r="G361">
        <v>20</v>
      </c>
      <c r="H361">
        <v>35</v>
      </c>
      <c r="I361" t="b">
        <v>0</v>
      </c>
      <c r="J361">
        <v>1000</v>
      </c>
      <c r="K361">
        <v>200</v>
      </c>
      <c r="L361">
        <v>35</v>
      </c>
      <c r="M361" s="4">
        <v>1</v>
      </c>
      <c r="N361" t="e">
        <f>(#REF!*Y361)/(T361*X361*O361)</f>
        <v>#REF!</v>
      </c>
      <c r="O361">
        <v>3</v>
      </c>
      <c r="P361" t="s">
        <v>33</v>
      </c>
      <c r="Q361" s="1">
        <f t="shared" si="193"/>
        <v>10</v>
      </c>
      <c r="R361" t="s">
        <v>183</v>
      </c>
      <c r="S361" t="s">
        <v>33</v>
      </c>
      <c r="T361">
        <v>1</v>
      </c>
      <c r="U361">
        <v>2.5</v>
      </c>
      <c r="V361" t="s">
        <v>33</v>
      </c>
      <c r="W361">
        <v>0.50249999999999995</v>
      </c>
      <c r="X361">
        <f>W361</f>
        <v>0.50249999999999995</v>
      </c>
      <c r="Y361" t="s">
        <v>33</v>
      </c>
      <c r="Z361" s="3">
        <f t="shared" si="171"/>
        <v>5.0249999999999996E-2</v>
      </c>
      <c r="AA361" t="s">
        <v>33</v>
      </c>
      <c r="AB361">
        <f>IFERROR(((X361*M361)/Z361), "NA")</f>
        <v>10</v>
      </c>
      <c r="AC361" s="1" t="str">
        <f t="shared" si="194"/>
        <v>NA</v>
      </c>
      <c r="AE361" s="3">
        <f t="shared" si="173"/>
        <v>36.75</v>
      </c>
      <c r="AF361">
        <v>30</v>
      </c>
      <c r="AG361" s="1" t="str">
        <f>IFERROR((N361*P361*Q361), "NA")</f>
        <v>NA</v>
      </c>
      <c r="AH361" s="1" t="str">
        <f>IFERROR((AG361*U361*AI361), "NA")</f>
        <v>NA</v>
      </c>
      <c r="AI361" s="1">
        <v>1</v>
      </c>
      <c r="AJ361" s="11" t="s">
        <v>31</v>
      </c>
      <c r="AK361">
        <v>1000</v>
      </c>
      <c r="AL361" t="s">
        <v>614</v>
      </c>
      <c r="AM361" s="3" t="s">
        <v>103</v>
      </c>
      <c r="AN361" t="s">
        <v>305</v>
      </c>
      <c r="AO361" t="s">
        <v>790</v>
      </c>
      <c r="AP361">
        <v>3.5</v>
      </c>
      <c r="AQ361" t="s">
        <v>33</v>
      </c>
      <c r="AR361" t="s">
        <v>33</v>
      </c>
      <c r="AS361">
        <v>8</v>
      </c>
      <c r="AT361">
        <f>AS361-AU361</f>
        <v>3.58</v>
      </c>
      <c r="AU361" s="6">
        <v>4.42</v>
      </c>
      <c r="AV361" t="b">
        <v>1</v>
      </c>
      <c r="AW361" t="s">
        <v>617</v>
      </c>
      <c r="AX361" t="s">
        <v>33</v>
      </c>
      <c r="AY361" t="s">
        <v>623</v>
      </c>
      <c r="AZ361" t="s">
        <v>621</v>
      </c>
      <c r="BA361" s="18" t="s">
        <v>802</v>
      </c>
      <c r="BB361" s="3" t="b">
        <v>0</v>
      </c>
      <c r="BC361" t="s">
        <v>81</v>
      </c>
      <c r="BD361">
        <v>18</v>
      </c>
      <c r="BE361" t="s">
        <v>80</v>
      </c>
      <c r="BF361">
        <v>24</v>
      </c>
      <c r="BG361" t="s">
        <v>642</v>
      </c>
      <c r="BH361" t="s">
        <v>32</v>
      </c>
      <c r="BI361" t="s">
        <v>31</v>
      </c>
      <c r="BJ361">
        <f>AU361</f>
        <v>4.42</v>
      </c>
      <c r="BK361" s="3">
        <f t="shared" si="179"/>
        <v>0.64542226934909186</v>
      </c>
      <c r="BL361">
        <v>2</v>
      </c>
      <c r="BM361" s="3">
        <f t="shared" si="187"/>
        <v>0.91983507407112186</v>
      </c>
      <c r="BN361" t="s">
        <v>33</v>
      </c>
      <c r="BO361" s="3">
        <f t="shared" si="175"/>
        <v>8.3144796380090504</v>
      </c>
      <c r="BP361" t="s">
        <v>33</v>
      </c>
      <c r="BQ361" t="s">
        <v>33</v>
      </c>
      <c r="BR361" t="s">
        <v>33</v>
      </c>
      <c r="BS361" t="s">
        <v>33</v>
      </c>
      <c r="BT361" t="s">
        <v>31</v>
      </c>
      <c r="BU361" t="s">
        <v>255</v>
      </c>
      <c r="BV361">
        <v>2010</v>
      </c>
      <c r="BW361" t="s">
        <v>651</v>
      </c>
      <c r="BX361" t="s">
        <v>78</v>
      </c>
      <c r="BY361" s="13" t="s">
        <v>674</v>
      </c>
      <c r="CA361" t="str">
        <f t="shared" si="176"/>
        <v>high acid</v>
      </c>
    </row>
    <row r="362" spans="1:79">
      <c r="A362" t="s">
        <v>273</v>
      </c>
      <c r="B362" t="s">
        <v>565</v>
      </c>
      <c r="C362" t="s">
        <v>563</v>
      </c>
      <c r="D362" t="s">
        <v>118</v>
      </c>
      <c r="E362" t="s">
        <v>77</v>
      </c>
      <c r="F362" t="s">
        <v>32</v>
      </c>
      <c r="G362">
        <v>20</v>
      </c>
      <c r="H362">
        <v>55</v>
      </c>
      <c r="I362" t="b">
        <v>0</v>
      </c>
      <c r="J362" t="s">
        <v>33</v>
      </c>
      <c r="K362" t="s">
        <v>33</v>
      </c>
      <c r="L362">
        <v>35</v>
      </c>
      <c r="M362" s="4" t="s">
        <v>33</v>
      </c>
      <c r="N362" s="3">
        <f>IFERROR(AF362/((T362*X362/Y362)*O362*AI362),"NA")</f>
        <v>432.63600385417294</v>
      </c>
      <c r="O362">
        <v>2.5</v>
      </c>
      <c r="P362" t="s">
        <v>33</v>
      </c>
      <c r="Q362" s="8">
        <f t="shared" si="193"/>
        <v>1.2173435913211428E-2</v>
      </c>
      <c r="R362" t="s">
        <v>183</v>
      </c>
      <c r="S362" t="s">
        <v>613</v>
      </c>
      <c r="T362" s="11">
        <v>6</v>
      </c>
      <c r="U362">
        <v>2.93</v>
      </c>
      <c r="V362">
        <v>2.2999999999999998</v>
      </c>
      <c r="W362" t="s">
        <v>33</v>
      </c>
      <c r="X362" s="8">
        <f>IFERROR(((PI())*(((V362*10^-1)/2)^2)*(U362*10^-1)), "NA")</f>
        <v>1.2173435913211428E-2</v>
      </c>
      <c r="Y362">
        <f>60/60</f>
        <v>1</v>
      </c>
      <c r="Z362" s="3">
        <f>IFERROR(X362*N362*O362*T362*AI362/AF362, "NA")</f>
        <v>1</v>
      </c>
      <c r="AA362" t="s">
        <v>33</v>
      </c>
      <c r="AB362" s="6">
        <f>IFERROR(((X362*N362)/Y362), "NA")</f>
        <v>5.2666666666666666</v>
      </c>
      <c r="AC362" t="str">
        <f t="shared" si="194"/>
        <v>NA</v>
      </c>
      <c r="AD362" s="4">
        <f>AB362*T362*AI362</f>
        <v>31.6</v>
      </c>
      <c r="AE362" s="3">
        <f>IFERROR(((L362^2)*N362*O362*AK362*10^-6*Q362*T362*AI362), "NA")</f>
        <v>281.61525</v>
      </c>
      <c r="AF362">
        <v>79</v>
      </c>
      <c r="AG362" t="str">
        <f>IFERROR((M362*O362*P362), "NA")</f>
        <v>NA</v>
      </c>
      <c r="AH362" t="str">
        <f>IFERROR((AG362*T362*AI362), "NA")</f>
        <v>NA</v>
      </c>
      <c r="AI362">
        <v>1</v>
      </c>
      <c r="AJ362" t="s">
        <v>31</v>
      </c>
      <c r="AK362">
        <v>2910</v>
      </c>
      <c r="AL362" t="s">
        <v>543</v>
      </c>
      <c r="AM362" t="s">
        <v>86</v>
      </c>
      <c r="AN362" t="s">
        <v>205</v>
      </c>
      <c r="AO362" t="s">
        <v>789</v>
      </c>
      <c r="AP362">
        <v>4.05</v>
      </c>
      <c r="AQ362" t="s">
        <v>33</v>
      </c>
      <c r="AR362" t="s">
        <v>33</v>
      </c>
      <c r="AS362">
        <f>LOG(10^6)</f>
        <v>6</v>
      </c>
      <c r="AT362" s="3">
        <f>IFERROR(AS362-AU362,"NA")</f>
        <v>3.5859999999999999</v>
      </c>
      <c r="AU362" s="6">
        <v>2.4140000000000001</v>
      </c>
      <c r="AV362" t="b">
        <v>1</v>
      </c>
      <c r="AW362" t="s">
        <v>29</v>
      </c>
      <c r="AX362" t="s">
        <v>30</v>
      </c>
      <c r="AY362" t="s">
        <v>216</v>
      </c>
      <c r="AZ362" t="s">
        <v>33</v>
      </c>
      <c r="BA362" s="18" t="s">
        <v>798</v>
      </c>
      <c r="BB362" t="b">
        <v>0</v>
      </c>
      <c r="BC362" t="s">
        <v>81</v>
      </c>
      <c r="BD362">
        <v>4</v>
      </c>
      <c r="BE362" t="s">
        <v>159</v>
      </c>
      <c r="BF362" s="11">
        <v>24</v>
      </c>
      <c r="BG362" t="s">
        <v>572</v>
      </c>
      <c r="BH362" t="s">
        <v>31</v>
      </c>
      <c r="BI362" t="s">
        <v>31</v>
      </c>
      <c r="BJ362" s="3">
        <f>AU362</f>
        <v>2.4140000000000001</v>
      </c>
      <c r="BK362" s="3">
        <f t="shared" si="179"/>
        <v>0.38273726576133044</v>
      </c>
      <c r="BL362">
        <v>2</v>
      </c>
      <c r="BM362" s="3">
        <f t="shared" si="187"/>
        <v>2.0669189032155697</v>
      </c>
      <c r="BN362" t="s">
        <v>33</v>
      </c>
      <c r="BO362" s="3">
        <f t="shared" si="175"/>
        <v>116.65917564208782</v>
      </c>
      <c r="BP362" t="s">
        <v>33</v>
      </c>
      <c r="BQ362" t="s">
        <v>33</v>
      </c>
      <c r="BR362" t="s">
        <v>33</v>
      </c>
      <c r="BS362" t="s">
        <v>33</v>
      </c>
      <c r="BT362" t="s">
        <v>31</v>
      </c>
      <c r="BU362" t="s">
        <v>274</v>
      </c>
      <c r="BV362">
        <v>2006</v>
      </c>
      <c r="BW362" t="s">
        <v>275</v>
      </c>
      <c r="BX362" t="s">
        <v>78</v>
      </c>
      <c r="BY362" t="s">
        <v>277</v>
      </c>
      <c r="BZ362" t="s">
        <v>33</v>
      </c>
      <c r="CA362" t="str">
        <f t="shared" si="176"/>
        <v>high acid</v>
      </c>
    </row>
    <row r="363" spans="1:79">
      <c r="A363" t="s">
        <v>589</v>
      </c>
      <c r="B363" t="s">
        <v>566</v>
      </c>
      <c r="C363" t="s">
        <v>563</v>
      </c>
      <c r="D363" t="s">
        <v>33</v>
      </c>
      <c r="E363" t="s">
        <v>77</v>
      </c>
      <c r="F363" t="s">
        <v>33</v>
      </c>
      <c r="G363" t="s">
        <v>33</v>
      </c>
      <c r="H363">
        <v>35</v>
      </c>
      <c r="I363" t="b">
        <v>0</v>
      </c>
      <c r="J363" t="s">
        <v>33</v>
      </c>
      <c r="K363" t="s">
        <v>33</v>
      </c>
      <c r="L363">
        <v>28</v>
      </c>
      <c r="M363" s="4">
        <v>1</v>
      </c>
      <c r="N363" t="e">
        <f>(#REF!*Y363)/(T363*X363*O363)</f>
        <v>#REF!</v>
      </c>
      <c r="O363">
        <v>2</v>
      </c>
      <c r="P363" t="s">
        <v>33</v>
      </c>
      <c r="Q363" s="1">
        <f t="shared" si="193"/>
        <v>197</v>
      </c>
      <c r="R363" t="s">
        <v>183</v>
      </c>
      <c r="S363" t="s">
        <v>613</v>
      </c>
      <c r="T363">
        <v>1</v>
      </c>
      <c r="U363">
        <v>2.5</v>
      </c>
      <c r="V363" t="s">
        <v>33</v>
      </c>
      <c r="W363">
        <v>0.50249999999999995</v>
      </c>
      <c r="X363">
        <f>W363</f>
        <v>0.50249999999999995</v>
      </c>
      <c r="Y363" t="s">
        <v>33</v>
      </c>
      <c r="Z363" s="3">
        <f t="shared" ref="Z363:Z373" si="195">IFERROR(X363*M363*O363*T363*AI363/AF363, "NA")</f>
        <v>2.5507614213197967E-3</v>
      </c>
      <c r="AA363" t="s">
        <v>33</v>
      </c>
      <c r="AB363">
        <f t="shared" ref="AB363:AB368" si="196">IFERROR(((X363*M363)/Z363), "NA")</f>
        <v>197</v>
      </c>
      <c r="AC363" s="1" t="str">
        <f t="shared" si="194"/>
        <v>NA</v>
      </c>
      <c r="AE363" s="3">
        <f t="shared" ref="AE363:AE373" si="197">IFERROR(((L363^2)*M363*O363*AK363*10^-6*Q363*T363*AI363), "NA")</f>
        <v>617.79199999999992</v>
      </c>
      <c r="AF363">
        <v>394</v>
      </c>
      <c r="AG363" s="1" t="str">
        <f>IFERROR((N363*P363*Q363), "NA")</f>
        <v>NA</v>
      </c>
      <c r="AH363" s="1" t="str">
        <f>IFERROR((AG363*U363*AI363), "NA")</f>
        <v>NA</v>
      </c>
      <c r="AI363" s="1">
        <v>1</v>
      </c>
      <c r="AJ363" s="11" t="s">
        <v>31</v>
      </c>
      <c r="AK363">
        <v>2000</v>
      </c>
      <c r="AL363" t="s">
        <v>616</v>
      </c>
      <c r="AM363" s="3" t="s">
        <v>103</v>
      </c>
      <c r="AN363" t="s">
        <v>130</v>
      </c>
      <c r="AO363" t="s">
        <v>795</v>
      </c>
      <c r="AP363">
        <v>7</v>
      </c>
      <c r="AQ363" t="s">
        <v>33</v>
      </c>
      <c r="AR363" t="s">
        <v>33</v>
      </c>
      <c r="AS363">
        <v>9</v>
      </c>
      <c r="AT363">
        <f>AS363-AU363</f>
        <v>3.59</v>
      </c>
      <c r="AU363" s="6">
        <v>5.41</v>
      </c>
      <c r="AV363" t="b">
        <v>1</v>
      </c>
      <c r="AW363" t="s">
        <v>617</v>
      </c>
      <c r="AX363" t="s">
        <v>33</v>
      </c>
      <c r="AY363" t="s">
        <v>628</v>
      </c>
      <c r="AZ363" t="s">
        <v>619</v>
      </c>
      <c r="BA363" s="18" t="s">
        <v>802</v>
      </c>
      <c r="BB363" s="3" t="b">
        <v>0</v>
      </c>
      <c r="BC363" t="s">
        <v>81</v>
      </c>
      <c r="BD363">
        <v>24</v>
      </c>
      <c r="BE363" t="s">
        <v>80</v>
      </c>
      <c r="BF363">
        <v>24</v>
      </c>
      <c r="BG363" t="s">
        <v>644</v>
      </c>
      <c r="BH363" t="s">
        <v>31</v>
      </c>
      <c r="BI363" t="s">
        <v>32</v>
      </c>
      <c r="BJ363">
        <f>AU363</f>
        <v>5.41</v>
      </c>
      <c r="BK363" s="3">
        <f t="shared" si="179"/>
        <v>0.73319726510656946</v>
      </c>
      <c r="BL363">
        <v>2</v>
      </c>
      <c r="BM363" s="3">
        <f t="shared" si="187"/>
        <v>2.0576450150674241</v>
      </c>
      <c r="BN363" t="s">
        <v>33</v>
      </c>
      <c r="BO363" s="3">
        <f t="shared" si="175"/>
        <v>114.19445471349351</v>
      </c>
      <c r="BP363" t="s">
        <v>33</v>
      </c>
      <c r="BQ363" t="s">
        <v>33</v>
      </c>
      <c r="BR363" t="s">
        <v>33</v>
      </c>
      <c r="BS363" t="s">
        <v>33</v>
      </c>
      <c r="BT363" t="s">
        <v>31</v>
      </c>
      <c r="BU363" s="15" t="s">
        <v>655</v>
      </c>
      <c r="BV363">
        <v>2003</v>
      </c>
      <c r="BW363" t="s">
        <v>656</v>
      </c>
      <c r="BX363" t="s">
        <v>78</v>
      </c>
      <c r="BY363" s="13" t="s">
        <v>677</v>
      </c>
      <c r="CA363" t="str">
        <f t="shared" si="176"/>
        <v>low acid</v>
      </c>
    </row>
    <row r="364" spans="1:79">
      <c r="A364" t="s">
        <v>141</v>
      </c>
      <c r="B364" t="s">
        <v>565</v>
      </c>
      <c r="C364" t="s">
        <v>563</v>
      </c>
      <c r="D364" t="s">
        <v>118</v>
      </c>
      <c r="E364" t="s">
        <v>77</v>
      </c>
      <c r="F364" t="s">
        <v>32</v>
      </c>
      <c r="G364">
        <v>20</v>
      </c>
      <c r="H364" t="s">
        <v>33</v>
      </c>
      <c r="I364" t="b">
        <v>0</v>
      </c>
      <c r="J364" t="s">
        <v>33</v>
      </c>
      <c r="K364" t="s">
        <v>33</v>
      </c>
      <c r="L364">
        <v>27</v>
      </c>
      <c r="M364" s="4">
        <v>500</v>
      </c>
      <c r="N364" s="3">
        <f>IFERROR(AF364/((T364*X364/Y364)*O364*AI364),"NA")</f>
        <v>503.35454362283343</v>
      </c>
      <c r="O364">
        <v>3</v>
      </c>
      <c r="P364" t="s">
        <v>33</v>
      </c>
      <c r="Q364" s="8">
        <f t="shared" si="193"/>
        <v>1.4555555555555556E-2</v>
      </c>
      <c r="R364" t="s">
        <v>183</v>
      </c>
      <c r="S364" t="s">
        <v>613</v>
      </c>
      <c r="T364" s="11">
        <v>6</v>
      </c>
      <c r="U364">
        <v>2.9</v>
      </c>
      <c r="V364">
        <v>2.2999999999999998</v>
      </c>
      <c r="W364" t="s">
        <v>33</v>
      </c>
      <c r="X364">
        <f>IFERROR(((PI())*(((V364*10^-1)/2)^2)*(U364*10^-1)), "NA")</f>
        <v>1.204879322468025E-2</v>
      </c>
      <c r="Y364" s="8">
        <f>50/60</f>
        <v>0.83333333333333337</v>
      </c>
      <c r="Z364" s="9">
        <f t="shared" si="195"/>
        <v>0.82777968719177286</v>
      </c>
      <c r="AA364" t="s">
        <v>33</v>
      </c>
      <c r="AB364" s="6">
        <f t="shared" si="196"/>
        <v>7.2777777777777786</v>
      </c>
      <c r="AC364" t="str">
        <f t="shared" si="194"/>
        <v>NA</v>
      </c>
      <c r="AD364" s="4">
        <f>AB364*T364*AI364</f>
        <v>43.666666666666671</v>
      </c>
      <c r="AE364" s="3">
        <f t="shared" si="197"/>
        <v>368.62613999999996</v>
      </c>
      <c r="AF364">
        <v>131</v>
      </c>
      <c r="AG364" t="str">
        <f>IFERROR((M364*O364*P364), "NA")</f>
        <v>NA</v>
      </c>
      <c r="AH364" t="str">
        <f>IFERROR((AG364*T364*AI364), "NA")</f>
        <v>NA</v>
      </c>
      <c r="AI364">
        <v>1</v>
      </c>
      <c r="AJ364" t="s">
        <v>31</v>
      </c>
      <c r="AK364">
        <v>3860</v>
      </c>
      <c r="AL364" t="s">
        <v>138</v>
      </c>
      <c r="AM364" t="s">
        <v>86</v>
      </c>
      <c r="AN364" t="s">
        <v>205</v>
      </c>
      <c r="AO364" t="s">
        <v>789</v>
      </c>
      <c r="AP364">
        <v>3.9</v>
      </c>
      <c r="AQ364" t="s">
        <v>33</v>
      </c>
      <c r="AR364" t="s">
        <v>33</v>
      </c>
      <c r="AS364" s="3">
        <v>7.2510000000000003</v>
      </c>
      <c r="AT364" s="3">
        <f>IFERROR(AS364-AU364,"NA")</f>
        <v>3.5910000000000002</v>
      </c>
      <c r="AU364" s="6">
        <v>3.66</v>
      </c>
      <c r="AV364" t="b">
        <v>1</v>
      </c>
      <c r="AW364" t="s">
        <v>92</v>
      </c>
      <c r="AX364" t="s">
        <v>93</v>
      </c>
      <c r="AY364" t="s">
        <v>137</v>
      </c>
      <c r="AZ364" t="s">
        <v>33</v>
      </c>
      <c r="BA364" s="18" t="s">
        <v>801</v>
      </c>
      <c r="BB364" t="b">
        <v>0</v>
      </c>
      <c r="BC364" t="s">
        <v>81</v>
      </c>
      <c r="BD364">
        <f>(48+24)/2</f>
        <v>36</v>
      </c>
      <c r="BE364" t="s">
        <v>80</v>
      </c>
      <c r="BF364" s="11">
        <f>(48+24)/2</f>
        <v>36</v>
      </c>
      <c r="BG364" t="s">
        <v>139</v>
      </c>
      <c r="BH364" t="s">
        <v>31</v>
      </c>
      <c r="BI364" t="s">
        <v>31</v>
      </c>
      <c r="BJ364">
        <f>AU364</f>
        <v>3.66</v>
      </c>
      <c r="BK364" s="3">
        <f t="shared" si="179"/>
        <v>0.56348108539441066</v>
      </c>
      <c r="BL364">
        <v>2</v>
      </c>
      <c r="BM364" s="3">
        <f>LOG(BO364)</f>
        <v>2.0031050432510833</v>
      </c>
      <c r="BN364" t="s">
        <v>33</v>
      </c>
      <c r="BO364" s="3">
        <f t="shared" si="175"/>
        <v>100.71752459016392</v>
      </c>
      <c r="BP364" t="s">
        <v>33</v>
      </c>
      <c r="BQ364" t="s">
        <v>33</v>
      </c>
      <c r="BR364" t="s">
        <v>33</v>
      </c>
      <c r="BS364" t="s">
        <v>33</v>
      </c>
      <c r="BT364" t="s">
        <v>31</v>
      </c>
      <c r="BU364" t="s">
        <v>135</v>
      </c>
      <c r="BV364">
        <v>2011</v>
      </c>
      <c r="BW364" s="2" t="s">
        <v>136</v>
      </c>
      <c r="BX364" t="s">
        <v>78</v>
      </c>
      <c r="BY364" t="s">
        <v>33</v>
      </c>
      <c r="BZ364" t="s">
        <v>33</v>
      </c>
      <c r="CA364" t="str">
        <f t="shared" si="176"/>
        <v>high acid</v>
      </c>
    </row>
    <row r="365" spans="1:79">
      <c r="A365" t="s">
        <v>584</v>
      </c>
      <c r="B365" t="s">
        <v>566</v>
      </c>
      <c r="C365" t="s">
        <v>563</v>
      </c>
      <c r="D365" t="s">
        <v>607</v>
      </c>
      <c r="E365" t="s">
        <v>77</v>
      </c>
      <c r="F365" t="s">
        <v>33</v>
      </c>
      <c r="G365">
        <v>20</v>
      </c>
      <c r="H365">
        <v>35</v>
      </c>
      <c r="I365" t="b">
        <v>0</v>
      </c>
      <c r="J365">
        <v>1000</v>
      </c>
      <c r="K365">
        <v>200</v>
      </c>
      <c r="L365">
        <v>30</v>
      </c>
      <c r="M365" s="4">
        <v>1</v>
      </c>
      <c r="N365" t="e">
        <f>(#REF!*Y365)/(T365*X365*O365)</f>
        <v>#REF!</v>
      </c>
      <c r="O365">
        <v>3</v>
      </c>
      <c r="P365" t="s">
        <v>33</v>
      </c>
      <c r="Q365" s="1">
        <f t="shared" si="193"/>
        <v>100.00000000000001</v>
      </c>
      <c r="R365" t="s">
        <v>183</v>
      </c>
      <c r="S365" t="s">
        <v>33</v>
      </c>
      <c r="T365">
        <v>1</v>
      </c>
      <c r="U365">
        <v>2.5</v>
      </c>
      <c r="V365" t="s">
        <v>33</v>
      </c>
      <c r="W365">
        <v>0.50249999999999995</v>
      </c>
      <c r="X365">
        <f>W365</f>
        <v>0.50249999999999995</v>
      </c>
      <c r="Y365" t="s">
        <v>33</v>
      </c>
      <c r="Z365" s="3">
        <f t="shared" si="195"/>
        <v>5.0249999999999991E-3</v>
      </c>
      <c r="AA365" t="s">
        <v>33</v>
      </c>
      <c r="AB365">
        <f t="shared" si="196"/>
        <v>100.00000000000001</v>
      </c>
      <c r="AC365" s="1" t="str">
        <f t="shared" si="194"/>
        <v>NA</v>
      </c>
      <c r="AE365" s="3">
        <f t="shared" si="197"/>
        <v>270</v>
      </c>
      <c r="AF365">
        <v>300</v>
      </c>
      <c r="AG365" s="1" t="str">
        <f>IFERROR((N365*P365*Q365), "NA")</f>
        <v>NA</v>
      </c>
      <c r="AH365" s="1" t="str">
        <f>IFERROR((AG365*U365*AI365), "NA")</f>
        <v>NA</v>
      </c>
      <c r="AI365" s="1">
        <v>1</v>
      </c>
      <c r="AJ365" s="11" t="s">
        <v>31</v>
      </c>
      <c r="AK365">
        <v>1000</v>
      </c>
      <c r="AL365" t="s">
        <v>614</v>
      </c>
      <c r="AM365" s="3" t="s">
        <v>103</v>
      </c>
      <c r="AN365" t="s">
        <v>305</v>
      </c>
      <c r="AO365" t="s">
        <v>790</v>
      </c>
      <c r="AP365">
        <v>3.5</v>
      </c>
      <c r="AQ365" t="s">
        <v>33</v>
      </c>
      <c r="AR365" t="s">
        <v>33</v>
      </c>
      <c r="AS365">
        <v>8</v>
      </c>
      <c r="AT365">
        <f>AS365-AU365</f>
        <v>3.5999999999999996</v>
      </c>
      <c r="AU365" s="6">
        <v>4.4000000000000004</v>
      </c>
      <c r="AV365" t="b">
        <v>1</v>
      </c>
      <c r="AW365" t="s">
        <v>617</v>
      </c>
      <c r="AX365" t="s">
        <v>33</v>
      </c>
      <c r="AY365" t="s">
        <v>623</v>
      </c>
      <c r="AZ365" t="s">
        <v>621</v>
      </c>
      <c r="BA365" s="18" t="s">
        <v>802</v>
      </c>
      <c r="BB365" s="3" t="b">
        <v>0</v>
      </c>
      <c r="BC365" t="s">
        <v>81</v>
      </c>
      <c r="BD365">
        <v>18</v>
      </c>
      <c r="BE365" t="s">
        <v>80</v>
      </c>
      <c r="BF365">
        <v>24</v>
      </c>
      <c r="BG365" t="s">
        <v>569</v>
      </c>
      <c r="BH365" t="s">
        <v>31</v>
      </c>
      <c r="BI365" t="s">
        <v>31</v>
      </c>
      <c r="BJ365">
        <f>AU365</f>
        <v>4.4000000000000004</v>
      </c>
      <c r="BK365" s="3">
        <f t="shared" si="179"/>
        <v>0.64345267648618742</v>
      </c>
      <c r="BL365">
        <v>2</v>
      </c>
      <c r="BM365" s="3">
        <f t="shared" ref="BM365:BM402" si="198">IFERROR(LOG(BO365),"NA")</f>
        <v>1.7879110876727999</v>
      </c>
      <c r="BN365" t="s">
        <v>33</v>
      </c>
      <c r="BO365" s="3">
        <f t="shared" si="175"/>
        <v>61.36363636363636</v>
      </c>
      <c r="BP365" t="s">
        <v>33</v>
      </c>
      <c r="BQ365" t="s">
        <v>33</v>
      </c>
      <c r="BR365" t="s">
        <v>33</v>
      </c>
      <c r="BS365" t="s">
        <v>33</v>
      </c>
      <c r="BT365" t="s">
        <v>31</v>
      </c>
      <c r="BU365" t="s">
        <v>255</v>
      </c>
      <c r="BV365">
        <v>2010</v>
      </c>
      <c r="BW365" t="s">
        <v>651</v>
      </c>
      <c r="BX365" t="s">
        <v>78</v>
      </c>
      <c r="BY365" s="13" t="s">
        <v>674</v>
      </c>
      <c r="CA365" t="str">
        <f t="shared" si="176"/>
        <v>high acid</v>
      </c>
    </row>
    <row r="366" spans="1:79">
      <c r="A366" t="s">
        <v>580</v>
      </c>
      <c r="B366" t="s">
        <v>565</v>
      </c>
      <c r="C366" t="s">
        <v>563</v>
      </c>
      <c r="D366" t="s">
        <v>118</v>
      </c>
      <c r="E366" t="s">
        <v>77</v>
      </c>
      <c r="F366" t="s">
        <v>32</v>
      </c>
      <c r="G366">
        <v>22</v>
      </c>
      <c r="H366">
        <v>40</v>
      </c>
      <c r="I366" t="b">
        <v>0</v>
      </c>
      <c r="J366">
        <v>10220</v>
      </c>
      <c r="K366">
        <v>62.82</v>
      </c>
      <c r="L366">
        <v>35</v>
      </c>
      <c r="M366" s="4">
        <v>235</v>
      </c>
      <c r="N366" t="e">
        <f>(#REF!*Y366)/(T366*X366*O366)</f>
        <v>#REF!</v>
      </c>
      <c r="O366">
        <v>4</v>
      </c>
      <c r="P366">
        <v>7.8499999999999993E-3</v>
      </c>
      <c r="Q366" s="1">
        <f t="shared" si="193"/>
        <v>0.22606382978723405</v>
      </c>
      <c r="R366" t="s">
        <v>183</v>
      </c>
      <c r="S366" t="s">
        <v>613</v>
      </c>
      <c r="T366">
        <v>8</v>
      </c>
      <c r="U366">
        <v>2.92</v>
      </c>
      <c r="V366">
        <v>2.2999999999999998</v>
      </c>
      <c r="W366">
        <v>1.21E-2</v>
      </c>
      <c r="X366">
        <v>1.2131888350367701E-2</v>
      </c>
      <c r="Y366">
        <v>1.8333299999999999</v>
      </c>
      <c r="Z366" s="3">
        <f t="shared" si="195"/>
        <v>5.3665764938097119E-2</v>
      </c>
      <c r="AA366" t="s">
        <v>33</v>
      </c>
      <c r="AB366">
        <f t="shared" si="196"/>
        <v>53.125</v>
      </c>
      <c r="AC366" s="1">
        <f t="shared" si="194"/>
        <v>1.8447499999999999</v>
      </c>
      <c r="AE366" s="3">
        <f t="shared" si="197"/>
        <v>11245.5</v>
      </c>
      <c r="AF366">
        <v>1700</v>
      </c>
      <c r="AG366" s="1" t="str">
        <f>IFERROR((N366*P366*Q366), "NA")</f>
        <v>NA</v>
      </c>
      <c r="AH366" s="1" t="str">
        <f>IFERROR((AG366*U366*AI366), "NA")</f>
        <v>NA</v>
      </c>
      <c r="AI366" s="1">
        <v>1</v>
      </c>
      <c r="AJ366" s="11" t="s">
        <v>31</v>
      </c>
      <c r="AK366">
        <v>5400</v>
      </c>
      <c r="AL366" t="s">
        <v>238</v>
      </c>
      <c r="AM366" t="s">
        <v>86</v>
      </c>
      <c r="AN366" t="s">
        <v>205</v>
      </c>
      <c r="AO366" t="s">
        <v>789</v>
      </c>
      <c r="AP366">
        <v>4.46</v>
      </c>
      <c r="AQ366" t="s">
        <v>33</v>
      </c>
      <c r="AR366" t="s">
        <v>33</v>
      </c>
      <c r="AS366">
        <v>7.5</v>
      </c>
      <c r="AT366">
        <v>3.6</v>
      </c>
      <c r="AU366" s="6">
        <v>5.15</v>
      </c>
      <c r="AV366" t="b">
        <v>1</v>
      </c>
      <c r="AW366" t="s">
        <v>617</v>
      </c>
      <c r="AX366" t="s">
        <v>33</v>
      </c>
      <c r="AY366" t="s">
        <v>33</v>
      </c>
      <c r="AZ366" t="s">
        <v>619</v>
      </c>
      <c r="BA366" s="18" t="s">
        <v>802</v>
      </c>
      <c r="BB366" s="3" t="b">
        <v>0</v>
      </c>
      <c r="BC366" t="s">
        <v>81</v>
      </c>
      <c r="BD366">
        <v>15</v>
      </c>
      <c r="BE366" t="s">
        <v>80</v>
      </c>
      <c r="BF366">
        <v>24</v>
      </c>
      <c r="BG366" t="s">
        <v>697</v>
      </c>
      <c r="BH366" t="s">
        <v>32</v>
      </c>
      <c r="BI366" t="s">
        <v>31</v>
      </c>
      <c r="BJ366">
        <v>3.9</v>
      </c>
      <c r="BK366" s="3">
        <f t="shared" si="179"/>
        <v>0.59106460702649921</v>
      </c>
      <c r="BL366">
        <v>2</v>
      </c>
      <c r="BM366" s="3">
        <f t="shared" si="198"/>
        <v>3.4599141628752945</v>
      </c>
      <c r="BN366" t="s">
        <v>33</v>
      </c>
      <c r="BO366" s="3">
        <f t="shared" si="175"/>
        <v>2883.4615384615386</v>
      </c>
      <c r="BP366" t="s">
        <v>33</v>
      </c>
      <c r="BQ366" t="s">
        <v>33</v>
      </c>
      <c r="BR366" t="s">
        <v>33</v>
      </c>
      <c r="BS366" t="s">
        <v>33</v>
      </c>
      <c r="BT366" t="s">
        <v>31</v>
      </c>
      <c r="BU366" s="13" t="s">
        <v>219</v>
      </c>
      <c r="BV366" s="14">
        <v>2008</v>
      </c>
      <c r="BW366" t="s">
        <v>257</v>
      </c>
      <c r="BX366" t="s">
        <v>78</v>
      </c>
      <c r="BY366" s="13" t="s">
        <v>670</v>
      </c>
      <c r="CA366" t="str">
        <f t="shared" si="176"/>
        <v>high acid</v>
      </c>
    </row>
    <row r="367" spans="1:79">
      <c r="A367" t="s">
        <v>580</v>
      </c>
      <c r="B367" t="s">
        <v>565</v>
      </c>
      <c r="C367" t="s">
        <v>563</v>
      </c>
      <c r="D367" t="s">
        <v>118</v>
      </c>
      <c r="E367" t="s">
        <v>77</v>
      </c>
      <c r="F367" t="s">
        <v>32</v>
      </c>
      <c r="G367">
        <v>22</v>
      </c>
      <c r="H367">
        <v>40</v>
      </c>
      <c r="I367" t="b">
        <v>0</v>
      </c>
      <c r="J367">
        <v>10220</v>
      </c>
      <c r="K367">
        <v>25.36</v>
      </c>
      <c r="L367">
        <v>35</v>
      </c>
      <c r="M367" s="4">
        <v>100</v>
      </c>
      <c r="N367" t="e">
        <f>(#REF!*Y367)/(T367*X367*O367)</f>
        <v>#REF!</v>
      </c>
      <c r="O367">
        <v>4</v>
      </c>
      <c r="P367">
        <f>AVERAGE(0.0066, 0.0091)</f>
        <v>7.8499999999999993E-3</v>
      </c>
      <c r="Q367" s="1">
        <f t="shared" si="193"/>
        <v>0.625</v>
      </c>
      <c r="R367" t="s">
        <v>183</v>
      </c>
      <c r="S367" t="s">
        <v>613</v>
      </c>
      <c r="T367">
        <v>8</v>
      </c>
      <c r="U367">
        <v>2.92</v>
      </c>
      <c r="V367">
        <v>2.2999999999999998</v>
      </c>
      <c r="W367">
        <v>1.21E-2</v>
      </c>
      <c r="X367">
        <f>IFERROR(((PI())*(((V367*10^-1)/2)^2)*(U367*10^-1)), "NA")</f>
        <v>1.2131888350367701E-2</v>
      </c>
      <c r="Y367">
        <v>1.5</v>
      </c>
      <c r="Z367" s="3">
        <f t="shared" si="195"/>
        <v>1.941102136058832E-2</v>
      </c>
      <c r="AA367" t="s">
        <v>33</v>
      </c>
      <c r="AB367">
        <f t="shared" si="196"/>
        <v>62.500000000000007</v>
      </c>
      <c r="AC367" s="1">
        <f t="shared" si="194"/>
        <v>0.78499999999999992</v>
      </c>
      <c r="AE367" s="3">
        <f t="shared" si="197"/>
        <v>5341</v>
      </c>
      <c r="AF367">
        <v>2000</v>
      </c>
      <c r="AG367" s="1" t="str">
        <f>IFERROR((N367*P367*Q367), "NA")</f>
        <v>NA</v>
      </c>
      <c r="AH367" s="1" t="str">
        <f>IFERROR((AG367*U367*AI367), "NA")</f>
        <v>NA</v>
      </c>
      <c r="AI367" s="1">
        <v>1</v>
      </c>
      <c r="AJ367" s="11" t="s">
        <v>31</v>
      </c>
      <c r="AK367">
        <v>2180</v>
      </c>
      <c r="AL367" t="s">
        <v>149</v>
      </c>
      <c r="AM367" t="s">
        <v>86</v>
      </c>
      <c r="AN367" t="s">
        <v>205</v>
      </c>
      <c r="AO367" t="s">
        <v>789</v>
      </c>
      <c r="AP367">
        <v>4.46</v>
      </c>
      <c r="AQ367" t="s">
        <v>33</v>
      </c>
      <c r="AR367" t="s">
        <v>33</v>
      </c>
      <c r="AS367">
        <v>7.5</v>
      </c>
      <c r="AT367">
        <f>AS367-AU367</f>
        <v>3.6</v>
      </c>
      <c r="AU367" s="6">
        <v>3.9</v>
      </c>
      <c r="AV367" t="b">
        <v>1</v>
      </c>
      <c r="AW367" t="s">
        <v>617</v>
      </c>
      <c r="AX367" t="s">
        <v>33</v>
      </c>
      <c r="AY367" t="s">
        <v>33</v>
      </c>
      <c r="AZ367" t="s">
        <v>619</v>
      </c>
      <c r="BA367" s="18" t="s">
        <v>802</v>
      </c>
      <c r="BB367" s="3" t="b">
        <v>0</v>
      </c>
      <c r="BC367" t="s">
        <v>81</v>
      </c>
      <c r="BD367">
        <v>15</v>
      </c>
      <c r="BE367" t="s">
        <v>80</v>
      </c>
      <c r="BF367">
        <v>24</v>
      </c>
      <c r="BG367" t="s">
        <v>697</v>
      </c>
      <c r="BH367" t="s">
        <v>32</v>
      </c>
      <c r="BI367" t="s">
        <v>31</v>
      </c>
      <c r="BJ367">
        <f t="shared" ref="BJ367:BJ396" si="199">AU367</f>
        <v>3.9</v>
      </c>
      <c r="BK367" s="3">
        <f t="shared" si="179"/>
        <v>0.59106460702649921</v>
      </c>
      <c r="BL367">
        <v>2</v>
      </c>
      <c r="BM367" s="3">
        <f t="shared" si="198"/>
        <v>3.1365579709426381</v>
      </c>
      <c r="BN367" t="s">
        <v>33</v>
      </c>
      <c r="BO367" s="3">
        <f t="shared" si="175"/>
        <v>1369.4871794871794</v>
      </c>
      <c r="BP367" t="s">
        <v>33</v>
      </c>
      <c r="BQ367" t="s">
        <v>33</v>
      </c>
      <c r="BR367" t="s">
        <v>33</v>
      </c>
      <c r="BS367" t="s">
        <v>33</v>
      </c>
      <c r="BT367" t="s">
        <v>31</v>
      </c>
      <c r="BU367" t="s">
        <v>219</v>
      </c>
      <c r="BV367" s="14">
        <v>2008</v>
      </c>
      <c r="BW367" t="s">
        <v>257</v>
      </c>
      <c r="BX367" t="s">
        <v>78</v>
      </c>
      <c r="BY367" s="13" t="s">
        <v>670</v>
      </c>
      <c r="CA367" t="str">
        <f t="shared" si="176"/>
        <v>high acid</v>
      </c>
    </row>
    <row r="368" spans="1:79">
      <c r="A368" t="s">
        <v>223</v>
      </c>
      <c r="B368" t="s">
        <v>565</v>
      </c>
      <c r="C368" t="s">
        <v>563</v>
      </c>
      <c r="D368" t="s">
        <v>118</v>
      </c>
      <c r="E368" t="s">
        <v>77</v>
      </c>
      <c r="F368" t="s">
        <v>32</v>
      </c>
      <c r="G368">
        <v>5</v>
      </c>
      <c r="H368">
        <v>39.1</v>
      </c>
      <c r="I368" t="b">
        <v>0</v>
      </c>
      <c r="J368" t="s">
        <v>33</v>
      </c>
      <c r="K368" t="s">
        <v>33</v>
      </c>
      <c r="L368">
        <v>35</v>
      </c>
      <c r="M368" s="4">
        <v>100</v>
      </c>
      <c r="N368" s="3">
        <f>IFERROR(AF368/((T368*X368/Y368)*O368*AI368),"NA")</f>
        <v>8586.1873814153205</v>
      </c>
      <c r="O368">
        <v>4</v>
      </c>
      <c r="P368" t="s">
        <v>33</v>
      </c>
      <c r="Q368">
        <f t="shared" si="193"/>
        <v>0.625</v>
      </c>
      <c r="R368" t="s">
        <v>183</v>
      </c>
      <c r="S368" t="s">
        <v>613</v>
      </c>
      <c r="T368" s="11">
        <v>8</v>
      </c>
      <c r="U368">
        <v>2.92</v>
      </c>
      <c r="V368">
        <v>2.2999999999999998</v>
      </c>
      <c r="W368">
        <v>1.21E-2</v>
      </c>
      <c r="X368" s="8">
        <f>IFERROR(((PI())*(((V368*10^-1)/2)^2)*(U368*10^-1)), "NA")</f>
        <v>1.2131888350367701E-2</v>
      </c>
      <c r="Y368" s="6">
        <f>100/60</f>
        <v>1.6666666666666667</v>
      </c>
      <c r="Z368" s="3">
        <f t="shared" si="195"/>
        <v>1.941102136058832E-2</v>
      </c>
      <c r="AA368" t="s">
        <v>33</v>
      </c>
      <c r="AB368" s="6">
        <f t="shared" si="196"/>
        <v>62.500000000000007</v>
      </c>
      <c r="AC368" t="str">
        <f t="shared" si="194"/>
        <v>NA</v>
      </c>
      <c r="AD368" s="4">
        <f>AB368*T368*AI368</f>
        <v>500.00000000000006</v>
      </c>
      <c r="AE368" s="3">
        <f t="shared" si="197"/>
        <v>12813.5</v>
      </c>
      <c r="AF368">
        <v>2000</v>
      </c>
      <c r="AG368" t="str">
        <f>IFERROR((M368*O368*P368), "NA")</f>
        <v>NA</v>
      </c>
      <c r="AH368" t="str">
        <f>IFERROR((AG368*T368*AI368), "NA")</f>
        <v>NA</v>
      </c>
      <c r="AI368">
        <v>1</v>
      </c>
      <c r="AJ368" t="s">
        <v>31</v>
      </c>
      <c r="AK368">
        <v>5230</v>
      </c>
      <c r="AL368" t="s">
        <v>542</v>
      </c>
      <c r="AM368" t="s">
        <v>86</v>
      </c>
      <c r="AN368" t="s">
        <v>186</v>
      </c>
      <c r="AO368" t="s">
        <v>794</v>
      </c>
      <c r="AP368">
        <v>5.82</v>
      </c>
      <c r="AQ368" t="s">
        <v>33</v>
      </c>
      <c r="AR368" t="s">
        <v>33</v>
      </c>
      <c r="AS368" s="6">
        <f>LOG((10^7+10^8)/2)</f>
        <v>7.7403626894942441</v>
      </c>
      <c r="AT368" s="3">
        <f>IFERROR(AS368-AU368,"NA")</f>
        <v>3.604362689494244</v>
      </c>
      <c r="AU368" s="6">
        <v>4.1360000000000001</v>
      </c>
      <c r="AV368" t="b">
        <v>1</v>
      </c>
      <c r="AW368" t="s">
        <v>92</v>
      </c>
      <c r="AX368" t="s">
        <v>93</v>
      </c>
      <c r="AY368" s="10">
        <v>1131</v>
      </c>
      <c r="AZ368" t="s">
        <v>33</v>
      </c>
      <c r="BA368" s="18" t="s">
        <v>801</v>
      </c>
      <c r="BB368" t="b">
        <v>0</v>
      </c>
      <c r="BC368" t="s">
        <v>81</v>
      </c>
      <c r="BD368">
        <f>(16+14)/2</f>
        <v>15</v>
      </c>
      <c r="BE368" t="s">
        <v>80</v>
      </c>
      <c r="BF368" t="s">
        <v>33</v>
      </c>
      <c r="BG368" t="s">
        <v>573</v>
      </c>
      <c r="BH368" t="s">
        <v>31</v>
      </c>
      <c r="BI368" t="s">
        <v>31</v>
      </c>
      <c r="BJ368" s="3">
        <f t="shared" si="199"/>
        <v>4.1360000000000001</v>
      </c>
      <c r="BK368" s="3">
        <f t="shared" si="179"/>
        <v>0.61658053008588609</v>
      </c>
      <c r="BL368">
        <v>2</v>
      </c>
      <c r="BM368" s="3">
        <f t="shared" si="198"/>
        <v>3.4910872431459206</v>
      </c>
      <c r="BN368" t="s">
        <v>33</v>
      </c>
      <c r="BO368" s="3">
        <f t="shared" si="175"/>
        <v>3098.0415860735011</v>
      </c>
      <c r="BP368" t="s">
        <v>33</v>
      </c>
      <c r="BQ368" t="s">
        <v>33</v>
      </c>
      <c r="BR368" t="s">
        <v>33</v>
      </c>
      <c r="BS368" t="s">
        <v>33</v>
      </c>
      <c r="BT368" t="s">
        <v>31</v>
      </c>
      <c r="BU368" t="s">
        <v>219</v>
      </c>
      <c r="BV368">
        <v>2007</v>
      </c>
      <c r="BW368" t="s">
        <v>218</v>
      </c>
      <c r="BX368" t="s">
        <v>78</v>
      </c>
      <c r="BY368" t="s">
        <v>33</v>
      </c>
      <c r="BZ368" t="s">
        <v>33</v>
      </c>
      <c r="CA368" t="str">
        <f t="shared" si="176"/>
        <v>low acid</v>
      </c>
    </row>
    <row r="369" spans="1:79">
      <c r="A369" t="s">
        <v>733</v>
      </c>
      <c r="B369" t="s">
        <v>566</v>
      </c>
      <c r="C369" t="s">
        <v>563</v>
      </c>
      <c r="D369" t="s">
        <v>699</v>
      </c>
      <c r="E369" t="s">
        <v>77</v>
      </c>
      <c r="F369" t="s">
        <v>32</v>
      </c>
      <c r="G369">
        <v>20</v>
      </c>
      <c r="H369">
        <v>64</v>
      </c>
      <c r="I369" t="b">
        <v>1</v>
      </c>
      <c r="J369" t="s">
        <v>33</v>
      </c>
      <c r="K369" t="s">
        <v>33</v>
      </c>
      <c r="L369">
        <v>20</v>
      </c>
      <c r="M369" s="4">
        <v>64</v>
      </c>
      <c r="N369" s="3">
        <f>IFERROR(AF369/((T369*X369/Y369)*O369*AI369),"NA")</f>
        <v>63.657407407407391</v>
      </c>
      <c r="O369">
        <v>5</v>
      </c>
      <c r="P369">
        <v>0.43</v>
      </c>
      <c r="Q369" s="8">
        <f>IFERROR(X369/Y369, "NA")</f>
        <v>0.43200000000000011</v>
      </c>
      <c r="R369" t="s">
        <v>183</v>
      </c>
      <c r="S369" t="s">
        <v>612</v>
      </c>
      <c r="T369" s="11">
        <v>1</v>
      </c>
      <c r="U369">
        <v>4</v>
      </c>
      <c r="V369" t="s">
        <v>33</v>
      </c>
      <c r="W369">
        <f>0.4*3*0.5</f>
        <v>0.60000000000000009</v>
      </c>
      <c r="X369" s="9">
        <f>W369</f>
        <v>0.60000000000000009</v>
      </c>
      <c r="Y369" s="6">
        <f>5000/3600</f>
        <v>1.3888888888888888</v>
      </c>
      <c r="Z369" s="3">
        <f t="shared" si="195"/>
        <v>1.3963636363636365</v>
      </c>
      <c r="AA369" t="s">
        <v>33</v>
      </c>
      <c r="AB369" s="4">
        <f>IFERROR(((X369*M369)/Y369), "NA")</f>
        <v>27.648000000000007</v>
      </c>
      <c r="AC369" s="4">
        <f t="shared" si="194"/>
        <v>27.52</v>
      </c>
      <c r="AD369" s="4">
        <f>AB369*T369*AI369</f>
        <v>27.648000000000007</v>
      </c>
      <c r="AE369" s="3">
        <f t="shared" si="197"/>
        <v>110.59200000000003</v>
      </c>
      <c r="AF369">
        <v>137.5</v>
      </c>
      <c r="AG369" s="4">
        <f>IFERROR((M369*O369*P369), "NA")</f>
        <v>137.6</v>
      </c>
      <c r="AH369" s="4">
        <f>IFERROR((AG369*T369*AI369), "NA")</f>
        <v>137.6</v>
      </c>
      <c r="AI369">
        <v>1</v>
      </c>
      <c r="AJ369" s="11" t="s">
        <v>31</v>
      </c>
      <c r="AK369">
        <v>2000</v>
      </c>
      <c r="AL369" t="s">
        <v>784</v>
      </c>
      <c r="AM369" t="s">
        <v>103</v>
      </c>
      <c r="AN369" t="s">
        <v>130</v>
      </c>
      <c r="AO369" t="s">
        <v>795</v>
      </c>
      <c r="AP369">
        <v>7</v>
      </c>
      <c r="AQ369" t="s">
        <v>33</v>
      </c>
      <c r="AR369" t="s">
        <v>33</v>
      </c>
      <c r="AS369" s="6">
        <f>LOG(AVERAGE(10^8, 10^9))</f>
        <v>8.7403626894942441</v>
      </c>
      <c r="AT369" s="3">
        <f>IFERROR(AS369-AU369,"NA")</f>
        <v>3.6093626894942439</v>
      </c>
      <c r="AU369" s="6">
        <v>5.1310000000000002</v>
      </c>
      <c r="AV369" t="b">
        <v>1</v>
      </c>
      <c r="AW369" t="s">
        <v>172</v>
      </c>
      <c r="AX369" t="s">
        <v>173</v>
      </c>
      <c r="AY369">
        <v>106.0004</v>
      </c>
      <c r="AZ369" t="s">
        <v>33</v>
      </c>
      <c r="BA369" s="18" t="s">
        <v>799</v>
      </c>
      <c r="BB369" s="3" t="b">
        <v>0</v>
      </c>
      <c r="BC369" t="s">
        <v>81</v>
      </c>
      <c r="BD369">
        <v>24</v>
      </c>
      <c r="BE369" t="s">
        <v>80</v>
      </c>
      <c r="BF369">
        <v>48</v>
      </c>
      <c r="BG369" t="s">
        <v>734</v>
      </c>
      <c r="BH369" t="s">
        <v>31</v>
      </c>
      <c r="BI369" t="s">
        <v>31</v>
      </c>
      <c r="BJ369" s="3">
        <f t="shared" si="199"/>
        <v>5.1310000000000002</v>
      </c>
      <c r="BK369" s="3">
        <f t="shared" si="179"/>
        <v>0.71020201465538479</v>
      </c>
      <c r="BL369">
        <v>2</v>
      </c>
      <c r="BM369" s="3">
        <f t="shared" si="198"/>
        <v>1.3335216974713768</v>
      </c>
      <c r="BN369" t="s">
        <v>33</v>
      </c>
      <c r="BO369" s="3">
        <f t="shared" si="175"/>
        <v>21.553693237185737</v>
      </c>
      <c r="BP369" t="s">
        <v>33</v>
      </c>
      <c r="BQ369" t="s">
        <v>33</v>
      </c>
      <c r="BR369" t="s">
        <v>33</v>
      </c>
      <c r="BS369" t="s">
        <v>33</v>
      </c>
      <c r="BT369" t="s">
        <v>32</v>
      </c>
      <c r="BU369" t="s">
        <v>709</v>
      </c>
      <c r="BV369">
        <v>2024</v>
      </c>
      <c r="BW369" t="s">
        <v>710</v>
      </c>
      <c r="BX369" t="s">
        <v>78</v>
      </c>
      <c r="BY369" t="s">
        <v>711</v>
      </c>
      <c r="CA369" t="str">
        <f t="shared" si="176"/>
        <v>low acid</v>
      </c>
    </row>
    <row r="370" spans="1:79">
      <c r="A370" t="s">
        <v>584</v>
      </c>
      <c r="B370" t="s">
        <v>566</v>
      </c>
      <c r="C370" t="s">
        <v>563</v>
      </c>
      <c r="D370" t="s">
        <v>607</v>
      </c>
      <c r="E370" t="s">
        <v>77</v>
      </c>
      <c r="F370" t="s">
        <v>33</v>
      </c>
      <c r="G370">
        <v>20</v>
      </c>
      <c r="H370">
        <v>35</v>
      </c>
      <c r="I370" t="b">
        <v>0</v>
      </c>
      <c r="J370">
        <v>1000</v>
      </c>
      <c r="K370">
        <v>200</v>
      </c>
      <c r="L370">
        <v>25</v>
      </c>
      <c r="M370" s="4">
        <v>1</v>
      </c>
      <c r="N370" t="e">
        <f>(#REF!*Y370)/(T370*X370*O370)</f>
        <v>#REF!</v>
      </c>
      <c r="O370">
        <v>3</v>
      </c>
      <c r="P370" t="s">
        <v>33</v>
      </c>
      <c r="Q370" s="1">
        <f t="shared" ref="Q370:Q408" si="200">IFERROR(X370/Z370, "NA")</f>
        <v>100.00000000000001</v>
      </c>
      <c r="R370" t="s">
        <v>183</v>
      </c>
      <c r="S370" t="s">
        <v>33</v>
      </c>
      <c r="T370">
        <v>1</v>
      </c>
      <c r="U370">
        <v>2.5</v>
      </c>
      <c r="V370" t="s">
        <v>33</v>
      </c>
      <c r="W370">
        <v>0.50249999999999995</v>
      </c>
      <c r="X370">
        <f>W370</f>
        <v>0.50249999999999995</v>
      </c>
      <c r="Y370" t="s">
        <v>33</v>
      </c>
      <c r="Z370" s="3">
        <f t="shared" si="195"/>
        <v>5.0249999999999991E-3</v>
      </c>
      <c r="AA370" t="s">
        <v>33</v>
      </c>
      <c r="AB370">
        <f>IFERROR(((X370*M370)/Z370), "NA")</f>
        <v>100.00000000000001</v>
      </c>
      <c r="AC370" s="1" t="str">
        <f t="shared" si="194"/>
        <v>NA</v>
      </c>
      <c r="AE370" s="3">
        <f t="shared" si="197"/>
        <v>187.50000000000003</v>
      </c>
      <c r="AF370">
        <v>300</v>
      </c>
      <c r="AG370" s="1" t="str">
        <f>IFERROR((N370*P370*Q370), "NA")</f>
        <v>NA</v>
      </c>
      <c r="AH370" s="1" t="str">
        <f>IFERROR((AG370*U370*AI370), "NA")</f>
        <v>NA</v>
      </c>
      <c r="AI370" s="1">
        <v>1</v>
      </c>
      <c r="AJ370" s="11" t="s">
        <v>31</v>
      </c>
      <c r="AK370">
        <v>1000</v>
      </c>
      <c r="AL370" t="s">
        <v>614</v>
      </c>
      <c r="AM370" s="3" t="s">
        <v>103</v>
      </c>
      <c r="AN370" t="s">
        <v>305</v>
      </c>
      <c r="AO370" t="s">
        <v>790</v>
      </c>
      <c r="AP370">
        <v>3.5</v>
      </c>
      <c r="AQ370" t="s">
        <v>33</v>
      </c>
      <c r="AR370" t="s">
        <v>33</v>
      </c>
      <c r="AS370">
        <v>8</v>
      </c>
      <c r="AT370">
        <f>AS370-AU370</f>
        <v>3.6100000000000003</v>
      </c>
      <c r="AU370" s="6">
        <v>4.3899999999999997</v>
      </c>
      <c r="AV370" t="b">
        <v>1</v>
      </c>
      <c r="AW370" t="s">
        <v>617</v>
      </c>
      <c r="AX370" t="s">
        <v>33</v>
      </c>
      <c r="AY370" t="s">
        <v>623</v>
      </c>
      <c r="AZ370" t="s">
        <v>621</v>
      </c>
      <c r="BA370" s="18" t="s">
        <v>802</v>
      </c>
      <c r="BB370" s="3" t="b">
        <v>0</v>
      </c>
      <c r="BC370" t="s">
        <v>81</v>
      </c>
      <c r="BD370">
        <v>18</v>
      </c>
      <c r="BE370" t="s">
        <v>80</v>
      </c>
      <c r="BF370">
        <v>24</v>
      </c>
      <c r="BG370" t="s">
        <v>642</v>
      </c>
      <c r="BH370" t="s">
        <v>32</v>
      </c>
      <c r="BI370" t="s">
        <v>31</v>
      </c>
      <c r="BJ370">
        <f t="shared" si="199"/>
        <v>4.3899999999999997</v>
      </c>
      <c r="BK370" s="3">
        <f t="shared" si="179"/>
        <v>0.64246452024212131</v>
      </c>
      <c r="BL370">
        <v>2</v>
      </c>
      <c r="BM370" s="3">
        <f t="shared" si="198"/>
        <v>1.6305367518216163</v>
      </c>
      <c r="BN370" t="s">
        <v>33</v>
      </c>
      <c r="BO370" s="3">
        <f t="shared" si="175"/>
        <v>42.710706150341693</v>
      </c>
      <c r="BP370" t="s">
        <v>33</v>
      </c>
      <c r="BQ370" t="s">
        <v>33</v>
      </c>
      <c r="BR370" t="s">
        <v>33</v>
      </c>
      <c r="BS370" t="s">
        <v>33</v>
      </c>
      <c r="BT370" t="s">
        <v>31</v>
      </c>
      <c r="BU370" t="s">
        <v>255</v>
      </c>
      <c r="BV370">
        <v>2010</v>
      </c>
      <c r="BW370" t="s">
        <v>651</v>
      </c>
      <c r="BX370" t="s">
        <v>78</v>
      </c>
      <c r="BY370" s="13" t="s">
        <v>674</v>
      </c>
      <c r="CA370" t="str">
        <f t="shared" si="176"/>
        <v>high acid</v>
      </c>
    </row>
    <row r="371" spans="1:79">
      <c r="A371" t="s">
        <v>261</v>
      </c>
      <c r="B371" t="s">
        <v>565</v>
      </c>
      <c r="C371" t="s">
        <v>563</v>
      </c>
      <c r="D371" t="s">
        <v>118</v>
      </c>
      <c r="E371" t="s">
        <v>77</v>
      </c>
      <c r="F371" t="s">
        <v>32</v>
      </c>
      <c r="G371">
        <v>5</v>
      </c>
      <c r="H371">
        <v>40</v>
      </c>
      <c r="I371" t="b">
        <v>0</v>
      </c>
      <c r="J371" t="s">
        <v>33</v>
      </c>
      <c r="K371" t="s">
        <v>33</v>
      </c>
      <c r="L371">
        <v>35</v>
      </c>
      <c r="M371" s="4">
        <v>175</v>
      </c>
      <c r="N371" s="3">
        <f t="shared" ref="N371:N378" si="201">IFERROR(AF371/((T371*X371/Y371)*O371*AI371),"NA")</f>
        <v>5903.0038247230323</v>
      </c>
      <c r="O371">
        <v>4</v>
      </c>
      <c r="P371" t="s">
        <v>33</v>
      </c>
      <c r="Q371" s="8">
        <f t="shared" si="200"/>
        <v>0.22321428571428573</v>
      </c>
      <c r="R371" t="s">
        <v>183</v>
      </c>
      <c r="S371" t="s">
        <v>613</v>
      </c>
      <c r="T371" s="11">
        <v>8</v>
      </c>
      <c r="U371">
        <v>2.92</v>
      </c>
      <c r="V371">
        <v>2.2999999999999998</v>
      </c>
      <c r="W371">
        <v>1.21E-2</v>
      </c>
      <c r="X371" s="8">
        <f t="shared" ref="X371:X378" si="202">IFERROR(((PI())*(((V371*10^-1)/2)^2)*(U371*10^-1)), "NA")</f>
        <v>1.2131888350367701E-2</v>
      </c>
      <c r="Y371" s="6">
        <f>110/60</f>
        <v>1.8333333333333333</v>
      </c>
      <c r="Z371" s="3">
        <f t="shared" si="195"/>
        <v>5.4350859809647295E-2</v>
      </c>
      <c r="AA371" t="s">
        <v>33</v>
      </c>
      <c r="AB371" s="6">
        <f>IFERROR(((X371*M371)/Z371), "NA")</f>
        <v>39.0625</v>
      </c>
      <c r="AC371" t="str">
        <f t="shared" si="194"/>
        <v>NA</v>
      </c>
      <c r="AD371" s="4">
        <f>AB371*T371*AI371</f>
        <v>312.5</v>
      </c>
      <c r="AE371" s="3">
        <f t="shared" si="197"/>
        <v>7855.3124999999991</v>
      </c>
      <c r="AF371">
        <v>1250</v>
      </c>
      <c r="AG371" t="str">
        <f t="shared" ref="AG371:AG378" si="203">IFERROR((M371*O371*P371), "NA")</f>
        <v>NA</v>
      </c>
      <c r="AH371" t="str">
        <f t="shared" ref="AH371:AH378" si="204">IFERROR((AG371*T371*AI371), "NA")</f>
        <v>NA</v>
      </c>
      <c r="AI371">
        <v>1</v>
      </c>
      <c r="AJ371" t="s">
        <v>31</v>
      </c>
      <c r="AK371">
        <v>5130</v>
      </c>
      <c r="AL371" t="s">
        <v>547</v>
      </c>
      <c r="AM371" t="s">
        <v>86</v>
      </c>
      <c r="AN371" t="s">
        <v>205</v>
      </c>
      <c r="AO371" t="s">
        <v>789</v>
      </c>
      <c r="AP371">
        <v>3.16</v>
      </c>
      <c r="AQ371" t="s">
        <v>33</v>
      </c>
      <c r="AR371" t="s">
        <v>33</v>
      </c>
      <c r="AS371" s="6">
        <f>LOG((10^7+10^8)/2)</f>
        <v>7.7403626894942441</v>
      </c>
      <c r="AT371" s="3">
        <f t="shared" ref="AT371:AT378" si="205">IFERROR(AS371-AU371,"NA")</f>
        <v>3.6153626894942441</v>
      </c>
      <c r="AU371" s="6">
        <v>4.125</v>
      </c>
      <c r="AV371" t="b">
        <v>1</v>
      </c>
      <c r="AW371" t="s">
        <v>29</v>
      </c>
      <c r="AX371" t="s">
        <v>30</v>
      </c>
      <c r="AY371" t="s">
        <v>33</v>
      </c>
      <c r="AZ371" t="s">
        <v>134</v>
      </c>
      <c r="BA371" s="18" t="s">
        <v>798</v>
      </c>
      <c r="BB371" t="b">
        <v>0</v>
      </c>
      <c r="BC371" t="s">
        <v>81</v>
      </c>
      <c r="BD371">
        <v>15</v>
      </c>
      <c r="BE371" t="s">
        <v>80</v>
      </c>
      <c r="BF371" s="11">
        <v>24</v>
      </c>
      <c r="BG371" t="s">
        <v>262</v>
      </c>
      <c r="BH371" t="s">
        <v>31</v>
      </c>
      <c r="BI371" t="s">
        <v>31</v>
      </c>
      <c r="BJ371" s="3">
        <f t="shared" si="199"/>
        <v>4.125</v>
      </c>
      <c r="BK371" s="3">
        <f t="shared" si="179"/>
        <v>0.61542395288594387</v>
      </c>
      <c r="BL371">
        <v>2</v>
      </c>
      <c r="BM371" s="3">
        <f t="shared" si="198"/>
        <v>3.27973951393448</v>
      </c>
      <c r="BN371" t="s">
        <v>33</v>
      </c>
      <c r="BO371" s="3">
        <f t="shared" si="175"/>
        <v>1904.3181818181815</v>
      </c>
      <c r="BP371" t="s">
        <v>33</v>
      </c>
      <c r="BQ371" t="s">
        <v>33</v>
      </c>
      <c r="BR371" t="s">
        <v>33</v>
      </c>
      <c r="BS371" t="s">
        <v>33</v>
      </c>
      <c r="BT371" t="s">
        <v>31</v>
      </c>
      <c r="BU371" t="s">
        <v>219</v>
      </c>
      <c r="BV371">
        <v>2008</v>
      </c>
      <c r="BW371" s="2" t="s">
        <v>257</v>
      </c>
      <c r="BX371" t="s">
        <v>78</v>
      </c>
      <c r="BY371" t="s">
        <v>33</v>
      </c>
      <c r="BZ371" t="s">
        <v>33</v>
      </c>
      <c r="CA371" t="str">
        <f t="shared" si="176"/>
        <v>high acid</v>
      </c>
    </row>
    <row r="372" spans="1:79">
      <c r="A372" t="s">
        <v>429</v>
      </c>
      <c r="B372" t="s">
        <v>565</v>
      </c>
      <c r="C372" t="s">
        <v>563</v>
      </c>
      <c r="D372" t="s">
        <v>118</v>
      </c>
      <c r="E372" t="s">
        <v>77</v>
      </c>
      <c r="F372" t="s">
        <v>32</v>
      </c>
      <c r="G372">
        <v>4</v>
      </c>
      <c r="H372">
        <v>40</v>
      </c>
      <c r="I372" t="b">
        <v>0</v>
      </c>
      <c r="J372" t="s">
        <v>33</v>
      </c>
      <c r="K372" t="s">
        <v>33</v>
      </c>
      <c r="L372">
        <v>35</v>
      </c>
      <c r="M372" s="4">
        <v>200</v>
      </c>
      <c r="N372" s="3">
        <f t="shared" si="201"/>
        <v>1091.6549694833905</v>
      </c>
      <c r="O372">
        <v>4</v>
      </c>
      <c r="P372" t="s">
        <v>33</v>
      </c>
      <c r="Q372" s="8">
        <f t="shared" si="200"/>
        <v>6.5765624999999994E-2</v>
      </c>
      <c r="R372" t="s">
        <v>183</v>
      </c>
      <c r="S372" t="s">
        <v>613</v>
      </c>
      <c r="T372" s="11">
        <v>8</v>
      </c>
      <c r="U372">
        <v>2.9</v>
      </c>
      <c r="V372">
        <v>2.2999999999999998</v>
      </c>
      <c r="W372" t="s">
        <v>33</v>
      </c>
      <c r="X372" s="9">
        <f t="shared" si="202"/>
        <v>1.204879322468025E-2</v>
      </c>
      <c r="Y372" s="6">
        <f>60/60</f>
        <v>1</v>
      </c>
      <c r="Z372" s="3">
        <f t="shared" si="195"/>
        <v>0.18320806994049324</v>
      </c>
      <c r="AA372" t="s">
        <v>33</v>
      </c>
      <c r="AB372" s="6">
        <f>IFERROR(((X372*M372)/Y372), "NA")</f>
        <v>2.40975864493605</v>
      </c>
      <c r="AC372" t="str">
        <f t="shared" si="194"/>
        <v>NA</v>
      </c>
      <c r="AD372" s="4">
        <f>AB372*T372*AI372</f>
        <v>19.2780691594884</v>
      </c>
      <c r="AE372" s="3">
        <f t="shared" si="197"/>
        <v>794.02784999999983</v>
      </c>
      <c r="AF372">
        <v>420.9</v>
      </c>
      <c r="AG372" t="str">
        <f t="shared" si="203"/>
        <v>NA</v>
      </c>
      <c r="AH372" t="str">
        <f t="shared" si="204"/>
        <v>NA</v>
      </c>
      <c r="AI372" s="11">
        <v>1</v>
      </c>
      <c r="AJ372" t="s">
        <v>31</v>
      </c>
      <c r="AK372">
        <v>1540</v>
      </c>
      <c r="AL372" t="s">
        <v>424</v>
      </c>
      <c r="AM372" t="s">
        <v>86</v>
      </c>
      <c r="AN372" t="s">
        <v>205</v>
      </c>
      <c r="AO372" t="s">
        <v>789</v>
      </c>
      <c r="AP372" s="4">
        <v>3.67</v>
      </c>
      <c r="AQ372" t="s">
        <v>33</v>
      </c>
      <c r="AR372" t="s">
        <v>33</v>
      </c>
      <c r="AS372" s="3">
        <v>7.54</v>
      </c>
      <c r="AT372" s="3">
        <f t="shared" si="205"/>
        <v>3.6160000000000001</v>
      </c>
      <c r="AU372" s="6">
        <v>3.9239999999999999</v>
      </c>
      <c r="AV372" t="b">
        <v>1</v>
      </c>
      <c r="AW372" t="s">
        <v>92</v>
      </c>
      <c r="AX372" t="s">
        <v>119</v>
      </c>
      <c r="AY372" t="s">
        <v>425</v>
      </c>
      <c r="AZ372" t="s">
        <v>33</v>
      </c>
      <c r="BA372" s="18" t="s">
        <v>801</v>
      </c>
      <c r="BB372" t="b">
        <v>0</v>
      </c>
      <c r="BC372" t="s">
        <v>81</v>
      </c>
      <c r="BD372">
        <v>15</v>
      </c>
      <c r="BE372" t="s">
        <v>80</v>
      </c>
      <c r="BF372" s="11">
        <v>36</v>
      </c>
      <c r="BG372" t="s">
        <v>573</v>
      </c>
      <c r="BH372" t="s">
        <v>31</v>
      </c>
      <c r="BI372" t="s">
        <v>31</v>
      </c>
      <c r="BJ372" s="3">
        <f t="shared" si="199"/>
        <v>3.9239999999999999</v>
      </c>
      <c r="BK372" s="3">
        <f t="shared" si="179"/>
        <v>0.59372899870791085</v>
      </c>
      <c r="BL372">
        <v>2</v>
      </c>
      <c r="BM372" s="3">
        <f t="shared" si="198"/>
        <v>2.3061067365771257</v>
      </c>
      <c r="BN372" t="s">
        <v>33</v>
      </c>
      <c r="BO372" s="3">
        <f t="shared" si="175"/>
        <v>202.35164373088682</v>
      </c>
      <c r="BP372" t="s">
        <v>33</v>
      </c>
      <c r="BQ372" t="s">
        <v>33</v>
      </c>
      <c r="BR372" t="s">
        <v>33</v>
      </c>
      <c r="BS372" t="s">
        <v>33</v>
      </c>
      <c r="BT372" t="s">
        <v>31</v>
      </c>
      <c r="BU372" t="s">
        <v>426</v>
      </c>
      <c r="BV372">
        <v>2017</v>
      </c>
      <c r="BW372" t="s">
        <v>427</v>
      </c>
      <c r="BX372" t="s">
        <v>78</v>
      </c>
      <c r="BY372" t="s">
        <v>428</v>
      </c>
      <c r="BZ372" t="s">
        <v>33</v>
      </c>
      <c r="CA372" t="str">
        <f t="shared" si="176"/>
        <v>high acid</v>
      </c>
    </row>
    <row r="373" spans="1:79">
      <c r="A373" t="s">
        <v>431</v>
      </c>
      <c r="B373" t="s">
        <v>565</v>
      </c>
      <c r="C373" t="s">
        <v>563</v>
      </c>
      <c r="D373" t="s">
        <v>118</v>
      </c>
      <c r="E373" t="s">
        <v>77</v>
      </c>
      <c r="F373" t="s">
        <v>32</v>
      </c>
      <c r="G373">
        <v>20</v>
      </c>
      <c r="H373">
        <v>25</v>
      </c>
      <c r="I373" t="b">
        <v>0</v>
      </c>
      <c r="J373" t="s">
        <v>33</v>
      </c>
      <c r="K373" t="s">
        <v>33</v>
      </c>
      <c r="L373">
        <v>38.4</v>
      </c>
      <c r="M373" s="4">
        <v>667</v>
      </c>
      <c r="N373" s="3" t="str">
        <f t="shared" si="201"/>
        <v>NA</v>
      </c>
      <c r="O373">
        <v>2</v>
      </c>
      <c r="P373" t="s">
        <v>33</v>
      </c>
      <c r="Q373" s="8">
        <f t="shared" si="200"/>
        <v>9.9950024987506252E-3</v>
      </c>
      <c r="R373" t="s">
        <v>183</v>
      </c>
      <c r="S373" t="s">
        <v>613</v>
      </c>
      <c r="T373" s="11">
        <v>6</v>
      </c>
      <c r="U373">
        <v>2.92</v>
      </c>
      <c r="V373">
        <v>2.2999999999999998</v>
      </c>
      <c r="W373" t="s">
        <v>33</v>
      </c>
      <c r="X373" s="9">
        <f t="shared" si="202"/>
        <v>1.2131888350367701E-2</v>
      </c>
      <c r="Y373" s="6" t="s">
        <v>33</v>
      </c>
      <c r="Z373" s="3">
        <f t="shared" si="195"/>
        <v>1.2137954294542883</v>
      </c>
      <c r="AA373" t="s">
        <v>33</v>
      </c>
      <c r="AB373" s="6" t="str">
        <f>IFERROR(((X373*M373)/Y373), "NA")</f>
        <v>NA</v>
      </c>
      <c r="AC373" t="str">
        <f t="shared" si="194"/>
        <v>NA</v>
      </c>
      <c r="AD373" s="4" t="str">
        <f>IFERROR(AB373*T373*AI373, "NA")</f>
        <v>NA</v>
      </c>
      <c r="AE373" s="3">
        <f t="shared" si="197"/>
        <v>117.96480000000001</v>
      </c>
      <c r="AF373">
        <v>80</v>
      </c>
      <c r="AG373" t="str">
        <f t="shared" si="203"/>
        <v>NA</v>
      </c>
      <c r="AH373" t="str">
        <f t="shared" si="204"/>
        <v>NA</v>
      </c>
      <c r="AI373" s="11">
        <v>1</v>
      </c>
      <c r="AJ373" t="s">
        <v>31</v>
      </c>
      <c r="AK373">
        <v>1000</v>
      </c>
      <c r="AL373" t="s">
        <v>430</v>
      </c>
      <c r="AM373" t="s">
        <v>530</v>
      </c>
      <c r="AN373" t="s">
        <v>186</v>
      </c>
      <c r="AO373" t="s">
        <v>796</v>
      </c>
      <c r="AP373" s="4">
        <v>6</v>
      </c>
      <c r="AQ373" t="s">
        <v>33</v>
      </c>
      <c r="AR373" t="s">
        <v>33</v>
      </c>
      <c r="AS373" s="3">
        <f>LOG((10^6+10^7)/2)</f>
        <v>6.7403626894942441</v>
      </c>
      <c r="AT373" s="3">
        <f t="shared" si="205"/>
        <v>3.6193626894942441</v>
      </c>
      <c r="AU373" s="6">
        <v>3.121</v>
      </c>
      <c r="AV373" t="b">
        <v>1</v>
      </c>
      <c r="AW373" t="s">
        <v>29</v>
      </c>
      <c r="AX373" t="s">
        <v>30</v>
      </c>
      <c r="AY373" t="s">
        <v>216</v>
      </c>
      <c r="AZ373" t="s">
        <v>33</v>
      </c>
      <c r="BA373" s="18" t="s">
        <v>798</v>
      </c>
      <c r="BB373" s="3" t="b">
        <v>0</v>
      </c>
      <c r="BC373" t="s">
        <v>81</v>
      </c>
      <c r="BD373">
        <v>15</v>
      </c>
      <c r="BE373" t="s">
        <v>80</v>
      </c>
      <c r="BF373" s="11">
        <v>240</v>
      </c>
      <c r="BG373" t="s">
        <v>139</v>
      </c>
      <c r="BH373" t="s">
        <v>31</v>
      </c>
      <c r="BI373" t="s">
        <v>31</v>
      </c>
      <c r="BJ373" s="3">
        <f t="shared" si="199"/>
        <v>3.121</v>
      </c>
      <c r="BK373" s="3">
        <f t="shared" si="179"/>
        <v>0.4942937686653327</v>
      </c>
      <c r="BL373">
        <v>2</v>
      </c>
      <c r="BM373" s="3">
        <f t="shared" si="198"/>
        <v>1.5774586670616726</v>
      </c>
      <c r="BN373" t="s">
        <v>33</v>
      </c>
      <c r="BO373" s="3">
        <f t="shared" si="175"/>
        <v>37.797116308875367</v>
      </c>
      <c r="BP373" t="s">
        <v>33</v>
      </c>
      <c r="BQ373" t="s">
        <v>33</v>
      </c>
      <c r="BR373" t="s">
        <v>33</v>
      </c>
      <c r="BS373" t="s">
        <v>33</v>
      </c>
      <c r="BT373" t="s">
        <v>32</v>
      </c>
      <c r="BU373" t="s">
        <v>344</v>
      </c>
      <c r="BV373">
        <v>2008</v>
      </c>
      <c r="BW373" t="s">
        <v>432</v>
      </c>
      <c r="BX373" t="s">
        <v>78</v>
      </c>
      <c r="BY373" t="s">
        <v>33</v>
      </c>
      <c r="BZ373" t="s">
        <v>33</v>
      </c>
      <c r="CA373" t="str">
        <f t="shared" si="176"/>
        <v>low acid</v>
      </c>
    </row>
    <row r="374" spans="1:79">
      <c r="A374" t="s">
        <v>538</v>
      </c>
      <c r="B374" t="s">
        <v>565</v>
      </c>
      <c r="C374" t="s">
        <v>563</v>
      </c>
      <c r="D374" t="s">
        <v>118</v>
      </c>
      <c r="E374" t="s">
        <v>77</v>
      </c>
      <c r="F374" t="s">
        <v>32</v>
      </c>
      <c r="G374">
        <v>20</v>
      </c>
      <c r="H374">
        <v>55</v>
      </c>
      <c r="I374" t="b">
        <v>0</v>
      </c>
      <c r="J374" t="s">
        <v>33</v>
      </c>
      <c r="K374" t="s">
        <v>33</v>
      </c>
      <c r="L374">
        <v>35</v>
      </c>
      <c r="M374" s="4" t="s">
        <v>33</v>
      </c>
      <c r="N374" s="3">
        <f t="shared" si="201"/>
        <v>213.57979937104741</v>
      </c>
      <c r="O374">
        <v>2.5</v>
      </c>
      <c r="P374" t="s">
        <v>33</v>
      </c>
      <c r="Q374" s="8">
        <f t="shared" si="200"/>
        <v>1.2173435913211428E-2</v>
      </c>
      <c r="R374" t="s">
        <v>183</v>
      </c>
      <c r="S374" t="s">
        <v>613</v>
      </c>
      <c r="T374" s="11">
        <v>6</v>
      </c>
      <c r="U374">
        <v>2.93</v>
      </c>
      <c r="V374">
        <v>2.2999999999999998</v>
      </c>
      <c r="W374" t="s">
        <v>33</v>
      </c>
      <c r="X374" s="8">
        <f t="shared" si="202"/>
        <v>1.2173435913211428E-2</v>
      </c>
      <c r="Y374">
        <f>60/60</f>
        <v>1</v>
      </c>
      <c r="Z374" s="3">
        <f>IFERROR(X374*N374*O374*T374*AI374/AF374, "NA")</f>
        <v>1</v>
      </c>
      <c r="AA374" t="s">
        <v>33</v>
      </c>
      <c r="AB374" s="6">
        <f>IFERROR(((X374*N374)/Y374), "NA")</f>
        <v>2.6</v>
      </c>
      <c r="AC374" t="str">
        <f t="shared" si="194"/>
        <v>NA</v>
      </c>
      <c r="AD374" s="4">
        <f>IFERROR(AB374*T374*AI374, "NA")</f>
        <v>15.600000000000001</v>
      </c>
      <c r="AE374" s="3">
        <f>IFERROR(((L374^2)*N374*O374*AK374*10^-6*Q374*T374*AI374), "NA")</f>
        <v>139.02525</v>
      </c>
      <c r="AF374">
        <v>39</v>
      </c>
      <c r="AG374" t="str">
        <f t="shared" si="203"/>
        <v>NA</v>
      </c>
      <c r="AH374" t="str">
        <f t="shared" si="204"/>
        <v>NA</v>
      </c>
      <c r="AI374" s="11">
        <v>1</v>
      </c>
      <c r="AJ374" t="s">
        <v>31</v>
      </c>
      <c r="AK374">
        <v>2910</v>
      </c>
      <c r="AL374" t="s">
        <v>543</v>
      </c>
      <c r="AM374" t="s">
        <v>86</v>
      </c>
      <c r="AN374" t="s">
        <v>205</v>
      </c>
      <c r="AO374" t="s">
        <v>789</v>
      </c>
      <c r="AP374">
        <v>4.05</v>
      </c>
      <c r="AQ374" t="s">
        <v>33</v>
      </c>
      <c r="AR374" t="s">
        <v>33</v>
      </c>
      <c r="AS374">
        <f>LOG(10^6)</f>
        <v>6</v>
      </c>
      <c r="AT374" s="3">
        <f t="shared" si="205"/>
        <v>3.6259999999999999</v>
      </c>
      <c r="AU374" s="6">
        <v>2.3740000000000001</v>
      </c>
      <c r="AV374" t="b">
        <v>1</v>
      </c>
      <c r="AW374" t="s">
        <v>29</v>
      </c>
      <c r="AX374" t="s">
        <v>30</v>
      </c>
      <c r="AY374" t="s">
        <v>216</v>
      </c>
      <c r="AZ374" t="s">
        <v>33</v>
      </c>
      <c r="BA374" s="18" t="s">
        <v>798</v>
      </c>
      <c r="BB374" t="b">
        <v>0</v>
      </c>
      <c r="BC374" t="s">
        <v>81</v>
      </c>
      <c r="BD374">
        <v>4</v>
      </c>
      <c r="BE374" t="s">
        <v>159</v>
      </c>
      <c r="BF374" s="11">
        <v>24</v>
      </c>
      <c r="BG374" t="s">
        <v>572</v>
      </c>
      <c r="BH374" t="s">
        <v>31</v>
      </c>
      <c r="BI374" t="s">
        <v>31</v>
      </c>
      <c r="BJ374" s="3">
        <f t="shared" si="199"/>
        <v>2.3740000000000001</v>
      </c>
      <c r="BK374" s="3">
        <f t="shared" si="179"/>
        <v>0.37548071461857241</v>
      </c>
      <c r="BL374">
        <v>2</v>
      </c>
      <c r="BM374" s="3">
        <f t="shared" si="198"/>
        <v>1.7676129700943854</v>
      </c>
      <c r="BN374" t="s">
        <v>33</v>
      </c>
      <c r="BO374" s="3">
        <f t="shared" si="175"/>
        <v>58.561604886267901</v>
      </c>
      <c r="BP374" t="s">
        <v>33</v>
      </c>
      <c r="BQ374" t="s">
        <v>33</v>
      </c>
      <c r="BR374" t="s">
        <v>33</v>
      </c>
      <c r="BS374" t="s">
        <v>33</v>
      </c>
      <c r="BT374" t="s">
        <v>31</v>
      </c>
      <c r="BU374" t="s">
        <v>274</v>
      </c>
      <c r="BV374">
        <v>2006</v>
      </c>
      <c r="BW374" t="s">
        <v>275</v>
      </c>
      <c r="BX374" t="s">
        <v>78</v>
      </c>
      <c r="BY374" t="s">
        <v>277</v>
      </c>
      <c r="BZ374" t="s">
        <v>33</v>
      </c>
      <c r="CA374" t="str">
        <f t="shared" si="176"/>
        <v>high acid</v>
      </c>
    </row>
    <row r="375" spans="1:79">
      <c r="A375" t="s">
        <v>538</v>
      </c>
      <c r="B375" t="s">
        <v>565</v>
      </c>
      <c r="C375" t="s">
        <v>563</v>
      </c>
      <c r="D375" t="s">
        <v>118</v>
      </c>
      <c r="E375" t="s">
        <v>77</v>
      </c>
      <c r="F375" t="s">
        <v>32</v>
      </c>
      <c r="G375">
        <v>20</v>
      </c>
      <c r="H375">
        <v>55</v>
      </c>
      <c r="I375" t="b">
        <v>0</v>
      </c>
      <c r="J375" t="s">
        <v>33</v>
      </c>
      <c r="K375" t="s">
        <v>33</v>
      </c>
      <c r="L375">
        <v>15</v>
      </c>
      <c r="M375" s="4" t="s">
        <v>33</v>
      </c>
      <c r="N375" s="3">
        <f t="shared" si="201"/>
        <v>706.4562594580799</v>
      </c>
      <c r="O375">
        <v>2.5</v>
      </c>
      <c r="P375" t="s">
        <v>33</v>
      </c>
      <c r="Q375" s="8">
        <f t="shared" si="200"/>
        <v>1.2173435913211428E-2</v>
      </c>
      <c r="R375" t="s">
        <v>183</v>
      </c>
      <c r="S375" t="s">
        <v>613</v>
      </c>
      <c r="T375" s="11">
        <v>6</v>
      </c>
      <c r="U375">
        <v>2.93</v>
      </c>
      <c r="V375">
        <v>2.2999999999999998</v>
      </c>
      <c r="W375" t="s">
        <v>33</v>
      </c>
      <c r="X375" s="8">
        <f t="shared" si="202"/>
        <v>1.2173435913211428E-2</v>
      </c>
      <c r="Y375">
        <f>60/60</f>
        <v>1</v>
      </c>
      <c r="Z375" s="3">
        <f>IFERROR(X375*N375*O375*T375*AI375/AF375, "NA")</f>
        <v>1</v>
      </c>
      <c r="AA375" t="s">
        <v>33</v>
      </c>
      <c r="AB375" s="6">
        <f>IFERROR(((X375*N375)/Y375), "NA")</f>
        <v>8.6</v>
      </c>
      <c r="AC375" t="str">
        <f t="shared" si="194"/>
        <v>NA</v>
      </c>
      <c r="AD375" s="4">
        <f>IFERROR(AB375*T375*AI375, "NA")</f>
        <v>51.599999999999994</v>
      </c>
      <c r="AE375" s="3">
        <f>IFERROR(((L375^2)*N375*O375*AK375*10^-6*Q375*T375*AI375), "NA")</f>
        <v>84.462750000000014</v>
      </c>
      <c r="AF375">
        <v>129</v>
      </c>
      <c r="AG375" t="str">
        <f t="shared" si="203"/>
        <v>NA</v>
      </c>
      <c r="AH375" t="str">
        <f t="shared" si="204"/>
        <v>NA</v>
      </c>
      <c r="AI375" s="11">
        <v>1</v>
      </c>
      <c r="AJ375" t="s">
        <v>31</v>
      </c>
      <c r="AK375">
        <v>2910</v>
      </c>
      <c r="AL375" t="s">
        <v>543</v>
      </c>
      <c r="AM375" t="s">
        <v>86</v>
      </c>
      <c r="AN375" t="s">
        <v>205</v>
      </c>
      <c r="AO375" t="s">
        <v>789</v>
      </c>
      <c r="AP375">
        <v>4.05</v>
      </c>
      <c r="AQ375" t="s">
        <v>33</v>
      </c>
      <c r="AR375" t="s">
        <v>33</v>
      </c>
      <c r="AS375">
        <f>LOG(10^6)</f>
        <v>6</v>
      </c>
      <c r="AT375" s="3">
        <f t="shared" si="205"/>
        <v>3.63</v>
      </c>
      <c r="AU375" s="6">
        <v>2.37</v>
      </c>
      <c r="AV375" t="b">
        <v>1</v>
      </c>
      <c r="AW375" t="s">
        <v>29</v>
      </c>
      <c r="AX375" t="s">
        <v>30</v>
      </c>
      <c r="AY375" t="s">
        <v>216</v>
      </c>
      <c r="AZ375" t="s">
        <v>33</v>
      </c>
      <c r="BA375" s="18" t="s">
        <v>798</v>
      </c>
      <c r="BB375" t="b">
        <v>0</v>
      </c>
      <c r="BC375" t="s">
        <v>81</v>
      </c>
      <c r="BD375">
        <v>4</v>
      </c>
      <c r="BE375" t="s">
        <v>159</v>
      </c>
      <c r="BF375" s="11">
        <v>24</v>
      </c>
      <c r="BG375" t="s">
        <v>572</v>
      </c>
      <c r="BH375" t="s">
        <v>31</v>
      </c>
      <c r="BI375" t="s">
        <v>31</v>
      </c>
      <c r="BJ375" s="3">
        <f t="shared" si="199"/>
        <v>2.37</v>
      </c>
      <c r="BK375" s="3">
        <f t="shared" si="179"/>
        <v>0.37474834601010387</v>
      </c>
      <c r="BL375">
        <v>2</v>
      </c>
      <c r="BM375" s="3">
        <f t="shared" si="198"/>
        <v>1.5519168713864149</v>
      </c>
      <c r="BN375" t="s">
        <v>33</v>
      </c>
      <c r="BO375" s="3">
        <f t="shared" si="175"/>
        <v>35.638291139240508</v>
      </c>
      <c r="BP375" t="s">
        <v>33</v>
      </c>
      <c r="BQ375" t="s">
        <v>33</v>
      </c>
      <c r="BR375" t="s">
        <v>33</v>
      </c>
      <c r="BS375" t="s">
        <v>33</v>
      </c>
      <c r="BT375" t="s">
        <v>31</v>
      </c>
      <c r="BU375" t="s">
        <v>274</v>
      </c>
      <c r="BV375">
        <v>2006</v>
      </c>
      <c r="BW375" t="s">
        <v>275</v>
      </c>
      <c r="BX375" t="s">
        <v>78</v>
      </c>
      <c r="BY375" t="s">
        <v>277</v>
      </c>
      <c r="BZ375" t="s">
        <v>33</v>
      </c>
      <c r="CA375" t="str">
        <f t="shared" si="176"/>
        <v>high acid</v>
      </c>
    </row>
    <row r="376" spans="1:79">
      <c r="A376" t="s">
        <v>533</v>
      </c>
      <c r="B376" t="s">
        <v>565</v>
      </c>
      <c r="C376" t="s">
        <v>564</v>
      </c>
      <c r="D376" t="s">
        <v>209</v>
      </c>
      <c r="E376" t="s">
        <v>77</v>
      </c>
      <c r="F376" t="s">
        <v>32</v>
      </c>
      <c r="G376">
        <v>30</v>
      </c>
      <c r="H376">
        <v>38.200000000000003</v>
      </c>
      <c r="I376" t="b">
        <v>0</v>
      </c>
      <c r="J376" t="s">
        <v>33</v>
      </c>
      <c r="K376" t="s">
        <v>33</v>
      </c>
      <c r="L376">
        <v>24</v>
      </c>
      <c r="M376" s="4">
        <v>120</v>
      </c>
      <c r="N376" s="3">
        <f t="shared" si="201"/>
        <v>99.406440458448728</v>
      </c>
      <c r="O376">
        <v>3</v>
      </c>
      <c r="P376" t="s">
        <v>33</v>
      </c>
      <c r="Q376" s="8">
        <f t="shared" si="200"/>
        <v>0.10416666666666666</v>
      </c>
      <c r="R376" t="s">
        <v>183</v>
      </c>
      <c r="S376" t="s">
        <v>612</v>
      </c>
      <c r="T376" s="11">
        <v>4</v>
      </c>
      <c r="U376">
        <v>3</v>
      </c>
      <c r="V376">
        <v>2.6</v>
      </c>
      <c r="W376" t="s">
        <v>33</v>
      </c>
      <c r="X376" s="8">
        <f t="shared" si="202"/>
        <v>1.5927874753700257E-2</v>
      </c>
      <c r="Y376" s="6">
        <f>7.6/60</f>
        <v>0.12666666666666665</v>
      </c>
      <c r="Z376" s="3">
        <f t="shared" ref="Z376:Z384" si="206">IFERROR(X376*M376*O376*T376*AI376/AF376, "NA")</f>
        <v>0.15290759763552247</v>
      </c>
      <c r="AA376" t="s">
        <v>33</v>
      </c>
      <c r="AB376" s="6">
        <f t="shared" ref="AB376:AB384" si="207">IFERROR(((X376*M376)/Z376), "NA")</f>
        <v>12.5</v>
      </c>
      <c r="AC376" t="str">
        <f t="shared" si="194"/>
        <v>NA</v>
      </c>
      <c r="AD376" s="4">
        <f>IFERROR(AB376*T376*AI376, "NA")</f>
        <v>50</v>
      </c>
      <c r="AE376" s="3">
        <f t="shared" ref="AE376:AE384" si="208">IFERROR(((L376^2)*M376*O376*AK376*10^-6*Q376*T376*AI376), "NA")</f>
        <v>84.671999999999983</v>
      </c>
      <c r="AF376">
        <v>150</v>
      </c>
      <c r="AG376" t="str">
        <f t="shared" si="203"/>
        <v>NA</v>
      </c>
      <c r="AH376" t="str">
        <f t="shared" si="204"/>
        <v>NA</v>
      </c>
      <c r="AI376" s="11">
        <v>1</v>
      </c>
      <c r="AJ376" t="s">
        <v>31</v>
      </c>
      <c r="AK376">
        <v>980</v>
      </c>
      <c r="AL376" t="s">
        <v>551</v>
      </c>
      <c r="AM376" t="s">
        <v>86</v>
      </c>
      <c r="AN376" t="s">
        <v>186</v>
      </c>
      <c r="AO376" t="s">
        <v>794</v>
      </c>
      <c r="AP376">
        <v>5.98</v>
      </c>
      <c r="AQ376" t="s">
        <v>33</v>
      </c>
      <c r="AR376" t="s">
        <v>33</v>
      </c>
      <c r="AS376" s="6">
        <v>6.5</v>
      </c>
      <c r="AT376" s="3">
        <f t="shared" si="205"/>
        <v>3.641</v>
      </c>
      <c r="AU376" s="6">
        <v>2.859</v>
      </c>
      <c r="AV376" t="b">
        <v>1</v>
      </c>
      <c r="AW376" t="s">
        <v>29</v>
      </c>
      <c r="AX376" t="s">
        <v>30</v>
      </c>
      <c r="AY376" t="s">
        <v>211</v>
      </c>
      <c r="AZ376" t="s">
        <v>33</v>
      </c>
      <c r="BA376" s="18" t="s">
        <v>798</v>
      </c>
      <c r="BB376" t="b">
        <v>0</v>
      </c>
      <c r="BC376" t="s">
        <v>81</v>
      </c>
      <c r="BD376">
        <v>20</v>
      </c>
      <c r="BE376" t="s">
        <v>80</v>
      </c>
      <c r="BF376" s="11">
        <v>20</v>
      </c>
      <c r="BG376" t="s">
        <v>570</v>
      </c>
      <c r="BH376" t="s">
        <v>31</v>
      </c>
      <c r="BI376" t="s">
        <v>31</v>
      </c>
      <c r="BJ376" s="3">
        <f t="shared" si="199"/>
        <v>2.859</v>
      </c>
      <c r="BK376" s="3">
        <f t="shared" si="179"/>
        <v>0.45621415535798887</v>
      </c>
      <c r="BL376">
        <v>2</v>
      </c>
      <c r="BM376" s="3">
        <f t="shared" si="198"/>
        <v>1.4715256628133992</v>
      </c>
      <c r="BN376" t="s">
        <v>33</v>
      </c>
      <c r="BO376" s="3">
        <f t="shared" si="175"/>
        <v>29.615949632738715</v>
      </c>
      <c r="BP376" t="s">
        <v>33</v>
      </c>
      <c r="BQ376" t="s">
        <v>33</v>
      </c>
      <c r="BR376" t="s">
        <v>33</v>
      </c>
      <c r="BS376" t="s">
        <v>33</v>
      </c>
      <c r="BT376" t="s">
        <v>32</v>
      </c>
      <c r="BU376" t="s">
        <v>207</v>
      </c>
      <c r="BV376">
        <v>2014</v>
      </c>
      <c r="BW376" t="s">
        <v>208</v>
      </c>
      <c r="BX376" t="s">
        <v>78</v>
      </c>
      <c r="BY376" t="s">
        <v>33</v>
      </c>
      <c r="BZ376" t="s">
        <v>33</v>
      </c>
      <c r="CA376" t="str">
        <f t="shared" si="176"/>
        <v>low acid</v>
      </c>
    </row>
    <row r="377" spans="1:79">
      <c r="A377" t="s">
        <v>392</v>
      </c>
      <c r="B377" t="s">
        <v>565</v>
      </c>
      <c r="C377" t="s">
        <v>563</v>
      </c>
      <c r="D377" t="s">
        <v>118</v>
      </c>
      <c r="E377" t="s">
        <v>77</v>
      </c>
      <c r="F377" t="s">
        <v>32</v>
      </c>
      <c r="G377">
        <v>25</v>
      </c>
      <c r="H377">
        <v>36</v>
      </c>
      <c r="I377" t="b">
        <v>0</v>
      </c>
      <c r="J377" t="s">
        <v>33</v>
      </c>
      <c r="K377" t="s">
        <v>33</v>
      </c>
      <c r="L377">
        <v>30</v>
      </c>
      <c r="M377" s="4">
        <v>200</v>
      </c>
      <c r="N377" s="3" t="str">
        <f t="shared" si="201"/>
        <v>NA</v>
      </c>
      <c r="O377">
        <v>4</v>
      </c>
      <c r="P377" t="s">
        <v>33</v>
      </c>
      <c r="Q377" s="8">
        <f t="shared" si="200"/>
        <v>0.15625</v>
      </c>
      <c r="R377" t="s">
        <v>183</v>
      </c>
      <c r="S377" t="s">
        <v>613</v>
      </c>
      <c r="T377" s="11">
        <v>8</v>
      </c>
      <c r="U377">
        <v>2.9</v>
      </c>
      <c r="V377">
        <v>2.2999999999999998</v>
      </c>
      <c r="W377">
        <v>1.2E-2</v>
      </c>
      <c r="X377" s="8">
        <f t="shared" si="202"/>
        <v>1.204879322468025E-2</v>
      </c>
      <c r="Y377" t="s">
        <v>33</v>
      </c>
      <c r="Z377" s="3">
        <f t="shared" si="206"/>
        <v>7.71122766379536E-2</v>
      </c>
      <c r="AA377" t="s">
        <v>33</v>
      </c>
      <c r="AB377" s="6">
        <f t="shared" si="207"/>
        <v>31.25</v>
      </c>
      <c r="AC377" t="str">
        <f t="shared" si="194"/>
        <v>NA</v>
      </c>
      <c r="AD377" s="4">
        <f>AB377*T377*AI377</f>
        <v>250</v>
      </c>
      <c r="AE377" s="3">
        <f t="shared" si="208"/>
        <v>3815.9999999999995</v>
      </c>
      <c r="AF377">
        <v>1000</v>
      </c>
      <c r="AG377" t="str">
        <f t="shared" si="203"/>
        <v>NA</v>
      </c>
      <c r="AH377" t="str">
        <f t="shared" si="204"/>
        <v>NA</v>
      </c>
      <c r="AI377">
        <v>1</v>
      </c>
      <c r="AJ377" t="s">
        <v>31</v>
      </c>
      <c r="AK377">
        <v>4240</v>
      </c>
      <c r="AL377" t="s">
        <v>238</v>
      </c>
      <c r="AM377" t="s">
        <v>86</v>
      </c>
      <c r="AN377" t="s">
        <v>205</v>
      </c>
      <c r="AO377" t="s">
        <v>789</v>
      </c>
      <c r="AP377">
        <v>3.56</v>
      </c>
      <c r="AQ377" t="s">
        <v>33</v>
      </c>
      <c r="AR377" t="s">
        <v>33</v>
      </c>
      <c r="AS377" s="6">
        <f>LOG(10^8)</f>
        <v>8</v>
      </c>
      <c r="AT377" s="3">
        <f t="shared" si="205"/>
        <v>3.6429999999999998</v>
      </c>
      <c r="AU377" s="6">
        <v>4.3570000000000002</v>
      </c>
      <c r="AV377" t="b">
        <v>1</v>
      </c>
      <c r="AW377" t="s">
        <v>123</v>
      </c>
      <c r="AX377" t="s">
        <v>393</v>
      </c>
      <c r="AY377" t="s">
        <v>394</v>
      </c>
      <c r="AZ377" t="s">
        <v>33</v>
      </c>
      <c r="BA377" s="18" t="s">
        <v>579</v>
      </c>
      <c r="BB377" t="b">
        <v>1</v>
      </c>
      <c r="BC377" t="s">
        <v>81</v>
      </c>
      <c r="BD377">
        <v>72</v>
      </c>
      <c r="BE377" t="s">
        <v>80</v>
      </c>
      <c r="BF377" s="11">
        <v>72</v>
      </c>
      <c r="BG377" t="s">
        <v>395</v>
      </c>
      <c r="BH377" t="s">
        <v>31</v>
      </c>
      <c r="BI377" t="s">
        <v>31</v>
      </c>
      <c r="BJ377" s="3">
        <f t="shared" si="199"/>
        <v>4.3570000000000002</v>
      </c>
      <c r="BK377" s="3">
        <f t="shared" si="179"/>
        <v>0.63918755993575394</v>
      </c>
      <c r="BL377">
        <v>2</v>
      </c>
      <c r="BM377" s="3">
        <f t="shared" si="198"/>
        <v>2.9424208060963033</v>
      </c>
      <c r="BN377" t="s">
        <v>33</v>
      </c>
      <c r="BO377" s="3">
        <f t="shared" si="175"/>
        <v>875.83199449162248</v>
      </c>
      <c r="BP377" t="s">
        <v>33</v>
      </c>
      <c r="BQ377" t="s">
        <v>33</v>
      </c>
      <c r="BR377" t="s">
        <v>33</v>
      </c>
      <c r="BS377" t="s">
        <v>33</v>
      </c>
      <c r="BT377" t="s">
        <v>31</v>
      </c>
      <c r="BU377" t="s">
        <v>240</v>
      </c>
      <c r="BV377">
        <v>2005</v>
      </c>
      <c r="BW377" t="s">
        <v>396</v>
      </c>
      <c r="BX377" t="s">
        <v>78</v>
      </c>
      <c r="BY377" t="s">
        <v>33</v>
      </c>
      <c r="BZ377" t="s">
        <v>33</v>
      </c>
      <c r="CA377" t="str">
        <f t="shared" si="176"/>
        <v>high acid</v>
      </c>
    </row>
    <row r="378" spans="1:79">
      <c r="A378" t="s">
        <v>531</v>
      </c>
      <c r="B378" t="s">
        <v>565</v>
      </c>
      <c r="C378" t="s">
        <v>564</v>
      </c>
      <c r="D378" t="s">
        <v>209</v>
      </c>
      <c r="E378" t="s">
        <v>77</v>
      </c>
      <c r="F378" t="s">
        <v>32</v>
      </c>
      <c r="G378">
        <v>30</v>
      </c>
      <c r="H378">
        <v>38.200000000000003</v>
      </c>
      <c r="I378" t="b">
        <v>0</v>
      </c>
      <c r="J378" t="s">
        <v>33</v>
      </c>
      <c r="K378" t="s">
        <v>33</v>
      </c>
      <c r="L378">
        <v>24</v>
      </c>
      <c r="M378" s="4">
        <v>120</v>
      </c>
      <c r="N378" s="3">
        <f t="shared" si="201"/>
        <v>99.406440458448728</v>
      </c>
      <c r="O378">
        <v>3</v>
      </c>
      <c r="P378" t="s">
        <v>33</v>
      </c>
      <c r="Q378" s="8">
        <f t="shared" si="200"/>
        <v>0.10416666666666666</v>
      </c>
      <c r="R378" t="s">
        <v>183</v>
      </c>
      <c r="S378" t="s">
        <v>612</v>
      </c>
      <c r="T378" s="11">
        <v>4</v>
      </c>
      <c r="U378">
        <v>3</v>
      </c>
      <c r="V378">
        <v>2.6</v>
      </c>
      <c r="W378" t="s">
        <v>33</v>
      </c>
      <c r="X378" s="8">
        <f t="shared" si="202"/>
        <v>1.5927874753700257E-2</v>
      </c>
      <c r="Y378" s="6">
        <f>7.6/60</f>
        <v>0.12666666666666665</v>
      </c>
      <c r="Z378" s="3">
        <f t="shared" si="206"/>
        <v>0.15290759763552247</v>
      </c>
      <c r="AA378" t="s">
        <v>33</v>
      </c>
      <c r="AB378" s="6">
        <f t="shared" si="207"/>
        <v>12.5</v>
      </c>
      <c r="AC378" t="str">
        <f t="shared" si="194"/>
        <v>NA</v>
      </c>
      <c r="AD378" s="4">
        <f>IFERROR(AB378*T378*AI378, "NA")</f>
        <v>50</v>
      </c>
      <c r="AE378" s="3">
        <f t="shared" si="208"/>
        <v>84.671999999999983</v>
      </c>
      <c r="AF378">
        <v>150</v>
      </c>
      <c r="AG378" t="str">
        <f t="shared" si="203"/>
        <v>NA</v>
      </c>
      <c r="AH378" t="str">
        <f t="shared" si="204"/>
        <v>NA</v>
      </c>
      <c r="AI378" s="11">
        <v>1</v>
      </c>
      <c r="AJ378" t="s">
        <v>31</v>
      </c>
      <c r="AK378">
        <v>980</v>
      </c>
      <c r="AL378" t="s">
        <v>551</v>
      </c>
      <c r="AM378" t="s">
        <v>86</v>
      </c>
      <c r="AN378" t="s">
        <v>186</v>
      </c>
      <c r="AO378" t="s">
        <v>794</v>
      </c>
      <c r="AP378">
        <v>5.98</v>
      </c>
      <c r="AQ378" t="s">
        <v>33</v>
      </c>
      <c r="AR378" t="s">
        <v>33</v>
      </c>
      <c r="AS378" s="6">
        <v>6.5</v>
      </c>
      <c r="AT378" s="3">
        <f t="shared" si="205"/>
        <v>3.6549999999999998</v>
      </c>
      <c r="AU378" s="6">
        <v>2.8450000000000002</v>
      </c>
      <c r="AV378" t="b">
        <v>1</v>
      </c>
      <c r="AW378" t="s">
        <v>29</v>
      </c>
      <c r="AX378" t="s">
        <v>30</v>
      </c>
      <c r="AY378" t="s">
        <v>211</v>
      </c>
      <c r="AZ378" t="s">
        <v>33</v>
      </c>
      <c r="BA378" s="18" t="s">
        <v>798</v>
      </c>
      <c r="BB378" t="b">
        <v>0</v>
      </c>
      <c r="BC378" t="s">
        <v>81</v>
      </c>
      <c r="BD378">
        <v>20</v>
      </c>
      <c r="BE378" t="s">
        <v>80</v>
      </c>
      <c r="BF378" s="11">
        <v>20</v>
      </c>
      <c r="BG378" t="s">
        <v>570</v>
      </c>
      <c r="BH378" t="s">
        <v>31</v>
      </c>
      <c r="BI378" t="s">
        <v>31</v>
      </c>
      <c r="BJ378" s="3">
        <f t="shared" si="199"/>
        <v>2.8450000000000002</v>
      </c>
      <c r="BK378" s="3">
        <f t="shared" si="179"/>
        <v>0.45408227073109003</v>
      </c>
      <c r="BL378">
        <v>2</v>
      </c>
      <c r="BM378" s="3">
        <f t="shared" si="198"/>
        <v>1.473657547440298</v>
      </c>
      <c r="BN378" t="s">
        <v>33</v>
      </c>
      <c r="BO378" s="3">
        <f t="shared" si="175"/>
        <v>29.761687170474509</v>
      </c>
      <c r="BP378" t="s">
        <v>33</v>
      </c>
      <c r="BQ378" t="s">
        <v>33</v>
      </c>
      <c r="BR378" t="s">
        <v>33</v>
      </c>
      <c r="BS378" t="s">
        <v>33</v>
      </c>
      <c r="BT378" t="s">
        <v>32</v>
      </c>
      <c r="BU378" t="s">
        <v>207</v>
      </c>
      <c r="BV378">
        <v>2014</v>
      </c>
      <c r="BW378" t="s">
        <v>208</v>
      </c>
      <c r="BX378" t="s">
        <v>78</v>
      </c>
      <c r="BY378" t="s">
        <v>33</v>
      </c>
      <c r="BZ378" t="s">
        <v>33</v>
      </c>
      <c r="CA378" t="str">
        <f t="shared" si="176"/>
        <v>low acid</v>
      </c>
    </row>
    <row r="379" spans="1:79">
      <c r="A379" t="s">
        <v>584</v>
      </c>
      <c r="B379" t="s">
        <v>566</v>
      </c>
      <c r="C379" t="s">
        <v>563</v>
      </c>
      <c r="D379" t="s">
        <v>607</v>
      </c>
      <c r="E379" t="s">
        <v>77</v>
      </c>
      <c r="F379" t="s">
        <v>33</v>
      </c>
      <c r="G379">
        <v>20</v>
      </c>
      <c r="H379">
        <v>35</v>
      </c>
      <c r="I379" t="b">
        <v>0</v>
      </c>
      <c r="J379">
        <v>1000</v>
      </c>
      <c r="K379">
        <v>200</v>
      </c>
      <c r="L379">
        <v>35</v>
      </c>
      <c r="M379" s="4">
        <v>1</v>
      </c>
      <c r="N379" t="e">
        <f>(#REF!*Y379)/(T379*X379*O379)</f>
        <v>#REF!</v>
      </c>
      <c r="O379">
        <v>3</v>
      </c>
      <c r="P379" t="s">
        <v>33</v>
      </c>
      <c r="Q379" s="1">
        <f t="shared" si="200"/>
        <v>50.000000000000007</v>
      </c>
      <c r="R379" t="s">
        <v>183</v>
      </c>
      <c r="S379" t="s">
        <v>33</v>
      </c>
      <c r="T379">
        <v>1</v>
      </c>
      <c r="U379">
        <v>2.5</v>
      </c>
      <c r="V379" t="s">
        <v>33</v>
      </c>
      <c r="W379">
        <v>0.50249999999999995</v>
      </c>
      <c r="X379">
        <f>W379</f>
        <v>0.50249999999999995</v>
      </c>
      <c r="Y379" t="s">
        <v>33</v>
      </c>
      <c r="Z379" s="3">
        <f t="shared" si="206"/>
        <v>1.0049999999999998E-2</v>
      </c>
      <c r="AA379" t="s">
        <v>33</v>
      </c>
      <c r="AB379">
        <f t="shared" si="207"/>
        <v>50.000000000000007</v>
      </c>
      <c r="AC379" s="1" t="str">
        <f t="shared" si="194"/>
        <v>NA</v>
      </c>
      <c r="AE379" s="3">
        <f t="shared" si="208"/>
        <v>183.75000000000003</v>
      </c>
      <c r="AF379">
        <v>150</v>
      </c>
      <c r="AG379" s="1" t="str">
        <f>IFERROR((N379*P379*Q379), "NA")</f>
        <v>NA</v>
      </c>
      <c r="AH379" s="1" t="str">
        <f>IFERROR((AG379*U379*AI379), "NA")</f>
        <v>NA</v>
      </c>
      <c r="AI379" s="1">
        <v>1</v>
      </c>
      <c r="AJ379" s="11" t="s">
        <v>31</v>
      </c>
      <c r="AK379">
        <v>1000</v>
      </c>
      <c r="AL379" t="s">
        <v>614</v>
      </c>
      <c r="AM379" s="3" t="s">
        <v>103</v>
      </c>
      <c r="AN379" t="s">
        <v>305</v>
      </c>
      <c r="AO379" t="s">
        <v>790</v>
      </c>
      <c r="AP379">
        <v>3.5</v>
      </c>
      <c r="AQ379" t="s">
        <v>33</v>
      </c>
      <c r="AR379" t="s">
        <v>33</v>
      </c>
      <c r="AS379">
        <v>8</v>
      </c>
      <c r="AT379">
        <f>AS379-AU379</f>
        <v>3.66</v>
      </c>
      <c r="AU379" s="6">
        <v>4.34</v>
      </c>
      <c r="AV379" t="b">
        <v>1</v>
      </c>
      <c r="AW379" t="s">
        <v>617</v>
      </c>
      <c r="AX379" t="s">
        <v>33</v>
      </c>
      <c r="AY379" t="s">
        <v>623</v>
      </c>
      <c r="AZ379" t="s">
        <v>621</v>
      </c>
      <c r="BA379" s="18" t="s">
        <v>802</v>
      </c>
      <c r="BB379" s="3" t="b">
        <v>0</v>
      </c>
      <c r="BC379" t="s">
        <v>81</v>
      </c>
      <c r="BD379">
        <v>18</v>
      </c>
      <c r="BE379" t="s">
        <v>80</v>
      </c>
      <c r="BF379">
        <v>24</v>
      </c>
      <c r="BG379" t="s">
        <v>569</v>
      </c>
      <c r="BH379" t="s">
        <v>31</v>
      </c>
      <c r="BI379" t="s">
        <v>31</v>
      </c>
      <c r="BJ379">
        <f t="shared" si="199"/>
        <v>4.34</v>
      </c>
      <c r="BK379" s="3">
        <f t="shared" si="179"/>
        <v>0.63748972951251071</v>
      </c>
      <c r="BL379">
        <v>2</v>
      </c>
      <c r="BM379" s="3">
        <f t="shared" si="198"/>
        <v>1.6267376182437219</v>
      </c>
      <c r="BN379" t="s">
        <v>33</v>
      </c>
      <c r="BO379" s="3">
        <f t="shared" si="175"/>
        <v>42.338709677419359</v>
      </c>
      <c r="BP379" t="s">
        <v>33</v>
      </c>
      <c r="BQ379" t="s">
        <v>33</v>
      </c>
      <c r="BR379" t="s">
        <v>33</v>
      </c>
      <c r="BS379" t="s">
        <v>33</v>
      </c>
      <c r="BT379" t="s">
        <v>31</v>
      </c>
      <c r="BU379" t="s">
        <v>255</v>
      </c>
      <c r="BV379">
        <v>2010</v>
      </c>
      <c r="BW379" t="s">
        <v>651</v>
      </c>
      <c r="BX379" t="s">
        <v>78</v>
      </c>
      <c r="BY379" s="13" t="s">
        <v>674</v>
      </c>
      <c r="CA379" t="str">
        <f t="shared" si="176"/>
        <v>high acid</v>
      </c>
    </row>
    <row r="380" spans="1:79">
      <c r="A380" t="s">
        <v>588</v>
      </c>
      <c r="B380" t="s">
        <v>565</v>
      </c>
      <c r="C380" t="s">
        <v>563</v>
      </c>
      <c r="D380" t="s">
        <v>608</v>
      </c>
      <c r="E380" t="s">
        <v>77</v>
      </c>
      <c r="F380" t="s">
        <v>32</v>
      </c>
      <c r="G380" t="s">
        <v>33</v>
      </c>
      <c r="H380">
        <v>40</v>
      </c>
      <c r="I380" t="b">
        <v>0</v>
      </c>
      <c r="J380" t="s">
        <v>33</v>
      </c>
      <c r="K380" t="s">
        <v>33</v>
      </c>
      <c r="L380">
        <v>35</v>
      </c>
      <c r="M380" s="4">
        <v>250</v>
      </c>
      <c r="N380" t="e">
        <f>(#REF!*Y380)/(T380*X380*O380)</f>
        <v>#REF!</v>
      </c>
      <c r="O380">
        <v>3.7</v>
      </c>
      <c r="P380" t="s">
        <v>33</v>
      </c>
      <c r="Q380" s="1">
        <f t="shared" si="200"/>
        <v>8.1081081081081072E-2</v>
      </c>
      <c r="R380" t="s">
        <v>183</v>
      </c>
      <c r="S380" t="s">
        <v>613</v>
      </c>
      <c r="T380">
        <v>6</v>
      </c>
      <c r="U380">
        <v>1.9</v>
      </c>
      <c r="V380">
        <v>2.2999999999999998</v>
      </c>
      <c r="W380" t="s">
        <v>33</v>
      </c>
      <c r="X380">
        <f t="shared" ref="X380:X387" si="209">IFERROR(((PI())*(((V380*10^-1)/2)^2)*(U380*10^-1)), "NA")</f>
        <v>7.8940369403077502E-3</v>
      </c>
      <c r="Y380">
        <v>1</v>
      </c>
      <c r="Z380" s="3">
        <f t="shared" si="206"/>
        <v>9.7359788930462265E-2</v>
      </c>
      <c r="AA380" t="s">
        <v>33</v>
      </c>
      <c r="AB380">
        <f t="shared" si="207"/>
        <v>20.27027027027027</v>
      </c>
      <c r="AC380" s="1" t="str">
        <f t="shared" si="194"/>
        <v>NA</v>
      </c>
      <c r="AE380" s="3">
        <f t="shared" si="208"/>
        <v>2645.9999999999995</v>
      </c>
      <c r="AF380">
        <v>450</v>
      </c>
      <c r="AG380" s="1" t="str">
        <f>IFERROR((N380*P380*Q380), "NA")</f>
        <v>NA</v>
      </c>
      <c r="AH380" s="1" t="str">
        <f>IFERROR((AG380*U380*AI380), "NA")</f>
        <v>NA</v>
      </c>
      <c r="AI380" s="1">
        <v>1</v>
      </c>
      <c r="AJ380" s="11" t="s">
        <v>31</v>
      </c>
      <c r="AK380">
        <v>4800</v>
      </c>
      <c r="AL380" t="s">
        <v>156</v>
      </c>
      <c r="AM380" t="s">
        <v>157</v>
      </c>
      <c r="AN380" t="s">
        <v>186</v>
      </c>
      <c r="AO380" t="s">
        <v>792</v>
      </c>
      <c r="AP380">
        <v>6.53</v>
      </c>
      <c r="AQ380" t="s">
        <v>33</v>
      </c>
      <c r="AR380" t="s">
        <v>33</v>
      </c>
      <c r="AS380">
        <v>6.5</v>
      </c>
      <c r="AT380">
        <v>3.67</v>
      </c>
      <c r="AU380" s="6">
        <f>AS380-AT380</f>
        <v>2.83</v>
      </c>
      <c r="AV380" t="b">
        <v>1</v>
      </c>
      <c r="AW380" t="s">
        <v>626</v>
      </c>
      <c r="AX380" t="s">
        <v>627</v>
      </c>
      <c r="AY380" t="s">
        <v>625</v>
      </c>
      <c r="AZ380" t="s">
        <v>33</v>
      </c>
      <c r="BA380" s="18" t="s">
        <v>800</v>
      </c>
      <c r="BB380" s="3" t="b">
        <v>0</v>
      </c>
      <c r="BC380" t="s">
        <v>81</v>
      </c>
      <c r="BD380">
        <v>12</v>
      </c>
      <c r="BE380" t="s">
        <v>80</v>
      </c>
      <c r="BF380">
        <v>48</v>
      </c>
      <c r="BG380" t="s">
        <v>643</v>
      </c>
      <c r="BH380" t="s">
        <v>31</v>
      </c>
      <c r="BI380" t="s">
        <v>31</v>
      </c>
      <c r="BJ380">
        <f t="shared" si="199"/>
        <v>2.83</v>
      </c>
      <c r="BK380" s="3">
        <f t="shared" si="179"/>
        <v>0.45178643552429026</v>
      </c>
      <c r="BL380">
        <v>2</v>
      </c>
      <c r="BM380" s="3">
        <f t="shared" si="198"/>
        <v>2.9708034043271918</v>
      </c>
      <c r="BN380" t="s">
        <v>33</v>
      </c>
      <c r="BO380" s="3">
        <f t="shared" si="175"/>
        <v>934.9823321554768</v>
      </c>
      <c r="BP380" t="s">
        <v>33</v>
      </c>
      <c r="BQ380" t="s">
        <v>33</v>
      </c>
      <c r="BR380" t="s">
        <v>33</v>
      </c>
      <c r="BS380" t="s">
        <v>33</v>
      </c>
      <c r="BT380" t="s">
        <v>31</v>
      </c>
      <c r="BU380" s="13" t="s">
        <v>163</v>
      </c>
      <c r="BV380">
        <v>2004</v>
      </c>
      <c r="BW380" t="s">
        <v>654</v>
      </c>
      <c r="BX380" t="s">
        <v>78</v>
      </c>
      <c r="BY380" s="13" t="s">
        <v>677</v>
      </c>
      <c r="CA380" t="str">
        <f t="shared" si="176"/>
        <v>low acid</v>
      </c>
    </row>
    <row r="381" spans="1:79">
      <c r="A381" t="s">
        <v>586</v>
      </c>
      <c r="B381" t="s">
        <v>565</v>
      </c>
      <c r="C381" t="s">
        <v>563</v>
      </c>
      <c r="D381" t="s">
        <v>118</v>
      </c>
      <c r="E381" t="s">
        <v>77</v>
      </c>
      <c r="F381" t="s">
        <v>32</v>
      </c>
      <c r="G381">
        <v>20</v>
      </c>
      <c r="H381">
        <v>20</v>
      </c>
      <c r="I381" t="b">
        <v>1</v>
      </c>
      <c r="J381" t="s">
        <v>33</v>
      </c>
      <c r="K381" t="s">
        <v>33</v>
      </c>
      <c r="L381">
        <v>30</v>
      </c>
      <c r="M381" s="4">
        <v>100</v>
      </c>
      <c r="N381" t="e">
        <f>(#REF!*Y381)/(T381*X381*O381)</f>
        <v>#REF!</v>
      </c>
      <c r="O381">
        <v>2</v>
      </c>
      <c r="P381" t="s">
        <v>33</v>
      </c>
      <c r="Q381" s="1">
        <f t="shared" si="200"/>
        <v>0.66666666666666663</v>
      </c>
      <c r="R381" t="s">
        <v>183</v>
      </c>
      <c r="S381" t="s">
        <v>613</v>
      </c>
      <c r="T381">
        <v>6</v>
      </c>
      <c r="U381">
        <v>2.92</v>
      </c>
      <c r="V381">
        <v>2.2999999999999998</v>
      </c>
      <c r="W381" t="s">
        <v>33</v>
      </c>
      <c r="X381">
        <f t="shared" si="209"/>
        <v>1.2131888350367701E-2</v>
      </c>
      <c r="Y381">
        <v>1.4</v>
      </c>
      <c r="Z381" s="3">
        <f t="shared" si="206"/>
        <v>1.8197832525551551E-2</v>
      </c>
      <c r="AA381" t="s">
        <v>33</v>
      </c>
      <c r="AB381">
        <f t="shared" si="207"/>
        <v>66.666666666666671</v>
      </c>
      <c r="AC381" s="1" t="str">
        <f t="shared" si="194"/>
        <v>NA</v>
      </c>
      <c r="AE381" s="3">
        <f t="shared" si="208"/>
        <v>4464</v>
      </c>
      <c r="AF381">
        <v>800</v>
      </c>
      <c r="AG381" s="1" t="str">
        <f>IFERROR((N381*P381*Q381), "NA")</f>
        <v>NA</v>
      </c>
      <c r="AH381" s="1" t="str">
        <f>IFERROR((AG381*U381*AI381), "NA")</f>
        <v>NA</v>
      </c>
      <c r="AI381" s="1">
        <v>1</v>
      </c>
      <c r="AJ381" s="11" t="s">
        <v>31</v>
      </c>
      <c r="AK381">
        <v>6200</v>
      </c>
      <c r="AL381" t="s">
        <v>561</v>
      </c>
      <c r="AM381" s="3" t="s">
        <v>786</v>
      </c>
      <c r="AN381" t="s">
        <v>186</v>
      </c>
      <c r="AO381" t="s">
        <v>793</v>
      </c>
      <c r="AP381">
        <v>7.6</v>
      </c>
      <c r="AQ381" t="s">
        <v>33</v>
      </c>
      <c r="AR381" t="s">
        <v>33</v>
      </c>
      <c r="AS381">
        <v>8</v>
      </c>
      <c r="AT381">
        <f>AS381-AU381</f>
        <v>3.6799999999999997</v>
      </c>
      <c r="AU381" s="6">
        <v>4.32</v>
      </c>
      <c r="AV381" t="b">
        <v>1</v>
      </c>
      <c r="AW381" t="s">
        <v>617</v>
      </c>
      <c r="AX381" t="s">
        <v>624</v>
      </c>
      <c r="AY381" t="s">
        <v>625</v>
      </c>
      <c r="AZ381" t="s">
        <v>33</v>
      </c>
      <c r="BA381" s="18" t="s">
        <v>802</v>
      </c>
      <c r="BB381" s="3" t="b">
        <v>0</v>
      </c>
      <c r="BC381" t="s">
        <v>81</v>
      </c>
      <c r="BD381">
        <v>13</v>
      </c>
      <c r="BE381" t="s">
        <v>80</v>
      </c>
      <c r="BF381">
        <v>48</v>
      </c>
      <c r="BG381" t="s">
        <v>568</v>
      </c>
      <c r="BH381" t="s">
        <v>31</v>
      </c>
      <c r="BI381" t="s">
        <v>31</v>
      </c>
      <c r="BJ381">
        <f t="shared" si="199"/>
        <v>4.32</v>
      </c>
      <c r="BK381" s="3">
        <f t="shared" si="179"/>
        <v>0.63548374681491215</v>
      </c>
      <c r="BL381">
        <v>2</v>
      </c>
      <c r="BM381" s="3">
        <f t="shared" si="198"/>
        <v>3.01424043911461</v>
      </c>
      <c r="BN381" t="s">
        <v>33</v>
      </c>
      <c r="BO381" s="3">
        <f t="shared" si="175"/>
        <v>1033.3333333333333</v>
      </c>
      <c r="BP381" t="s">
        <v>33</v>
      </c>
      <c r="BQ381" t="s">
        <v>33</v>
      </c>
      <c r="BR381" t="s">
        <v>33</v>
      </c>
      <c r="BS381" t="s">
        <v>33</v>
      </c>
      <c r="BT381" t="s">
        <v>31</v>
      </c>
      <c r="BU381" t="s">
        <v>344</v>
      </c>
      <c r="BV381">
        <v>2007</v>
      </c>
      <c r="BW381" t="s">
        <v>345</v>
      </c>
      <c r="BX381" t="s">
        <v>78</v>
      </c>
      <c r="BY381" s="13" t="s">
        <v>676</v>
      </c>
      <c r="CA381" t="str">
        <f t="shared" si="176"/>
        <v>low acid</v>
      </c>
    </row>
    <row r="382" spans="1:79">
      <c r="A382" t="s">
        <v>588</v>
      </c>
      <c r="B382" t="s">
        <v>565</v>
      </c>
      <c r="C382" t="s">
        <v>563</v>
      </c>
      <c r="D382" t="s">
        <v>608</v>
      </c>
      <c r="E382" t="s">
        <v>77</v>
      </c>
      <c r="F382" t="s">
        <v>32</v>
      </c>
      <c r="G382" t="s">
        <v>33</v>
      </c>
      <c r="H382">
        <v>40</v>
      </c>
      <c r="I382" t="b">
        <v>0</v>
      </c>
      <c r="J382" t="s">
        <v>33</v>
      </c>
      <c r="K382" t="s">
        <v>33</v>
      </c>
      <c r="L382">
        <v>35</v>
      </c>
      <c r="M382" s="4">
        <v>250</v>
      </c>
      <c r="N382" t="e">
        <f>(#REF!*Y382)/(T382*X382*O382)</f>
        <v>#REF!</v>
      </c>
      <c r="O382">
        <v>3.7</v>
      </c>
      <c r="P382" t="s">
        <v>33</v>
      </c>
      <c r="Q382" s="1">
        <f t="shared" si="200"/>
        <v>8.1081081081081072E-2</v>
      </c>
      <c r="R382" t="s">
        <v>183</v>
      </c>
      <c r="S382" t="s">
        <v>613</v>
      </c>
      <c r="T382">
        <v>6</v>
      </c>
      <c r="U382">
        <v>1.9</v>
      </c>
      <c r="V382">
        <v>2.2999999999999998</v>
      </c>
      <c r="W382" t="s">
        <v>33</v>
      </c>
      <c r="X382">
        <f t="shared" si="209"/>
        <v>7.8940369403077502E-3</v>
      </c>
      <c r="Y382">
        <v>1</v>
      </c>
      <c r="Z382" s="3">
        <f t="shared" si="206"/>
        <v>9.7359788930462265E-2</v>
      </c>
      <c r="AA382" t="s">
        <v>33</v>
      </c>
      <c r="AB382">
        <f t="shared" si="207"/>
        <v>20.27027027027027</v>
      </c>
      <c r="AC382" s="1" t="str">
        <f t="shared" si="194"/>
        <v>NA</v>
      </c>
      <c r="AE382" s="3">
        <f t="shared" si="208"/>
        <v>2645.9999999999995</v>
      </c>
      <c r="AF382">
        <v>450</v>
      </c>
      <c r="AG382" s="1" t="str">
        <f>IFERROR((N382*P382*Q382), "NA")</f>
        <v>NA</v>
      </c>
      <c r="AH382" s="1" t="str">
        <f>IFERROR((AG382*U382*AI382), "NA")</f>
        <v>NA</v>
      </c>
      <c r="AI382" s="1">
        <v>1</v>
      </c>
      <c r="AJ382" s="11" t="s">
        <v>31</v>
      </c>
      <c r="AK382">
        <v>4800</v>
      </c>
      <c r="AL382" t="s">
        <v>156</v>
      </c>
      <c r="AM382" t="s">
        <v>157</v>
      </c>
      <c r="AN382" t="s">
        <v>186</v>
      </c>
      <c r="AO382" t="s">
        <v>792</v>
      </c>
      <c r="AP382">
        <v>6.53</v>
      </c>
      <c r="AQ382" t="s">
        <v>33</v>
      </c>
      <c r="AR382" t="s">
        <v>33</v>
      </c>
      <c r="AS382">
        <v>6.5</v>
      </c>
      <c r="AT382">
        <v>3.68</v>
      </c>
      <c r="AU382" s="6">
        <f>AS382-AT382</f>
        <v>2.82</v>
      </c>
      <c r="AV382" t="b">
        <v>1</v>
      </c>
      <c r="AW382" t="s">
        <v>626</v>
      </c>
      <c r="AX382" t="s">
        <v>627</v>
      </c>
      <c r="AY382" t="s">
        <v>625</v>
      </c>
      <c r="AZ382" t="s">
        <v>33</v>
      </c>
      <c r="BA382" s="18" t="s">
        <v>800</v>
      </c>
      <c r="BB382" s="3" t="b">
        <v>0</v>
      </c>
      <c r="BC382" t="s">
        <v>81</v>
      </c>
      <c r="BD382">
        <v>12</v>
      </c>
      <c r="BE382" t="s">
        <v>80</v>
      </c>
      <c r="BF382">
        <v>48</v>
      </c>
      <c r="BG382" t="s">
        <v>568</v>
      </c>
      <c r="BH382" t="s">
        <v>31</v>
      </c>
      <c r="BI382" t="s">
        <v>31</v>
      </c>
      <c r="BJ382">
        <f t="shared" si="199"/>
        <v>2.82</v>
      </c>
      <c r="BK382" s="3">
        <f t="shared" si="179"/>
        <v>0.45024910831936105</v>
      </c>
      <c r="BL382">
        <v>2</v>
      </c>
      <c r="BM382" s="3">
        <f t="shared" si="198"/>
        <v>2.9723407315321211</v>
      </c>
      <c r="BN382" t="s">
        <v>33</v>
      </c>
      <c r="BO382" s="3">
        <f t="shared" si="175"/>
        <v>938.29787234042544</v>
      </c>
      <c r="BP382" t="s">
        <v>33</v>
      </c>
      <c r="BQ382" t="s">
        <v>33</v>
      </c>
      <c r="BR382" t="s">
        <v>33</v>
      </c>
      <c r="BS382" t="s">
        <v>33</v>
      </c>
      <c r="BT382" t="s">
        <v>31</v>
      </c>
      <c r="BU382" s="13" t="s">
        <v>163</v>
      </c>
      <c r="BV382">
        <v>2004</v>
      </c>
      <c r="BW382" t="s">
        <v>654</v>
      </c>
      <c r="BX382" t="s">
        <v>78</v>
      </c>
      <c r="BY382" s="13" t="s">
        <v>677</v>
      </c>
      <c r="CA382" t="str">
        <f t="shared" si="176"/>
        <v>low acid</v>
      </c>
    </row>
    <row r="383" spans="1:79">
      <c r="A383" t="s">
        <v>596</v>
      </c>
      <c r="B383" t="s">
        <v>565</v>
      </c>
      <c r="C383" t="s">
        <v>563</v>
      </c>
      <c r="D383" t="s">
        <v>610</v>
      </c>
      <c r="E383" t="s">
        <v>77</v>
      </c>
      <c r="F383" t="s">
        <v>33</v>
      </c>
      <c r="G383">
        <v>20</v>
      </c>
      <c r="H383" t="s">
        <v>33</v>
      </c>
      <c r="I383" t="b">
        <v>0</v>
      </c>
      <c r="J383">
        <v>14000</v>
      </c>
      <c r="K383" t="s">
        <v>33</v>
      </c>
      <c r="L383">
        <v>35</v>
      </c>
      <c r="M383" s="4">
        <v>8</v>
      </c>
      <c r="N383" t="e">
        <f>(#REF!*Y383)/(T383*X383*O383)</f>
        <v>#REF!</v>
      </c>
      <c r="O383">
        <v>5</v>
      </c>
      <c r="P383" t="s">
        <v>33</v>
      </c>
      <c r="Q383" s="1">
        <f t="shared" si="200"/>
        <v>0.90000000000000013</v>
      </c>
      <c r="R383" t="s">
        <v>183</v>
      </c>
      <c r="S383" t="s">
        <v>613</v>
      </c>
      <c r="T383">
        <v>1</v>
      </c>
      <c r="U383">
        <v>4</v>
      </c>
      <c r="V383">
        <v>4</v>
      </c>
      <c r="W383" t="s">
        <v>33</v>
      </c>
      <c r="X383">
        <f t="shared" si="209"/>
        <v>5.02654824574367E-2</v>
      </c>
      <c r="Y383">
        <v>0.106667</v>
      </c>
      <c r="Z383" s="3">
        <f t="shared" si="206"/>
        <v>5.5850536063818547E-2</v>
      </c>
      <c r="AA383" t="s">
        <v>33</v>
      </c>
      <c r="AB383">
        <f t="shared" si="207"/>
        <v>7.2000000000000011</v>
      </c>
      <c r="AC383" s="1" t="str">
        <f t="shared" si="194"/>
        <v>NA</v>
      </c>
      <c r="AE383" s="3">
        <f t="shared" si="208"/>
        <v>88.200000000000017</v>
      </c>
      <c r="AF383">
        <v>36</v>
      </c>
      <c r="AG383" s="1" t="str">
        <f>IFERROR((N383*P383*Q383), "NA")</f>
        <v>NA</v>
      </c>
      <c r="AH383" s="1" t="str">
        <f>IFERROR((AG383*U383*AI383), "NA")</f>
        <v>NA</v>
      </c>
      <c r="AI383" s="1">
        <v>1</v>
      </c>
      <c r="AJ383" s="11" t="s">
        <v>31</v>
      </c>
      <c r="AK383">
        <v>2000</v>
      </c>
      <c r="AL383" t="s">
        <v>149</v>
      </c>
      <c r="AM383" t="s">
        <v>86</v>
      </c>
      <c r="AN383" t="s">
        <v>205</v>
      </c>
      <c r="AO383" t="s">
        <v>789</v>
      </c>
      <c r="AP383" t="s">
        <v>33</v>
      </c>
      <c r="AQ383" t="s">
        <v>33</v>
      </c>
      <c r="AR383" t="s">
        <v>33</v>
      </c>
      <c r="AS383">
        <f>AVERAGE(6,8)</f>
        <v>7</v>
      </c>
      <c r="AT383">
        <f>AS383-AU383</f>
        <v>3.68</v>
      </c>
      <c r="AU383" s="6">
        <v>3.32</v>
      </c>
      <c r="AV383" t="b">
        <v>1</v>
      </c>
      <c r="AW383" t="s">
        <v>626</v>
      </c>
      <c r="AX383" t="s">
        <v>627</v>
      </c>
      <c r="AY383" t="s">
        <v>634</v>
      </c>
      <c r="AZ383" t="s">
        <v>33</v>
      </c>
      <c r="BA383" s="18" t="s">
        <v>800</v>
      </c>
      <c r="BB383" s="3" t="b">
        <v>0</v>
      </c>
      <c r="BC383" t="s">
        <v>81</v>
      </c>
      <c r="BD383">
        <v>18</v>
      </c>
      <c r="BE383" t="s">
        <v>80</v>
      </c>
      <c r="BF383">
        <v>24</v>
      </c>
      <c r="BG383" t="s">
        <v>644</v>
      </c>
      <c r="BH383" t="s">
        <v>31</v>
      </c>
      <c r="BI383" t="s">
        <v>31</v>
      </c>
      <c r="BJ383">
        <f t="shared" si="199"/>
        <v>3.32</v>
      </c>
      <c r="BK383" s="3">
        <f t="shared" si="179"/>
        <v>0.52113808370403625</v>
      </c>
      <c r="BL383">
        <v>2</v>
      </c>
      <c r="BM383" s="3">
        <f t="shared" si="198"/>
        <v>1.4243305014277836</v>
      </c>
      <c r="BN383" t="s">
        <v>33</v>
      </c>
      <c r="BO383" s="3">
        <f t="shared" si="175"/>
        <v>26.566265060240969</v>
      </c>
      <c r="BP383" t="s">
        <v>33</v>
      </c>
      <c r="BQ383" t="s">
        <v>33</v>
      </c>
      <c r="BR383" t="s">
        <v>33</v>
      </c>
      <c r="BS383" t="s">
        <v>33</v>
      </c>
      <c r="BT383" t="s">
        <v>32</v>
      </c>
      <c r="BU383" t="s">
        <v>661</v>
      </c>
      <c r="BV383">
        <v>2013</v>
      </c>
      <c r="BW383" t="s">
        <v>662</v>
      </c>
      <c r="BX383" s="13" t="s">
        <v>663</v>
      </c>
      <c r="BY383" s="13" t="s">
        <v>684</v>
      </c>
      <c r="CA383" t="str">
        <f t="shared" si="176"/>
        <v>high acid</v>
      </c>
    </row>
    <row r="384" spans="1:79">
      <c r="A384" t="s">
        <v>324</v>
      </c>
      <c r="B384" t="s">
        <v>565</v>
      </c>
      <c r="C384" t="s">
        <v>563</v>
      </c>
      <c r="D384" t="s">
        <v>304</v>
      </c>
      <c r="E384" t="s">
        <v>77</v>
      </c>
      <c r="F384" t="s">
        <v>32</v>
      </c>
      <c r="G384">
        <v>30</v>
      </c>
      <c r="H384">
        <v>33.5</v>
      </c>
      <c r="I384" t="b">
        <v>1</v>
      </c>
      <c r="J384">
        <v>12600</v>
      </c>
      <c r="K384">
        <v>50.4</v>
      </c>
      <c r="L384">
        <v>25</v>
      </c>
      <c r="M384" s="4">
        <v>200</v>
      </c>
      <c r="N384" s="3">
        <f>IFERROR(AF384/((T384*X384/Y384)*O384*AI384),"NA")</f>
        <v>199.72385015453526</v>
      </c>
      <c r="O384">
        <v>5</v>
      </c>
      <c r="P384">
        <v>2.4E-2</v>
      </c>
      <c r="Q384" s="8">
        <f t="shared" si="200"/>
        <v>2.3999999999999997E-2</v>
      </c>
      <c r="R384" t="s">
        <v>183</v>
      </c>
      <c r="S384" t="s">
        <v>612</v>
      </c>
      <c r="T384" s="11">
        <v>1</v>
      </c>
      <c r="U384">
        <v>3.4</v>
      </c>
      <c r="V384">
        <v>3</v>
      </c>
      <c r="W384">
        <v>2.4E-2</v>
      </c>
      <c r="X384" s="8">
        <f t="shared" si="209"/>
        <v>2.4033183799961926E-2</v>
      </c>
      <c r="Y384" s="6">
        <f>1</f>
        <v>1</v>
      </c>
      <c r="Z384" s="3">
        <f t="shared" si="206"/>
        <v>1.0013826583317471</v>
      </c>
      <c r="AA384">
        <v>4.8</v>
      </c>
      <c r="AB384" s="6">
        <f t="shared" si="207"/>
        <v>4.8</v>
      </c>
      <c r="AC384">
        <f t="shared" si="194"/>
        <v>4.8</v>
      </c>
      <c r="AD384" s="4">
        <f>IFERROR(AB384*T384*AI384, "NA")</f>
        <v>4.8</v>
      </c>
      <c r="AE384" s="3">
        <f t="shared" si="208"/>
        <v>14.999999999999998</v>
      </c>
      <c r="AF384">
        <v>24</v>
      </c>
      <c r="AG384">
        <f>IFERROR((M384*O384*P384), "NA")</f>
        <v>24</v>
      </c>
      <c r="AH384">
        <f>IFERROR((AG384*T384*AI384), "NA")</f>
        <v>24</v>
      </c>
      <c r="AI384" s="11">
        <v>1</v>
      </c>
      <c r="AJ384" t="s">
        <v>31</v>
      </c>
      <c r="AK384">
        <v>1000</v>
      </c>
      <c r="AL384" t="s">
        <v>169</v>
      </c>
      <c r="AM384" t="s">
        <v>103</v>
      </c>
      <c r="AN384" t="s">
        <v>305</v>
      </c>
      <c r="AO384" t="s">
        <v>790</v>
      </c>
      <c r="AP384">
        <v>4.5</v>
      </c>
      <c r="AQ384" t="s">
        <v>33</v>
      </c>
      <c r="AR384" t="s">
        <v>33</v>
      </c>
      <c r="AS384" s="6">
        <f>LOG(3*10^7)</f>
        <v>7.4771212547196626</v>
      </c>
      <c r="AT384" s="3">
        <f>IFERROR(AS384-AU384,"NA")</f>
        <v>3.6871212547196626</v>
      </c>
      <c r="AU384" s="6">
        <v>3.79</v>
      </c>
      <c r="AV384" t="b">
        <v>1</v>
      </c>
      <c r="AW384" t="s">
        <v>123</v>
      </c>
      <c r="AX384" t="s">
        <v>88</v>
      </c>
      <c r="AY384" t="s">
        <v>306</v>
      </c>
      <c r="AZ384" t="s">
        <v>33</v>
      </c>
      <c r="BA384" s="18" t="s">
        <v>579</v>
      </c>
      <c r="BB384" t="b">
        <v>1</v>
      </c>
      <c r="BC384" t="s">
        <v>81</v>
      </c>
      <c r="BD384">
        <v>48</v>
      </c>
      <c r="BE384" t="s">
        <v>80</v>
      </c>
      <c r="BF384" s="11">
        <v>120</v>
      </c>
      <c r="BG384" t="s">
        <v>395</v>
      </c>
      <c r="BH384" t="s">
        <v>31</v>
      </c>
      <c r="BI384" t="s">
        <v>31</v>
      </c>
      <c r="BJ384" s="3">
        <f t="shared" si="199"/>
        <v>3.79</v>
      </c>
      <c r="BK384" s="3">
        <f t="shared" si="179"/>
        <v>0.57863920996807239</v>
      </c>
      <c r="BL384">
        <v>2</v>
      </c>
      <c r="BM384" s="3">
        <f t="shared" si="198"/>
        <v>0.59745204908760885</v>
      </c>
      <c r="BN384" t="s">
        <v>33</v>
      </c>
      <c r="BO384" s="3">
        <f t="shared" si="175"/>
        <v>3.9577836411609493</v>
      </c>
      <c r="BP384" t="s">
        <v>33</v>
      </c>
      <c r="BQ384" t="s">
        <v>33</v>
      </c>
      <c r="BR384" t="s">
        <v>33</v>
      </c>
      <c r="BS384" t="s">
        <v>33</v>
      </c>
      <c r="BT384" t="s">
        <v>32</v>
      </c>
      <c r="BU384" t="s">
        <v>323</v>
      </c>
      <c r="BV384">
        <v>2003</v>
      </c>
      <c r="BW384" s="2" t="s">
        <v>322</v>
      </c>
      <c r="BX384" t="s">
        <v>78</v>
      </c>
      <c r="BY384" t="s">
        <v>33</v>
      </c>
      <c r="BZ384" t="s">
        <v>33</v>
      </c>
      <c r="CA384" t="str">
        <f t="shared" si="176"/>
        <v>high acid</v>
      </c>
    </row>
    <row r="385" spans="1:79">
      <c r="A385" t="s">
        <v>273</v>
      </c>
      <c r="B385" t="s">
        <v>565</v>
      </c>
      <c r="C385" t="s">
        <v>563</v>
      </c>
      <c r="D385" t="s">
        <v>118</v>
      </c>
      <c r="E385" t="s">
        <v>77</v>
      </c>
      <c r="F385" t="s">
        <v>32</v>
      </c>
      <c r="G385">
        <v>20</v>
      </c>
      <c r="H385">
        <v>55</v>
      </c>
      <c r="I385" t="b">
        <v>0</v>
      </c>
      <c r="J385" t="s">
        <v>33</v>
      </c>
      <c r="K385" t="s">
        <v>33</v>
      </c>
      <c r="L385">
        <v>35</v>
      </c>
      <c r="M385" s="4" t="s">
        <v>33</v>
      </c>
      <c r="N385" s="3">
        <f>IFERROR(AF385/((T385*X385/Y385)*O385*AI385),"NA")</f>
        <v>328.5843067246883</v>
      </c>
      <c r="O385">
        <v>2.5</v>
      </c>
      <c r="P385" t="s">
        <v>33</v>
      </c>
      <c r="Q385" s="8">
        <f t="shared" si="200"/>
        <v>1.2173435913211428E-2</v>
      </c>
      <c r="R385" t="s">
        <v>183</v>
      </c>
      <c r="S385" t="s">
        <v>613</v>
      </c>
      <c r="T385" s="11">
        <v>6</v>
      </c>
      <c r="U385">
        <v>2.93</v>
      </c>
      <c r="V385">
        <v>2.2999999999999998</v>
      </c>
      <c r="W385" t="s">
        <v>33</v>
      </c>
      <c r="X385" s="8">
        <f t="shared" si="209"/>
        <v>1.2173435913211428E-2</v>
      </c>
      <c r="Y385">
        <f>60/60</f>
        <v>1</v>
      </c>
      <c r="Z385" s="3">
        <f>IFERROR(X385*N385*O385*T385*AI385/AF385, "NA")</f>
        <v>1</v>
      </c>
      <c r="AA385" t="s">
        <v>33</v>
      </c>
      <c r="AB385" s="6">
        <f>IFERROR(((X385*N385)/Y385), "NA")</f>
        <v>4</v>
      </c>
      <c r="AC385" t="str">
        <f t="shared" si="194"/>
        <v>NA</v>
      </c>
      <c r="AD385" s="4">
        <f>AB385*T385*AI385</f>
        <v>24</v>
      </c>
      <c r="AE385" s="3">
        <f>IFERROR(((L385^2)*N385*O385*AK385*10^-6*Q385*T385*AI385), "NA")</f>
        <v>213.88499999999999</v>
      </c>
      <c r="AF385">
        <v>60</v>
      </c>
      <c r="AG385" t="str">
        <f>IFERROR((M385*O385*P385), "NA")</f>
        <v>NA</v>
      </c>
      <c r="AH385" t="str">
        <f>IFERROR((AG385*T385*AI385), "NA")</f>
        <v>NA</v>
      </c>
      <c r="AI385">
        <v>1</v>
      </c>
      <c r="AJ385" t="s">
        <v>31</v>
      </c>
      <c r="AK385">
        <v>2910</v>
      </c>
      <c r="AL385" t="s">
        <v>543</v>
      </c>
      <c r="AM385" t="s">
        <v>86</v>
      </c>
      <c r="AN385" t="s">
        <v>205</v>
      </c>
      <c r="AO385" t="s">
        <v>789</v>
      </c>
      <c r="AP385">
        <v>4.05</v>
      </c>
      <c r="AQ385" t="s">
        <v>33</v>
      </c>
      <c r="AR385" t="s">
        <v>33</v>
      </c>
      <c r="AS385">
        <f>LOG(10^6)</f>
        <v>6</v>
      </c>
      <c r="AT385" s="3">
        <f>IFERROR(AS385-AU385,"NA")</f>
        <v>3.6989999999999998</v>
      </c>
      <c r="AU385" s="6">
        <v>2.3010000000000002</v>
      </c>
      <c r="AV385" t="b">
        <v>1</v>
      </c>
      <c r="AW385" t="s">
        <v>29</v>
      </c>
      <c r="AX385" t="s">
        <v>30</v>
      </c>
      <c r="AY385" t="s">
        <v>216</v>
      </c>
      <c r="AZ385" t="s">
        <v>33</v>
      </c>
      <c r="BA385" s="18" t="s">
        <v>798</v>
      </c>
      <c r="BB385" t="b">
        <v>0</v>
      </c>
      <c r="BC385" t="s">
        <v>81</v>
      </c>
      <c r="BD385">
        <v>4</v>
      </c>
      <c r="BE385" t="s">
        <v>159</v>
      </c>
      <c r="BF385" s="11">
        <v>24</v>
      </c>
      <c r="BG385" t="s">
        <v>572</v>
      </c>
      <c r="BH385" t="s">
        <v>31</v>
      </c>
      <c r="BI385" t="s">
        <v>31</v>
      </c>
      <c r="BJ385" s="3">
        <f t="shared" si="199"/>
        <v>2.3010000000000002</v>
      </c>
      <c r="BK385" s="3">
        <f t="shared" si="179"/>
        <v>0.36191661866864344</v>
      </c>
      <c r="BL385">
        <v>2</v>
      </c>
      <c r="BM385" s="3">
        <f t="shared" si="198"/>
        <v>1.9682637094014588</v>
      </c>
      <c r="BN385" t="s">
        <v>33</v>
      </c>
      <c r="BO385" s="3">
        <f t="shared" si="175"/>
        <v>92.953063885267269</v>
      </c>
      <c r="BP385" t="s">
        <v>33</v>
      </c>
      <c r="BQ385" t="s">
        <v>33</v>
      </c>
      <c r="BR385" t="s">
        <v>33</v>
      </c>
      <c r="BS385" t="s">
        <v>33</v>
      </c>
      <c r="BT385" t="s">
        <v>31</v>
      </c>
      <c r="BU385" t="s">
        <v>274</v>
      </c>
      <c r="BV385">
        <v>2006</v>
      </c>
      <c r="BW385" t="s">
        <v>275</v>
      </c>
      <c r="BX385" t="s">
        <v>78</v>
      </c>
      <c r="BY385" t="s">
        <v>277</v>
      </c>
      <c r="BZ385" t="s">
        <v>33</v>
      </c>
      <c r="CA385" t="str">
        <f t="shared" si="176"/>
        <v>high acid</v>
      </c>
    </row>
    <row r="386" spans="1:79">
      <c r="A386" t="s">
        <v>590</v>
      </c>
      <c r="B386" t="s">
        <v>565</v>
      </c>
      <c r="C386" t="s">
        <v>564</v>
      </c>
      <c r="D386" t="s">
        <v>609</v>
      </c>
      <c r="E386" t="s">
        <v>77</v>
      </c>
      <c r="F386" t="s">
        <v>32</v>
      </c>
      <c r="G386">
        <v>40</v>
      </c>
      <c r="H386">
        <v>49</v>
      </c>
      <c r="I386" t="b">
        <v>0</v>
      </c>
      <c r="J386" t="s">
        <v>33</v>
      </c>
      <c r="K386" t="s">
        <v>33</v>
      </c>
      <c r="L386">
        <v>27</v>
      </c>
      <c r="M386" s="4">
        <v>120</v>
      </c>
      <c r="N386" t="e">
        <f>(#REF!*Y386)/(T386*X386*O386)</f>
        <v>#REF!</v>
      </c>
      <c r="O386">
        <v>3</v>
      </c>
      <c r="P386" t="s">
        <v>33</v>
      </c>
      <c r="Q386" s="1">
        <f t="shared" si="200"/>
        <v>6.3333333333333325E-2</v>
      </c>
      <c r="R386" t="s">
        <v>183</v>
      </c>
      <c r="S386" t="s">
        <v>612</v>
      </c>
      <c r="T386">
        <v>4</v>
      </c>
      <c r="U386">
        <v>3</v>
      </c>
      <c r="V386">
        <v>2.6</v>
      </c>
      <c r="W386">
        <v>1.5900000000000001E-2</v>
      </c>
      <c r="X386">
        <f t="shared" si="209"/>
        <v>1.5927874753700257E-2</v>
      </c>
      <c r="Y386">
        <v>8.3333299999999999E-2</v>
      </c>
      <c r="Z386" s="3">
        <f>IFERROR(X386*M386*O386*T386*AI386/AF386, "NA")</f>
        <v>0.25149275926895143</v>
      </c>
      <c r="AA386" t="s">
        <v>33</v>
      </c>
      <c r="AB386">
        <f>IFERROR(((X386*M386)/Z386), "NA")</f>
        <v>7.6</v>
      </c>
      <c r="AC386" s="1" t="str">
        <f t="shared" si="194"/>
        <v>NA</v>
      </c>
      <c r="AE386" s="3">
        <f>IFERROR(((L386^2)*M386*O386*AK386*10^-6*Q386*T386*AI386), "NA")</f>
        <v>76.457519999999988</v>
      </c>
      <c r="AF386">
        <v>91.2</v>
      </c>
      <c r="AG386" s="1" t="str">
        <f>IFERROR((N386*P386*Q386), "NA")</f>
        <v>NA</v>
      </c>
      <c r="AH386" s="1" t="str">
        <f>IFERROR((AG386*U386*AI386), "NA")</f>
        <v>NA</v>
      </c>
      <c r="AI386" s="1">
        <v>1</v>
      </c>
      <c r="AJ386" s="11" t="s">
        <v>31</v>
      </c>
      <c r="AK386">
        <v>1150</v>
      </c>
      <c r="AL386" t="s">
        <v>551</v>
      </c>
      <c r="AM386" t="s">
        <v>86</v>
      </c>
      <c r="AN386" t="s">
        <v>186</v>
      </c>
      <c r="AO386" t="s">
        <v>794</v>
      </c>
      <c r="AP386">
        <v>5.92</v>
      </c>
      <c r="AQ386" t="s">
        <v>33</v>
      </c>
      <c r="AR386" t="s">
        <v>33</v>
      </c>
      <c r="AS386">
        <v>6</v>
      </c>
      <c r="AT386">
        <f>AS386-AU386</f>
        <v>3.71</v>
      </c>
      <c r="AU386" s="6">
        <v>2.29</v>
      </c>
      <c r="AV386" t="b">
        <v>1</v>
      </c>
      <c r="AW386" t="s">
        <v>626</v>
      </c>
      <c r="AX386" t="s">
        <v>627</v>
      </c>
      <c r="AY386" t="s">
        <v>631</v>
      </c>
      <c r="AZ386" t="s">
        <v>33</v>
      </c>
      <c r="BA386" s="18" t="s">
        <v>800</v>
      </c>
      <c r="BB386" s="3" t="b">
        <v>0</v>
      </c>
      <c r="BC386" t="s">
        <v>81</v>
      </c>
      <c r="BD386">
        <v>20</v>
      </c>
      <c r="BE386" t="s">
        <v>80</v>
      </c>
      <c r="BF386">
        <v>20</v>
      </c>
      <c r="BG386" t="s">
        <v>695</v>
      </c>
      <c r="BH386" t="s">
        <v>32</v>
      </c>
      <c r="BI386" t="s">
        <v>31</v>
      </c>
      <c r="BJ386">
        <f t="shared" si="199"/>
        <v>2.29</v>
      </c>
      <c r="BK386" s="3">
        <f t="shared" ref="BK386:BK448" si="210">LOG10(BJ386)</f>
        <v>0.35983548233988799</v>
      </c>
      <c r="BL386">
        <v>2</v>
      </c>
      <c r="BM386" s="3">
        <f t="shared" si="198"/>
        <v>1.5235847246601144</v>
      </c>
      <c r="BN386" t="s">
        <v>33</v>
      </c>
      <c r="BO386" s="3">
        <f t="shared" ref="BO386:BO449" si="211">IFERROR((AE386/BJ386),"NA")</f>
        <v>33.387563318777289</v>
      </c>
      <c r="BP386" t="s">
        <v>33</v>
      </c>
      <c r="BQ386" t="s">
        <v>33</v>
      </c>
      <c r="BR386" t="s">
        <v>33</v>
      </c>
      <c r="BS386" t="s">
        <v>33</v>
      </c>
      <c r="BT386" t="s">
        <v>32</v>
      </c>
      <c r="BU386" s="15" t="s">
        <v>207</v>
      </c>
      <c r="BV386">
        <v>2014</v>
      </c>
      <c r="BW386" t="s">
        <v>242</v>
      </c>
      <c r="BX386" t="s">
        <v>78</v>
      </c>
      <c r="BY386" s="13" t="s">
        <v>678</v>
      </c>
      <c r="CA386" t="str">
        <f t="shared" si="176"/>
        <v>low acid</v>
      </c>
    </row>
    <row r="387" spans="1:79">
      <c r="A387" t="s">
        <v>605</v>
      </c>
      <c r="B387" t="s">
        <v>565</v>
      </c>
      <c r="C387" t="s">
        <v>563</v>
      </c>
      <c r="D387" t="s">
        <v>118</v>
      </c>
      <c r="E387" t="s">
        <v>77</v>
      </c>
      <c r="F387" t="s">
        <v>33</v>
      </c>
      <c r="G387" t="s">
        <v>33</v>
      </c>
      <c r="H387" t="s">
        <v>33</v>
      </c>
      <c r="I387" t="b">
        <v>0</v>
      </c>
      <c r="J387" t="s">
        <v>33</v>
      </c>
      <c r="K387" t="s">
        <v>33</v>
      </c>
      <c r="L387">
        <v>17</v>
      </c>
      <c r="M387" s="4">
        <v>500</v>
      </c>
      <c r="N387" t="e">
        <f>(#REF!*Y387)/(T387*X387*O387)</f>
        <v>#REF!</v>
      </c>
      <c r="O387">
        <v>3</v>
      </c>
      <c r="P387" t="s">
        <v>33</v>
      </c>
      <c r="Q387" s="1">
        <f t="shared" si="200"/>
        <v>2.3333333333333334E-2</v>
      </c>
      <c r="R387" t="s">
        <v>183</v>
      </c>
      <c r="S387" t="s">
        <v>613</v>
      </c>
      <c r="T387">
        <v>6</v>
      </c>
      <c r="U387">
        <v>2.9</v>
      </c>
      <c r="V387">
        <v>2.2999999999999998</v>
      </c>
      <c r="W387" t="s">
        <v>33</v>
      </c>
      <c r="X387">
        <f t="shared" si="209"/>
        <v>1.204879322468025E-2</v>
      </c>
      <c r="Y387">
        <v>0.83333299999999999</v>
      </c>
      <c r="Z387" s="3">
        <f>IFERROR(X387*M387*O387*T387*AI387/AF387, "NA")</f>
        <v>0.51637685248629639</v>
      </c>
      <c r="AA387" t="s">
        <v>33</v>
      </c>
      <c r="AB387">
        <f>IFERROR(((X387*M387)/Z387), "NA")</f>
        <v>11.666666666666668</v>
      </c>
      <c r="AC387" s="1" t="str">
        <f t="shared" si="194"/>
        <v>NA</v>
      </c>
      <c r="AE387" s="3">
        <f>IFERROR(((L387^2)*M387*O387*AK387*10^-6*Q387*T387*AI387), "NA")</f>
        <v>71.007300000000001</v>
      </c>
      <c r="AF387">
        <v>210</v>
      </c>
      <c r="AG387" s="1" t="str">
        <f>IFERROR((N387*P387*Q387), "NA")</f>
        <v>NA</v>
      </c>
      <c r="AH387" s="1" t="str">
        <f>IFERROR((AG387*U387*AI387), "NA")</f>
        <v>NA</v>
      </c>
      <c r="AI387" s="1">
        <v>1</v>
      </c>
      <c r="AJ387" s="11" t="s">
        <v>31</v>
      </c>
      <c r="AK387">
        <f>1.17*10^3</f>
        <v>1170</v>
      </c>
      <c r="AL387" t="s">
        <v>138</v>
      </c>
      <c r="AM387" t="s">
        <v>86</v>
      </c>
      <c r="AN387" t="s">
        <v>205</v>
      </c>
      <c r="AO387" t="s">
        <v>789</v>
      </c>
      <c r="AP387">
        <v>3.85</v>
      </c>
      <c r="AQ387" t="s">
        <v>33</v>
      </c>
      <c r="AR387" t="s">
        <v>33</v>
      </c>
      <c r="AS387">
        <v>7.78</v>
      </c>
      <c r="AT387">
        <v>3.71</v>
      </c>
      <c r="AU387" s="6">
        <f>AS387-AT387</f>
        <v>4.07</v>
      </c>
      <c r="AV387" t="b">
        <v>1</v>
      </c>
      <c r="AW387" t="s">
        <v>632</v>
      </c>
      <c r="AX387" t="s">
        <v>639</v>
      </c>
      <c r="AY387" t="s">
        <v>33</v>
      </c>
      <c r="AZ387" t="s">
        <v>33</v>
      </c>
      <c r="BA387" s="18" t="s">
        <v>803</v>
      </c>
      <c r="BB387" s="3" t="b">
        <v>0</v>
      </c>
      <c r="BC387" t="s">
        <v>81</v>
      </c>
      <c r="BD387">
        <f>AVERAGE(24,48)</f>
        <v>36</v>
      </c>
      <c r="BE387" t="s">
        <v>80</v>
      </c>
      <c r="BF387">
        <v>48</v>
      </c>
      <c r="BG387" t="s">
        <v>647</v>
      </c>
      <c r="BH387" t="s">
        <v>31</v>
      </c>
      <c r="BI387" t="s">
        <v>31</v>
      </c>
      <c r="BJ387" s="3">
        <f t="shared" si="199"/>
        <v>4.07</v>
      </c>
      <c r="BK387" s="3">
        <f t="shared" si="210"/>
        <v>0.60959440922522001</v>
      </c>
      <c r="BL387">
        <v>2</v>
      </c>
      <c r="BM387" s="3">
        <f t="shared" si="198"/>
        <v>1.2417085900114087</v>
      </c>
      <c r="BN387" t="s">
        <v>33</v>
      </c>
      <c r="BO387" s="3">
        <f t="shared" si="211"/>
        <v>17.446511056511056</v>
      </c>
      <c r="BP387" t="s">
        <v>33</v>
      </c>
      <c r="BQ387" t="s">
        <v>33</v>
      </c>
      <c r="BR387" t="s">
        <v>33</v>
      </c>
      <c r="BS387" t="s">
        <v>33</v>
      </c>
      <c r="BT387" t="s">
        <v>31</v>
      </c>
      <c r="BU387" s="13" t="s">
        <v>135</v>
      </c>
      <c r="BV387" s="14">
        <v>2009</v>
      </c>
      <c r="BW387" s="13" t="s">
        <v>136</v>
      </c>
      <c r="BX387" t="s">
        <v>78</v>
      </c>
      <c r="BY387" s="13" t="s">
        <v>692</v>
      </c>
      <c r="CA387" t="str">
        <f t="shared" ref="CA387:CA450" si="212">IF(OR(AN387="low acidic liquid medium", AN387="low acidic food product"), "low acid",
    IF(OR(AN387="high acidic food product", AN387="high acidic liquid medium"), "high acid", "NA"))</f>
        <v>high acid</v>
      </c>
    </row>
    <row r="388" spans="1:79">
      <c r="A388" t="s">
        <v>592</v>
      </c>
      <c r="B388" t="s">
        <v>566</v>
      </c>
      <c r="C388" t="s">
        <v>563</v>
      </c>
      <c r="D388" t="s">
        <v>607</v>
      </c>
      <c r="E388" t="s">
        <v>77</v>
      </c>
      <c r="F388" t="s">
        <v>32</v>
      </c>
      <c r="G388" t="s">
        <v>33</v>
      </c>
      <c r="H388">
        <v>35</v>
      </c>
      <c r="I388" t="b">
        <v>0</v>
      </c>
      <c r="J388">
        <v>30000</v>
      </c>
      <c r="K388">
        <v>200</v>
      </c>
      <c r="L388">
        <v>35</v>
      </c>
      <c r="M388" s="4">
        <v>1</v>
      </c>
      <c r="N388" t="e">
        <f>(#REF!*Y388)/(T388*X388*O388)</f>
        <v>#REF!</v>
      </c>
      <c r="O388">
        <v>3</v>
      </c>
      <c r="P388" t="s">
        <v>33</v>
      </c>
      <c r="Q388" s="1">
        <f t="shared" si="200"/>
        <v>24.633333333333336</v>
      </c>
      <c r="R388" t="s">
        <v>183</v>
      </c>
      <c r="S388" t="s">
        <v>33</v>
      </c>
      <c r="T388">
        <v>1</v>
      </c>
      <c r="U388">
        <v>2.5</v>
      </c>
      <c r="V388" t="s">
        <v>33</v>
      </c>
      <c r="W388">
        <v>0.50249999999999995</v>
      </c>
      <c r="X388">
        <f>W388</f>
        <v>0.50249999999999995</v>
      </c>
      <c r="Y388" t="s">
        <v>33</v>
      </c>
      <c r="Z388" s="3">
        <f>IFERROR(X388*M388*O388*T388*AI388/AF388, "NA")</f>
        <v>2.0399188092016234E-2</v>
      </c>
      <c r="AA388" t="s">
        <v>33</v>
      </c>
      <c r="AB388">
        <f>IFERROR(((X388*M388)/Z388), "NA")</f>
        <v>24.633333333333336</v>
      </c>
      <c r="AC388" s="1" t="str">
        <f t="shared" si="194"/>
        <v>NA</v>
      </c>
      <c r="AE388" s="3">
        <f>IFERROR(((L388^2)*M388*O388*AK388*10^-6*Q388*T388*AI388), "NA")</f>
        <v>90.527500000000003</v>
      </c>
      <c r="AF388">
        <v>73.900000000000006</v>
      </c>
      <c r="AG388" s="1" t="str">
        <f>IFERROR((N388*P388*Q388), "NA")</f>
        <v>NA</v>
      </c>
      <c r="AH388" s="1" t="str">
        <f>IFERROR((AG388*U388*AI388), "NA")</f>
        <v>NA</v>
      </c>
      <c r="AI388" s="1">
        <v>1</v>
      </c>
      <c r="AJ388" s="11" t="s">
        <v>31</v>
      </c>
      <c r="AK388">
        <v>1000</v>
      </c>
      <c r="AL388" t="s">
        <v>614</v>
      </c>
      <c r="AM388" s="3" t="s">
        <v>103</v>
      </c>
      <c r="AN388" t="s">
        <v>305</v>
      </c>
      <c r="AO388" t="s">
        <v>790</v>
      </c>
      <c r="AP388">
        <v>4.5</v>
      </c>
      <c r="AQ388" t="s">
        <v>33</v>
      </c>
      <c r="AR388" t="s">
        <v>33</v>
      </c>
      <c r="AS388">
        <v>8</v>
      </c>
      <c r="AT388">
        <f>AS388-AU388</f>
        <v>3.71</v>
      </c>
      <c r="AU388" s="6">
        <v>4.29</v>
      </c>
      <c r="AV388" t="b">
        <v>1</v>
      </c>
      <c r="AW388" t="s">
        <v>626</v>
      </c>
      <c r="AX388" t="s">
        <v>627</v>
      </c>
      <c r="AY388" t="s">
        <v>633</v>
      </c>
      <c r="AZ388" t="s">
        <v>33</v>
      </c>
      <c r="BA388" s="18" t="s">
        <v>800</v>
      </c>
      <c r="BB388" s="3" t="b">
        <v>0</v>
      </c>
      <c r="BC388" t="s">
        <v>81</v>
      </c>
      <c r="BD388">
        <v>24</v>
      </c>
      <c r="BE388" t="s">
        <v>80</v>
      </c>
      <c r="BF388">
        <v>48</v>
      </c>
      <c r="BG388" t="s">
        <v>569</v>
      </c>
      <c r="BH388" t="s">
        <v>31</v>
      </c>
      <c r="BI388" t="s">
        <v>31</v>
      </c>
      <c r="BJ388">
        <f t="shared" si="199"/>
        <v>4.29</v>
      </c>
      <c r="BK388" s="3">
        <f t="shared" si="210"/>
        <v>0.63245729218472424</v>
      </c>
      <c r="BL388">
        <v>2</v>
      </c>
      <c r="BM388" s="3">
        <f t="shared" si="198"/>
        <v>1.3243232349106528</v>
      </c>
      <c r="BN388" t="s">
        <v>33</v>
      </c>
      <c r="BO388" s="3">
        <f t="shared" si="211"/>
        <v>21.101981351981351</v>
      </c>
      <c r="BP388" t="s">
        <v>33</v>
      </c>
      <c r="BQ388" t="s">
        <v>33</v>
      </c>
      <c r="BR388" t="s">
        <v>33</v>
      </c>
      <c r="BS388" t="s">
        <v>33</v>
      </c>
      <c r="BT388" t="s">
        <v>31</v>
      </c>
      <c r="BU388" s="15" t="s">
        <v>255</v>
      </c>
      <c r="BV388">
        <v>2010</v>
      </c>
      <c r="BW388" t="s">
        <v>659</v>
      </c>
      <c r="BX388" t="s">
        <v>78</v>
      </c>
      <c r="BY388" s="13" t="s">
        <v>680</v>
      </c>
      <c r="CA388" t="str">
        <f t="shared" si="212"/>
        <v>high acid</v>
      </c>
    </row>
    <row r="389" spans="1:79">
      <c r="A389" t="s">
        <v>418</v>
      </c>
      <c r="B389" t="s">
        <v>566</v>
      </c>
      <c r="C389" t="s">
        <v>564</v>
      </c>
      <c r="D389" t="s">
        <v>33</v>
      </c>
      <c r="E389" t="s">
        <v>77</v>
      </c>
      <c r="F389" t="s">
        <v>32</v>
      </c>
      <c r="G389">
        <v>22.5</v>
      </c>
      <c r="H389">
        <v>33</v>
      </c>
      <c r="I389" t="b">
        <v>0</v>
      </c>
      <c r="J389">
        <v>25000</v>
      </c>
      <c r="K389">
        <v>1600</v>
      </c>
      <c r="L389">
        <v>48</v>
      </c>
      <c r="M389" s="4" t="s">
        <v>33</v>
      </c>
      <c r="N389" s="3">
        <f>IFERROR(AF389/((T389*X389/Y389)*O389*AI389),"NA")</f>
        <v>77.777777777777786</v>
      </c>
      <c r="O389">
        <v>0.72</v>
      </c>
      <c r="P389" t="s">
        <v>33</v>
      </c>
      <c r="Q389" s="8">
        <f t="shared" si="200"/>
        <v>0.09</v>
      </c>
      <c r="R389" t="s">
        <v>278</v>
      </c>
      <c r="S389" t="s">
        <v>612</v>
      </c>
      <c r="T389" s="11">
        <v>1</v>
      </c>
      <c r="U389">
        <v>0.5</v>
      </c>
      <c r="V389" t="s">
        <v>33</v>
      </c>
      <c r="W389">
        <v>12</v>
      </c>
      <c r="X389" s="9">
        <f>U389*25</f>
        <v>12.5</v>
      </c>
      <c r="Y389" s="3">
        <f>500000/3600</f>
        <v>138.88888888888889</v>
      </c>
      <c r="Z389" s="3">
        <f>Y389</f>
        <v>138.88888888888889</v>
      </c>
      <c r="AA389">
        <v>7</v>
      </c>
      <c r="AB389" s="6" t="str">
        <f>IFERROR(((X389*M389)/Y389), "NA")</f>
        <v>NA</v>
      </c>
      <c r="AC389" t="str">
        <f t="shared" si="194"/>
        <v>NA</v>
      </c>
      <c r="AD389" s="4" t="str">
        <f>IFERROR(AB389*T389*AI389, "NA")</f>
        <v>NA</v>
      </c>
      <c r="AE389" s="3">
        <f>IFERROR(((L389^2)*N389*O389*AK389*10^-6*Q389*T389*AI389), "NA")</f>
        <v>66.769920000000013</v>
      </c>
      <c r="AF389">
        <f>AI389*AA389*T389*O389</f>
        <v>50.4</v>
      </c>
      <c r="AG389" t="str">
        <f>IFERROR((M389*O389*P389), "NA")</f>
        <v>NA</v>
      </c>
      <c r="AH389" t="str">
        <f>IFERROR((AG389*T389*AI389), "NA")</f>
        <v>NA</v>
      </c>
      <c r="AI389" s="4">
        <f>70/AA389</f>
        <v>10</v>
      </c>
      <c r="AJ389" s="11" t="s">
        <v>32</v>
      </c>
      <c r="AK389" s="11">
        <f>575</f>
        <v>575</v>
      </c>
      <c r="AL389" t="s">
        <v>419</v>
      </c>
      <c r="AM389" t="s">
        <v>103</v>
      </c>
      <c r="AN389" t="s">
        <v>130</v>
      </c>
      <c r="AO389" t="s">
        <v>795</v>
      </c>
      <c r="AP389" s="4">
        <v>7.5</v>
      </c>
      <c r="AQ389" t="s">
        <v>33</v>
      </c>
      <c r="AR389" t="s">
        <v>33</v>
      </c>
      <c r="AS389" s="3">
        <f>LOG(10^7)</f>
        <v>7</v>
      </c>
      <c r="AT389" s="3">
        <f>IFERROR(AS389-AU389,"NA")</f>
        <v>3.7170000000000001</v>
      </c>
      <c r="AU389" s="6">
        <v>3.2829999999999999</v>
      </c>
      <c r="AV389" t="b">
        <v>1</v>
      </c>
      <c r="AW389" t="s">
        <v>172</v>
      </c>
      <c r="AX389" t="s">
        <v>173</v>
      </c>
      <c r="AY389" t="s">
        <v>33</v>
      </c>
      <c r="AZ389" t="s">
        <v>33</v>
      </c>
      <c r="BA389" s="18" t="s">
        <v>799</v>
      </c>
      <c r="BB389" t="b">
        <v>0</v>
      </c>
      <c r="BC389" t="s">
        <v>81</v>
      </c>
      <c r="BD389">
        <v>16</v>
      </c>
      <c r="BE389" t="s">
        <v>80</v>
      </c>
      <c r="BF389" s="11">
        <v>72</v>
      </c>
      <c r="BG389" t="s">
        <v>33</v>
      </c>
      <c r="BH389" t="s">
        <v>31</v>
      </c>
      <c r="BI389" t="s">
        <v>31</v>
      </c>
      <c r="BJ389" s="3">
        <f t="shared" si="199"/>
        <v>3.2829999999999999</v>
      </c>
      <c r="BK389" s="3">
        <f t="shared" si="210"/>
        <v>0.51627088272934007</v>
      </c>
      <c r="BL389">
        <v>2</v>
      </c>
      <c r="BM389" s="3">
        <f t="shared" si="198"/>
        <v>1.3083099731569903</v>
      </c>
      <c r="BN389" t="s">
        <v>33</v>
      </c>
      <c r="BO389" s="3">
        <f t="shared" si="211"/>
        <v>20.338081023454162</v>
      </c>
      <c r="BP389" t="s">
        <v>33</v>
      </c>
      <c r="BQ389" t="s">
        <v>33</v>
      </c>
      <c r="BR389" t="s">
        <v>33</v>
      </c>
      <c r="BS389" t="s">
        <v>33</v>
      </c>
      <c r="BT389" t="s">
        <v>32</v>
      </c>
      <c r="BU389" t="s">
        <v>423</v>
      </c>
      <c r="BV389" s="11">
        <v>2006</v>
      </c>
      <c r="BW389" t="s">
        <v>422</v>
      </c>
      <c r="BX389" t="s">
        <v>78</v>
      </c>
      <c r="BY389" t="s">
        <v>420</v>
      </c>
      <c r="BZ389" t="s">
        <v>421</v>
      </c>
      <c r="CA389" t="str">
        <f t="shared" si="212"/>
        <v>low acid</v>
      </c>
    </row>
    <row r="390" spans="1:79">
      <c r="A390" t="s">
        <v>501</v>
      </c>
      <c r="B390" t="s">
        <v>565</v>
      </c>
      <c r="C390" t="s">
        <v>563</v>
      </c>
      <c r="D390" t="s">
        <v>118</v>
      </c>
      <c r="E390" t="s">
        <v>77</v>
      </c>
      <c r="F390" t="s">
        <v>32</v>
      </c>
      <c r="G390">
        <v>4</v>
      </c>
      <c r="H390">
        <v>40</v>
      </c>
      <c r="I390" t="b">
        <v>0</v>
      </c>
      <c r="J390" t="s">
        <v>33</v>
      </c>
      <c r="K390" t="s">
        <v>33</v>
      </c>
      <c r="L390">
        <v>35</v>
      </c>
      <c r="M390" s="4">
        <v>200</v>
      </c>
      <c r="N390" s="3" t="str">
        <f>IFERROR(AF390/((T390*X390/Y390)*O390*AI390),"NA")</f>
        <v>NA</v>
      </c>
      <c r="O390">
        <v>4</v>
      </c>
      <c r="P390" s="9" t="s">
        <v>33</v>
      </c>
      <c r="Q390" s="8">
        <f t="shared" si="200"/>
        <v>0.125</v>
      </c>
      <c r="R390" t="s">
        <v>183</v>
      </c>
      <c r="S390" t="s">
        <v>613</v>
      </c>
      <c r="T390" s="11">
        <v>8</v>
      </c>
      <c r="U390">
        <v>2.92</v>
      </c>
      <c r="V390">
        <v>2.2999999999999998</v>
      </c>
      <c r="W390">
        <v>1.21E-2</v>
      </c>
      <c r="X390" s="9">
        <f>IFERROR(((PI())*(((V390*10^-1)/2)^2)*(U390*10^-1)), "NA")</f>
        <v>1.2131888350367701E-2</v>
      </c>
      <c r="Y390" s="6" t="s">
        <v>33</v>
      </c>
      <c r="Z390" s="3">
        <f t="shared" ref="Z390:Z417" si="213">IFERROR(X390*M390*O390*T390*AI390/AF390, "NA")</f>
        <v>9.7055106802941604E-2</v>
      </c>
      <c r="AA390" t="s">
        <v>33</v>
      </c>
      <c r="AB390" s="4" t="str">
        <f>IFERROR(((X390*M390)/Y390), "NA")</f>
        <v>NA</v>
      </c>
      <c r="AC390" s="4" t="str">
        <f t="shared" ref="AC390:AC420" si="214">IFERROR(M390*P390,"NA")</f>
        <v>NA</v>
      </c>
      <c r="AD390" s="4" t="e">
        <f>AB390*T390*AI390</f>
        <v>#VALUE!</v>
      </c>
      <c r="AE390" s="3">
        <f t="shared" ref="AE390:AE417" si="215">IFERROR(((L390^2)*M390*O390*AK390*10^-6*Q390*T390*AI390), "NA")</f>
        <v>3684.7999999999997</v>
      </c>
      <c r="AF390">
        <v>800</v>
      </c>
      <c r="AG390" s="4" t="str">
        <f>IFERROR((M390*O390*P390), "NA")</f>
        <v>NA</v>
      </c>
      <c r="AH390" s="4" t="str">
        <f>IFERROR((AG390*T390*AI390), "NA")</f>
        <v>NA</v>
      </c>
      <c r="AI390">
        <v>1</v>
      </c>
      <c r="AJ390" t="s">
        <v>31</v>
      </c>
      <c r="AK390">
        <v>3760</v>
      </c>
      <c r="AL390" t="s">
        <v>553</v>
      </c>
      <c r="AM390" t="s">
        <v>86</v>
      </c>
      <c r="AN390" t="s">
        <v>205</v>
      </c>
      <c r="AO390" t="s">
        <v>789</v>
      </c>
      <c r="AP390">
        <v>3.31</v>
      </c>
      <c r="AQ390" t="s">
        <v>33</v>
      </c>
      <c r="AR390" t="s">
        <v>33</v>
      </c>
      <c r="AS390" s="6">
        <f>LOG((10^7+10^8)/2)</f>
        <v>7.7403626894942441</v>
      </c>
      <c r="AT390" s="3">
        <f>IFERROR(AS390-AU390,"NA")</f>
        <v>3.7193626894942442</v>
      </c>
      <c r="AU390" s="6">
        <v>4.0209999999999999</v>
      </c>
      <c r="AV390" t="b">
        <v>1</v>
      </c>
      <c r="AW390" t="s">
        <v>92</v>
      </c>
      <c r="AX390" t="s">
        <v>119</v>
      </c>
      <c r="AY390" t="s">
        <v>425</v>
      </c>
      <c r="AZ390" t="s">
        <v>33</v>
      </c>
      <c r="BA390" s="18" t="s">
        <v>801</v>
      </c>
      <c r="BB390" t="b">
        <v>0</v>
      </c>
      <c r="BC390" t="s">
        <v>81</v>
      </c>
      <c r="BD390">
        <v>15</v>
      </c>
      <c r="BE390" t="s">
        <v>80</v>
      </c>
      <c r="BF390" s="11">
        <v>36</v>
      </c>
      <c r="BG390" t="s">
        <v>573</v>
      </c>
      <c r="BH390" t="s">
        <v>31</v>
      </c>
      <c r="BI390" t="s">
        <v>31</v>
      </c>
      <c r="BJ390" s="3">
        <f t="shared" si="199"/>
        <v>4.0209999999999999</v>
      </c>
      <c r="BK390" s="3">
        <f t="shared" si="210"/>
        <v>0.6043340731029111</v>
      </c>
      <c r="BL390">
        <v>2</v>
      </c>
      <c r="BM390" s="3">
        <f t="shared" si="198"/>
        <v>2.962079847517245</v>
      </c>
      <c r="BN390" t="s">
        <v>33</v>
      </c>
      <c r="BO390" s="3">
        <f t="shared" si="211"/>
        <v>916.38895797065402</v>
      </c>
      <c r="BP390" t="s">
        <v>33</v>
      </c>
      <c r="BQ390" t="s">
        <v>33</v>
      </c>
      <c r="BR390" t="s">
        <v>33</v>
      </c>
      <c r="BS390" t="s">
        <v>33</v>
      </c>
      <c r="BT390" t="s">
        <v>31</v>
      </c>
      <c r="BU390" t="s">
        <v>503</v>
      </c>
      <c r="BV390">
        <v>2011</v>
      </c>
      <c r="BW390" t="s">
        <v>504</v>
      </c>
      <c r="BX390" t="s">
        <v>78</v>
      </c>
      <c r="BY390" t="s">
        <v>33</v>
      </c>
      <c r="BZ390" t="s">
        <v>33</v>
      </c>
      <c r="CA390" t="str">
        <f t="shared" si="212"/>
        <v>high acid</v>
      </c>
    </row>
    <row r="391" spans="1:79">
      <c r="A391" t="s">
        <v>502</v>
      </c>
      <c r="B391" t="s">
        <v>565</v>
      </c>
      <c r="C391" t="s">
        <v>563</v>
      </c>
      <c r="D391" t="s">
        <v>118</v>
      </c>
      <c r="E391" t="s">
        <v>77</v>
      </c>
      <c r="F391" t="s">
        <v>32</v>
      </c>
      <c r="G391">
        <v>4</v>
      </c>
      <c r="H391">
        <v>40</v>
      </c>
      <c r="I391" t="b">
        <v>0</v>
      </c>
      <c r="J391" t="s">
        <v>33</v>
      </c>
      <c r="K391" t="s">
        <v>33</v>
      </c>
      <c r="L391">
        <v>35</v>
      </c>
      <c r="M391" s="4">
        <v>200</v>
      </c>
      <c r="N391" s="3" t="str">
        <f>IFERROR(AF391/((T391*X391/Y391)*O391*AI391),"NA")</f>
        <v>NA</v>
      </c>
      <c r="O391">
        <v>4</v>
      </c>
      <c r="P391" s="9" t="s">
        <v>33</v>
      </c>
      <c r="Q391" s="8">
        <f t="shared" si="200"/>
        <v>0.125</v>
      </c>
      <c r="R391" t="s">
        <v>183</v>
      </c>
      <c r="S391" t="s">
        <v>613</v>
      </c>
      <c r="T391" s="11">
        <v>8</v>
      </c>
      <c r="U391">
        <v>2.92</v>
      </c>
      <c r="V391">
        <v>2.2999999999999998</v>
      </c>
      <c r="W391">
        <v>1.21E-2</v>
      </c>
      <c r="X391" s="9">
        <f>IFERROR(((PI())*(((V391*10^-1)/2)^2)*(U391*10^-1)), "NA")</f>
        <v>1.2131888350367701E-2</v>
      </c>
      <c r="Y391" s="6" t="s">
        <v>33</v>
      </c>
      <c r="Z391" s="3">
        <f t="shared" si="213"/>
        <v>9.7055106802941604E-2</v>
      </c>
      <c r="AA391" t="s">
        <v>33</v>
      </c>
      <c r="AB391" s="4" t="str">
        <f>IFERROR(((X391*M391)/Y391), "NA")</f>
        <v>NA</v>
      </c>
      <c r="AC391" s="4" t="str">
        <f t="shared" si="214"/>
        <v>NA</v>
      </c>
      <c r="AD391" s="4" t="e">
        <f>AB391*T391*AI391</f>
        <v>#VALUE!</v>
      </c>
      <c r="AE391" s="3">
        <f t="shared" si="215"/>
        <v>3704.3999999999996</v>
      </c>
      <c r="AF391">
        <v>800</v>
      </c>
      <c r="AG391" s="4" t="str">
        <f>IFERROR((M391*O391*P391), "NA")</f>
        <v>NA</v>
      </c>
      <c r="AH391" s="4" t="str">
        <f>IFERROR((AG391*T391*AI391), "NA")</f>
        <v>NA</v>
      </c>
      <c r="AI391">
        <v>1</v>
      </c>
      <c r="AJ391" t="s">
        <v>31</v>
      </c>
      <c r="AK391">
        <v>3780</v>
      </c>
      <c r="AL391" t="s">
        <v>552</v>
      </c>
      <c r="AM391" t="s">
        <v>86</v>
      </c>
      <c r="AN391" t="s">
        <v>205</v>
      </c>
      <c r="AO391" t="s">
        <v>789</v>
      </c>
      <c r="AP391">
        <v>3.32</v>
      </c>
      <c r="AQ391" t="s">
        <v>33</v>
      </c>
      <c r="AR391" t="s">
        <v>33</v>
      </c>
      <c r="AS391" s="6">
        <f>LOG((10^7+10^8)/2)</f>
        <v>7.7403626894942441</v>
      </c>
      <c r="AT391" s="3">
        <f>IFERROR(AS391-AU391,"NA")</f>
        <v>3.7193626894942442</v>
      </c>
      <c r="AU391" s="6">
        <v>4.0209999999999999</v>
      </c>
      <c r="AV391" t="b">
        <v>1</v>
      </c>
      <c r="AW391" t="s">
        <v>92</v>
      </c>
      <c r="AX391" t="s">
        <v>119</v>
      </c>
      <c r="AY391" t="s">
        <v>425</v>
      </c>
      <c r="AZ391" t="s">
        <v>33</v>
      </c>
      <c r="BA391" s="18" t="s">
        <v>801</v>
      </c>
      <c r="BB391" t="b">
        <v>0</v>
      </c>
      <c r="BC391" t="s">
        <v>81</v>
      </c>
      <c r="BD391">
        <v>15</v>
      </c>
      <c r="BE391" t="s">
        <v>80</v>
      </c>
      <c r="BF391" s="11">
        <v>36</v>
      </c>
      <c r="BG391" t="s">
        <v>573</v>
      </c>
      <c r="BH391" t="s">
        <v>31</v>
      </c>
      <c r="BI391" t="s">
        <v>31</v>
      </c>
      <c r="BJ391" s="3">
        <f t="shared" si="199"/>
        <v>4.0209999999999999</v>
      </c>
      <c r="BK391" s="3">
        <f t="shared" si="210"/>
        <v>0.6043340731029111</v>
      </c>
      <c r="BL391">
        <v>2</v>
      </c>
      <c r="BM391" s="3">
        <f t="shared" si="198"/>
        <v>2.9643838024268092</v>
      </c>
      <c r="BN391" t="s">
        <v>33</v>
      </c>
      <c r="BO391" s="3">
        <f t="shared" si="211"/>
        <v>921.26336732156176</v>
      </c>
      <c r="BP391" t="s">
        <v>33</v>
      </c>
      <c r="BQ391" t="s">
        <v>33</v>
      </c>
      <c r="BR391" t="s">
        <v>33</v>
      </c>
      <c r="BS391" t="s">
        <v>33</v>
      </c>
      <c r="BT391" t="s">
        <v>31</v>
      </c>
      <c r="BU391" t="s">
        <v>503</v>
      </c>
      <c r="BV391">
        <v>2011</v>
      </c>
      <c r="BW391" t="s">
        <v>504</v>
      </c>
      <c r="BX391" t="s">
        <v>78</v>
      </c>
      <c r="BY391" t="s">
        <v>33</v>
      </c>
      <c r="BZ391" t="s">
        <v>33</v>
      </c>
      <c r="CA391" t="str">
        <f t="shared" si="212"/>
        <v>high acid</v>
      </c>
    </row>
    <row r="392" spans="1:79">
      <c r="A392" t="s">
        <v>595</v>
      </c>
      <c r="B392" t="s">
        <v>565</v>
      </c>
      <c r="C392" t="s">
        <v>564</v>
      </c>
      <c r="D392" t="s">
        <v>609</v>
      </c>
      <c r="E392" t="s">
        <v>77</v>
      </c>
      <c r="F392" t="s">
        <v>32</v>
      </c>
      <c r="G392">
        <v>30</v>
      </c>
      <c r="H392">
        <v>38.200000000000003</v>
      </c>
      <c r="I392" t="b">
        <v>0</v>
      </c>
      <c r="J392" t="s">
        <v>33</v>
      </c>
      <c r="K392" t="s">
        <v>33</v>
      </c>
      <c r="L392">
        <v>24</v>
      </c>
      <c r="M392" s="4">
        <v>120</v>
      </c>
      <c r="N392" t="e">
        <f>(#REF!*Y392)/(T392*X392*O392)</f>
        <v>#REF!</v>
      </c>
      <c r="O392">
        <v>3</v>
      </c>
      <c r="P392" t="s">
        <v>33</v>
      </c>
      <c r="Q392" s="1">
        <f t="shared" si="200"/>
        <v>8.3333333333333329E-2</v>
      </c>
      <c r="R392" t="s">
        <v>183</v>
      </c>
      <c r="S392" t="s">
        <v>612</v>
      </c>
      <c r="T392">
        <v>4</v>
      </c>
      <c r="U392">
        <v>3</v>
      </c>
      <c r="V392">
        <v>2.6</v>
      </c>
      <c r="W392" t="s">
        <v>33</v>
      </c>
      <c r="X392">
        <f>IFERROR(((PI())*(((V392*10^-1)/2)^2)*(U392*10^-1)), "NA")</f>
        <v>1.5927874753700257E-2</v>
      </c>
      <c r="Y392">
        <v>0.126667</v>
      </c>
      <c r="Z392" s="3">
        <f t="shared" si="213"/>
        <v>0.19113449704440308</v>
      </c>
      <c r="AA392" t="s">
        <v>33</v>
      </c>
      <c r="AB392">
        <f t="shared" ref="AB392:AB408" si="216">IFERROR(((X392*M392)/Z392), "NA")</f>
        <v>10</v>
      </c>
      <c r="AC392" s="1" t="str">
        <f t="shared" si="214"/>
        <v>NA</v>
      </c>
      <c r="AE392" s="3">
        <f t="shared" si="215"/>
        <v>67.737599999999986</v>
      </c>
      <c r="AF392">
        <v>120</v>
      </c>
      <c r="AG392" s="1" t="str">
        <f>IFERROR((N392*P392*Q392), "NA")</f>
        <v>NA</v>
      </c>
      <c r="AH392" s="1" t="str">
        <f>IFERROR((AG392*U392*AI392), "NA")</f>
        <v>NA</v>
      </c>
      <c r="AI392" s="1">
        <v>1</v>
      </c>
      <c r="AJ392" s="11" t="s">
        <v>31</v>
      </c>
      <c r="AK392">
        <v>980</v>
      </c>
      <c r="AL392" t="s">
        <v>551</v>
      </c>
      <c r="AM392" t="s">
        <v>86</v>
      </c>
      <c r="AN392" t="s">
        <v>186</v>
      </c>
      <c r="AO392" t="s">
        <v>794</v>
      </c>
      <c r="AP392">
        <v>5.98</v>
      </c>
      <c r="AQ392" t="s">
        <v>33</v>
      </c>
      <c r="AR392" t="s">
        <v>33</v>
      </c>
      <c r="AS392">
        <v>6</v>
      </c>
      <c r="AT392">
        <f>AS392-AU392</f>
        <v>3.73</v>
      </c>
      <c r="AU392" s="6">
        <v>2.27</v>
      </c>
      <c r="AV392" t="b">
        <v>1</v>
      </c>
      <c r="AW392" t="s">
        <v>626</v>
      </c>
      <c r="AX392" t="s">
        <v>627</v>
      </c>
      <c r="AY392" t="s">
        <v>631</v>
      </c>
      <c r="AZ392" t="s">
        <v>33</v>
      </c>
      <c r="BA392" s="18" t="s">
        <v>800</v>
      </c>
      <c r="BB392" s="3" t="b">
        <v>0</v>
      </c>
      <c r="BC392" t="s">
        <v>81</v>
      </c>
      <c r="BD392">
        <v>20</v>
      </c>
      <c r="BE392" t="s">
        <v>80</v>
      </c>
      <c r="BF392">
        <v>20</v>
      </c>
      <c r="BG392" t="s">
        <v>695</v>
      </c>
      <c r="BH392" t="s">
        <v>32</v>
      </c>
      <c r="BI392" t="s">
        <v>31</v>
      </c>
      <c r="BJ392">
        <f t="shared" si="199"/>
        <v>2.27</v>
      </c>
      <c r="BK392" s="3">
        <f t="shared" si="210"/>
        <v>0.35602585719312274</v>
      </c>
      <c r="BL392">
        <v>2</v>
      </c>
      <c r="BM392" s="3">
        <f t="shared" si="198"/>
        <v>1.4748039479702089</v>
      </c>
      <c r="BN392" t="s">
        <v>33</v>
      </c>
      <c r="BO392" s="3">
        <f t="shared" si="211"/>
        <v>29.840352422907483</v>
      </c>
      <c r="BP392" t="s">
        <v>33</v>
      </c>
      <c r="BQ392" t="s">
        <v>33</v>
      </c>
      <c r="BR392" t="s">
        <v>33</v>
      </c>
      <c r="BS392" t="s">
        <v>33</v>
      </c>
      <c r="BT392" t="s">
        <v>32</v>
      </c>
      <c r="BU392" t="s">
        <v>207</v>
      </c>
      <c r="BV392">
        <v>2014</v>
      </c>
      <c r="BW392" t="s">
        <v>208</v>
      </c>
      <c r="BX392" t="s">
        <v>78</v>
      </c>
      <c r="BY392" s="13" t="s">
        <v>683</v>
      </c>
      <c r="CA392" t="str">
        <f t="shared" si="212"/>
        <v>low acid</v>
      </c>
    </row>
    <row r="393" spans="1:79">
      <c r="A393" t="s">
        <v>85</v>
      </c>
      <c r="B393" t="s">
        <v>565</v>
      </c>
      <c r="C393" t="s">
        <v>563</v>
      </c>
      <c r="D393" t="s">
        <v>118</v>
      </c>
      <c r="E393" t="s">
        <v>77</v>
      </c>
      <c r="F393" t="s">
        <v>32</v>
      </c>
      <c r="G393">
        <v>40</v>
      </c>
      <c r="H393">
        <f>(42+47)/2</f>
        <v>44.5</v>
      </c>
      <c r="I393" t="b">
        <v>1</v>
      </c>
      <c r="J393" t="s">
        <v>33</v>
      </c>
      <c r="K393" t="s">
        <v>33</v>
      </c>
      <c r="L393">
        <v>18</v>
      </c>
      <c r="M393" s="4">
        <v>548</v>
      </c>
      <c r="N393" s="3">
        <f>IFERROR(AF393/((T393*X393/Y393)*O393*AI393),"NA")</f>
        <v>553.30575787548105</v>
      </c>
      <c r="O393">
        <v>2.5</v>
      </c>
      <c r="P393" t="s">
        <v>33</v>
      </c>
      <c r="Q393" s="8">
        <f t="shared" si="200"/>
        <v>6.0827250608272501E-3</v>
      </c>
      <c r="R393" t="s">
        <v>183</v>
      </c>
      <c r="S393" t="s">
        <v>612</v>
      </c>
      <c r="T393" s="11">
        <v>6</v>
      </c>
      <c r="U393">
        <v>2.9</v>
      </c>
      <c r="V393">
        <v>2.2999999999999998</v>
      </c>
      <c r="W393" t="s">
        <v>33</v>
      </c>
      <c r="X393" s="8">
        <f>IFERROR(((PI())*(((V393*10^-1)/2)^2)*(U393*10^-1)), "NA")</f>
        <v>1.204879322468025E-2</v>
      </c>
      <c r="Y393" s="6">
        <f>120/60</f>
        <v>2</v>
      </c>
      <c r="Z393" s="3">
        <f t="shared" si="213"/>
        <v>1.9808216061374333</v>
      </c>
      <c r="AA393">
        <v>3.3</v>
      </c>
      <c r="AB393" s="6">
        <f t="shared" si="216"/>
        <v>3.333333333333333</v>
      </c>
      <c r="AC393" t="str">
        <f t="shared" si="214"/>
        <v>NA</v>
      </c>
      <c r="AD393" s="4">
        <f>IFERROR(AB393*T393*AI393, "NA")</f>
        <v>20</v>
      </c>
      <c r="AE393">
        <f t="shared" si="215"/>
        <v>34.83</v>
      </c>
      <c r="AF393">
        <v>50</v>
      </c>
      <c r="AG393" t="str">
        <f>IFERROR((M393*O393*P393), "NA")</f>
        <v>NA</v>
      </c>
      <c r="AH393" t="str">
        <f>IFERROR((AG393*T393*AI393), "NA")</f>
        <v>NA</v>
      </c>
      <c r="AI393" s="11">
        <v>1</v>
      </c>
      <c r="AJ393" t="s">
        <v>31</v>
      </c>
      <c r="AK393">
        <v>2150</v>
      </c>
      <c r="AL393" t="s">
        <v>238</v>
      </c>
      <c r="AM393" t="s">
        <v>86</v>
      </c>
      <c r="AN393" t="s">
        <v>205</v>
      </c>
      <c r="AO393" t="s">
        <v>789</v>
      </c>
      <c r="AP393">
        <v>4.16</v>
      </c>
      <c r="AQ393" t="s">
        <v>33</v>
      </c>
      <c r="AR393" t="s">
        <v>33</v>
      </c>
      <c r="AS393">
        <f>5.98</f>
        <v>5.98</v>
      </c>
      <c r="AT393" s="3">
        <f>IFERROR(AS393-AU393,"NA")</f>
        <v>3.7300000000000004</v>
      </c>
      <c r="AU393" s="6">
        <v>2.25</v>
      </c>
      <c r="AV393" t="b">
        <v>1</v>
      </c>
      <c r="AW393" t="s">
        <v>29</v>
      </c>
      <c r="AX393" t="s">
        <v>30</v>
      </c>
      <c r="AY393" t="s">
        <v>270</v>
      </c>
      <c r="AZ393" t="s">
        <v>134</v>
      </c>
      <c r="BA393" s="18" t="s">
        <v>798</v>
      </c>
      <c r="BB393" t="b">
        <v>0</v>
      </c>
      <c r="BC393" t="s">
        <v>81</v>
      </c>
      <c r="BD393">
        <v>16</v>
      </c>
      <c r="BE393" t="s">
        <v>80</v>
      </c>
      <c r="BF393" s="11">
        <v>24</v>
      </c>
      <c r="BG393" t="s">
        <v>568</v>
      </c>
      <c r="BH393" t="s">
        <v>31</v>
      </c>
      <c r="BI393" t="s">
        <v>31</v>
      </c>
      <c r="BJ393" s="3">
        <f t="shared" si="199"/>
        <v>2.25</v>
      </c>
      <c r="BK393" s="3">
        <f t="shared" si="210"/>
        <v>0.35218251811136247</v>
      </c>
      <c r="BL393">
        <v>2</v>
      </c>
      <c r="BM393" s="3">
        <f t="shared" si="198"/>
        <v>1.1897709563468737</v>
      </c>
      <c r="BN393" t="s">
        <v>33</v>
      </c>
      <c r="BO393" s="3">
        <f t="shared" si="211"/>
        <v>15.479999999999999</v>
      </c>
      <c r="BP393" t="s">
        <v>33</v>
      </c>
      <c r="BQ393" t="s">
        <v>33</v>
      </c>
      <c r="BR393" t="s">
        <v>33</v>
      </c>
      <c r="BS393" t="s">
        <v>33</v>
      </c>
      <c r="BT393" t="s">
        <v>32</v>
      </c>
      <c r="BU393" t="s">
        <v>84</v>
      </c>
      <c r="BV393">
        <v>2013</v>
      </c>
      <c r="BW393" s="1" t="s">
        <v>83</v>
      </c>
      <c r="BX393" t="s">
        <v>78</v>
      </c>
      <c r="BY393" t="s">
        <v>33</v>
      </c>
      <c r="BZ393" t="s">
        <v>33</v>
      </c>
      <c r="CA393" t="str">
        <f t="shared" si="212"/>
        <v>high acid</v>
      </c>
    </row>
    <row r="394" spans="1:79">
      <c r="A394" t="s">
        <v>584</v>
      </c>
      <c r="B394" t="s">
        <v>566</v>
      </c>
      <c r="C394" t="s">
        <v>563</v>
      </c>
      <c r="D394" t="s">
        <v>607</v>
      </c>
      <c r="E394" t="s">
        <v>77</v>
      </c>
      <c r="F394" t="s">
        <v>33</v>
      </c>
      <c r="G394">
        <v>20</v>
      </c>
      <c r="H394">
        <v>35</v>
      </c>
      <c r="I394" t="b">
        <v>0</v>
      </c>
      <c r="J394">
        <v>1000</v>
      </c>
      <c r="K394">
        <v>200</v>
      </c>
      <c r="L394">
        <v>25</v>
      </c>
      <c r="M394" s="4">
        <v>1</v>
      </c>
      <c r="N394" t="e">
        <f>(#REF!*Y394)/(T394*X394*O394)</f>
        <v>#REF!</v>
      </c>
      <c r="O394">
        <v>3</v>
      </c>
      <c r="P394" t="s">
        <v>33</v>
      </c>
      <c r="Q394" s="1">
        <f t="shared" si="200"/>
        <v>100.00000000000001</v>
      </c>
      <c r="R394" t="s">
        <v>183</v>
      </c>
      <c r="S394" t="s">
        <v>33</v>
      </c>
      <c r="T394">
        <v>1</v>
      </c>
      <c r="U394">
        <v>2.5</v>
      </c>
      <c r="V394" t="s">
        <v>33</v>
      </c>
      <c r="W394">
        <v>0.50249999999999995</v>
      </c>
      <c r="X394">
        <f>W394</f>
        <v>0.50249999999999995</v>
      </c>
      <c r="Y394" t="s">
        <v>33</v>
      </c>
      <c r="Z394" s="3">
        <f t="shared" si="213"/>
        <v>5.0249999999999991E-3</v>
      </c>
      <c r="AA394" t="s">
        <v>33</v>
      </c>
      <c r="AB394">
        <f t="shared" si="216"/>
        <v>100.00000000000001</v>
      </c>
      <c r="AC394" s="1" t="str">
        <f t="shared" si="214"/>
        <v>NA</v>
      </c>
      <c r="AE394" s="3">
        <f t="shared" si="215"/>
        <v>187.50000000000003</v>
      </c>
      <c r="AF394">
        <v>300</v>
      </c>
      <c r="AG394" s="1" t="str">
        <f>IFERROR((N394*P394*Q394), "NA")</f>
        <v>NA</v>
      </c>
      <c r="AH394" s="1" t="str">
        <f>IFERROR((AG394*U394*AI394), "NA")</f>
        <v>NA</v>
      </c>
      <c r="AI394" s="1">
        <v>1</v>
      </c>
      <c r="AJ394" s="11" t="s">
        <v>31</v>
      </c>
      <c r="AK394">
        <v>1000</v>
      </c>
      <c r="AL394" t="s">
        <v>614</v>
      </c>
      <c r="AM394" s="3" t="s">
        <v>103</v>
      </c>
      <c r="AN394" t="s">
        <v>130</v>
      </c>
      <c r="AO394" t="s">
        <v>795</v>
      </c>
      <c r="AP394">
        <v>5.5</v>
      </c>
      <c r="AQ394" t="s">
        <v>33</v>
      </c>
      <c r="AR394" t="s">
        <v>33</v>
      </c>
      <c r="AS394">
        <v>8</v>
      </c>
      <c r="AT394">
        <f>AS394-AU394</f>
        <v>3.7300000000000004</v>
      </c>
      <c r="AU394" s="6">
        <v>4.2699999999999996</v>
      </c>
      <c r="AV394" t="b">
        <v>1</v>
      </c>
      <c r="AW394" t="s">
        <v>617</v>
      </c>
      <c r="AX394" t="s">
        <v>33</v>
      </c>
      <c r="AY394" t="s">
        <v>623</v>
      </c>
      <c r="AZ394" t="s">
        <v>621</v>
      </c>
      <c r="BA394" s="18" t="s">
        <v>802</v>
      </c>
      <c r="BB394" s="3" t="b">
        <v>0</v>
      </c>
      <c r="BC394" t="s">
        <v>81</v>
      </c>
      <c r="BD394">
        <v>18</v>
      </c>
      <c r="BE394" t="s">
        <v>80</v>
      </c>
      <c r="BF394">
        <v>24</v>
      </c>
      <c r="BG394" t="s">
        <v>642</v>
      </c>
      <c r="BH394" t="s">
        <v>32</v>
      </c>
      <c r="BI394" t="s">
        <v>31</v>
      </c>
      <c r="BJ394">
        <f t="shared" si="199"/>
        <v>4.2699999999999996</v>
      </c>
      <c r="BK394" s="3">
        <f t="shared" si="210"/>
        <v>0.63042787502502384</v>
      </c>
      <c r="BL394">
        <v>2</v>
      </c>
      <c r="BM394" s="3">
        <f t="shared" si="198"/>
        <v>1.642573397038714</v>
      </c>
      <c r="BN394" t="s">
        <v>33</v>
      </c>
      <c r="BO394" s="3">
        <f t="shared" si="211"/>
        <v>43.911007025761137</v>
      </c>
      <c r="BP394" t="s">
        <v>33</v>
      </c>
      <c r="BQ394" t="s">
        <v>33</v>
      </c>
      <c r="BR394" t="s">
        <v>33</v>
      </c>
      <c r="BS394" t="s">
        <v>33</v>
      </c>
      <c r="BT394" t="s">
        <v>31</v>
      </c>
      <c r="BU394" t="s">
        <v>255</v>
      </c>
      <c r="BV394">
        <v>2010</v>
      </c>
      <c r="BW394" t="s">
        <v>651</v>
      </c>
      <c r="BX394" t="s">
        <v>78</v>
      </c>
      <c r="BY394" s="13" t="s">
        <v>674</v>
      </c>
      <c r="CA394" t="str">
        <f t="shared" si="212"/>
        <v>low acid</v>
      </c>
    </row>
    <row r="395" spans="1:79">
      <c r="A395" t="s">
        <v>259</v>
      </c>
      <c r="B395" t="s">
        <v>565</v>
      </c>
      <c r="C395" t="s">
        <v>563</v>
      </c>
      <c r="D395" t="s">
        <v>118</v>
      </c>
      <c r="E395" t="s">
        <v>77</v>
      </c>
      <c r="F395" t="s">
        <v>32</v>
      </c>
      <c r="G395">
        <v>5</v>
      </c>
      <c r="H395">
        <v>40</v>
      </c>
      <c r="I395" t="b">
        <v>0</v>
      </c>
      <c r="J395" t="s">
        <v>33</v>
      </c>
      <c r="K395" t="s">
        <v>33</v>
      </c>
      <c r="L395">
        <v>35</v>
      </c>
      <c r="M395" s="4">
        <v>100</v>
      </c>
      <c r="N395" s="3">
        <f>IFERROR(AF395/((T395*X395/Y395)*O395*AI395),"NA")</f>
        <v>9444.8061195568516</v>
      </c>
      <c r="O395">
        <v>4</v>
      </c>
      <c r="P395" t="s">
        <v>33</v>
      </c>
      <c r="Q395">
        <f t="shared" si="200"/>
        <v>0.625</v>
      </c>
      <c r="R395" t="s">
        <v>183</v>
      </c>
      <c r="S395" t="s">
        <v>613</v>
      </c>
      <c r="T395" s="11">
        <v>8</v>
      </c>
      <c r="U395">
        <v>2.92</v>
      </c>
      <c r="V395">
        <v>2.2999999999999998</v>
      </c>
      <c r="W395">
        <v>1.21E-2</v>
      </c>
      <c r="X395" s="8">
        <f>IFERROR(((PI())*(((V395*10^-1)/2)^2)*(U395*10^-1)), "NA")</f>
        <v>1.2131888350367701E-2</v>
      </c>
      <c r="Y395" s="6">
        <f>110/60</f>
        <v>1.8333333333333333</v>
      </c>
      <c r="Z395" s="3">
        <f t="shared" si="213"/>
        <v>1.941102136058832E-2</v>
      </c>
      <c r="AA395" t="s">
        <v>33</v>
      </c>
      <c r="AB395" s="6">
        <f t="shared" si="216"/>
        <v>62.500000000000007</v>
      </c>
      <c r="AC395" t="str">
        <f t="shared" si="214"/>
        <v>NA</v>
      </c>
      <c r="AD395" s="4">
        <f>AB395*T395*AI395</f>
        <v>500.00000000000006</v>
      </c>
      <c r="AE395" s="3">
        <f t="shared" si="215"/>
        <v>7325.5</v>
      </c>
      <c r="AF395">
        <v>2000</v>
      </c>
      <c r="AG395" t="str">
        <f>IFERROR((M395*O395*P395), "NA")</f>
        <v>NA</v>
      </c>
      <c r="AH395" t="str">
        <f>IFERROR((AG395*T395*AI395), "NA")</f>
        <v>NA</v>
      </c>
      <c r="AI395">
        <v>1</v>
      </c>
      <c r="AJ395" t="s">
        <v>31</v>
      </c>
      <c r="AK395">
        <v>2990</v>
      </c>
      <c r="AL395" t="s">
        <v>544</v>
      </c>
      <c r="AM395" t="s">
        <v>86</v>
      </c>
      <c r="AN395" t="s">
        <v>205</v>
      </c>
      <c r="AO395" t="s">
        <v>789</v>
      </c>
      <c r="AP395">
        <v>4.4000000000000004</v>
      </c>
      <c r="AQ395" t="s">
        <v>33</v>
      </c>
      <c r="AR395" t="s">
        <v>33</v>
      </c>
      <c r="AS395" s="6">
        <f>LOG((10^7+10^8)/2)</f>
        <v>7.7403626894942441</v>
      </c>
      <c r="AT395" s="3">
        <f>IFERROR(AS395-AU395,"NA")</f>
        <v>3.7353626894942442</v>
      </c>
      <c r="AU395" s="6">
        <v>4.0049999999999999</v>
      </c>
      <c r="AV395" t="b">
        <v>1</v>
      </c>
      <c r="AW395" t="s">
        <v>29</v>
      </c>
      <c r="AX395" t="s">
        <v>30</v>
      </c>
      <c r="AY395" t="s">
        <v>33</v>
      </c>
      <c r="AZ395" t="s">
        <v>134</v>
      </c>
      <c r="BA395" s="18" t="s">
        <v>798</v>
      </c>
      <c r="BB395" t="b">
        <v>0</v>
      </c>
      <c r="BC395" t="s">
        <v>81</v>
      </c>
      <c r="BD395">
        <v>15</v>
      </c>
      <c r="BE395" t="s">
        <v>80</v>
      </c>
      <c r="BF395" s="11">
        <v>24</v>
      </c>
      <c r="BG395" t="s">
        <v>262</v>
      </c>
      <c r="BH395" t="s">
        <v>31</v>
      </c>
      <c r="BI395" t="s">
        <v>31</v>
      </c>
      <c r="BJ395" s="3">
        <f t="shared" si="199"/>
        <v>4.0049999999999999</v>
      </c>
      <c r="BK395" s="3">
        <f t="shared" si="210"/>
        <v>0.60260252042025642</v>
      </c>
      <c r="BL395">
        <v>2</v>
      </c>
      <c r="BM395" s="3">
        <f t="shared" si="198"/>
        <v>3.2622347522687059</v>
      </c>
      <c r="BN395" t="s">
        <v>33</v>
      </c>
      <c r="BO395" s="3">
        <f t="shared" si="211"/>
        <v>1829.0886392009988</v>
      </c>
      <c r="BP395" t="s">
        <v>33</v>
      </c>
      <c r="BQ395" t="s">
        <v>33</v>
      </c>
      <c r="BR395" t="s">
        <v>33</v>
      </c>
      <c r="BS395" t="s">
        <v>33</v>
      </c>
      <c r="BT395" t="s">
        <v>31</v>
      </c>
      <c r="BU395" t="s">
        <v>219</v>
      </c>
      <c r="BV395">
        <v>2008</v>
      </c>
      <c r="BW395" s="2" t="s">
        <v>257</v>
      </c>
      <c r="BX395" t="s">
        <v>78</v>
      </c>
      <c r="BY395" t="s">
        <v>33</v>
      </c>
      <c r="BZ395" t="s">
        <v>33</v>
      </c>
      <c r="CA395" t="str">
        <f t="shared" si="212"/>
        <v>high acid</v>
      </c>
    </row>
    <row r="396" spans="1:79">
      <c r="A396" t="s">
        <v>535</v>
      </c>
      <c r="B396" t="s">
        <v>565</v>
      </c>
      <c r="C396" t="s">
        <v>564</v>
      </c>
      <c r="D396" t="s">
        <v>243</v>
      </c>
      <c r="E396" t="s">
        <v>77</v>
      </c>
      <c r="F396" t="s">
        <v>32</v>
      </c>
      <c r="G396">
        <v>40</v>
      </c>
      <c r="H396">
        <v>43</v>
      </c>
      <c r="I396" t="b">
        <v>0</v>
      </c>
      <c r="J396" t="s">
        <v>33</v>
      </c>
      <c r="K396" t="s">
        <v>33</v>
      </c>
      <c r="L396">
        <v>24</v>
      </c>
      <c r="M396" s="4">
        <v>120</v>
      </c>
      <c r="N396" s="3">
        <f>IFERROR(AF396/((T396*X396/Y396)*O396*AI396),"NA")</f>
        <v>74.118837183931078</v>
      </c>
      <c r="O396">
        <v>3</v>
      </c>
      <c r="P396" t="s">
        <v>33</v>
      </c>
      <c r="Q396" s="9">
        <f t="shared" si="200"/>
        <v>2.361111111111111E-2</v>
      </c>
      <c r="R396" t="s">
        <v>183</v>
      </c>
      <c r="S396" t="s">
        <v>612</v>
      </c>
      <c r="T396" s="11">
        <v>4</v>
      </c>
      <c r="U396">
        <v>3</v>
      </c>
      <c r="V396">
        <v>2.6</v>
      </c>
      <c r="W396">
        <v>1.5900000000000001E-2</v>
      </c>
      <c r="X396" s="8">
        <f>IFERROR(((PI())*(((V396*10^-1)/2)^2)*(U396*10^-1)), "NA")</f>
        <v>1.5927874753700257E-2</v>
      </c>
      <c r="Y396" s="6">
        <f>25/60</f>
        <v>0.41666666666666669</v>
      </c>
      <c r="Z396" s="3">
        <f t="shared" si="213"/>
        <v>0.67459234250965794</v>
      </c>
      <c r="AA396" t="s">
        <v>33</v>
      </c>
      <c r="AB396" s="6">
        <f t="shared" si="216"/>
        <v>2.8333333333333335</v>
      </c>
      <c r="AC396" t="str">
        <f t="shared" si="214"/>
        <v>NA</v>
      </c>
      <c r="AD396" s="4">
        <f>IFERROR(AB396*T396*AI396, "NA")</f>
        <v>11.333333333333334</v>
      </c>
      <c r="AE396" s="3">
        <f t="shared" si="215"/>
        <v>18.01728</v>
      </c>
      <c r="AF396">
        <v>34</v>
      </c>
      <c r="AG396" t="str">
        <f>IFERROR((M396*O396*P396), "NA")</f>
        <v>NA</v>
      </c>
      <c r="AH396" t="str">
        <f>IFERROR((AG396*T396*AI396), "NA")</f>
        <v>NA</v>
      </c>
      <c r="AI396" s="11">
        <v>1</v>
      </c>
      <c r="AJ396" t="s">
        <v>31</v>
      </c>
      <c r="AK396">
        <v>920</v>
      </c>
      <c r="AL396" t="s">
        <v>551</v>
      </c>
      <c r="AM396" t="s">
        <v>86</v>
      </c>
      <c r="AN396" t="s">
        <v>186</v>
      </c>
      <c r="AO396" t="s">
        <v>794</v>
      </c>
      <c r="AP396">
        <v>5.92</v>
      </c>
      <c r="AQ396" t="s">
        <v>33</v>
      </c>
      <c r="AR396" t="s">
        <v>33</v>
      </c>
      <c r="AS396" s="6">
        <f>LOG(1.1*10^7)</f>
        <v>7.0413926851582254</v>
      </c>
      <c r="AT396" s="3">
        <f>IFERROR(AS396-AU396,"NA")</f>
        <v>3.7373926851582255</v>
      </c>
      <c r="AU396" s="6">
        <v>3.3039999999999998</v>
      </c>
      <c r="AV396" t="b">
        <v>1</v>
      </c>
      <c r="AW396" t="s">
        <v>172</v>
      </c>
      <c r="AX396" t="s">
        <v>173</v>
      </c>
      <c r="AY396" t="s">
        <v>246</v>
      </c>
      <c r="AZ396" t="s">
        <v>33</v>
      </c>
      <c r="BA396" s="18" t="s">
        <v>799</v>
      </c>
      <c r="BB396" t="b">
        <v>0</v>
      </c>
      <c r="BC396" t="s">
        <v>81</v>
      </c>
      <c r="BD396">
        <v>72</v>
      </c>
      <c r="BE396" t="s">
        <v>80</v>
      </c>
      <c r="BF396" s="11">
        <v>72</v>
      </c>
      <c r="BG396" t="s">
        <v>522</v>
      </c>
      <c r="BH396" t="s">
        <v>31</v>
      </c>
      <c r="BI396" t="s">
        <v>31</v>
      </c>
      <c r="BJ396" s="3">
        <f t="shared" si="199"/>
        <v>3.3039999999999998</v>
      </c>
      <c r="BK396" s="3">
        <f t="shared" si="210"/>
        <v>0.51904003864834458</v>
      </c>
      <c r="BL396">
        <v>2</v>
      </c>
      <c r="BM396" s="3">
        <f t="shared" si="198"/>
        <v>0.73664918916267785</v>
      </c>
      <c r="BN396" t="s">
        <v>33</v>
      </c>
      <c r="BO396" s="3">
        <f t="shared" si="211"/>
        <v>5.4531719128329303</v>
      </c>
      <c r="BP396" t="s">
        <v>33</v>
      </c>
      <c r="BQ396" t="s">
        <v>33</v>
      </c>
      <c r="BR396" t="s">
        <v>33</v>
      </c>
      <c r="BS396" t="s">
        <v>33</v>
      </c>
      <c r="BT396" t="s">
        <v>32</v>
      </c>
      <c r="BU396" t="s">
        <v>207</v>
      </c>
      <c r="BV396">
        <v>2014</v>
      </c>
      <c r="BW396" s="2" t="s">
        <v>242</v>
      </c>
      <c r="BX396" t="s">
        <v>78</v>
      </c>
      <c r="BY396" t="s">
        <v>33</v>
      </c>
      <c r="BZ396" t="s">
        <v>33</v>
      </c>
      <c r="CA396" t="str">
        <f t="shared" si="212"/>
        <v>low acid</v>
      </c>
    </row>
    <row r="397" spans="1:79">
      <c r="A397" t="s">
        <v>580</v>
      </c>
      <c r="B397" t="s">
        <v>565</v>
      </c>
      <c r="C397" t="s">
        <v>563</v>
      </c>
      <c r="D397" t="s">
        <v>118</v>
      </c>
      <c r="E397" t="s">
        <v>77</v>
      </c>
      <c r="F397" t="s">
        <v>32</v>
      </c>
      <c r="G397">
        <v>22</v>
      </c>
      <c r="H397">
        <v>40</v>
      </c>
      <c r="I397" t="b">
        <v>0</v>
      </c>
      <c r="J397">
        <v>10220</v>
      </c>
      <c r="K397">
        <v>34.78</v>
      </c>
      <c r="L397">
        <v>35</v>
      </c>
      <c r="M397" s="4">
        <v>215</v>
      </c>
      <c r="N397" t="e">
        <f>(#REF!*Y397)/(T397*X397*O397)</f>
        <v>#REF!</v>
      </c>
      <c r="O397">
        <v>4</v>
      </c>
      <c r="P397">
        <v>7.8499999999999993E-3</v>
      </c>
      <c r="Q397" s="1">
        <f t="shared" si="200"/>
        <v>0.23255813953488372</v>
      </c>
      <c r="R397" t="s">
        <v>183</v>
      </c>
      <c r="S397" t="s">
        <v>613</v>
      </c>
      <c r="T397">
        <v>8</v>
      </c>
      <c r="U397">
        <v>2.92</v>
      </c>
      <c r="V397">
        <v>2.2999999999999998</v>
      </c>
      <c r="W397">
        <v>1.21E-2</v>
      </c>
      <c r="X397">
        <v>1.2131888350367701E-2</v>
      </c>
      <c r="Y397">
        <v>1.5</v>
      </c>
      <c r="Z397" s="3">
        <f t="shared" si="213"/>
        <v>5.2167119906581114E-2</v>
      </c>
      <c r="AA397" t="s">
        <v>33</v>
      </c>
      <c r="AB397">
        <f t="shared" si="216"/>
        <v>50</v>
      </c>
      <c r="AC397" s="1">
        <f t="shared" si="214"/>
        <v>1.6877499999999999</v>
      </c>
      <c r="AE397" s="3">
        <f t="shared" si="215"/>
        <v>5860.4</v>
      </c>
      <c r="AF397">
        <v>1600</v>
      </c>
      <c r="AG397" s="1" t="str">
        <f>IFERROR((N397*P397*Q397), "NA")</f>
        <v>NA</v>
      </c>
      <c r="AH397" s="1" t="str">
        <f>IFERROR((AG397*U397*AI397), "NA")</f>
        <v>NA</v>
      </c>
      <c r="AI397" s="1">
        <v>1</v>
      </c>
      <c r="AJ397" s="11" t="s">
        <v>31</v>
      </c>
      <c r="AK397">
        <v>2990</v>
      </c>
      <c r="AL397" t="s">
        <v>544</v>
      </c>
      <c r="AM397" t="s">
        <v>86</v>
      </c>
      <c r="AN397" t="s">
        <v>205</v>
      </c>
      <c r="AO397" t="s">
        <v>789</v>
      </c>
      <c r="AP397">
        <v>4.46</v>
      </c>
      <c r="AQ397" t="s">
        <v>33</v>
      </c>
      <c r="AR397" t="s">
        <v>33</v>
      </c>
      <c r="AS397">
        <v>7.5</v>
      </c>
      <c r="AT397">
        <v>3.74</v>
      </c>
      <c r="AU397" s="6">
        <v>4.7699999999999996</v>
      </c>
      <c r="AV397" t="b">
        <v>1</v>
      </c>
      <c r="AW397" t="s">
        <v>617</v>
      </c>
      <c r="AX397" t="s">
        <v>33</v>
      </c>
      <c r="AY397" t="s">
        <v>33</v>
      </c>
      <c r="AZ397" t="s">
        <v>619</v>
      </c>
      <c r="BA397" s="18" t="s">
        <v>802</v>
      </c>
      <c r="BB397" s="3" t="b">
        <v>0</v>
      </c>
      <c r="BC397" t="s">
        <v>81</v>
      </c>
      <c r="BD397">
        <v>15</v>
      </c>
      <c r="BE397" t="s">
        <v>80</v>
      </c>
      <c r="BF397">
        <v>24</v>
      </c>
      <c r="BG397" t="s">
        <v>697</v>
      </c>
      <c r="BH397" t="s">
        <v>32</v>
      </c>
      <c r="BI397" t="s">
        <v>31</v>
      </c>
      <c r="BJ397">
        <v>3.76</v>
      </c>
      <c r="BK397" s="3">
        <f t="shared" si="210"/>
        <v>0.57518784492766106</v>
      </c>
      <c r="BL397">
        <v>2</v>
      </c>
      <c r="BM397" s="3">
        <f t="shared" si="198"/>
        <v>3.1927394147532446</v>
      </c>
      <c r="BN397" t="s">
        <v>33</v>
      </c>
      <c r="BO397" s="3">
        <f t="shared" si="211"/>
        <v>1558.6170212765958</v>
      </c>
      <c r="BP397" t="s">
        <v>33</v>
      </c>
      <c r="BQ397" t="s">
        <v>33</v>
      </c>
      <c r="BR397" t="s">
        <v>33</v>
      </c>
      <c r="BS397" t="s">
        <v>33</v>
      </c>
      <c r="BT397" t="s">
        <v>31</v>
      </c>
      <c r="BU397" s="13" t="s">
        <v>219</v>
      </c>
      <c r="BV397" s="14">
        <v>2008</v>
      </c>
      <c r="BW397" t="s">
        <v>257</v>
      </c>
      <c r="BX397" t="s">
        <v>78</v>
      </c>
      <c r="BY397" s="13" t="s">
        <v>670</v>
      </c>
      <c r="CA397" t="str">
        <f t="shared" si="212"/>
        <v>high acid</v>
      </c>
    </row>
    <row r="398" spans="1:79">
      <c r="A398" t="s">
        <v>580</v>
      </c>
      <c r="B398" t="s">
        <v>565</v>
      </c>
      <c r="C398" t="s">
        <v>563</v>
      </c>
      <c r="D398" t="s">
        <v>118</v>
      </c>
      <c r="E398" t="s">
        <v>77</v>
      </c>
      <c r="F398" t="s">
        <v>32</v>
      </c>
      <c r="G398">
        <v>22</v>
      </c>
      <c r="H398">
        <v>40</v>
      </c>
      <c r="I398" t="b">
        <v>0</v>
      </c>
      <c r="J398">
        <v>10220</v>
      </c>
      <c r="K398">
        <v>25.36</v>
      </c>
      <c r="L398">
        <v>35</v>
      </c>
      <c r="M398" s="4">
        <v>100</v>
      </c>
      <c r="N398" t="e">
        <f>(#REF!*Y398)/(T398*X398*O398)</f>
        <v>#REF!</v>
      </c>
      <c r="O398">
        <v>4</v>
      </c>
      <c r="P398">
        <f>AVERAGE(0.0066, 0.0091)</f>
        <v>7.8499999999999993E-3</v>
      </c>
      <c r="Q398" s="1">
        <f t="shared" si="200"/>
        <v>0.39062499999999994</v>
      </c>
      <c r="R398" t="s">
        <v>183</v>
      </c>
      <c r="S398" t="s">
        <v>613</v>
      </c>
      <c r="T398">
        <v>8</v>
      </c>
      <c r="U398">
        <v>2.92</v>
      </c>
      <c r="V398">
        <v>2.2999999999999998</v>
      </c>
      <c r="W398">
        <v>1.21E-2</v>
      </c>
      <c r="X398">
        <f>IFERROR(((PI())*(((V398*10^-1)/2)^2)*(U398*10^-1)), "NA")</f>
        <v>1.2131888350367701E-2</v>
      </c>
      <c r="Y398">
        <v>1.5</v>
      </c>
      <c r="Z398" s="3">
        <f t="shared" si="213"/>
        <v>3.1057634176941316E-2</v>
      </c>
      <c r="AA398" t="s">
        <v>33</v>
      </c>
      <c r="AB398">
        <f t="shared" si="216"/>
        <v>39.0625</v>
      </c>
      <c r="AC398" s="1">
        <f t="shared" si="214"/>
        <v>0.78499999999999992</v>
      </c>
      <c r="AE398" s="3">
        <f t="shared" si="215"/>
        <v>3338.1249999999995</v>
      </c>
      <c r="AF398">
        <v>1250</v>
      </c>
      <c r="AG398" s="1" t="str">
        <f>IFERROR((N398*P398*Q398), "NA")</f>
        <v>NA</v>
      </c>
      <c r="AH398" s="1" t="str">
        <f>IFERROR((AG398*U398*AI398), "NA")</f>
        <v>NA</v>
      </c>
      <c r="AI398" s="1">
        <v>1</v>
      </c>
      <c r="AJ398" s="11" t="s">
        <v>31</v>
      </c>
      <c r="AK398">
        <v>2180</v>
      </c>
      <c r="AL398" t="s">
        <v>149</v>
      </c>
      <c r="AM398" t="s">
        <v>86</v>
      </c>
      <c r="AN398" t="s">
        <v>205</v>
      </c>
      <c r="AO398" t="s">
        <v>789</v>
      </c>
      <c r="AP398">
        <v>4.46</v>
      </c>
      <c r="AQ398" t="s">
        <v>33</v>
      </c>
      <c r="AR398" t="s">
        <v>33</v>
      </c>
      <c r="AS398">
        <v>7.5</v>
      </c>
      <c r="AT398">
        <f>AS398-AU398</f>
        <v>3.74</v>
      </c>
      <c r="AU398" s="6">
        <v>3.76</v>
      </c>
      <c r="AV398" t="b">
        <v>1</v>
      </c>
      <c r="AW398" t="s">
        <v>617</v>
      </c>
      <c r="AX398" t="s">
        <v>33</v>
      </c>
      <c r="AY398" t="s">
        <v>33</v>
      </c>
      <c r="AZ398" t="s">
        <v>619</v>
      </c>
      <c r="BA398" s="18" t="s">
        <v>802</v>
      </c>
      <c r="BB398" s="3" t="b">
        <v>0</v>
      </c>
      <c r="BC398" t="s">
        <v>81</v>
      </c>
      <c r="BD398">
        <v>15</v>
      </c>
      <c r="BE398" t="s">
        <v>80</v>
      </c>
      <c r="BF398">
        <v>24</v>
      </c>
      <c r="BG398" t="s">
        <v>697</v>
      </c>
      <c r="BH398" t="s">
        <v>32</v>
      </c>
      <c r="BI398" t="s">
        <v>31</v>
      </c>
      <c r="BJ398">
        <f t="shared" ref="BJ398:BJ460" si="217">AU398</f>
        <v>3.76</v>
      </c>
      <c r="BK398" s="3">
        <f t="shared" si="210"/>
        <v>0.57518784492766106</v>
      </c>
      <c r="BL398">
        <v>2</v>
      </c>
      <c r="BM398" s="3">
        <f t="shared" si="198"/>
        <v>2.9483147503855514</v>
      </c>
      <c r="BN398" t="s">
        <v>33</v>
      </c>
      <c r="BO398" s="3">
        <f t="shared" si="211"/>
        <v>887.79920212765956</v>
      </c>
      <c r="BP398" t="s">
        <v>33</v>
      </c>
      <c r="BQ398" t="s">
        <v>33</v>
      </c>
      <c r="BR398" t="s">
        <v>33</v>
      </c>
      <c r="BS398" t="s">
        <v>33</v>
      </c>
      <c r="BT398" t="s">
        <v>31</v>
      </c>
      <c r="BU398" t="s">
        <v>219</v>
      </c>
      <c r="BV398" s="14">
        <v>2008</v>
      </c>
      <c r="BW398" t="s">
        <v>257</v>
      </c>
      <c r="BX398" t="s">
        <v>78</v>
      </c>
      <c r="BY398" s="13" t="s">
        <v>670</v>
      </c>
      <c r="CA398" t="str">
        <f t="shared" si="212"/>
        <v>high acid</v>
      </c>
    </row>
    <row r="399" spans="1:79">
      <c r="A399" t="s">
        <v>153</v>
      </c>
      <c r="B399" t="s">
        <v>565</v>
      </c>
      <c r="C399" t="s">
        <v>563</v>
      </c>
      <c r="D399" t="s">
        <v>118</v>
      </c>
      <c r="E399" t="s">
        <v>77</v>
      </c>
      <c r="F399" t="s">
        <v>32</v>
      </c>
      <c r="G399">
        <v>5</v>
      </c>
      <c r="H399">
        <v>50</v>
      </c>
      <c r="I399" t="b">
        <v>0</v>
      </c>
      <c r="J399" t="s">
        <v>33</v>
      </c>
      <c r="K399" t="s">
        <v>33</v>
      </c>
      <c r="L399">
        <v>30</v>
      </c>
      <c r="M399" s="4">
        <v>1250</v>
      </c>
      <c r="N399" s="3">
        <f>IFERROR(AF399/((T399*X399/Y399)*O399*AI399),"NA")</f>
        <v>1251.8542771932757</v>
      </c>
      <c r="O399">
        <v>2</v>
      </c>
      <c r="P399" t="s">
        <v>33</v>
      </c>
      <c r="Q399" s="8">
        <f t="shared" si="200"/>
        <v>1.2066666666666668E-2</v>
      </c>
      <c r="R399" t="s">
        <v>183</v>
      </c>
      <c r="S399" t="s">
        <v>613</v>
      </c>
      <c r="T399" s="11">
        <v>6</v>
      </c>
      <c r="U399">
        <v>2.9</v>
      </c>
      <c r="V399">
        <v>2.2999999999999998</v>
      </c>
      <c r="W399" t="s">
        <v>33</v>
      </c>
      <c r="X399" s="8">
        <f>IFERROR(((PI())*(((V399*10^-1)/2)^2)*(U399*10^-1)), "NA")</f>
        <v>1.204879322468025E-2</v>
      </c>
      <c r="Y399" s="6">
        <f>60/60</f>
        <v>1</v>
      </c>
      <c r="Z399" s="3">
        <f t="shared" si="213"/>
        <v>0.99851877552598745</v>
      </c>
      <c r="AA399" t="s">
        <v>33</v>
      </c>
      <c r="AB399" s="6">
        <f t="shared" si="216"/>
        <v>15.083333333333336</v>
      </c>
      <c r="AC399" t="str">
        <f t="shared" si="214"/>
        <v>NA</v>
      </c>
      <c r="AD399" s="4">
        <f>AB399*T399*AI399</f>
        <v>90.500000000000014</v>
      </c>
      <c r="AE399" s="3">
        <f t="shared" si="215"/>
        <v>261.94320000000005</v>
      </c>
      <c r="AF399">
        <v>181</v>
      </c>
      <c r="AG399" t="str">
        <f>IFERROR((M399*O399*P399), "NA")</f>
        <v>NA</v>
      </c>
      <c r="AH399" t="str">
        <f>IFERROR((AG399*T399*AI399), "NA")</f>
        <v>NA</v>
      </c>
      <c r="AI399">
        <v>1</v>
      </c>
      <c r="AJ399" t="s">
        <v>31</v>
      </c>
      <c r="AK399">
        <v>1608</v>
      </c>
      <c r="AL399" t="s">
        <v>149</v>
      </c>
      <c r="AM399" t="s">
        <v>86</v>
      </c>
      <c r="AN399" t="s">
        <v>205</v>
      </c>
      <c r="AO399" t="s">
        <v>789</v>
      </c>
      <c r="AP399">
        <v>3.41</v>
      </c>
      <c r="AQ399" t="s">
        <v>33</v>
      </c>
      <c r="AR399" t="s">
        <v>33</v>
      </c>
      <c r="AS399" s="3">
        <v>9</v>
      </c>
      <c r="AT399" s="3">
        <f>IFERROR(AS399-AU399,"NA")</f>
        <v>3.74</v>
      </c>
      <c r="AU399" s="6">
        <v>5.26</v>
      </c>
      <c r="AV399" t="b">
        <v>1</v>
      </c>
      <c r="AW399" t="s">
        <v>29</v>
      </c>
      <c r="AX399" t="s">
        <v>30</v>
      </c>
      <c r="AY399" t="s">
        <v>33</v>
      </c>
      <c r="AZ399" t="s">
        <v>134</v>
      </c>
      <c r="BA399" s="18" t="s">
        <v>798</v>
      </c>
      <c r="BB399" t="b">
        <v>0</v>
      </c>
      <c r="BC399" t="s">
        <v>81</v>
      </c>
      <c r="BD399">
        <f>18</f>
        <v>18</v>
      </c>
      <c r="BE399" t="s">
        <v>80</v>
      </c>
      <c r="BF399" s="11">
        <v>24</v>
      </c>
      <c r="BG399" t="s">
        <v>262</v>
      </c>
      <c r="BH399" t="s">
        <v>31</v>
      </c>
      <c r="BI399" t="s">
        <v>32</v>
      </c>
      <c r="BJ399" s="3">
        <f t="shared" si="217"/>
        <v>5.26</v>
      </c>
      <c r="BK399" s="3">
        <f t="shared" si="210"/>
        <v>0.72098574415373906</v>
      </c>
      <c r="BL399">
        <v>2</v>
      </c>
      <c r="BM399" s="3">
        <f t="shared" si="198"/>
        <v>1.6972213845672028</v>
      </c>
      <c r="BN399" t="s">
        <v>33</v>
      </c>
      <c r="BO399" s="3">
        <f t="shared" si="211"/>
        <v>49.799087452471497</v>
      </c>
      <c r="BP399" t="s">
        <v>33</v>
      </c>
      <c r="BQ399" t="s">
        <v>33</v>
      </c>
      <c r="BR399" t="s">
        <v>33</v>
      </c>
      <c r="BS399" t="s">
        <v>33</v>
      </c>
      <c r="BT399" t="s">
        <v>31</v>
      </c>
      <c r="BU399" t="s">
        <v>190</v>
      </c>
      <c r="BV399">
        <v>2021</v>
      </c>
      <c r="BW399" s="5" t="s">
        <v>191</v>
      </c>
      <c r="BX399" t="s">
        <v>78</v>
      </c>
      <c r="BY399" t="s">
        <v>33</v>
      </c>
      <c r="BZ399" t="s">
        <v>150</v>
      </c>
      <c r="CA399" t="str">
        <f t="shared" si="212"/>
        <v>high acid</v>
      </c>
    </row>
    <row r="400" spans="1:79">
      <c r="A400" t="s">
        <v>584</v>
      </c>
      <c r="B400" t="s">
        <v>566</v>
      </c>
      <c r="C400" t="s">
        <v>563</v>
      </c>
      <c r="D400" t="s">
        <v>607</v>
      </c>
      <c r="E400" t="s">
        <v>77</v>
      </c>
      <c r="F400" t="s">
        <v>33</v>
      </c>
      <c r="G400">
        <v>20</v>
      </c>
      <c r="H400">
        <v>35</v>
      </c>
      <c r="I400" t="b">
        <v>0</v>
      </c>
      <c r="J400">
        <v>1000</v>
      </c>
      <c r="K400">
        <v>200</v>
      </c>
      <c r="L400">
        <v>30</v>
      </c>
      <c r="M400" s="4">
        <v>1</v>
      </c>
      <c r="N400" t="e">
        <f>(#REF!*Y400)/(T400*X400*O400)</f>
        <v>#REF!</v>
      </c>
      <c r="O400">
        <v>3</v>
      </c>
      <c r="P400" t="s">
        <v>33</v>
      </c>
      <c r="Q400" s="1">
        <f t="shared" si="200"/>
        <v>50.000000000000007</v>
      </c>
      <c r="R400" t="s">
        <v>183</v>
      </c>
      <c r="S400" t="s">
        <v>33</v>
      </c>
      <c r="T400">
        <v>1</v>
      </c>
      <c r="U400">
        <v>2.5</v>
      </c>
      <c r="V400" t="s">
        <v>33</v>
      </c>
      <c r="W400">
        <v>0.50249999999999995</v>
      </c>
      <c r="X400">
        <f>W400</f>
        <v>0.50249999999999995</v>
      </c>
      <c r="Y400" t="s">
        <v>33</v>
      </c>
      <c r="Z400" s="3">
        <f t="shared" si="213"/>
        <v>1.0049999999999998E-2</v>
      </c>
      <c r="AA400" t="s">
        <v>33</v>
      </c>
      <c r="AB400">
        <f t="shared" si="216"/>
        <v>50.000000000000007</v>
      </c>
      <c r="AC400" s="1" t="str">
        <f t="shared" si="214"/>
        <v>NA</v>
      </c>
      <c r="AE400" s="3">
        <f t="shared" si="215"/>
        <v>135</v>
      </c>
      <c r="AF400">
        <v>150</v>
      </c>
      <c r="AG400" s="1" t="str">
        <f>IFERROR((N400*P400*Q400), "NA")</f>
        <v>NA</v>
      </c>
      <c r="AH400" s="1" t="str">
        <f>IFERROR((AG400*U400*AI400), "NA")</f>
        <v>NA</v>
      </c>
      <c r="AI400" s="1">
        <v>1</v>
      </c>
      <c r="AJ400" s="11" t="s">
        <v>31</v>
      </c>
      <c r="AK400">
        <v>1000</v>
      </c>
      <c r="AL400" t="s">
        <v>614</v>
      </c>
      <c r="AM400" s="3" t="s">
        <v>103</v>
      </c>
      <c r="AN400" t="s">
        <v>305</v>
      </c>
      <c r="AO400" t="s">
        <v>790</v>
      </c>
      <c r="AP400">
        <v>3.5</v>
      </c>
      <c r="AQ400" t="s">
        <v>33</v>
      </c>
      <c r="AR400" t="s">
        <v>33</v>
      </c>
      <c r="AS400">
        <v>8</v>
      </c>
      <c r="AT400">
        <f>AS400-AU400</f>
        <v>3.74</v>
      </c>
      <c r="AU400" s="6">
        <v>4.26</v>
      </c>
      <c r="AV400" t="b">
        <v>1</v>
      </c>
      <c r="AW400" t="s">
        <v>617</v>
      </c>
      <c r="AX400" t="s">
        <v>33</v>
      </c>
      <c r="AY400" t="s">
        <v>623</v>
      </c>
      <c r="AZ400" t="s">
        <v>621</v>
      </c>
      <c r="BA400" s="18" t="s">
        <v>802</v>
      </c>
      <c r="BB400" s="3" t="b">
        <v>0</v>
      </c>
      <c r="BC400" t="s">
        <v>81</v>
      </c>
      <c r="BD400">
        <v>18</v>
      </c>
      <c r="BE400" t="s">
        <v>80</v>
      </c>
      <c r="BF400">
        <v>24</v>
      </c>
      <c r="BG400" t="s">
        <v>569</v>
      </c>
      <c r="BH400" t="s">
        <v>31</v>
      </c>
      <c r="BI400" t="s">
        <v>31</v>
      </c>
      <c r="BJ400">
        <f t="shared" si="217"/>
        <v>4.26</v>
      </c>
      <c r="BK400" s="3">
        <f t="shared" si="210"/>
        <v>0.62940959910271888</v>
      </c>
      <c r="BL400">
        <v>2</v>
      </c>
      <c r="BM400" s="3">
        <f t="shared" si="198"/>
        <v>1.5009241693922872</v>
      </c>
      <c r="BN400" t="s">
        <v>33</v>
      </c>
      <c r="BO400" s="3">
        <f t="shared" si="211"/>
        <v>31.690140845070424</v>
      </c>
      <c r="BP400" t="s">
        <v>33</v>
      </c>
      <c r="BQ400" t="s">
        <v>33</v>
      </c>
      <c r="BR400" t="s">
        <v>33</v>
      </c>
      <c r="BS400" t="s">
        <v>33</v>
      </c>
      <c r="BT400" t="s">
        <v>31</v>
      </c>
      <c r="BU400" t="s">
        <v>255</v>
      </c>
      <c r="BV400">
        <v>2010</v>
      </c>
      <c r="BW400" t="s">
        <v>651</v>
      </c>
      <c r="BX400" t="s">
        <v>78</v>
      </c>
      <c r="BY400" s="13" t="s">
        <v>674</v>
      </c>
      <c r="CA400" t="str">
        <f t="shared" si="212"/>
        <v>high acid</v>
      </c>
    </row>
    <row r="401" spans="1:79">
      <c r="A401" t="s">
        <v>531</v>
      </c>
      <c r="B401" t="s">
        <v>565</v>
      </c>
      <c r="C401" t="s">
        <v>564</v>
      </c>
      <c r="D401" t="s">
        <v>209</v>
      </c>
      <c r="E401" t="s">
        <v>77</v>
      </c>
      <c r="F401" t="s">
        <v>32</v>
      </c>
      <c r="G401">
        <v>30</v>
      </c>
      <c r="H401">
        <v>38.200000000000003</v>
      </c>
      <c r="I401" t="b">
        <v>0</v>
      </c>
      <c r="J401" t="s">
        <v>33</v>
      </c>
      <c r="K401" t="s">
        <v>33</v>
      </c>
      <c r="L401">
        <v>24</v>
      </c>
      <c r="M401" s="4">
        <v>120</v>
      </c>
      <c r="N401" s="3">
        <f>IFERROR(AF401/((T401*X401/Y401)*O401*AI401),"NA")</f>
        <v>74.554830343836542</v>
      </c>
      <c r="O401">
        <v>4</v>
      </c>
      <c r="P401" t="s">
        <v>33</v>
      </c>
      <c r="Q401" s="8">
        <f t="shared" si="200"/>
        <v>7.8125E-2</v>
      </c>
      <c r="R401" t="s">
        <v>183</v>
      </c>
      <c r="S401" t="s">
        <v>612</v>
      </c>
      <c r="T401" s="11">
        <v>4</v>
      </c>
      <c r="U401">
        <v>3</v>
      </c>
      <c r="V401">
        <v>2.6</v>
      </c>
      <c r="W401" t="s">
        <v>33</v>
      </c>
      <c r="X401" s="8">
        <f>IFERROR(((PI())*(((V401*10^-1)/2)^2)*(U401*10^-1)), "NA")</f>
        <v>1.5927874753700257E-2</v>
      </c>
      <c r="Y401" s="6">
        <f>7.6/60</f>
        <v>0.12666666666666665</v>
      </c>
      <c r="Z401" s="3">
        <f t="shared" si="213"/>
        <v>0.20387679684736329</v>
      </c>
      <c r="AA401" t="s">
        <v>33</v>
      </c>
      <c r="AB401" s="6">
        <f t="shared" si="216"/>
        <v>9.375</v>
      </c>
      <c r="AC401" t="str">
        <f t="shared" si="214"/>
        <v>NA</v>
      </c>
      <c r="AD401" s="4">
        <f>IFERROR(AB401*T401*AI401, "NA")</f>
        <v>37.5</v>
      </c>
      <c r="AE401" s="3">
        <f t="shared" si="215"/>
        <v>84.671999999999997</v>
      </c>
      <c r="AF401">
        <v>150</v>
      </c>
      <c r="AG401" t="str">
        <f>IFERROR((M401*O401*P401), "NA")</f>
        <v>NA</v>
      </c>
      <c r="AH401" t="str">
        <f>IFERROR((AG401*T401*AI401), "NA")</f>
        <v>NA</v>
      </c>
      <c r="AI401" s="11">
        <v>1</v>
      </c>
      <c r="AJ401" t="s">
        <v>31</v>
      </c>
      <c r="AK401">
        <v>980</v>
      </c>
      <c r="AL401" t="s">
        <v>551</v>
      </c>
      <c r="AM401" t="s">
        <v>86</v>
      </c>
      <c r="AN401" t="s">
        <v>186</v>
      </c>
      <c r="AO401" t="s">
        <v>794</v>
      </c>
      <c r="AP401">
        <v>5.98</v>
      </c>
      <c r="AQ401" t="s">
        <v>33</v>
      </c>
      <c r="AR401" t="s">
        <v>33</v>
      </c>
      <c r="AS401" s="6">
        <v>6.5</v>
      </c>
      <c r="AT401" s="3">
        <f>IFERROR(AS401-AU401,"NA")</f>
        <v>3.7429999999999999</v>
      </c>
      <c r="AU401" s="6">
        <v>2.7570000000000001</v>
      </c>
      <c r="AV401" t="b">
        <v>1</v>
      </c>
      <c r="AW401" t="s">
        <v>29</v>
      </c>
      <c r="AX401" t="s">
        <v>30</v>
      </c>
      <c r="AY401" t="s">
        <v>211</v>
      </c>
      <c r="AZ401" t="s">
        <v>33</v>
      </c>
      <c r="BA401" s="18" t="s">
        <v>798</v>
      </c>
      <c r="BB401" t="b">
        <v>0</v>
      </c>
      <c r="BC401" t="s">
        <v>81</v>
      </c>
      <c r="BD401">
        <v>20</v>
      </c>
      <c r="BE401" t="s">
        <v>80</v>
      </c>
      <c r="BF401" s="11">
        <v>20</v>
      </c>
      <c r="BG401" t="s">
        <v>570</v>
      </c>
      <c r="BH401" t="s">
        <v>31</v>
      </c>
      <c r="BI401" t="s">
        <v>31</v>
      </c>
      <c r="BJ401" s="3">
        <f t="shared" si="217"/>
        <v>2.7570000000000001</v>
      </c>
      <c r="BK401" s="3">
        <f t="shared" si="210"/>
        <v>0.4404367661057737</v>
      </c>
      <c r="BL401">
        <v>2</v>
      </c>
      <c r="BM401" s="3">
        <f t="shared" si="198"/>
        <v>1.4873030520656143</v>
      </c>
      <c r="BN401" t="s">
        <v>33</v>
      </c>
      <c r="BO401" s="3">
        <f t="shared" si="211"/>
        <v>30.711643090315558</v>
      </c>
      <c r="BP401" t="s">
        <v>33</v>
      </c>
      <c r="BQ401" t="s">
        <v>33</v>
      </c>
      <c r="BR401" t="s">
        <v>33</v>
      </c>
      <c r="BS401" t="s">
        <v>33</v>
      </c>
      <c r="BT401" t="s">
        <v>32</v>
      </c>
      <c r="BU401" t="s">
        <v>207</v>
      </c>
      <c r="BV401">
        <v>2014</v>
      </c>
      <c r="BW401" t="s">
        <v>208</v>
      </c>
      <c r="BX401" t="s">
        <v>78</v>
      </c>
      <c r="BY401" t="s">
        <v>33</v>
      </c>
      <c r="BZ401" t="s">
        <v>33</v>
      </c>
      <c r="CA401" t="str">
        <f t="shared" si="212"/>
        <v>low acid</v>
      </c>
    </row>
    <row r="402" spans="1:79">
      <c r="A402" t="s">
        <v>584</v>
      </c>
      <c r="B402" t="s">
        <v>566</v>
      </c>
      <c r="C402" t="s">
        <v>563</v>
      </c>
      <c r="D402" t="s">
        <v>607</v>
      </c>
      <c r="E402" t="s">
        <v>77</v>
      </c>
      <c r="F402" t="s">
        <v>33</v>
      </c>
      <c r="G402">
        <v>20</v>
      </c>
      <c r="H402">
        <v>35</v>
      </c>
      <c r="I402" t="b">
        <v>0</v>
      </c>
      <c r="J402">
        <v>1000</v>
      </c>
      <c r="K402">
        <v>200</v>
      </c>
      <c r="L402">
        <v>25</v>
      </c>
      <c r="M402" s="4">
        <v>1</v>
      </c>
      <c r="N402" t="e">
        <f>(#REF!*Y402)/(T402*X402*O402)</f>
        <v>#REF!</v>
      </c>
      <c r="O402">
        <v>3</v>
      </c>
      <c r="P402" t="s">
        <v>33</v>
      </c>
      <c r="Q402" s="1">
        <f t="shared" si="200"/>
        <v>100.00000000000001</v>
      </c>
      <c r="R402" t="s">
        <v>183</v>
      </c>
      <c r="S402" t="s">
        <v>33</v>
      </c>
      <c r="T402">
        <v>1</v>
      </c>
      <c r="U402">
        <v>2.5</v>
      </c>
      <c r="V402" t="s">
        <v>33</v>
      </c>
      <c r="W402">
        <v>0.50249999999999995</v>
      </c>
      <c r="X402">
        <f>W402</f>
        <v>0.50249999999999995</v>
      </c>
      <c r="Y402" t="s">
        <v>33</v>
      </c>
      <c r="Z402" s="3">
        <f t="shared" si="213"/>
        <v>5.0249999999999991E-3</v>
      </c>
      <c r="AA402" t="s">
        <v>33</v>
      </c>
      <c r="AB402">
        <f t="shared" si="216"/>
        <v>100.00000000000001</v>
      </c>
      <c r="AC402" s="1" t="str">
        <f t="shared" si="214"/>
        <v>NA</v>
      </c>
      <c r="AE402" s="3">
        <f t="shared" si="215"/>
        <v>187.50000000000003</v>
      </c>
      <c r="AF402">
        <v>300</v>
      </c>
      <c r="AG402" s="1" t="str">
        <f>IFERROR((N402*P402*Q402), "NA")</f>
        <v>NA</v>
      </c>
      <c r="AH402" s="1" t="str">
        <f>IFERROR((AG402*U402*AI402), "NA")</f>
        <v>NA</v>
      </c>
      <c r="AI402" s="1">
        <v>1</v>
      </c>
      <c r="AJ402" s="11" t="s">
        <v>31</v>
      </c>
      <c r="AK402">
        <v>1000</v>
      </c>
      <c r="AL402" t="s">
        <v>614</v>
      </c>
      <c r="AM402" s="3" t="s">
        <v>103</v>
      </c>
      <c r="AN402" t="s">
        <v>305</v>
      </c>
      <c r="AO402" t="s">
        <v>790</v>
      </c>
      <c r="AP402">
        <v>3.5</v>
      </c>
      <c r="AQ402" t="s">
        <v>33</v>
      </c>
      <c r="AR402" t="s">
        <v>33</v>
      </c>
      <c r="AS402">
        <v>8</v>
      </c>
      <c r="AT402">
        <f>AS402-AU402</f>
        <v>3.75</v>
      </c>
      <c r="AU402" s="6">
        <v>4.25</v>
      </c>
      <c r="AV402" t="b">
        <v>1</v>
      </c>
      <c r="AW402" t="s">
        <v>617</v>
      </c>
      <c r="AX402" t="s">
        <v>33</v>
      </c>
      <c r="AY402" t="s">
        <v>623</v>
      </c>
      <c r="AZ402" t="s">
        <v>621</v>
      </c>
      <c r="BA402" s="18" t="s">
        <v>802</v>
      </c>
      <c r="BB402" s="3" t="b">
        <v>0</v>
      </c>
      <c r="BC402" t="s">
        <v>81</v>
      </c>
      <c r="BD402">
        <v>18</v>
      </c>
      <c r="BE402" t="s">
        <v>80</v>
      </c>
      <c r="BF402">
        <v>24</v>
      </c>
      <c r="BG402" t="s">
        <v>569</v>
      </c>
      <c r="BH402" t="s">
        <v>31</v>
      </c>
      <c r="BI402" t="s">
        <v>31</v>
      </c>
      <c r="BJ402">
        <f t="shared" si="217"/>
        <v>4.25</v>
      </c>
      <c r="BK402" s="3">
        <f t="shared" si="210"/>
        <v>0.62838893005031149</v>
      </c>
      <c r="BL402">
        <v>2</v>
      </c>
      <c r="BM402" s="3">
        <f t="shared" si="198"/>
        <v>1.6446123420134262</v>
      </c>
      <c r="BN402" t="s">
        <v>33</v>
      </c>
      <c r="BO402" s="3">
        <f t="shared" si="211"/>
        <v>44.117647058823536</v>
      </c>
      <c r="BP402" t="s">
        <v>33</v>
      </c>
      <c r="BQ402" t="s">
        <v>33</v>
      </c>
      <c r="BR402" t="s">
        <v>33</v>
      </c>
      <c r="BS402" t="s">
        <v>33</v>
      </c>
      <c r="BT402" t="s">
        <v>31</v>
      </c>
      <c r="BU402" t="s">
        <v>255</v>
      </c>
      <c r="BV402">
        <v>2010</v>
      </c>
      <c r="BW402" t="s">
        <v>651</v>
      </c>
      <c r="BX402" t="s">
        <v>78</v>
      </c>
      <c r="BY402" s="13" t="s">
        <v>674</v>
      </c>
      <c r="CA402" t="str">
        <f t="shared" si="212"/>
        <v>high acid</v>
      </c>
    </row>
    <row r="403" spans="1:79">
      <c r="A403" t="s">
        <v>144</v>
      </c>
      <c r="B403" t="s">
        <v>565</v>
      </c>
      <c r="C403" t="s">
        <v>563</v>
      </c>
      <c r="D403" t="s">
        <v>118</v>
      </c>
      <c r="E403" t="s">
        <v>77</v>
      </c>
      <c r="F403" t="s">
        <v>32</v>
      </c>
      <c r="G403">
        <v>10</v>
      </c>
      <c r="H403" t="s">
        <v>33</v>
      </c>
      <c r="I403" t="b">
        <v>0</v>
      </c>
      <c r="J403" t="s">
        <v>33</v>
      </c>
      <c r="K403" t="s">
        <v>33</v>
      </c>
      <c r="L403">
        <v>17</v>
      </c>
      <c r="M403" s="4">
        <v>500</v>
      </c>
      <c r="N403" s="3">
        <f>IFERROR(AF403/((T403*X403/Y403)*O403*AI403),"NA")</f>
        <v>806.90423023507651</v>
      </c>
      <c r="O403">
        <v>3</v>
      </c>
      <c r="P403" t="s">
        <v>33</v>
      </c>
      <c r="Q403" s="8">
        <f t="shared" si="200"/>
        <v>2.3333333333333334E-2</v>
      </c>
      <c r="R403" t="s">
        <v>183</v>
      </c>
      <c r="S403" t="s">
        <v>613</v>
      </c>
      <c r="T403" s="11">
        <v>6</v>
      </c>
      <c r="U403">
        <v>2.9</v>
      </c>
      <c r="V403">
        <v>2.2999999999999998</v>
      </c>
      <c r="W403" t="s">
        <v>33</v>
      </c>
      <c r="X403">
        <f>IFERROR(((PI())*(((V403*10^-1)/2)^2)*(U403*10^-1)), "NA")</f>
        <v>1.204879322468025E-2</v>
      </c>
      <c r="Y403" s="8">
        <f>50/60</f>
        <v>0.83333333333333337</v>
      </c>
      <c r="Z403" s="9">
        <f t="shared" si="213"/>
        <v>0.51637685248629639</v>
      </c>
      <c r="AA403" t="s">
        <v>33</v>
      </c>
      <c r="AB403" s="6">
        <f t="shared" si="216"/>
        <v>11.666666666666668</v>
      </c>
      <c r="AC403" t="str">
        <f t="shared" si="214"/>
        <v>NA</v>
      </c>
      <c r="AD403" s="4">
        <f>AB403*T403*AI403</f>
        <v>70</v>
      </c>
      <c r="AE403" s="3">
        <f t="shared" si="215"/>
        <v>220.91159999999996</v>
      </c>
      <c r="AF403">
        <v>210</v>
      </c>
      <c r="AG403" t="str">
        <f>IFERROR((M403*O403*P403), "NA")</f>
        <v>NA</v>
      </c>
      <c r="AH403" t="str">
        <f>IFERROR((AG403*T403*AI403), "NA")</f>
        <v>NA</v>
      </c>
      <c r="AI403">
        <v>1</v>
      </c>
      <c r="AJ403" t="s">
        <v>31</v>
      </c>
      <c r="AK403">
        <v>3640</v>
      </c>
      <c r="AL403" t="s">
        <v>145</v>
      </c>
      <c r="AM403" t="s">
        <v>86</v>
      </c>
      <c r="AN403" t="s">
        <v>205</v>
      </c>
      <c r="AO403" t="s">
        <v>789</v>
      </c>
      <c r="AP403">
        <v>3.19</v>
      </c>
      <c r="AQ403" t="s">
        <v>33</v>
      </c>
      <c r="AR403" t="s">
        <v>33</v>
      </c>
      <c r="AS403" s="3">
        <v>6.0609999999999999</v>
      </c>
      <c r="AT403" s="3">
        <f>IFERROR(AS403-AU403,"NA")</f>
        <v>3.7509999999999999</v>
      </c>
      <c r="AU403" s="6">
        <v>2.31</v>
      </c>
      <c r="AV403" t="b">
        <v>1</v>
      </c>
      <c r="AW403" t="s">
        <v>92</v>
      </c>
      <c r="AX403" t="s">
        <v>93</v>
      </c>
      <c r="AY403" t="s">
        <v>137</v>
      </c>
      <c r="AZ403" t="s">
        <v>33</v>
      </c>
      <c r="BA403" s="18" t="s">
        <v>801</v>
      </c>
      <c r="BB403" t="b">
        <v>0</v>
      </c>
      <c r="BC403" t="s">
        <v>81</v>
      </c>
      <c r="BD403">
        <f>(48+24)/2</f>
        <v>36</v>
      </c>
      <c r="BE403" t="s">
        <v>80</v>
      </c>
      <c r="BF403" s="11">
        <f>(48+24)/2</f>
        <v>36</v>
      </c>
      <c r="BG403" t="s">
        <v>139</v>
      </c>
      <c r="BH403" t="s">
        <v>31</v>
      </c>
      <c r="BI403" t="s">
        <v>31</v>
      </c>
      <c r="BJ403">
        <f t="shared" si="217"/>
        <v>2.31</v>
      </c>
      <c r="BK403" s="3">
        <f t="shared" si="210"/>
        <v>0.36361197989214433</v>
      </c>
      <c r="BL403">
        <v>2</v>
      </c>
      <c r="BM403" s="3">
        <f>LOG(BO403)</f>
        <v>1.9806065412473788</v>
      </c>
      <c r="BN403" t="s">
        <v>33</v>
      </c>
      <c r="BO403" s="3">
        <f t="shared" si="211"/>
        <v>95.632727272727251</v>
      </c>
      <c r="BP403" t="s">
        <v>33</v>
      </c>
      <c r="BQ403" t="s">
        <v>33</v>
      </c>
      <c r="BR403" t="s">
        <v>33</v>
      </c>
      <c r="BS403" t="s">
        <v>33</v>
      </c>
      <c r="BT403" t="s">
        <v>31</v>
      </c>
      <c r="BU403" t="s">
        <v>135</v>
      </c>
      <c r="BV403">
        <v>2010</v>
      </c>
      <c r="BW403" t="s">
        <v>140</v>
      </c>
      <c r="BX403" t="s">
        <v>78</v>
      </c>
      <c r="BY403" t="s">
        <v>33</v>
      </c>
      <c r="BZ403" t="s">
        <v>148</v>
      </c>
      <c r="CA403" t="str">
        <f t="shared" si="212"/>
        <v>high acid</v>
      </c>
    </row>
    <row r="404" spans="1:79">
      <c r="A404" t="s">
        <v>596</v>
      </c>
      <c r="B404" t="s">
        <v>565</v>
      </c>
      <c r="C404" t="s">
        <v>563</v>
      </c>
      <c r="D404" t="s">
        <v>610</v>
      </c>
      <c r="E404" t="s">
        <v>77</v>
      </c>
      <c r="F404" t="s">
        <v>33</v>
      </c>
      <c r="G404">
        <v>20</v>
      </c>
      <c r="H404" t="s">
        <v>33</v>
      </c>
      <c r="I404" t="b">
        <v>0</v>
      </c>
      <c r="J404">
        <v>14000</v>
      </c>
      <c r="K404" t="s">
        <v>33</v>
      </c>
      <c r="L404">
        <v>35</v>
      </c>
      <c r="M404" s="4">
        <v>8</v>
      </c>
      <c r="N404" t="e">
        <f>(#REF!*Y404)/(T404*X404*O404)</f>
        <v>#REF!</v>
      </c>
      <c r="O404">
        <v>5</v>
      </c>
      <c r="P404" t="s">
        <v>33</v>
      </c>
      <c r="Q404" s="1">
        <f t="shared" si="200"/>
        <v>0.90000000000000013</v>
      </c>
      <c r="R404" t="s">
        <v>183</v>
      </c>
      <c r="S404" t="s">
        <v>613</v>
      </c>
      <c r="T404">
        <v>1</v>
      </c>
      <c r="U404">
        <v>4</v>
      </c>
      <c r="V404">
        <v>4</v>
      </c>
      <c r="W404" t="s">
        <v>33</v>
      </c>
      <c r="X404">
        <f>IFERROR(((PI())*(((V404*10^-1)/2)^2)*(U404*10^-1)), "NA")</f>
        <v>5.02654824574367E-2</v>
      </c>
      <c r="Y404">
        <v>0.106667</v>
      </c>
      <c r="Z404" s="3">
        <f t="shared" si="213"/>
        <v>5.5850536063818547E-2</v>
      </c>
      <c r="AA404" t="s">
        <v>33</v>
      </c>
      <c r="AB404">
        <f t="shared" si="216"/>
        <v>7.2000000000000011</v>
      </c>
      <c r="AC404" s="1" t="str">
        <f t="shared" si="214"/>
        <v>NA</v>
      </c>
      <c r="AE404" s="3">
        <f t="shared" si="215"/>
        <v>88.200000000000017</v>
      </c>
      <c r="AF404">
        <v>36</v>
      </c>
      <c r="AG404" s="1" t="str">
        <f>IFERROR((N404*P404*Q404), "NA")</f>
        <v>NA</v>
      </c>
      <c r="AH404" s="1" t="str">
        <f>IFERROR((AG404*U404*AI404), "NA")</f>
        <v>NA</v>
      </c>
      <c r="AI404" s="1">
        <v>1</v>
      </c>
      <c r="AJ404" s="11" t="s">
        <v>31</v>
      </c>
      <c r="AK404">
        <v>2000</v>
      </c>
      <c r="AL404" t="s">
        <v>149</v>
      </c>
      <c r="AM404" t="s">
        <v>86</v>
      </c>
      <c r="AN404" t="s">
        <v>205</v>
      </c>
      <c r="AO404" t="s">
        <v>789</v>
      </c>
      <c r="AP404" t="s">
        <v>33</v>
      </c>
      <c r="AQ404" t="s">
        <v>33</v>
      </c>
      <c r="AR404" t="s">
        <v>33</v>
      </c>
      <c r="AS404">
        <f>AVERAGE(6,8)</f>
        <v>7</v>
      </c>
      <c r="AT404">
        <f>AS404-AU404</f>
        <v>3.76</v>
      </c>
      <c r="AU404" s="6">
        <v>3.24</v>
      </c>
      <c r="AV404" t="b">
        <v>1</v>
      </c>
      <c r="AW404" t="s">
        <v>626</v>
      </c>
      <c r="AX404" t="s">
        <v>627</v>
      </c>
      <c r="AY404" t="s">
        <v>634</v>
      </c>
      <c r="AZ404" t="s">
        <v>33</v>
      </c>
      <c r="BA404" s="18" t="s">
        <v>800</v>
      </c>
      <c r="BB404" s="3" t="b">
        <v>0</v>
      </c>
      <c r="BC404" t="s">
        <v>81</v>
      </c>
      <c r="BD404">
        <v>18</v>
      </c>
      <c r="BE404" t="s">
        <v>80</v>
      </c>
      <c r="BF404">
        <v>24</v>
      </c>
      <c r="BG404" t="s">
        <v>644</v>
      </c>
      <c r="BH404" t="s">
        <v>31</v>
      </c>
      <c r="BI404" t="s">
        <v>31</v>
      </c>
      <c r="BJ404">
        <f t="shared" si="217"/>
        <v>3.24</v>
      </c>
      <c r="BK404" s="3">
        <f t="shared" si="210"/>
        <v>0.51054501020661214</v>
      </c>
      <c r="BL404">
        <v>2</v>
      </c>
      <c r="BM404" s="3">
        <f t="shared" ref="BM404:BM434" si="218">IFERROR(LOG(BO404),"NA")</f>
        <v>1.4349235749252076</v>
      </c>
      <c r="BN404" t="s">
        <v>33</v>
      </c>
      <c r="BO404" s="3">
        <f t="shared" si="211"/>
        <v>27.222222222222225</v>
      </c>
      <c r="BP404" t="s">
        <v>33</v>
      </c>
      <c r="BQ404" t="s">
        <v>33</v>
      </c>
      <c r="BR404" t="s">
        <v>33</v>
      </c>
      <c r="BS404" t="s">
        <v>33</v>
      </c>
      <c r="BT404" t="s">
        <v>32</v>
      </c>
      <c r="BU404" t="s">
        <v>661</v>
      </c>
      <c r="BV404">
        <v>2013</v>
      </c>
      <c r="BW404" t="s">
        <v>662</v>
      </c>
      <c r="BX404" s="13" t="s">
        <v>663</v>
      </c>
      <c r="BY404" s="13" t="s">
        <v>684</v>
      </c>
      <c r="CA404" t="str">
        <f t="shared" si="212"/>
        <v>high acid</v>
      </c>
    </row>
    <row r="405" spans="1:79">
      <c r="A405" t="s">
        <v>584</v>
      </c>
      <c r="B405" t="s">
        <v>566</v>
      </c>
      <c r="C405" t="s">
        <v>563</v>
      </c>
      <c r="D405" t="s">
        <v>607</v>
      </c>
      <c r="E405" t="s">
        <v>77</v>
      </c>
      <c r="F405" t="s">
        <v>33</v>
      </c>
      <c r="G405">
        <v>20</v>
      </c>
      <c r="H405">
        <v>35</v>
      </c>
      <c r="I405" t="b">
        <v>0</v>
      </c>
      <c r="J405">
        <v>1000</v>
      </c>
      <c r="K405">
        <v>200</v>
      </c>
      <c r="L405">
        <v>25</v>
      </c>
      <c r="M405" s="4">
        <v>1</v>
      </c>
      <c r="N405" t="e">
        <f>(#REF!*Y405)/(T405*X405*O405)</f>
        <v>#REF!</v>
      </c>
      <c r="O405">
        <v>3</v>
      </c>
      <c r="P405" t="s">
        <v>33</v>
      </c>
      <c r="Q405" s="1">
        <f t="shared" si="200"/>
        <v>166.66666666666666</v>
      </c>
      <c r="R405" t="s">
        <v>183</v>
      </c>
      <c r="S405" t="s">
        <v>33</v>
      </c>
      <c r="T405">
        <v>1</v>
      </c>
      <c r="U405">
        <v>2.5</v>
      </c>
      <c r="V405" t="s">
        <v>33</v>
      </c>
      <c r="W405">
        <v>0.50249999999999995</v>
      </c>
      <c r="X405">
        <f>W405</f>
        <v>0.50249999999999995</v>
      </c>
      <c r="Y405" t="s">
        <v>33</v>
      </c>
      <c r="Z405" s="3">
        <f t="shared" si="213"/>
        <v>3.0149999999999999E-3</v>
      </c>
      <c r="AA405" t="s">
        <v>33</v>
      </c>
      <c r="AB405">
        <f t="shared" si="216"/>
        <v>166.66666666666666</v>
      </c>
      <c r="AC405" s="1" t="str">
        <f t="shared" si="214"/>
        <v>NA</v>
      </c>
      <c r="AE405" s="3">
        <f t="shared" si="215"/>
        <v>312.5</v>
      </c>
      <c r="AF405">
        <v>500</v>
      </c>
      <c r="AG405" s="1" t="str">
        <f>IFERROR((N405*P405*Q405), "NA")</f>
        <v>NA</v>
      </c>
      <c r="AH405" s="1" t="str">
        <f>IFERROR((AG405*U405*AI405), "NA")</f>
        <v>NA</v>
      </c>
      <c r="AI405" s="1">
        <v>1</v>
      </c>
      <c r="AJ405" s="11" t="s">
        <v>31</v>
      </c>
      <c r="AK405">
        <v>1000</v>
      </c>
      <c r="AL405" t="s">
        <v>614</v>
      </c>
      <c r="AM405" s="3" t="s">
        <v>103</v>
      </c>
      <c r="AN405" t="s">
        <v>305</v>
      </c>
      <c r="AO405" t="s">
        <v>790</v>
      </c>
      <c r="AP405">
        <v>4.5</v>
      </c>
      <c r="AQ405" t="s">
        <v>33</v>
      </c>
      <c r="AR405" t="s">
        <v>33</v>
      </c>
      <c r="AS405">
        <v>8</v>
      </c>
      <c r="AT405">
        <f>AS405-AU405</f>
        <v>3.76</v>
      </c>
      <c r="AU405" s="6">
        <v>4.24</v>
      </c>
      <c r="AV405" t="b">
        <v>1</v>
      </c>
      <c r="AW405" t="s">
        <v>617</v>
      </c>
      <c r="AX405" t="s">
        <v>33</v>
      </c>
      <c r="AY405" t="s">
        <v>623</v>
      </c>
      <c r="AZ405" t="s">
        <v>621</v>
      </c>
      <c r="BA405" s="18" t="s">
        <v>802</v>
      </c>
      <c r="BB405" s="3" t="b">
        <v>0</v>
      </c>
      <c r="BC405" t="s">
        <v>81</v>
      </c>
      <c r="BD405">
        <v>18</v>
      </c>
      <c r="BE405" t="s">
        <v>80</v>
      </c>
      <c r="BF405">
        <v>24</v>
      </c>
      <c r="BG405" t="s">
        <v>642</v>
      </c>
      <c r="BH405" t="s">
        <v>32</v>
      </c>
      <c r="BI405" t="s">
        <v>31</v>
      </c>
      <c r="BJ405">
        <f t="shared" si="217"/>
        <v>4.24</v>
      </c>
      <c r="BK405" s="3">
        <f t="shared" si="210"/>
        <v>0.6273658565927327</v>
      </c>
      <c r="BL405">
        <v>2</v>
      </c>
      <c r="BM405" s="3">
        <f t="shared" si="218"/>
        <v>1.8674841650873615</v>
      </c>
      <c r="BN405" t="s">
        <v>33</v>
      </c>
      <c r="BO405" s="3">
        <f t="shared" si="211"/>
        <v>73.702830188679243</v>
      </c>
      <c r="BP405" t="s">
        <v>33</v>
      </c>
      <c r="BQ405" t="s">
        <v>33</v>
      </c>
      <c r="BR405" t="s">
        <v>33</v>
      </c>
      <c r="BS405" t="s">
        <v>33</v>
      </c>
      <c r="BT405" t="s">
        <v>31</v>
      </c>
      <c r="BU405" t="s">
        <v>255</v>
      </c>
      <c r="BV405">
        <v>2010</v>
      </c>
      <c r="BW405" t="s">
        <v>651</v>
      </c>
      <c r="BX405" t="s">
        <v>78</v>
      </c>
      <c r="BY405" s="13" t="s">
        <v>674</v>
      </c>
      <c r="CA405" t="str">
        <f t="shared" si="212"/>
        <v>high acid</v>
      </c>
    </row>
    <row r="406" spans="1:79">
      <c r="A406" t="s">
        <v>259</v>
      </c>
      <c r="B406" t="s">
        <v>565</v>
      </c>
      <c r="C406" t="s">
        <v>563</v>
      </c>
      <c r="D406" t="s">
        <v>118</v>
      </c>
      <c r="E406" t="s">
        <v>77</v>
      </c>
      <c r="F406" t="s">
        <v>32</v>
      </c>
      <c r="G406">
        <v>5</v>
      </c>
      <c r="H406">
        <v>40</v>
      </c>
      <c r="I406" t="b">
        <v>0</v>
      </c>
      <c r="J406" t="s">
        <v>33</v>
      </c>
      <c r="K406" t="s">
        <v>33</v>
      </c>
      <c r="L406">
        <v>35</v>
      </c>
      <c r="M406" s="4">
        <v>250</v>
      </c>
      <c r="N406" s="3">
        <f>IFERROR(AF406/((T406*X406/Y406)*O406*AI406),"NA")</f>
        <v>5903.0038247230323</v>
      </c>
      <c r="O406">
        <v>4</v>
      </c>
      <c r="P406" t="s">
        <v>33</v>
      </c>
      <c r="Q406">
        <f t="shared" si="200"/>
        <v>0.15625</v>
      </c>
      <c r="R406" t="s">
        <v>183</v>
      </c>
      <c r="S406" t="s">
        <v>613</v>
      </c>
      <c r="T406" s="11">
        <v>8</v>
      </c>
      <c r="U406">
        <v>2.92</v>
      </c>
      <c r="V406">
        <v>2.2999999999999998</v>
      </c>
      <c r="W406">
        <v>1.21E-2</v>
      </c>
      <c r="X406" s="8">
        <f>IFERROR(((PI())*(((V406*10^-1)/2)^2)*(U406*10^-1)), "NA")</f>
        <v>1.2131888350367701E-2</v>
      </c>
      <c r="Y406" s="6">
        <f>110/60</f>
        <v>1.8333333333333333</v>
      </c>
      <c r="Z406" s="3">
        <f t="shared" si="213"/>
        <v>7.7644085442353281E-2</v>
      </c>
      <c r="AA406" t="s">
        <v>33</v>
      </c>
      <c r="AB406" s="6">
        <f t="shared" si="216"/>
        <v>39.0625</v>
      </c>
      <c r="AC406" t="str">
        <f t="shared" si="214"/>
        <v>NA</v>
      </c>
      <c r="AD406" s="4">
        <f>AB406*T406*AI406</f>
        <v>312.5</v>
      </c>
      <c r="AE406" s="3">
        <f t="shared" si="215"/>
        <v>4578.4375</v>
      </c>
      <c r="AF406">
        <v>1250</v>
      </c>
      <c r="AG406" t="str">
        <f>IFERROR((M406*O406*P406), "NA")</f>
        <v>NA</v>
      </c>
      <c r="AH406" t="str">
        <f>IFERROR((AG406*T406*AI406), "NA")</f>
        <v>NA</v>
      </c>
      <c r="AI406">
        <v>1</v>
      </c>
      <c r="AJ406" t="s">
        <v>31</v>
      </c>
      <c r="AK406">
        <v>2990</v>
      </c>
      <c r="AL406" t="s">
        <v>544</v>
      </c>
      <c r="AM406" t="s">
        <v>86</v>
      </c>
      <c r="AN406" t="s">
        <v>205</v>
      </c>
      <c r="AO406" t="s">
        <v>789</v>
      </c>
      <c r="AP406">
        <v>4.4000000000000004</v>
      </c>
      <c r="AQ406" t="s">
        <v>33</v>
      </c>
      <c r="AR406" t="s">
        <v>33</v>
      </c>
      <c r="AS406" s="6">
        <f>LOG((10^7+10^8)/2)</f>
        <v>7.7403626894942441</v>
      </c>
      <c r="AT406" s="3">
        <f>IFERROR(AS406-AU406,"NA")</f>
        <v>3.765362689494244</v>
      </c>
      <c r="AU406" s="6">
        <v>3.9750000000000001</v>
      </c>
      <c r="AV406" t="b">
        <v>1</v>
      </c>
      <c r="AW406" t="s">
        <v>29</v>
      </c>
      <c r="AX406" t="s">
        <v>30</v>
      </c>
      <c r="AY406" t="s">
        <v>33</v>
      </c>
      <c r="AZ406" t="s">
        <v>134</v>
      </c>
      <c r="BA406" s="18" t="s">
        <v>798</v>
      </c>
      <c r="BB406" t="b">
        <v>0</v>
      </c>
      <c r="BC406" t="s">
        <v>81</v>
      </c>
      <c r="BD406">
        <v>15</v>
      </c>
      <c r="BE406" t="s">
        <v>80</v>
      </c>
      <c r="BF406" s="11">
        <v>24</v>
      </c>
      <c r="BG406" t="s">
        <v>262</v>
      </c>
      <c r="BH406" t="s">
        <v>31</v>
      </c>
      <c r="BI406" t="s">
        <v>31</v>
      </c>
      <c r="BJ406" s="3">
        <f t="shared" si="217"/>
        <v>3.9750000000000001</v>
      </c>
      <c r="BK406" s="3">
        <f t="shared" si="210"/>
        <v>0.59933713299248914</v>
      </c>
      <c r="BL406">
        <v>2</v>
      </c>
      <c r="BM406" s="3">
        <f t="shared" si="218"/>
        <v>3.0613801570405483</v>
      </c>
      <c r="BN406" t="s">
        <v>33</v>
      </c>
      <c r="BO406" s="3">
        <f t="shared" si="211"/>
        <v>1151.808176100629</v>
      </c>
      <c r="BP406" t="s">
        <v>33</v>
      </c>
      <c r="BQ406" t="s">
        <v>33</v>
      </c>
      <c r="BR406" t="s">
        <v>33</v>
      </c>
      <c r="BS406" t="s">
        <v>33</v>
      </c>
      <c r="BT406" t="s">
        <v>31</v>
      </c>
      <c r="BU406" t="s">
        <v>219</v>
      </c>
      <c r="BV406">
        <v>2008</v>
      </c>
      <c r="BW406" s="2" t="s">
        <v>257</v>
      </c>
      <c r="BX406" t="s">
        <v>78</v>
      </c>
      <c r="BY406" t="s">
        <v>33</v>
      </c>
      <c r="BZ406" t="s">
        <v>33</v>
      </c>
      <c r="CA406" t="str">
        <f t="shared" si="212"/>
        <v>high acid</v>
      </c>
    </row>
    <row r="407" spans="1:79">
      <c r="A407" t="s">
        <v>592</v>
      </c>
      <c r="B407" t="s">
        <v>566</v>
      </c>
      <c r="C407" t="s">
        <v>563</v>
      </c>
      <c r="D407" t="s">
        <v>607</v>
      </c>
      <c r="E407" t="s">
        <v>77</v>
      </c>
      <c r="F407" t="s">
        <v>32</v>
      </c>
      <c r="G407" t="s">
        <v>33</v>
      </c>
      <c r="H407">
        <v>35</v>
      </c>
      <c r="I407" t="b">
        <v>0</v>
      </c>
      <c r="J407">
        <v>30000</v>
      </c>
      <c r="K407">
        <v>200</v>
      </c>
      <c r="L407">
        <v>25</v>
      </c>
      <c r="M407" s="4">
        <v>1</v>
      </c>
      <c r="N407" t="e">
        <f>(#REF!*Y407)/(T407*X407*O407)</f>
        <v>#REF!</v>
      </c>
      <c r="O407">
        <v>3</v>
      </c>
      <c r="P407" t="s">
        <v>33</v>
      </c>
      <c r="Q407" s="1">
        <f t="shared" si="200"/>
        <v>50.693333333333342</v>
      </c>
      <c r="R407" t="s">
        <v>183</v>
      </c>
      <c r="S407" t="s">
        <v>33</v>
      </c>
      <c r="T407">
        <v>1</v>
      </c>
      <c r="U407">
        <v>2.5</v>
      </c>
      <c r="V407" t="s">
        <v>33</v>
      </c>
      <c r="W407">
        <v>0.50249999999999995</v>
      </c>
      <c r="X407">
        <f>W407</f>
        <v>0.50249999999999995</v>
      </c>
      <c r="Y407" t="s">
        <v>33</v>
      </c>
      <c r="Z407" s="3">
        <f t="shared" si="213"/>
        <v>9.9125460284060999E-3</v>
      </c>
      <c r="AA407" t="s">
        <v>33</v>
      </c>
      <c r="AB407">
        <f t="shared" si="216"/>
        <v>50.693333333333342</v>
      </c>
      <c r="AC407" s="1" t="str">
        <f t="shared" si="214"/>
        <v>NA</v>
      </c>
      <c r="AE407" s="3">
        <f t="shared" si="215"/>
        <v>95.050000000000011</v>
      </c>
      <c r="AF407">
        <v>152.08000000000001</v>
      </c>
      <c r="AG407" s="1" t="str">
        <f>IFERROR((N407*P407*Q407), "NA")</f>
        <v>NA</v>
      </c>
      <c r="AH407" s="1" t="str">
        <f>IFERROR((AG407*U407*AI407), "NA")</f>
        <v>NA</v>
      </c>
      <c r="AI407" s="1">
        <v>1</v>
      </c>
      <c r="AJ407" s="11" t="s">
        <v>31</v>
      </c>
      <c r="AK407">
        <v>1000</v>
      </c>
      <c r="AL407" t="s">
        <v>614</v>
      </c>
      <c r="AM407" s="3" t="s">
        <v>103</v>
      </c>
      <c r="AN407" t="s">
        <v>130</v>
      </c>
      <c r="AO407" t="s">
        <v>795</v>
      </c>
      <c r="AP407">
        <v>7</v>
      </c>
      <c r="AQ407" t="s">
        <v>33</v>
      </c>
      <c r="AR407" t="s">
        <v>33</v>
      </c>
      <c r="AS407">
        <v>8</v>
      </c>
      <c r="AT407">
        <f>AS407-AU407</f>
        <v>3.7699999999999996</v>
      </c>
      <c r="AU407" s="6">
        <v>4.2300000000000004</v>
      </c>
      <c r="AV407" t="b">
        <v>1</v>
      </c>
      <c r="AW407" t="s">
        <v>626</v>
      </c>
      <c r="AX407" t="s">
        <v>627</v>
      </c>
      <c r="AY407" t="s">
        <v>633</v>
      </c>
      <c r="AZ407" t="s">
        <v>33</v>
      </c>
      <c r="BA407" s="18" t="s">
        <v>800</v>
      </c>
      <c r="BB407" s="3" t="b">
        <v>0</v>
      </c>
      <c r="BC407" t="s">
        <v>81</v>
      </c>
      <c r="BD407">
        <v>24</v>
      </c>
      <c r="BE407" t="s">
        <v>80</v>
      </c>
      <c r="BF407">
        <v>48</v>
      </c>
      <c r="BG407" t="s">
        <v>569</v>
      </c>
      <c r="BH407" t="s">
        <v>31</v>
      </c>
      <c r="BI407" t="s">
        <v>31</v>
      </c>
      <c r="BJ407">
        <f t="shared" si="217"/>
        <v>4.2300000000000004</v>
      </c>
      <c r="BK407" s="3">
        <f t="shared" si="210"/>
        <v>0.6263403673750424</v>
      </c>
      <c r="BL407">
        <v>2</v>
      </c>
      <c r="BM407" s="3">
        <f t="shared" si="218"/>
        <v>1.3516117538264196</v>
      </c>
      <c r="BN407" t="s">
        <v>33</v>
      </c>
      <c r="BO407" s="3">
        <f t="shared" si="211"/>
        <v>22.470449172576831</v>
      </c>
      <c r="BP407" t="s">
        <v>33</v>
      </c>
      <c r="BQ407" t="s">
        <v>33</v>
      </c>
      <c r="BR407" t="s">
        <v>33</v>
      </c>
      <c r="BS407" t="s">
        <v>33</v>
      </c>
      <c r="BT407" t="s">
        <v>31</v>
      </c>
      <c r="BU407" s="15" t="s">
        <v>255</v>
      </c>
      <c r="BV407">
        <v>2010</v>
      </c>
      <c r="BW407" t="s">
        <v>659</v>
      </c>
      <c r="BX407" t="s">
        <v>78</v>
      </c>
      <c r="BY407" s="13" t="s">
        <v>680</v>
      </c>
      <c r="CA407" t="str">
        <f t="shared" si="212"/>
        <v>low acid</v>
      </c>
    </row>
    <row r="408" spans="1:79">
      <c r="A408" t="s">
        <v>531</v>
      </c>
      <c r="B408" t="s">
        <v>565</v>
      </c>
      <c r="C408" t="s">
        <v>564</v>
      </c>
      <c r="D408" t="s">
        <v>209</v>
      </c>
      <c r="E408" t="s">
        <v>77</v>
      </c>
      <c r="F408" t="s">
        <v>32</v>
      </c>
      <c r="G408">
        <v>30</v>
      </c>
      <c r="H408">
        <v>38.200000000000003</v>
      </c>
      <c r="I408" t="b">
        <v>0</v>
      </c>
      <c r="J408" t="s">
        <v>33</v>
      </c>
      <c r="K408" t="s">
        <v>33</v>
      </c>
      <c r="L408">
        <v>24</v>
      </c>
      <c r="M408" s="4">
        <v>120</v>
      </c>
      <c r="N408" s="3">
        <f>IFERROR(AF408/((T408*X408/Y408)*O408*AI408),"NA")</f>
        <v>59.643864275069234</v>
      </c>
      <c r="O408">
        <v>5</v>
      </c>
      <c r="P408" t="s">
        <v>33</v>
      </c>
      <c r="Q408">
        <f t="shared" si="200"/>
        <v>6.25E-2</v>
      </c>
      <c r="R408" t="s">
        <v>183</v>
      </c>
      <c r="S408" t="s">
        <v>612</v>
      </c>
      <c r="T408" s="11">
        <v>4</v>
      </c>
      <c r="U408">
        <v>3</v>
      </c>
      <c r="V408">
        <v>2.6</v>
      </c>
      <c r="W408" t="s">
        <v>33</v>
      </c>
      <c r="X408" s="8">
        <f>IFERROR(((PI())*(((V408*10^-1)/2)^2)*(U408*10^-1)), "NA")</f>
        <v>1.5927874753700257E-2</v>
      </c>
      <c r="Y408" s="6">
        <f>7.6/60</f>
        <v>0.12666666666666665</v>
      </c>
      <c r="Z408" s="3">
        <f t="shared" si="213"/>
        <v>0.25484599605920411</v>
      </c>
      <c r="AA408" t="s">
        <v>33</v>
      </c>
      <c r="AB408" s="6">
        <f t="shared" si="216"/>
        <v>7.5</v>
      </c>
      <c r="AC408" t="str">
        <f t="shared" si="214"/>
        <v>NA</v>
      </c>
      <c r="AD408" s="4">
        <f>IFERROR(AB408*T408*AI408, "NA")</f>
        <v>30</v>
      </c>
      <c r="AE408" s="3">
        <f t="shared" si="215"/>
        <v>84.671999999999997</v>
      </c>
      <c r="AF408">
        <v>150</v>
      </c>
      <c r="AG408" t="str">
        <f>IFERROR((M408*O408*P408), "NA")</f>
        <v>NA</v>
      </c>
      <c r="AH408" t="str">
        <f>IFERROR((AG408*T408*AI408), "NA")</f>
        <v>NA</v>
      </c>
      <c r="AI408" s="11">
        <v>1</v>
      </c>
      <c r="AJ408" t="s">
        <v>31</v>
      </c>
      <c r="AK408">
        <v>980</v>
      </c>
      <c r="AL408" t="s">
        <v>551</v>
      </c>
      <c r="AM408" t="s">
        <v>86</v>
      </c>
      <c r="AN408" t="s">
        <v>186</v>
      </c>
      <c r="AO408" t="s">
        <v>794</v>
      </c>
      <c r="AP408">
        <v>5.98</v>
      </c>
      <c r="AQ408" t="s">
        <v>33</v>
      </c>
      <c r="AR408" t="s">
        <v>33</v>
      </c>
      <c r="AS408" s="6">
        <v>6.5</v>
      </c>
      <c r="AT408" s="3">
        <f>IFERROR(AS408-AU408,"NA")</f>
        <v>3.77</v>
      </c>
      <c r="AU408" s="6">
        <v>2.73</v>
      </c>
      <c r="AV408" t="b">
        <v>1</v>
      </c>
      <c r="AW408" t="s">
        <v>29</v>
      </c>
      <c r="AX408" t="s">
        <v>30</v>
      </c>
      <c r="AY408" t="s">
        <v>211</v>
      </c>
      <c r="AZ408" t="s">
        <v>33</v>
      </c>
      <c r="BA408" s="18" t="s">
        <v>798</v>
      </c>
      <c r="BB408" t="b">
        <v>0</v>
      </c>
      <c r="BC408" t="s">
        <v>81</v>
      </c>
      <c r="BD408">
        <v>20</v>
      </c>
      <c r="BE408" t="s">
        <v>80</v>
      </c>
      <c r="BF408" s="11">
        <v>20</v>
      </c>
      <c r="BG408" t="s">
        <v>570</v>
      </c>
      <c r="BH408" t="s">
        <v>31</v>
      </c>
      <c r="BI408" t="s">
        <v>31</v>
      </c>
      <c r="BJ408" s="3">
        <f t="shared" si="217"/>
        <v>2.73</v>
      </c>
      <c r="BK408" s="3">
        <f t="shared" si="210"/>
        <v>0.43616264704075602</v>
      </c>
      <c r="BL408">
        <v>2</v>
      </c>
      <c r="BM408" s="3">
        <f t="shared" si="218"/>
        <v>1.491577171130632</v>
      </c>
      <c r="BN408" t="s">
        <v>33</v>
      </c>
      <c r="BO408" s="3">
        <f t="shared" si="211"/>
        <v>31.015384615384615</v>
      </c>
      <c r="BP408" t="s">
        <v>33</v>
      </c>
      <c r="BQ408" t="s">
        <v>33</v>
      </c>
      <c r="BR408" t="s">
        <v>33</v>
      </c>
      <c r="BS408" t="s">
        <v>33</v>
      </c>
      <c r="BT408" t="s">
        <v>32</v>
      </c>
      <c r="BU408" t="s">
        <v>207</v>
      </c>
      <c r="BV408">
        <v>2014</v>
      </c>
      <c r="BW408" t="s">
        <v>208</v>
      </c>
      <c r="BX408" t="s">
        <v>78</v>
      </c>
      <c r="BY408" t="s">
        <v>33</v>
      </c>
      <c r="BZ408" t="s">
        <v>33</v>
      </c>
      <c r="CA408" t="str">
        <f t="shared" si="212"/>
        <v>low acid</v>
      </c>
    </row>
    <row r="409" spans="1:79">
      <c r="A409" t="s">
        <v>733</v>
      </c>
      <c r="B409" t="s">
        <v>566</v>
      </c>
      <c r="C409" t="s">
        <v>563</v>
      </c>
      <c r="D409" t="s">
        <v>699</v>
      </c>
      <c r="E409" t="s">
        <v>77</v>
      </c>
      <c r="F409" t="s">
        <v>32</v>
      </c>
      <c r="G409">
        <v>20</v>
      </c>
      <c r="H409">
        <v>64</v>
      </c>
      <c r="I409" t="b">
        <v>1</v>
      </c>
      <c r="J409" t="s">
        <v>33</v>
      </c>
      <c r="K409" t="s">
        <v>33</v>
      </c>
      <c r="L409">
        <v>20</v>
      </c>
      <c r="M409" s="4">
        <v>64</v>
      </c>
      <c r="N409" s="3">
        <f>IFERROR(AF409/((T409*X409/Y409)*O409*AI409),"NA")</f>
        <v>63.657407407407391</v>
      </c>
      <c r="O409">
        <v>5</v>
      </c>
      <c r="P409">
        <v>0.43</v>
      </c>
      <c r="Q409" s="8">
        <f>IFERROR(X409/Y409, "NA")</f>
        <v>0.43200000000000011</v>
      </c>
      <c r="R409" t="s">
        <v>183</v>
      </c>
      <c r="S409" t="s">
        <v>612</v>
      </c>
      <c r="T409" s="11">
        <v>1</v>
      </c>
      <c r="U409">
        <v>4</v>
      </c>
      <c r="V409" t="s">
        <v>33</v>
      </c>
      <c r="W409">
        <f>0.4*3*0.5</f>
        <v>0.60000000000000009</v>
      </c>
      <c r="X409" s="9">
        <f>W409</f>
        <v>0.60000000000000009</v>
      </c>
      <c r="Y409" s="6">
        <f>5000/3600</f>
        <v>1.3888888888888888</v>
      </c>
      <c r="Z409" s="3">
        <f t="shared" si="213"/>
        <v>1.3963636363636365</v>
      </c>
      <c r="AA409" t="s">
        <v>33</v>
      </c>
      <c r="AB409" s="4">
        <f>IFERROR(((X409*M409)/Y409), "NA")</f>
        <v>27.648000000000007</v>
      </c>
      <c r="AC409" s="4">
        <f t="shared" si="214"/>
        <v>27.52</v>
      </c>
      <c r="AD409" s="4">
        <f>AB409*T409*AI409</f>
        <v>27.648000000000007</v>
      </c>
      <c r="AE409" s="3">
        <f t="shared" si="215"/>
        <v>110.59200000000003</v>
      </c>
      <c r="AF409">
        <v>137.5</v>
      </c>
      <c r="AG409" s="4">
        <f>IFERROR((M409*O409*P409), "NA")</f>
        <v>137.6</v>
      </c>
      <c r="AH409" s="4">
        <f>IFERROR((AG409*T409*AI409), "NA")</f>
        <v>137.6</v>
      </c>
      <c r="AI409">
        <v>1</v>
      </c>
      <c r="AJ409" s="11" t="s">
        <v>31</v>
      </c>
      <c r="AK409">
        <v>2000</v>
      </c>
      <c r="AL409" t="s">
        <v>784</v>
      </c>
      <c r="AM409" t="s">
        <v>103</v>
      </c>
      <c r="AN409" t="s">
        <v>130</v>
      </c>
      <c r="AO409" t="s">
        <v>795</v>
      </c>
      <c r="AP409">
        <v>7</v>
      </c>
      <c r="AQ409" t="s">
        <v>33</v>
      </c>
      <c r="AR409" t="s">
        <v>33</v>
      </c>
      <c r="AS409" s="6">
        <f>LOG(AVERAGE(10^8, 10^9))</f>
        <v>8.7403626894942441</v>
      </c>
      <c r="AT409" s="3">
        <f>IFERROR(AS409-AU409,"NA")</f>
        <v>3.7793626894942438</v>
      </c>
      <c r="AU409" s="6">
        <v>4.9610000000000003</v>
      </c>
      <c r="AV409" t="b">
        <v>1</v>
      </c>
      <c r="AW409" t="s">
        <v>172</v>
      </c>
      <c r="AX409" t="s">
        <v>173</v>
      </c>
      <c r="AY409" t="s">
        <v>737</v>
      </c>
      <c r="AZ409" t="s">
        <v>33</v>
      </c>
      <c r="BA409" s="18" t="s">
        <v>799</v>
      </c>
      <c r="BB409" s="3" t="b">
        <v>0</v>
      </c>
      <c r="BC409" t="s">
        <v>81</v>
      </c>
      <c r="BD409">
        <v>24</v>
      </c>
      <c r="BE409" t="s">
        <v>80</v>
      </c>
      <c r="BF409">
        <v>48</v>
      </c>
      <c r="BG409" t="s">
        <v>734</v>
      </c>
      <c r="BH409" t="s">
        <v>31</v>
      </c>
      <c r="BI409" t="s">
        <v>31</v>
      </c>
      <c r="BJ409" s="3">
        <f t="shared" si="217"/>
        <v>4.9610000000000003</v>
      </c>
      <c r="BK409" s="3">
        <f t="shared" si="210"/>
        <v>0.69556922703618562</v>
      </c>
      <c r="BL409">
        <v>2</v>
      </c>
      <c r="BM409" s="3">
        <f t="shared" si="218"/>
        <v>1.3481544850905762</v>
      </c>
      <c r="BN409" t="s">
        <v>33</v>
      </c>
      <c r="BO409" s="3">
        <f t="shared" si="211"/>
        <v>22.292279782301961</v>
      </c>
      <c r="BP409" t="s">
        <v>33</v>
      </c>
      <c r="BQ409" t="s">
        <v>33</v>
      </c>
      <c r="BR409" t="s">
        <v>33</v>
      </c>
      <c r="BS409" t="s">
        <v>33</v>
      </c>
      <c r="BT409" t="s">
        <v>32</v>
      </c>
      <c r="BU409" t="s">
        <v>709</v>
      </c>
      <c r="BV409">
        <v>2024</v>
      </c>
      <c r="BW409" t="s">
        <v>710</v>
      </c>
      <c r="BX409" t="s">
        <v>78</v>
      </c>
      <c r="BY409" t="s">
        <v>711</v>
      </c>
      <c r="CA409" t="str">
        <f t="shared" si="212"/>
        <v>low acid</v>
      </c>
    </row>
    <row r="410" spans="1:79">
      <c r="A410" t="s">
        <v>584</v>
      </c>
      <c r="B410" t="s">
        <v>566</v>
      </c>
      <c r="C410" t="s">
        <v>563</v>
      </c>
      <c r="D410" t="s">
        <v>607</v>
      </c>
      <c r="E410" t="s">
        <v>77</v>
      </c>
      <c r="F410" t="s">
        <v>33</v>
      </c>
      <c r="G410">
        <v>20</v>
      </c>
      <c r="H410">
        <v>35</v>
      </c>
      <c r="I410" t="b">
        <v>0</v>
      </c>
      <c r="J410">
        <v>1000</v>
      </c>
      <c r="K410">
        <v>200</v>
      </c>
      <c r="L410">
        <v>25</v>
      </c>
      <c r="M410" s="4">
        <v>1</v>
      </c>
      <c r="N410" t="e">
        <f>(#REF!*Y410)/(T410*X410*O410)</f>
        <v>#REF!</v>
      </c>
      <c r="O410">
        <v>3</v>
      </c>
      <c r="P410" t="s">
        <v>33</v>
      </c>
      <c r="Q410" s="1">
        <f t="shared" ref="Q410:Q441" si="219">IFERROR(X410/Z410, "NA")</f>
        <v>166.66666666666666</v>
      </c>
      <c r="R410" t="s">
        <v>183</v>
      </c>
      <c r="S410" t="s">
        <v>33</v>
      </c>
      <c r="T410">
        <v>1</v>
      </c>
      <c r="U410">
        <v>2.5</v>
      </c>
      <c r="V410" t="s">
        <v>33</v>
      </c>
      <c r="W410">
        <v>0.50249999999999995</v>
      </c>
      <c r="X410">
        <f>W410</f>
        <v>0.50249999999999995</v>
      </c>
      <c r="Y410" t="s">
        <v>33</v>
      </c>
      <c r="Z410" s="3">
        <f t="shared" si="213"/>
        <v>3.0149999999999999E-3</v>
      </c>
      <c r="AA410" t="s">
        <v>33</v>
      </c>
      <c r="AB410">
        <f t="shared" ref="AB410:AB417" si="220">IFERROR(((X410*M410)/Z410), "NA")</f>
        <v>166.66666666666666</v>
      </c>
      <c r="AC410" s="1" t="str">
        <f t="shared" si="214"/>
        <v>NA</v>
      </c>
      <c r="AE410" s="3">
        <f t="shared" si="215"/>
        <v>312.5</v>
      </c>
      <c r="AF410">
        <v>500</v>
      </c>
      <c r="AG410" s="1" t="str">
        <f t="shared" ref="AG410:AG416" si="221">IFERROR((N410*P410*Q410), "NA")</f>
        <v>NA</v>
      </c>
      <c r="AH410" s="1" t="str">
        <f t="shared" ref="AH410:AH416" si="222">IFERROR((AG410*U410*AI410), "NA")</f>
        <v>NA</v>
      </c>
      <c r="AI410" s="1">
        <v>1</v>
      </c>
      <c r="AJ410" s="11" t="s">
        <v>31</v>
      </c>
      <c r="AK410">
        <v>1000</v>
      </c>
      <c r="AL410" t="s">
        <v>614</v>
      </c>
      <c r="AM410" s="3" t="s">
        <v>103</v>
      </c>
      <c r="AN410" t="s">
        <v>305</v>
      </c>
      <c r="AO410" t="s">
        <v>790</v>
      </c>
      <c r="AP410">
        <v>3.5</v>
      </c>
      <c r="AQ410" t="s">
        <v>33</v>
      </c>
      <c r="AR410" t="s">
        <v>33</v>
      </c>
      <c r="AS410">
        <v>8</v>
      </c>
      <c r="AT410">
        <f t="shared" ref="AT410:AT416" si="223">AS410-AU410</f>
        <v>3.7800000000000002</v>
      </c>
      <c r="AU410" s="6">
        <v>4.22</v>
      </c>
      <c r="AV410" t="b">
        <v>1</v>
      </c>
      <c r="AW410" t="s">
        <v>617</v>
      </c>
      <c r="AX410" t="s">
        <v>33</v>
      </c>
      <c r="AY410" t="s">
        <v>623</v>
      </c>
      <c r="AZ410" t="s">
        <v>621</v>
      </c>
      <c r="BA410" s="18" t="s">
        <v>802</v>
      </c>
      <c r="BB410" s="3" t="b">
        <v>0</v>
      </c>
      <c r="BC410" t="s">
        <v>81</v>
      </c>
      <c r="BD410">
        <v>18</v>
      </c>
      <c r="BE410" t="s">
        <v>80</v>
      </c>
      <c r="BF410">
        <v>24</v>
      </c>
      <c r="BG410" t="s">
        <v>569</v>
      </c>
      <c r="BH410" t="s">
        <v>31</v>
      </c>
      <c r="BI410" t="s">
        <v>31</v>
      </c>
      <c r="BJ410">
        <f t="shared" si="217"/>
        <v>4.22</v>
      </c>
      <c r="BK410" s="3">
        <f t="shared" si="210"/>
        <v>0.62531245096167387</v>
      </c>
      <c r="BL410">
        <v>2</v>
      </c>
      <c r="BM410" s="3">
        <f t="shared" si="218"/>
        <v>1.8695375707184203</v>
      </c>
      <c r="BN410" t="s">
        <v>33</v>
      </c>
      <c r="BO410" s="3">
        <f t="shared" si="211"/>
        <v>74.052132701421812</v>
      </c>
      <c r="BP410" t="s">
        <v>33</v>
      </c>
      <c r="BQ410" t="s">
        <v>33</v>
      </c>
      <c r="BR410" t="s">
        <v>33</v>
      </c>
      <c r="BS410" t="s">
        <v>33</v>
      </c>
      <c r="BT410" t="s">
        <v>31</v>
      </c>
      <c r="BU410" t="s">
        <v>255</v>
      </c>
      <c r="BV410">
        <v>2010</v>
      </c>
      <c r="BW410" t="s">
        <v>651</v>
      </c>
      <c r="BX410" t="s">
        <v>78</v>
      </c>
      <c r="BY410" s="13" t="s">
        <v>674</v>
      </c>
      <c r="CA410" t="str">
        <f t="shared" si="212"/>
        <v>high acid</v>
      </c>
    </row>
    <row r="411" spans="1:79">
      <c r="A411" t="s">
        <v>589</v>
      </c>
      <c r="B411" t="s">
        <v>566</v>
      </c>
      <c r="C411" t="s">
        <v>563</v>
      </c>
      <c r="D411" t="s">
        <v>33</v>
      </c>
      <c r="E411" t="s">
        <v>77</v>
      </c>
      <c r="F411" t="s">
        <v>33</v>
      </c>
      <c r="G411" t="s">
        <v>33</v>
      </c>
      <c r="H411">
        <v>35</v>
      </c>
      <c r="I411" t="b">
        <v>0</v>
      </c>
      <c r="J411" t="s">
        <v>33</v>
      </c>
      <c r="K411" t="s">
        <v>33</v>
      </c>
      <c r="L411">
        <v>22</v>
      </c>
      <c r="M411" s="4">
        <v>1</v>
      </c>
      <c r="N411" t="e">
        <f>(#REF!*Y411)/(T411*X411*O411)</f>
        <v>#REF!</v>
      </c>
      <c r="O411">
        <v>2</v>
      </c>
      <c r="P411" t="s">
        <v>33</v>
      </c>
      <c r="Q411" s="1">
        <f t="shared" si="219"/>
        <v>700.5</v>
      </c>
      <c r="R411" t="s">
        <v>183</v>
      </c>
      <c r="S411" t="s">
        <v>613</v>
      </c>
      <c r="T411">
        <v>1</v>
      </c>
      <c r="U411">
        <v>2.5</v>
      </c>
      <c r="V411" t="s">
        <v>33</v>
      </c>
      <c r="W411">
        <v>0.50249999999999995</v>
      </c>
      <c r="X411">
        <f>W411</f>
        <v>0.50249999999999995</v>
      </c>
      <c r="Y411" t="s">
        <v>33</v>
      </c>
      <c r="Z411" s="3">
        <f t="shared" si="213"/>
        <v>7.1734475374732331E-4</v>
      </c>
      <c r="AA411" t="s">
        <v>33</v>
      </c>
      <c r="AB411">
        <f t="shared" si="220"/>
        <v>700.5</v>
      </c>
      <c r="AC411" s="1" t="str">
        <f t="shared" si="214"/>
        <v>NA</v>
      </c>
      <c r="AE411" s="3">
        <f t="shared" si="215"/>
        <v>1356.1679999999999</v>
      </c>
      <c r="AF411">
        <v>1401</v>
      </c>
      <c r="AG411" s="1" t="str">
        <f t="shared" si="221"/>
        <v>NA</v>
      </c>
      <c r="AH411" s="1" t="str">
        <f t="shared" si="222"/>
        <v>NA</v>
      </c>
      <c r="AI411" s="1">
        <v>1</v>
      </c>
      <c r="AJ411" s="11" t="s">
        <v>31</v>
      </c>
      <c r="AK411">
        <v>2000</v>
      </c>
      <c r="AL411" t="s">
        <v>616</v>
      </c>
      <c r="AM411" s="3" t="s">
        <v>103</v>
      </c>
      <c r="AN411" t="s">
        <v>130</v>
      </c>
      <c r="AO411" t="s">
        <v>795</v>
      </c>
      <c r="AP411">
        <v>7</v>
      </c>
      <c r="AQ411" t="s">
        <v>33</v>
      </c>
      <c r="AR411" t="s">
        <v>33</v>
      </c>
      <c r="AS411">
        <v>9</v>
      </c>
      <c r="AT411">
        <f t="shared" si="223"/>
        <v>3.7800000000000002</v>
      </c>
      <c r="AU411" s="6">
        <v>5.22</v>
      </c>
      <c r="AV411" t="b">
        <v>1</v>
      </c>
      <c r="AW411" t="s">
        <v>617</v>
      </c>
      <c r="AX411" t="s">
        <v>33</v>
      </c>
      <c r="AY411" t="s">
        <v>629</v>
      </c>
      <c r="AZ411" t="s">
        <v>630</v>
      </c>
      <c r="BA411" s="18" t="s">
        <v>802</v>
      </c>
      <c r="BB411" s="3" t="b">
        <v>0</v>
      </c>
      <c r="BC411" t="s">
        <v>81</v>
      </c>
      <c r="BD411">
        <v>24</v>
      </c>
      <c r="BE411" t="s">
        <v>80</v>
      </c>
      <c r="BF411">
        <v>24</v>
      </c>
      <c r="BG411" t="s">
        <v>644</v>
      </c>
      <c r="BH411" t="s">
        <v>31</v>
      </c>
      <c r="BI411" t="s">
        <v>32</v>
      </c>
      <c r="BJ411">
        <f t="shared" si="217"/>
        <v>5.22</v>
      </c>
      <c r="BK411" s="3">
        <f t="shared" si="210"/>
        <v>0.71767050300226209</v>
      </c>
      <c r="BL411">
        <v>2</v>
      </c>
      <c r="BM411" s="3">
        <f t="shared" si="218"/>
        <v>2.4146429895919059</v>
      </c>
      <c r="BN411" t="s">
        <v>33</v>
      </c>
      <c r="BO411" s="3">
        <f t="shared" si="211"/>
        <v>259.80229885057469</v>
      </c>
      <c r="BP411" t="s">
        <v>33</v>
      </c>
      <c r="BQ411" t="s">
        <v>33</v>
      </c>
      <c r="BR411" t="s">
        <v>33</v>
      </c>
      <c r="BS411" t="s">
        <v>33</v>
      </c>
      <c r="BT411" t="s">
        <v>31</v>
      </c>
      <c r="BU411" s="15" t="s">
        <v>655</v>
      </c>
      <c r="BV411">
        <v>2003</v>
      </c>
      <c r="BW411" t="s">
        <v>656</v>
      </c>
      <c r="BX411" t="s">
        <v>78</v>
      </c>
      <c r="BY411" s="13" t="s">
        <v>677</v>
      </c>
      <c r="CA411" t="str">
        <f t="shared" si="212"/>
        <v>low acid</v>
      </c>
    </row>
    <row r="412" spans="1:79">
      <c r="A412" t="s">
        <v>596</v>
      </c>
      <c r="B412" t="s">
        <v>565</v>
      </c>
      <c r="C412" t="s">
        <v>563</v>
      </c>
      <c r="D412" t="s">
        <v>610</v>
      </c>
      <c r="E412" t="s">
        <v>77</v>
      </c>
      <c r="F412" t="s">
        <v>33</v>
      </c>
      <c r="G412">
        <v>20</v>
      </c>
      <c r="H412" t="s">
        <v>33</v>
      </c>
      <c r="I412" t="b">
        <v>0</v>
      </c>
      <c r="J412">
        <v>10000</v>
      </c>
      <c r="K412" t="s">
        <v>33</v>
      </c>
      <c r="L412">
        <v>25</v>
      </c>
      <c r="M412" s="4">
        <v>31.831088090218493</v>
      </c>
      <c r="N412" t="e">
        <f>(#REF!*Y412)/(T412*X412*O412)</f>
        <v>#REF!</v>
      </c>
      <c r="O412">
        <v>5</v>
      </c>
      <c r="P412" t="s">
        <v>33</v>
      </c>
      <c r="Q412" s="1">
        <f t="shared" si="219"/>
        <v>0.4712374254215147</v>
      </c>
      <c r="R412" t="s">
        <v>183</v>
      </c>
      <c r="S412" t="s">
        <v>613</v>
      </c>
      <c r="T412">
        <v>1</v>
      </c>
      <c r="U412">
        <v>4</v>
      </c>
      <c r="V412">
        <v>4</v>
      </c>
      <c r="W412" t="s">
        <v>33</v>
      </c>
      <c r="X412">
        <f>IFERROR(((PI())*(((V412*10^-1)/2)^2)*(U412*10^-1)), "NA")</f>
        <v>5.02654824574367E-2</v>
      </c>
      <c r="Y412">
        <v>0.106667</v>
      </c>
      <c r="Z412" s="3">
        <f t="shared" si="213"/>
        <v>0.10666699999999998</v>
      </c>
      <c r="AA412" t="s">
        <v>33</v>
      </c>
      <c r="AB412">
        <f t="shared" si="220"/>
        <v>15.000000000000002</v>
      </c>
      <c r="AC412" s="1" t="str">
        <f t="shared" si="214"/>
        <v>NA</v>
      </c>
      <c r="AE412" s="3">
        <f t="shared" si="215"/>
        <v>117.1875</v>
      </c>
      <c r="AF412">
        <v>75</v>
      </c>
      <c r="AG412" s="1" t="str">
        <f t="shared" si="221"/>
        <v>NA</v>
      </c>
      <c r="AH412" s="1" t="str">
        <f t="shared" si="222"/>
        <v>NA</v>
      </c>
      <c r="AI412" s="1">
        <v>1</v>
      </c>
      <c r="AJ412" s="11" t="s">
        <v>31</v>
      </c>
      <c r="AK412">
        <v>2500</v>
      </c>
      <c r="AL412" t="s">
        <v>149</v>
      </c>
      <c r="AM412" t="s">
        <v>86</v>
      </c>
      <c r="AN412" t="s">
        <v>205</v>
      </c>
      <c r="AO412" t="s">
        <v>789</v>
      </c>
      <c r="AP412" t="s">
        <v>33</v>
      </c>
      <c r="AQ412" t="s">
        <v>33</v>
      </c>
      <c r="AR412" t="s">
        <v>33</v>
      </c>
      <c r="AS412">
        <f>AVERAGE(6,8)</f>
        <v>7</v>
      </c>
      <c r="AT412">
        <f t="shared" si="223"/>
        <v>3.79</v>
      </c>
      <c r="AU412" s="6">
        <v>3.21</v>
      </c>
      <c r="AV412" t="b">
        <v>1</v>
      </c>
      <c r="AW412" t="s">
        <v>626</v>
      </c>
      <c r="AX412" t="s">
        <v>627</v>
      </c>
      <c r="AY412" t="s">
        <v>634</v>
      </c>
      <c r="AZ412" t="s">
        <v>33</v>
      </c>
      <c r="BA412" s="18" t="s">
        <v>800</v>
      </c>
      <c r="BB412" s="3" t="b">
        <v>0</v>
      </c>
      <c r="BC412" t="s">
        <v>81</v>
      </c>
      <c r="BD412">
        <v>18</v>
      </c>
      <c r="BE412" t="s">
        <v>80</v>
      </c>
      <c r="BF412">
        <v>24</v>
      </c>
      <c r="BG412" t="s">
        <v>644</v>
      </c>
      <c r="BH412" t="s">
        <v>31</v>
      </c>
      <c r="BI412" t="s">
        <v>31</v>
      </c>
      <c r="BJ412">
        <f t="shared" si="217"/>
        <v>3.21</v>
      </c>
      <c r="BK412" s="3">
        <f t="shared" si="210"/>
        <v>0.5065050324048721</v>
      </c>
      <c r="BL412">
        <v>2</v>
      </c>
      <c r="BM412" s="3">
        <f t="shared" si="218"/>
        <v>1.5623762570029409</v>
      </c>
      <c r="BN412" t="s">
        <v>33</v>
      </c>
      <c r="BO412" s="3">
        <f t="shared" si="211"/>
        <v>36.507009345794394</v>
      </c>
      <c r="BP412" t="s">
        <v>33</v>
      </c>
      <c r="BQ412" t="s">
        <v>33</v>
      </c>
      <c r="BR412" t="s">
        <v>33</v>
      </c>
      <c r="BS412" t="s">
        <v>33</v>
      </c>
      <c r="BT412" t="s">
        <v>32</v>
      </c>
      <c r="BU412" t="s">
        <v>661</v>
      </c>
      <c r="BV412">
        <v>2013</v>
      </c>
      <c r="BW412" t="s">
        <v>662</v>
      </c>
      <c r="BX412" s="13" t="s">
        <v>663</v>
      </c>
      <c r="BY412" s="13" t="s">
        <v>684</v>
      </c>
      <c r="CA412" t="str">
        <f t="shared" si="212"/>
        <v>high acid</v>
      </c>
    </row>
    <row r="413" spans="1:79">
      <c r="A413" t="s">
        <v>595</v>
      </c>
      <c r="B413" t="s">
        <v>565</v>
      </c>
      <c r="C413" t="s">
        <v>564</v>
      </c>
      <c r="D413" t="s">
        <v>609</v>
      </c>
      <c r="E413" t="s">
        <v>77</v>
      </c>
      <c r="F413" t="s">
        <v>32</v>
      </c>
      <c r="G413">
        <v>30</v>
      </c>
      <c r="H413">
        <v>38.200000000000003</v>
      </c>
      <c r="I413" t="b">
        <v>0</v>
      </c>
      <c r="J413" t="s">
        <v>33</v>
      </c>
      <c r="K413" t="s">
        <v>33</v>
      </c>
      <c r="L413">
        <v>24</v>
      </c>
      <c r="M413" s="4">
        <v>120</v>
      </c>
      <c r="N413" t="e">
        <f>(#REF!*Y413)/(T413*X413*O413)</f>
        <v>#REF!</v>
      </c>
      <c r="O413">
        <v>5</v>
      </c>
      <c r="P413" t="s">
        <v>33</v>
      </c>
      <c r="Q413" s="1">
        <f t="shared" si="219"/>
        <v>6.25E-2</v>
      </c>
      <c r="R413" t="s">
        <v>183</v>
      </c>
      <c r="S413" t="s">
        <v>612</v>
      </c>
      <c r="T413">
        <v>4</v>
      </c>
      <c r="U413">
        <v>3</v>
      </c>
      <c r="V413">
        <v>2.6</v>
      </c>
      <c r="W413" t="s">
        <v>33</v>
      </c>
      <c r="X413">
        <f>IFERROR(((PI())*(((V413*10^-1)/2)^2)*(U413*10^-1)), "NA")</f>
        <v>1.5927874753700257E-2</v>
      </c>
      <c r="Y413">
        <v>0.126667</v>
      </c>
      <c r="Z413" s="3">
        <f t="shared" si="213"/>
        <v>0.25484599605920411</v>
      </c>
      <c r="AA413" t="s">
        <v>33</v>
      </c>
      <c r="AB413">
        <f t="shared" si="220"/>
        <v>7.5</v>
      </c>
      <c r="AC413" s="1" t="str">
        <f t="shared" si="214"/>
        <v>NA</v>
      </c>
      <c r="AE413" s="3">
        <f t="shared" si="215"/>
        <v>84.671999999999997</v>
      </c>
      <c r="AF413">
        <v>150</v>
      </c>
      <c r="AG413" s="1" t="str">
        <f t="shared" si="221"/>
        <v>NA</v>
      </c>
      <c r="AH413" s="1" t="str">
        <f t="shared" si="222"/>
        <v>NA</v>
      </c>
      <c r="AI413" s="1">
        <v>1</v>
      </c>
      <c r="AJ413" s="11" t="s">
        <v>31</v>
      </c>
      <c r="AK413">
        <v>980</v>
      </c>
      <c r="AL413" t="s">
        <v>551</v>
      </c>
      <c r="AM413" t="s">
        <v>86</v>
      </c>
      <c r="AN413" t="s">
        <v>186</v>
      </c>
      <c r="AO413" t="s">
        <v>794</v>
      </c>
      <c r="AP413">
        <v>5.98</v>
      </c>
      <c r="AQ413" t="s">
        <v>33</v>
      </c>
      <c r="AR413" t="s">
        <v>33</v>
      </c>
      <c r="AS413">
        <v>6</v>
      </c>
      <c r="AT413">
        <f t="shared" si="223"/>
        <v>3.8</v>
      </c>
      <c r="AU413" s="6">
        <v>2.2000000000000002</v>
      </c>
      <c r="AV413" t="b">
        <v>1</v>
      </c>
      <c r="AW413" t="s">
        <v>626</v>
      </c>
      <c r="AX413" t="s">
        <v>627</v>
      </c>
      <c r="AY413" t="s">
        <v>631</v>
      </c>
      <c r="AZ413" t="s">
        <v>33</v>
      </c>
      <c r="BA413" s="18" t="s">
        <v>800</v>
      </c>
      <c r="BB413" s="3" t="b">
        <v>0</v>
      </c>
      <c r="BC413" t="s">
        <v>81</v>
      </c>
      <c r="BD413">
        <v>20</v>
      </c>
      <c r="BE413" t="s">
        <v>80</v>
      </c>
      <c r="BF413">
        <v>20</v>
      </c>
      <c r="BG413" t="s">
        <v>695</v>
      </c>
      <c r="BH413" t="s">
        <v>32</v>
      </c>
      <c r="BI413" t="s">
        <v>31</v>
      </c>
      <c r="BJ413">
        <f t="shared" si="217"/>
        <v>2.2000000000000002</v>
      </c>
      <c r="BK413" s="3">
        <f t="shared" si="210"/>
        <v>0.34242268082220628</v>
      </c>
      <c r="BL413">
        <v>2</v>
      </c>
      <c r="BM413" s="3">
        <f t="shared" si="218"/>
        <v>1.5853171373491819</v>
      </c>
      <c r="BN413" t="s">
        <v>33</v>
      </c>
      <c r="BO413" s="3">
        <f t="shared" si="211"/>
        <v>38.487272727272725</v>
      </c>
      <c r="BP413" t="s">
        <v>33</v>
      </c>
      <c r="BQ413" t="s">
        <v>33</v>
      </c>
      <c r="BR413" t="s">
        <v>33</v>
      </c>
      <c r="BS413" t="s">
        <v>33</v>
      </c>
      <c r="BT413" t="s">
        <v>32</v>
      </c>
      <c r="BU413" t="s">
        <v>207</v>
      </c>
      <c r="BV413">
        <v>2014</v>
      </c>
      <c r="BW413" t="s">
        <v>208</v>
      </c>
      <c r="BX413" t="s">
        <v>78</v>
      </c>
      <c r="BY413" s="13" t="s">
        <v>683</v>
      </c>
      <c r="CA413" t="str">
        <f t="shared" si="212"/>
        <v>low acid</v>
      </c>
    </row>
    <row r="414" spans="1:79">
      <c r="A414" t="s">
        <v>590</v>
      </c>
      <c r="B414" t="s">
        <v>565</v>
      </c>
      <c r="C414" t="s">
        <v>564</v>
      </c>
      <c r="D414" t="s">
        <v>609</v>
      </c>
      <c r="E414" t="s">
        <v>77</v>
      </c>
      <c r="F414" t="s">
        <v>32</v>
      </c>
      <c r="G414">
        <v>40</v>
      </c>
      <c r="H414">
        <v>49</v>
      </c>
      <c r="I414" t="b">
        <v>0</v>
      </c>
      <c r="J414" t="s">
        <v>33</v>
      </c>
      <c r="K414" t="s">
        <v>33</v>
      </c>
      <c r="L414">
        <v>24</v>
      </c>
      <c r="M414" s="4">
        <v>120</v>
      </c>
      <c r="N414" t="e">
        <f>(#REF!*Y414)/(T414*X414*O414)</f>
        <v>#REF!</v>
      </c>
      <c r="O414">
        <v>3</v>
      </c>
      <c r="P414" t="s">
        <v>33</v>
      </c>
      <c r="Q414" s="1">
        <f t="shared" si="219"/>
        <v>9.5000000000000001E-2</v>
      </c>
      <c r="R414" t="s">
        <v>183</v>
      </c>
      <c r="S414" t="s">
        <v>612</v>
      </c>
      <c r="T414">
        <v>4</v>
      </c>
      <c r="U414">
        <v>3</v>
      </c>
      <c r="V414">
        <v>2.6</v>
      </c>
      <c r="W414">
        <v>1.5900000000000001E-2</v>
      </c>
      <c r="X414">
        <f>IFERROR(((PI())*(((V414*10^-1)/2)^2)*(U414*10^-1)), "NA")</f>
        <v>1.5927874753700257E-2</v>
      </c>
      <c r="Y414">
        <v>8.3333299999999999E-2</v>
      </c>
      <c r="Z414" s="3">
        <f t="shared" si="213"/>
        <v>0.16766183951263428</v>
      </c>
      <c r="AA414" t="s">
        <v>33</v>
      </c>
      <c r="AB414">
        <f t="shared" si="220"/>
        <v>11.4</v>
      </c>
      <c r="AC414" s="1" t="str">
        <f t="shared" si="214"/>
        <v>NA</v>
      </c>
      <c r="AE414" s="3">
        <f t="shared" si="215"/>
        <v>90.616320000000002</v>
      </c>
      <c r="AF414">
        <v>136.80000000000001</v>
      </c>
      <c r="AG414" s="1" t="str">
        <f t="shared" si="221"/>
        <v>NA</v>
      </c>
      <c r="AH414" s="1" t="str">
        <f t="shared" si="222"/>
        <v>NA</v>
      </c>
      <c r="AI414" s="1">
        <v>1</v>
      </c>
      <c r="AJ414" s="11" t="s">
        <v>31</v>
      </c>
      <c r="AK414">
        <v>1150</v>
      </c>
      <c r="AL414" t="s">
        <v>551</v>
      </c>
      <c r="AM414" t="s">
        <v>86</v>
      </c>
      <c r="AN414" t="s">
        <v>186</v>
      </c>
      <c r="AO414" t="s">
        <v>794</v>
      </c>
      <c r="AP414">
        <v>5.92</v>
      </c>
      <c r="AQ414" t="s">
        <v>33</v>
      </c>
      <c r="AR414" t="s">
        <v>33</v>
      </c>
      <c r="AS414">
        <v>6</v>
      </c>
      <c r="AT414">
        <f t="shared" si="223"/>
        <v>3.8</v>
      </c>
      <c r="AU414" s="6">
        <v>2.2000000000000002</v>
      </c>
      <c r="AV414" t="b">
        <v>1</v>
      </c>
      <c r="AW414" t="s">
        <v>626</v>
      </c>
      <c r="AX414" t="s">
        <v>627</v>
      </c>
      <c r="AY414" t="s">
        <v>631</v>
      </c>
      <c r="AZ414" t="s">
        <v>33</v>
      </c>
      <c r="BA414" s="18" t="s">
        <v>800</v>
      </c>
      <c r="BB414" s="3" t="b">
        <v>0</v>
      </c>
      <c r="BC414" t="s">
        <v>81</v>
      </c>
      <c r="BD414">
        <v>20</v>
      </c>
      <c r="BE414" t="s">
        <v>80</v>
      </c>
      <c r="BF414">
        <v>20</v>
      </c>
      <c r="BG414" t="s">
        <v>695</v>
      </c>
      <c r="BH414" t="s">
        <v>32</v>
      </c>
      <c r="BI414" t="s">
        <v>31</v>
      </c>
      <c r="BJ414">
        <f t="shared" si="217"/>
        <v>2.2000000000000002</v>
      </c>
      <c r="BK414" s="3">
        <f t="shared" si="210"/>
        <v>0.34242268082220628</v>
      </c>
      <c r="BL414">
        <v>2</v>
      </c>
      <c r="BM414" s="3">
        <f t="shared" si="218"/>
        <v>1.6147837403387149</v>
      </c>
      <c r="BN414" t="s">
        <v>33</v>
      </c>
      <c r="BO414" s="3">
        <f t="shared" si="211"/>
        <v>41.189236363636361</v>
      </c>
      <c r="BP414" t="s">
        <v>33</v>
      </c>
      <c r="BQ414" t="s">
        <v>33</v>
      </c>
      <c r="BR414" t="s">
        <v>33</v>
      </c>
      <c r="BS414" t="s">
        <v>33</v>
      </c>
      <c r="BT414" t="s">
        <v>32</v>
      </c>
      <c r="BU414" s="15" t="s">
        <v>207</v>
      </c>
      <c r="BV414">
        <v>2014</v>
      </c>
      <c r="BW414" t="s">
        <v>242</v>
      </c>
      <c r="BX414" t="s">
        <v>78</v>
      </c>
      <c r="BY414" s="13" t="s">
        <v>678</v>
      </c>
      <c r="CA414" t="str">
        <f t="shared" si="212"/>
        <v>low acid</v>
      </c>
    </row>
    <row r="415" spans="1:79">
      <c r="A415" t="s">
        <v>584</v>
      </c>
      <c r="B415" t="s">
        <v>566</v>
      </c>
      <c r="C415" t="s">
        <v>563</v>
      </c>
      <c r="D415" t="s">
        <v>607</v>
      </c>
      <c r="E415" t="s">
        <v>77</v>
      </c>
      <c r="F415" t="s">
        <v>33</v>
      </c>
      <c r="G415">
        <v>20</v>
      </c>
      <c r="H415">
        <v>35</v>
      </c>
      <c r="I415" t="b">
        <v>0</v>
      </c>
      <c r="J415">
        <v>1000</v>
      </c>
      <c r="K415">
        <v>200</v>
      </c>
      <c r="L415">
        <v>25</v>
      </c>
      <c r="M415" s="4">
        <v>1</v>
      </c>
      <c r="N415" t="e">
        <f>(#REF!*Y415)/(T415*X415*O415)</f>
        <v>#REF!</v>
      </c>
      <c r="O415">
        <v>3</v>
      </c>
      <c r="P415" t="s">
        <v>33</v>
      </c>
      <c r="Q415" s="1">
        <f t="shared" si="219"/>
        <v>100.00000000000001</v>
      </c>
      <c r="R415" t="s">
        <v>183</v>
      </c>
      <c r="S415" t="s">
        <v>33</v>
      </c>
      <c r="T415">
        <v>1</v>
      </c>
      <c r="U415">
        <v>2.5</v>
      </c>
      <c r="V415" t="s">
        <v>33</v>
      </c>
      <c r="W415">
        <v>0.50249999999999995</v>
      </c>
      <c r="X415">
        <f>W415</f>
        <v>0.50249999999999995</v>
      </c>
      <c r="Y415" t="s">
        <v>33</v>
      </c>
      <c r="Z415" s="3">
        <f t="shared" si="213"/>
        <v>5.0249999999999991E-3</v>
      </c>
      <c r="AA415" t="s">
        <v>33</v>
      </c>
      <c r="AB415">
        <f t="shared" si="220"/>
        <v>100.00000000000001</v>
      </c>
      <c r="AC415" s="1" t="str">
        <f t="shared" si="214"/>
        <v>NA</v>
      </c>
      <c r="AE415" s="3">
        <f t="shared" si="215"/>
        <v>187.50000000000003</v>
      </c>
      <c r="AF415">
        <v>300</v>
      </c>
      <c r="AG415" s="1" t="str">
        <f t="shared" si="221"/>
        <v>NA</v>
      </c>
      <c r="AH415" s="1" t="str">
        <f t="shared" si="222"/>
        <v>NA</v>
      </c>
      <c r="AI415" s="1">
        <v>1</v>
      </c>
      <c r="AJ415" s="11" t="s">
        <v>31</v>
      </c>
      <c r="AK415">
        <v>1000</v>
      </c>
      <c r="AL415" t="s">
        <v>614</v>
      </c>
      <c r="AM415" s="3" t="s">
        <v>103</v>
      </c>
      <c r="AN415" t="s">
        <v>130</v>
      </c>
      <c r="AO415" t="s">
        <v>795</v>
      </c>
      <c r="AP415">
        <v>5.5</v>
      </c>
      <c r="AQ415" t="s">
        <v>33</v>
      </c>
      <c r="AR415" t="s">
        <v>33</v>
      </c>
      <c r="AS415">
        <v>8</v>
      </c>
      <c r="AT415">
        <f t="shared" si="223"/>
        <v>3.8</v>
      </c>
      <c r="AU415" s="6">
        <v>4.2</v>
      </c>
      <c r="AV415" t="b">
        <v>1</v>
      </c>
      <c r="AW415" t="s">
        <v>617</v>
      </c>
      <c r="AX415" t="s">
        <v>33</v>
      </c>
      <c r="AY415" t="s">
        <v>623</v>
      </c>
      <c r="AZ415" t="s">
        <v>621</v>
      </c>
      <c r="BA415" s="18" t="s">
        <v>802</v>
      </c>
      <c r="BB415" s="3" t="b">
        <v>0</v>
      </c>
      <c r="BC415" t="s">
        <v>81</v>
      </c>
      <c r="BD415">
        <v>18</v>
      </c>
      <c r="BE415" t="s">
        <v>80</v>
      </c>
      <c r="BF415">
        <v>24</v>
      </c>
      <c r="BG415" t="s">
        <v>569</v>
      </c>
      <c r="BH415" t="s">
        <v>31</v>
      </c>
      <c r="BI415" t="s">
        <v>31</v>
      </c>
      <c r="BJ415">
        <f t="shared" si="217"/>
        <v>4.2</v>
      </c>
      <c r="BK415" s="3">
        <f t="shared" si="210"/>
        <v>0.62324929039790045</v>
      </c>
      <c r="BL415">
        <v>2</v>
      </c>
      <c r="BM415" s="3">
        <f t="shared" si="218"/>
        <v>1.6497519816658373</v>
      </c>
      <c r="BN415" t="s">
        <v>33</v>
      </c>
      <c r="BO415" s="3">
        <f t="shared" si="211"/>
        <v>44.642857142857146</v>
      </c>
      <c r="BP415" t="s">
        <v>33</v>
      </c>
      <c r="BQ415" t="s">
        <v>33</v>
      </c>
      <c r="BR415" t="s">
        <v>33</v>
      </c>
      <c r="BS415" t="s">
        <v>33</v>
      </c>
      <c r="BT415" t="s">
        <v>31</v>
      </c>
      <c r="BU415" t="s">
        <v>255</v>
      </c>
      <c r="BV415">
        <v>2010</v>
      </c>
      <c r="BW415" t="s">
        <v>651</v>
      </c>
      <c r="BX415" t="s">
        <v>78</v>
      </c>
      <c r="BY415" s="13" t="s">
        <v>674</v>
      </c>
      <c r="CA415" t="str">
        <f t="shared" si="212"/>
        <v>low acid</v>
      </c>
    </row>
    <row r="416" spans="1:79">
      <c r="A416" t="s">
        <v>584</v>
      </c>
      <c r="B416" t="s">
        <v>566</v>
      </c>
      <c r="C416" t="s">
        <v>563</v>
      </c>
      <c r="D416" t="s">
        <v>607</v>
      </c>
      <c r="E416" t="s">
        <v>77</v>
      </c>
      <c r="F416" t="s">
        <v>33</v>
      </c>
      <c r="G416">
        <v>20</v>
      </c>
      <c r="H416">
        <v>35</v>
      </c>
      <c r="I416" t="b">
        <v>0</v>
      </c>
      <c r="J416">
        <v>1000</v>
      </c>
      <c r="K416">
        <v>200</v>
      </c>
      <c r="L416">
        <v>25</v>
      </c>
      <c r="M416" s="4">
        <v>1</v>
      </c>
      <c r="N416" t="e">
        <f>(#REF!*Y416)/(T416*X416*O416)</f>
        <v>#REF!</v>
      </c>
      <c r="O416">
        <v>3</v>
      </c>
      <c r="P416" t="s">
        <v>33</v>
      </c>
      <c r="Q416" s="1">
        <f t="shared" si="219"/>
        <v>50.000000000000007</v>
      </c>
      <c r="R416" t="s">
        <v>183</v>
      </c>
      <c r="S416" t="s">
        <v>33</v>
      </c>
      <c r="T416">
        <v>1</v>
      </c>
      <c r="U416">
        <v>2.5</v>
      </c>
      <c r="V416" t="s">
        <v>33</v>
      </c>
      <c r="W416">
        <v>0.50249999999999995</v>
      </c>
      <c r="X416">
        <f>W416</f>
        <v>0.50249999999999995</v>
      </c>
      <c r="Y416" t="s">
        <v>33</v>
      </c>
      <c r="Z416" s="3">
        <f t="shared" si="213"/>
        <v>1.0049999999999998E-2</v>
      </c>
      <c r="AA416" t="s">
        <v>33</v>
      </c>
      <c r="AB416">
        <f t="shared" si="220"/>
        <v>50.000000000000007</v>
      </c>
      <c r="AC416" s="1" t="str">
        <f t="shared" si="214"/>
        <v>NA</v>
      </c>
      <c r="AE416" s="3">
        <f t="shared" si="215"/>
        <v>93.750000000000014</v>
      </c>
      <c r="AF416">
        <v>150</v>
      </c>
      <c r="AG416" s="1" t="str">
        <f t="shared" si="221"/>
        <v>NA</v>
      </c>
      <c r="AH416" s="1" t="str">
        <f t="shared" si="222"/>
        <v>NA</v>
      </c>
      <c r="AI416" s="1">
        <v>1</v>
      </c>
      <c r="AJ416" s="11" t="s">
        <v>31</v>
      </c>
      <c r="AK416">
        <v>1000</v>
      </c>
      <c r="AL416" t="s">
        <v>614</v>
      </c>
      <c r="AM416" s="3" t="s">
        <v>103</v>
      </c>
      <c r="AN416" t="s">
        <v>130</v>
      </c>
      <c r="AO416" t="s">
        <v>795</v>
      </c>
      <c r="AP416">
        <v>5.5</v>
      </c>
      <c r="AQ416" t="s">
        <v>33</v>
      </c>
      <c r="AR416" t="s">
        <v>33</v>
      </c>
      <c r="AS416">
        <v>8</v>
      </c>
      <c r="AT416">
        <f t="shared" si="223"/>
        <v>3.8</v>
      </c>
      <c r="AU416" s="6">
        <v>4.2</v>
      </c>
      <c r="AV416" t="b">
        <v>1</v>
      </c>
      <c r="AW416" t="s">
        <v>617</v>
      </c>
      <c r="AX416" t="s">
        <v>33</v>
      </c>
      <c r="AY416" t="s">
        <v>623</v>
      </c>
      <c r="AZ416" t="s">
        <v>621</v>
      </c>
      <c r="BA416" s="18" t="s">
        <v>802</v>
      </c>
      <c r="BB416" s="3" t="b">
        <v>0</v>
      </c>
      <c r="BC416" t="s">
        <v>81</v>
      </c>
      <c r="BD416">
        <v>18</v>
      </c>
      <c r="BE416" t="s">
        <v>80</v>
      </c>
      <c r="BF416">
        <v>24</v>
      </c>
      <c r="BG416" t="s">
        <v>642</v>
      </c>
      <c r="BH416" t="s">
        <v>32</v>
      </c>
      <c r="BI416" t="s">
        <v>31</v>
      </c>
      <c r="BJ416">
        <f t="shared" si="217"/>
        <v>4.2</v>
      </c>
      <c r="BK416" s="3">
        <f t="shared" si="210"/>
        <v>0.62324929039790045</v>
      </c>
      <c r="BL416">
        <v>2</v>
      </c>
      <c r="BM416" s="3">
        <f t="shared" si="218"/>
        <v>1.348721986001856</v>
      </c>
      <c r="BN416" t="s">
        <v>33</v>
      </c>
      <c r="BO416" s="3">
        <f t="shared" si="211"/>
        <v>22.321428571428573</v>
      </c>
      <c r="BP416" t="s">
        <v>33</v>
      </c>
      <c r="BQ416" t="s">
        <v>33</v>
      </c>
      <c r="BR416" t="s">
        <v>33</v>
      </c>
      <c r="BS416" t="s">
        <v>33</v>
      </c>
      <c r="BT416" t="s">
        <v>31</v>
      </c>
      <c r="BU416" t="s">
        <v>255</v>
      </c>
      <c r="BV416">
        <v>2010</v>
      </c>
      <c r="BW416" t="s">
        <v>651</v>
      </c>
      <c r="BX416" t="s">
        <v>78</v>
      </c>
      <c r="BY416" s="13" t="s">
        <v>674</v>
      </c>
      <c r="CA416" t="str">
        <f t="shared" si="212"/>
        <v>low acid</v>
      </c>
    </row>
    <row r="417" spans="1:79">
      <c r="A417" t="s">
        <v>176</v>
      </c>
      <c r="B417" t="s">
        <v>565</v>
      </c>
      <c r="C417" t="s">
        <v>563</v>
      </c>
      <c r="D417" t="s">
        <v>118</v>
      </c>
      <c r="E417" t="s">
        <v>77</v>
      </c>
      <c r="F417" t="s">
        <v>32</v>
      </c>
      <c r="G417">
        <v>22</v>
      </c>
      <c r="H417">
        <v>35</v>
      </c>
      <c r="I417" t="b">
        <v>0</v>
      </c>
      <c r="J417" t="s">
        <v>33</v>
      </c>
      <c r="K417" t="s">
        <v>33</v>
      </c>
      <c r="L417">
        <v>20</v>
      </c>
      <c r="M417" s="4">
        <v>1000</v>
      </c>
      <c r="N417" s="3">
        <f>IFERROR(AF417/((T417*X417/Y417)*O417*AI417),"NA")</f>
        <v>1000.1191061872564</v>
      </c>
      <c r="O417">
        <v>3</v>
      </c>
      <c r="P417" t="s">
        <v>33</v>
      </c>
      <c r="Q417" s="8">
        <f t="shared" si="219"/>
        <v>1.2133333333333333E-2</v>
      </c>
      <c r="R417" t="s">
        <v>183</v>
      </c>
      <c r="S417" t="s">
        <v>613</v>
      </c>
      <c r="T417" s="11">
        <v>4</v>
      </c>
      <c r="U417">
        <v>2.92</v>
      </c>
      <c r="V417">
        <v>2.2999999999999998</v>
      </c>
      <c r="W417" t="s">
        <v>33</v>
      </c>
      <c r="X417" s="8">
        <f t="shared" ref="X417:X426" si="224">IFERROR(((PI())*(((V417*10^-1)/2)^2)*(U417*10^-1)), "NA")</f>
        <v>1.2131888350367701E-2</v>
      </c>
      <c r="Y417">
        <v>1</v>
      </c>
      <c r="Z417" s="3">
        <f t="shared" si="213"/>
        <v>0.99988090799733798</v>
      </c>
      <c r="AA417">
        <v>12</v>
      </c>
      <c r="AB417" s="6">
        <f t="shared" si="220"/>
        <v>12.133333333333333</v>
      </c>
      <c r="AC417" t="str">
        <f t="shared" si="214"/>
        <v>NA</v>
      </c>
      <c r="AD417" s="4">
        <f>IFERROR(AB417*T417*AI417, "NA")</f>
        <v>48.533333333333331</v>
      </c>
      <c r="AE417" s="3">
        <f t="shared" si="215"/>
        <v>116.47999999999999</v>
      </c>
      <c r="AF417">
        <v>145.6</v>
      </c>
      <c r="AG417" t="str">
        <f>IFERROR((M417*O417*P417), "NA")</f>
        <v>NA</v>
      </c>
      <c r="AH417" t="str">
        <f>IFERROR((AG417*T417*AI417), "NA")</f>
        <v>NA</v>
      </c>
      <c r="AI417" s="11">
        <v>1</v>
      </c>
      <c r="AJ417" t="s">
        <v>31</v>
      </c>
      <c r="AK417">
        <v>2000</v>
      </c>
      <c r="AL417" t="s">
        <v>114</v>
      </c>
      <c r="AM417" t="s">
        <v>103</v>
      </c>
      <c r="AN417" t="s">
        <v>130</v>
      </c>
      <c r="AO417" t="s">
        <v>795</v>
      </c>
      <c r="AP417" t="s">
        <v>33</v>
      </c>
      <c r="AQ417" t="s">
        <v>33</v>
      </c>
      <c r="AR417" t="s">
        <v>33</v>
      </c>
      <c r="AS417" s="6">
        <f>LOG(2*10^8)</f>
        <v>8.3010299956639813</v>
      </c>
      <c r="AT417" s="3">
        <f>IFERROR(AS417-AU417,"NA")</f>
        <v>3.8010299956639813</v>
      </c>
      <c r="AU417" s="6">
        <v>4.5</v>
      </c>
      <c r="AV417" t="b">
        <v>1</v>
      </c>
      <c r="AW417" t="s">
        <v>29</v>
      </c>
      <c r="AX417" t="s">
        <v>30</v>
      </c>
      <c r="AY417" t="s">
        <v>33</v>
      </c>
      <c r="AZ417" t="s">
        <v>134</v>
      </c>
      <c r="BA417" s="18" t="s">
        <v>798</v>
      </c>
      <c r="BB417" t="b">
        <v>0</v>
      </c>
      <c r="BC417" t="s">
        <v>81</v>
      </c>
      <c r="BD417" t="s">
        <v>33</v>
      </c>
      <c r="BE417" t="s">
        <v>33</v>
      </c>
      <c r="BF417" s="11">
        <v>48</v>
      </c>
      <c r="BG417" t="s">
        <v>569</v>
      </c>
      <c r="BH417" t="s">
        <v>31</v>
      </c>
      <c r="BI417" t="s">
        <v>31</v>
      </c>
      <c r="BJ417" s="3">
        <f t="shared" si="217"/>
        <v>4.5</v>
      </c>
      <c r="BK417" s="3">
        <f t="shared" si="210"/>
        <v>0.65321251377534373</v>
      </c>
      <c r="BL417">
        <v>2</v>
      </c>
      <c r="BM417" s="3">
        <f t="shared" si="218"/>
        <v>1.4130388481936182</v>
      </c>
      <c r="BN417" t="s">
        <v>33</v>
      </c>
      <c r="BO417" s="3">
        <f t="shared" si="211"/>
        <v>25.884444444444441</v>
      </c>
      <c r="BP417" t="s">
        <v>33</v>
      </c>
      <c r="BQ417" t="s">
        <v>33</v>
      </c>
      <c r="BR417" t="s">
        <v>33</v>
      </c>
      <c r="BS417" t="s">
        <v>33</v>
      </c>
      <c r="BT417" t="s">
        <v>32</v>
      </c>
      <c r="BU417" t="s">
        <v>177</v>
      </c>
      <c r="BV417">
        <v>2001</v>
      </c>
      <c r="BW417" s="2" t="s">
        <v>178</v>
      </c>
      <c r="BX417" t="s">
        <v>78</v>
      </c>
      <c r="BY417" t="s">
        <v>33</v>
      </c>
      <c r="BZ417" t="s">
        <v>33</v>
      </c>
      <c r="CA417" t="str">
        <f t="shared" si="212"/>
        <v>low acid</v>
      </c>
    </row>
    <row r="418" spans="1:79">
      <c r="A418" t="s">
        <v>538</v>
      </c>
      <c r="B418" t="s">
        <v>565</v>
      </c>
      <c r="C418" t="s">
        <v>563</v>
      </c>
      <c r="D418" t="s">
        <v>118</v>
      </c>
      <c r="E418" t="s">
        <v>77</v>
      </c>
      <c r="F418" t="s">
        <v>32</v>
      </c>
      <c r="G418">
        <v>20</v>
      </c>
      <c r="H418">
        <v>55</v>
      </c>
      <c r="I418" t="b">
        <v>0</v>
      </c>
      <c r="J418" t="s">
        <v>33</v>
      </c>
      <c r="K418" t="s">
        <v>33</v>
      </c>
      <c r="L418">
        <v>25</v>
      </c>
      <c r="M418" s="4" t="s">
        <v>33</v>
      </c>
      <c r="N418" s="3">
        <f>IFERROR(AF418/((T418*X418/Y418)*O418*AI418),"NA")</f>
        <v>427.15959874209483</v>
      </c>
      <c r="O418">
        <v>2.5</v>
      </c>
      <c r="P418" t="s">
        <v>33</v>
      </c>
      <c r="Q418" s="8">
        <f t="shared" si="219"/>
        <v>1.2173435913211428E-2</v>
      </c>
      <c r="R418" t="s">
        <v>183</v>
      </c>
      <c r="S418" t="s">
        <v>613</v>
      </c>
      <c r="T418" s="11">
        <v>6</v>
      </c>
      <c r="U418">
        <v>2.93</v>
      </c>
      <c r="V418">
        <v>2.2999999999999998</v>
      </c>
      <c r="W418" t="s">
        <v>33</v>
      </c>
      <c r="X418" s="8">
        <f t="shared" si="224"/>
        <v>1.2173435913211428E-2</v>
      </c>
      <c r="Y418">
        <f>60/60</f>
        <v>1</v>
      </c>
      <c r="Z418" s="3">
        <f>IFERROR(X418*N418*O418*T418*AI418/AF418, "NA")</f>
        <v>1</v>
      </c>
      <c r="AA418" t="s">
        <v>33</v>
      </c>
      <c r="AB418" s="6">
        <f>IFERROR(((X418*N418)/Y418), "NA")</f>
        <v>5.2</v>
      </c>
      <c r="AC418" t="str">
        <f t="shared" si="214"/>
        <v>NA</v>
      </c>
      <c r="AD418" s="4">
        <f>IFERROR(AB418*T418*AI418, "NA")</f>
        <v>31.200000000000003</v>
      </c>
      <c r="AE418" s="3">
        <f>IFERROR(((L418^2)*N418*O418*AK418*10^-6*Q418*T418*AI418), "NA")</f>
        <v>141.86250000000001</v>
      </c>
      <c r="AF418">
        <v>78</v>
      </c>
      <c r="AG418" t="str">
        <f>IFERROR((M418*O418*P418), "NA")</f>
        <v>NA</v>
      </c>
      <c r="AH418" t="str">
        <f>IFERROR((AG418*T418*AI418), "NA")</f>
        <v>NA</v>
      </c>
      <c r="AI418" s="11">
        <v>1</v>
      </c>
      <c r="AJ418" t="s">
        <v>31</v>
      </c>
      <c r="AK418">
        <v>2910</v>
      </c>
      <c r="AL418" t="s">
        <v>543</v>
      </c>
      <c r="AM418" t="s">
        <v>86</v>
      </c>
      <c r="AN418" t="s">
        <v>205</v>
      </c>
      <c r="AO418" t="s">
        <v>789</v>
      </c>
      <c r="AP418">
        <v>4.05</v>
      </c>
      <c r="AQ418" t="s">
        <v>33</v>
      </c>
      <c r="AR418" t="s">
        <v>33</v>
      </c>
      <c r="AS418">
        <f>LOG(10^6)</f>
        <v>6</v>
      </c>
      <c r="AT418" s="3">
        <f>IFERROR(AS418-AU418,"NA")</f>
        <v>3.8050000000000002</v>
      </c>
      <c r="AU418" s="6">
        <v>2.1949999999999998</v>
      </c>
      <c r="AV418" t="b">
        <v>1</v>
      </c>
      <c r="AW418" t="s">
        <v>29</v>
      </c>
      <c r="AX418" t="s">
        <v>30</v>
      </c>
      <c r="AY418" t="s">
        <v>216</v>
      </c>
      <c r="AZ418" t="s">
        <v>33</v>
      </c>
      <c r="BA418" s="18" t="s">
        <v>798</v>
      </c>
      <c r="BB418" t="b">
        <v>0</v>
      </c>
      <c r="BC418" t="s">
        <v>81</v>
      </c>
      <c r="BD418">
        <v>4</v>
      </c>
      <c r="BE418" t="s">
        <v>159</v>
      </c>
      <c r="BF418" s="11">
        <v>24</v>
      </c>
      <c r="BG418" t="s">
        <v>572</v>
      </c>
      <c r="BH418" t="s">
        <v>31</v>
      </c>
      <c r="BI418" t="s">
        <v>31</v>
      </c>
      <c r="BJ418" s="3">
        <f t="shared" si="217"/>
        <v>2.1949999999999998</v>
      </c>
      <c r="BK418" s="3">
        <f t="shared" si="210"/>
        <v>0.34143452457814016</v>
      </c>
      <c r="BL418">
        <v>2</v>
      </c>
      <c r="BM418" s="3">
        <f t="shared" si="218"/>
        <v>1.8104330844423229</v>
      </c>
      <c r="BN418" t="s">
        <v>33</v>
      </c>
      <c r="BO418" s="3">
        <f t="shared" si="211"/>
        <v>64.629840546697054</v>
      </c>
      <c r="BP418" t="s">
        <v>33</v>
      </c>
      <c r="BQ418" t="s">
        <v>33</v>
      </c>
      <c r="BR418" t="s">
        <v>33</v>
      </c>
      <c r="BS418" t="s">
        <v>33</v>
      </c>
      <c r="BT418" t="s">
        <v>31</v>
      </c>
      <c r="BU418" t="s">
        <v>274</v>
      </c>
      <c r="BV418">
        <v>2006</v>
      </c>
      <c r="BW418" t="s">
        <v>275</v>
      </c>
      <c r="BX418" t="s">
        <v>78</v>
      </c>
      <c r="BY418" t="s">
        <v>277</v>
      </c>
      <c r="BZ418" t="s">
        <v>33</v>
      </c>
      <c r="CA418" t="str">
        <f t="shared" si="212"/>
        <v>high acid</v>
      </c>
    </row>
    <row r="419" spans="1:79">
      <c r="A419" t="s">
        <v>580</v>
      </c>
      <c r="B419" t="s">
        <v>565</v>
      </c>
      <c r="C419" t="s">
        <v>563</v>
      </c>
      <c r="D419" t="s">
        <v>118</v>
      </c>
      <c r="E419" t="s">
        <v>77</v>
      </c>
      <c r="F419" t="s">
        <v>32</v>
      </c>
      <c r="G419">
        <v>22</v>
      </c>
      <c r="H419">
        <v>40</v>
      </c>
      <c r="I419" t="b">
        <v>0</v>
      </c>
      <c r="J419">
        <v>10220</v>
      </c>
      <c r="K419">
        <v>25.36</v>
      </c>
      <c r="L419">
        <v>35</v>
      </c>
      <c r="M419" s="4">
        <v>250</v>
      </c>
      <c r="N419" t="e">
        <f>(#REF!*Y419)/(T419*X419*O419)</f>
        <v>#REF!</v>
      </c>
      <c r="O419">
        <v>4</v>
      </c>
      <c r="P419">
        <f>AVERAGE(0.0066, 0.0091)</f>
        <v>7.8499999999999993E-3</v>
      </c>
      <c r="Q419" s="1">
        <f t="shared" si="219"/>
        <v>0.25</v>
      </c>
      <c r="R419" t="s">
        <v>183</v>
      </c>
      <c r="S419" t="s">
        <v>613</v>
      </c>
      <c r="T419">
        <v>8</v>
      </c>
      <c r="U419">
        <v>2.92</v>
      </c>
      <c r="V419">
        <v>2.2999999999999998</v>
      </c>
      <c r="W419">
        <v>1.21E-2</v>
      </c>
      <c r="X419">
        <f t="shared" si="224"/>
        <v>1.2131888350367701E-2</v>
      </c>
      <c r="Y419">
        <v>1.5</v>
      </c>
      <c r="Z419" s="3">
        <f>IFERROR(X419*M419*O419*T419*AI419/AF419, "NA")</f>
        <v>4.8527553401470802E-2</v>
      </c>
      <c r="AA419" t="s">
        <v>33</v>
      </c>
      <c r="AB419">
        <f>IFERROR(((X419*M419)/Z419), "NA")</f>
        <v>62.5</v>
      </c>
      <c r="AC419" s="1">
        <f t="shared" si="214"/>
        <v>1.9624999999999999</v>
      </c>
      <c r="AE419" s="3">
        <f>IFERROR(((L419^2)*M419*O419*AK419*10^-6*Q419*T419*AI419), "NA")</f>
        <v>5341</v>
      </c>
      <c r="AF419">
        <v>2000</v>
      </c>
      <c r="AG419" s="1" t="str">
        <f>IFERROR((N419*P419*Q419), "NA")</f>
        <v>NA</v>
      </c>
      <c r="AH419" s="1" t="str">
        <f>IFERROR((AG419*U419*AI419), "NA")</f>
        <v>NA</v>
      </c>
      <c r="AI419" s="1">
        <v>1</v>
      </c>
      <c r="AJ419" s="11" t="s">
        <v>31</v>
      </c>
      <c r="AK419">
        <v>2180</v>
      </c>
      <c r="AL419" t="s">
        <v>149</v>
      </c>
      <c r="AM419" t="s">
        <v>86</v>
      </c>
      <c r="AN419" t="s">
        <v>205</v>
      </c>
      <c r="AO419" t="s">
        <v>789</v>
      </c>
      <c r="AP419">
        <v>4.46</v>
      </c>
      <c r="AQ419" t="s">
        <v>33</v>
      </c>
      <c r="AR419" t="s">
        <v>33</v>
      </c>
      <c r="AS419">
        <v>7.5</v>
      </c>
      <c r="AT419">
        <f>AS419-AU419</f>
        <v>3.81</v>
      </c>
      <c r="AU419" s="6">
        <v>3.69</v>
      </c>
      <c r="AV419" t="b">
        <v>1</v>
      </c>
      <c r="AW419" t="s">
        <v>617</v>
      </c>
      <c r="AX419" t="s">
        <v>33</v>
      </c>
      <c r="AY419" t="s">
        <v>33</v>
      </c>
      <c r="AZ419" t="s">
        <v>619</v>
      </c>
      <c r="BA419" s="18" t="s">
        <v>802</v>
      </c>
      <c r="BB419" s="3" t="b">
        <v>0</v>
      </c>
      <c r="BC419" t="s">
        <v>81</v>
      </c>
      <c r="BD419">
        <v>15</v>
      </c>
      <c r="BE419" t="s">
        <v>80</v>
      </c>
      <c r="BF419">
        <v>24</v>
      </c>
      <c r="BG419" t="s">
        <v>697</v>
      </c>
      <c r="BH419" t="s">
        <v>32</v>
      </c>
      <c r="BI419" t="s">
        <v>31</v>
      </c>
      <c r="BJ419">
        <f t="shared" si="217"/>
        <v>3.69</v>
      </c>
      <c r="BK419" s="3">
        <f t="shared" si="210"/>
        <v>0.56702636615906032</v>
      </c>
      <c r="BL419">
        <v>2</v>
      </c>
      <c r="BM419" s="3">
        <f t="shared" si="218"/>
        <v>3.160596211810077</v>
      </c>
      <c r="BN419" t="s">
        <v>33</v>
      </c>
      <c r="BO419" s="3">
        <f t="shared" si="211"/>
        <v>1447.4254742547425</v>
      </c>
      <c r="BP419" t="s">
        <v>33</v>
      </c>
      <c r="BQ419" t="s">
        <v>33</v>
      </c>
      <c r="BR419" t="s">
        <v>33</v>
      </c>
      <c r="BS419" t="s">
        <v>33</v>
      </c>
      <c r="BT419" t="s">
        <v>31</v>
      </c>
      <c r="BU419" t="s">
        <v>219</v>
      </c>
      <c r="BV419" s="14">
        <v>2008</v>
      </c>
      <c r="BW419" t="s">
        <v>257</v>
      </c>
      <c r="BX419" t="s">
        <v>78</v>
      </c>
      <c r="BY419" s="13" t="s">
        <v>670</v>
      </c>
      <c r="CA419" t="str">
        <f t="shared" si="212"/>
        <v>high acid</v>
      </c>
    </row>
    <row r="420" spans="1:79">
      <c r="A420" t="s">
        <v>332</v>
      </c>
      <c r="B420" t="s">
        <v>565</v>
      </c>
      <c r="C420" t="s">
        <v>563</v>
      </c>
      <c r="D420" t="s">
        <v>118</v>
      </c>
      <c r="E420" t="s">
        <v>77</v>
      </c>
      <c r="F420" t="s">
        <v>32</v>
      </c>
      <c r="G420">
        <v>15</v>
      </c>
      <c r="H420">
        <v>30.4</v>
      </c>
      <c r="I420" t="b">
        <v>0</v>
      </c>
      <c r="J420" t="s">
        <v>33</v>
      </c>
      <c r="K420" t="s">
        <v>33</v>
      </c>
      <c r="L420">
        <v>20</v>
      </c>
      <c r="M420" s="4">
        <v>200</v>
      </c>
      <c r="N420" s="3">
        <f>IFERROR(AF420/((T420*X420/Y420)*O420*AI420),"NA")</f>
        <v>3454.7028257350348</v>
      </c>
      <c r="O420">
        <v>5</v>
      </c>
      <c r="P420" t="s">
        <v>33</v>
      </c>
      <c r="Q420" s="8">
        <f t="shared" si="219"/>
        <v>6.2500000000000014E-2</v>
      </c>
      <c r="R420" t="s">
        <v>183</v>
      </c>
      <c r="S420" t="s">
        <v>613</v>
      </c>
      <c r="T420" s="11">
        <v>8</v>
      </c>
      <c r="U420">
        <v>2.9</v>
      </c>
      <c r="V420">
        <v>2.2999999999999998</v>
      </c>
      <c r="W420">
        <v>1.2E-2</v>
      </c>
      <c r="X420" s="8">
        <f t="shared" si="224"/>
        <v>1.204879322468025E-2</v>
      </c>
      <c r="Y420">
        <v>3.33</v>
      </c>
      <c r="Z420" s="3">
        <f>IFERROR(X420*M420*O420*T420*AI420/AF420, "NA")</f>
        <v>0.19278069159488398</v>
      </c>
      <c r="AA420" t="s">
        <v>33</v>
      </c>
      <c r="AB420" s="6">
        <f>IFERROR(((X420*M420)/Z420), "NA")</f>
        <v>12.500000000000002</v>
      </c>
      <c r="AC420" t="str">
        <f t="shared" si="214"/>
        <v>NA</v>
      </c>
      <c r="AD420" s="4">
        <f>AB420*T420*AI420</f>
        <v>100.00000000000001</v>
      </c>
      <c r="AE420" s="3">
        <f>IFERROR(((L420^2)*M420*O420*AK420*10^-6*Q420*T420*AI420), "NA")</f>
        <v>420.00000000000011</v>
      </c>
      <c r="AF420">
        <v>500</v>
      </c>
      <c r="AG420" t="str">
        <f>IFERROR((M420*O420*P420), "NA")</f>
        <v>NA</v>
      </c>
      <c r="AH420" t="str">
        <f>IFERROR((AG420*T420*AI420), "NA")</f>
        <v>NA</v>
      </c>
      <c r="AI420">
        <v>1</v>
      </c>
      <c r="AJ420" t="s">
        <v>31</v>
      </c>
      <c r="AK420">
        <v>2100</v>
      </c>
      <c r="AL420" t="s">
        <v>551</v>
      </c>
      <c r="AM420" t="s">
        <v>86</v>
      </c>
      <c r="AN420" t="s">
        <v>205</v>
      </c>
      <c r="AO420" t="s">
        <v>789</v>
      </c>
      <c r="AP420">
        <v>3.79</v>
      </c>
      <c r="AQ420">
        <v>1060</v>
      </c>
      <c r="AR420" t="s">
        <v>33</v>
      </c>
      <c r="AS420" s="6">
        <f>LOG((10^6+10^7)/2)</f>
        <v>6.7403626894942441</v>
      </c>
      <c r="AT420" s="3">
        <f>IFERROR(AS420-AU420,"NA")</f>
        <v>3.8103626894942439</v>
      </c>
      <c r="AU420" s="6">
        <v>2.93</v>
      </c>
      <c r="AV420" t="b">
        <v>1</v>
      </c>
      <c r="AW420" t="s">
        <v>172</v>
      </c>
      <c r="AX420" t="s">
        <v>173</v>
      </c>
      <c r="AY420" t="s">
        <v>333</v>
      </c>
      <c r="AZ420" t="s">
        <v>33</v>
      </c>
      <c r="BA420" s="18" t="s">
        <v>799</v>
      </c>
      <c r="BB420" t="b">
        <v>0</v>
      </c>
      <c r="BC420" t="s">
        <v>81</v>
      </c>
      <c r="BD420">
        <v>72</v>
      </c>
      <c r="BE420" t="s">
        <v>80</v>
      </c>
      <c r="BF420" s="11">
        <v>168</v>
      </c>
      <c r="BG420" t="s">
        <v>334</v>
      </c>
      <c r="BH420" t="s">
        <v>31</v>
      </c>
      <c r="BI420" t="s">
        <v>31</v>
      </c>
      <c r="BJ420" s="3">
        <f t="shared" si="217"/>
        <v>2.93</v>
      </c>
      <c r="BK420" s="3">
        <f t="shared" si="210"/>
        <v>0.4668676203541095</v>
      </c>
      <c r="BL420">
        <v>2</v>
      </c>
      <c r="BM420" s="3">
        <f t="shared" si="218"/>
        <v>2.1563816700437912</v>
      </c>
      <c r="BN420" t="s">
        <v>33</v>
      </c>
      <c r="BO420" s="3">
        <f t="shared" si="211"/>
        <v>143.34470989761095</v>
      </c>
      <c r="BP420" t="s">
        <v>33</v>
      </c>
      <c r="BQ420" t="s">
        <v>33</v>
      </c>
      <c r="BR420" t="s">
        <v>33</v>
      </c>
      <c r="BS420" t="s">
        <v>33</v>
      </c>
      <c r="BT420" t="s">
        <v>31</v>
      </c>
      <c r="BU420" t="s">
        <v>330</v>
      </c>
      <c r="BV420">
        <v>2009</v>
      </c>
      <c r="BW420" t="s">
        <v>331</v>
      </c>
      <c r="BX420" t="s">
        <v>78</v>
      </c>
      <c r="BY420" t="s">
        <v>33</v>
      </c>
      <c r="BZ420" t="s">
        <v>33</v>
      </c>
      <c r="CA420" t="str">
        <f t="shared" si="212"/>
        <v>high acid</v>
      </c>
    </row>
    <row r="421" spans="1:79">
      <c r="A421" t="s">
        <v>536</v>
      </c>
      <c r="B421" t="s">
        <v>565</v>
      </c>
      <c r="C421" t="s">
        <v>563</v>
      </c>
      <c r="D421" t="s">
        <v>118</v>
      </c>
      <c r="E421" t="s">
        <v>77</v>
      </c>
      <c r="F421" t="s">
        <v>32</v>
      </c>
      <c r="G421">
        <v>20</v>
      </c>
      <c r="H421">
        <v>55</v>
      </c>
      <c r="I421" t="b">
        <v>0</v>
      </c>
      <c r="J421" t="s">
        <v>33</v>
      </c>
      <c r="K421" t="s">
        <v>33</v>
      </c>
      <c r="L421">
        <v>22</v>
      </c>
      <c r="M421" s="4">
        <v>500</v>
      </c>
      <c r="N421" s="3">
        <f>IFERROR(AF421/((T421*X421/Y421)*O421*AI421),"NA")</f>
        <v>497.97518208793286</v>
      </c>
      <c r="O421">
        <v>2</v>
      </c>
      <c r="P421" t="s">
        <v>33</v>
      </c>
      <c r="Q421">
        <f t="shared" si="219"/>
        <v>6.0000000000000001E-3</v>
      </c>
      <c r="R421" t="s">
        <v>183</v>
      </c>
      <c r="S421" t="s">
        <v>613</v>
      </c>
      <c r="T421" s="11">
        <v>6</v>
      </c>
      <c r="U421">
        <v>2.9</v>
      </c>
      <c r="V421">
        <v>2.2999999999999998</v>
      </c>
      <c r="W421" t="s">
        <v>33</v>
      </c>
      <c r="X421" s="8">
        <f t="shared" si="224"/>
        <v>1.204879322468025E-2</v>
      </c>
      <c r="Y421">
        <v>2</v>
      </c>
      <c r="Z421" s="3">
        <f>IFERROR(X421*M421*O421*T421*AI421/AF421, "NA")</f>
        <v>2.0081322041133749</v>
      </c>
      <c r="AA421" t="s">
        <v>33</v>
      </c>
      <c r="AB421" s="6">
        <f>IFERROR(((X421*M421)/Z421), "NA")</f>
        <v>3.0000000000000004</v>
      </c>
      <c r="AC421" t="str">
        <f t="shared" ref="AC421:AC428" si="225">IFERROR(M421*P421,"NA")</f>
        <v>NA</v>
      </c>
      <c r="AD421" s="4">
        <f>IFERROR(AB421*T421*AI421, "NA")</f>
        <v>18.000000000000004</v>
      </c>
      <c r="AE421" s="3">
        <f>IFERROR(((L421^2)*M421*O421*AK421*10^-6*Q421*T421*AI421), "NA")</f>
        <v>48.787199999999999</v>
      </c>
      <c r="AF421">
        <v>36</v>
      </c>
      <c r="AG421" t="str">
        <f>IFERROR((M421*O421*P421), "NA")</f>
        <v>NA</v>
      </c>
      <c r="AH421" t="str">
        <f>IFERROR((AG421*T421*AI421), "NA")</f>
        <v>NA</v>
      </c>
      <c r="AI421" s="11">
        <v>1</v>
      </c>
      <c r="AJ421" t="s">
        <v>31</v>
      </c>
      <c r="AK421">
        <v>2800</v>
      </c>
      <c r="AL421" t="s">
        <v>265</v>
      </c>
      <c r="AM421" t="s">
        <v>86</v>
      </c>
      <c r="AN421" t="s">
        <v>205</v>
      </c>
      <c r="AO421" t="s">
        <v>789</v>
      </c>
      <c r="AP421">
        <v>3.8</v>
      </c>
      <c r="AQ421" t="s">
        <v>33</v>
      </c>
      <c r="AR421" t="s">
        <v>33</v>
      </c>
      <c r="AS421" s="6">
        <f>LOG(10^7)</f>
        <v>7</v>
      </c>
      <c r="AT421" s="3">
        <f>IFERROR(AS421-AU421,"NA")</f>
        <v>3.9020000000000001</v>
      </c>
      <c r="AU421" s="6">
        <v>3.0979999999999999</v>
      </c>
      <c r="AV421" t="b">
        <v>1</v>
      </c>
      <c r="AW421" t="s">
        <v>29</v>
      </c>
      <c r="AX421" t="s">
        <v>30</v>
      </c>
      <c r="AY421" t="s">
        <v>270</v>
      </c>
      <c r="AZ421" t="s">
        <v>33</v>
      </c>
      <c r="BA421" s="18" t="s">
        <v>798</v>
      </c>
      <c r="BB421" t="b">
        <v>0</v>
      </c>
      <c r="BC421" t="s">
        <v>81</v>
      </c>
      <c r="BD421">
        <v>48</v>
      </c>
      <c r="BE421" t="s">
        <v>80</v>
      </c>
      <c r="BF421" s="11">
        <v>24</v>
      </c>
      <c r="BG421" t="s">
        <v>568</v>
      </c>
      <c r="BH421" t="s">
        <v>31</v>
      </c>
      <c r="BI421" t="s">
        <v>31</v>
      </c>
      <c r="BJ421" s="3">
        <f t="shared" si="217"/>
        <v>3.0979999999999999</v>
      </c>
      <c r="BK421" s="3">
        <f t="shared" si="210"/>
        <v>0.49108141342318717</v>
      </c>
      <c r="BL421">
        <v>2</v>
      </c>
      <c r="BM421" s="3">
        <f t="shared" si="218"/>
        <v>1.1972244803307317</v>
      </c>
      <c r="BN421" t="s">
        <v>33</v>
      </c>
      <c r="BO421" s="3">
        <f t="shared" si="211"/>
        <v>15.747966429954809</v>
      </c>
      <c r="BP421" t="s">
        <v>33</v>
      </c>
      <c r="BQ421" t="s">
        <v>33</v>
      </c>
      <c r="BR421" t="s">
        <v>33</v>
      </c>
      <c r="BS421" t="s">
        <v>33</v>
      </c>
      <c r="BT421" t="s">
        <v>32</v>
      </c>
      <c r="BU421" t="s">
        <v>263</v>
      </c>
      <c r="BV421">
        <v>2015</v>
      </c>
      <c r="BW421" s="2" t="s">
        <v>264</v>
      </c>
      <c r="BX421" t="s">
        <v>78</v>
      </c>
      <c r="BY421" t="s">
        <v>33</v>
      </c>
      <c r="BZ421" t="s">
        <v>33</v>
      </c>
      <c r="CA421" t="str">
        <f t="shared" si="212"/>
        <v>high acid</v>
      </c>
    </row>
    <row r="422" spans="1:79">
      <c r="A422" t="s">
        <v>538</v>
      </c>
      <c r="B422" t="s">
        <v>565</v>
      </c>
      <c r="C422" t="s">
        <v>563</v>
      </c>
      <c r="D422" t="s">
        <v>118</v>
      </c>
      <c r="E422" t="s">
        <v>77</v>
      </c>
      <c r="F422" t="s">
        <v>32</v>
      </c>
      <c r="G422">
        <v>20</v>
      </c>
      <c r="H422">
        <v>55</v>
      </c>
      <c r="I422" t="b">
        <v>0</v>
      </c>
      <c r="J422" t="s">
        <v>33</v>
      </c>
      <c r="K422" t="s">
        <v>33</v>
      </c>
      <c r="L422">
        <v>25</v>
      </c>
      <c r="M422" s="4" t="s">
        <v>33</v>
      </c>
      <c r="N422" s="3">
        <f>IFERROR(AF422/((T422*X422/Y422)*O422*AI422),"NA")</f>
        <v>219.05620448312555</v>
      </c>
      <c r="O422">
        <v>2.5</v>
      </c>
      <c r="P422" t="s">
        <v>33</v>
      </c>
      <c r="Q422" s="8">
        <f t="shared" si="219"/>
        <v>1.2173435913211425E-2</v>
      </c>
      <c r="R422" t="s">
        <v>183</v>
      </c>
      <c r="S422" t="s">
        <v>613</v>
      </c>
      <c r="T422" s="11">
        <v>6</v>
      </c>
      <c r="U422">
        <v>2.93</v>
      </c>
      <c r="V422">
        <v>2.2999999999999998</v>
      </c>
      <c r="W422" t="s">
        <v>33</v>
      </c>
      <c r="X422" s="8">
        <f t="shared" si="224"/>
        <v>1.2173435913211428E-2</v>
      </c>
      <c r="Y422">
        <f>60/60</f>
        <v>1</v>
      </c>
      <c r="Z422" s="3">
        <f>IFERROR(X422*N422*O422*T422*AI422/AF422, "NA")</f>
        <v>1.0000000000000002</v>
      </c>
      <c r="AA422" t="s">
        <v>33</v>
      </c>
      <c r="AB422" s="6">
        <f>IFERROR(((X422*N422)/Y422), "NA")</f>
        <v>2.666666666666667</v>
      </c>
      <c r="AC422" t="str">
        <f t="shared" si="225"/>
        <v>NA</v>
      </c>
      <c r="AD422" s="4">
        <f>IFERROR(AB422*T422*AI422, "NA")</f>
        <v>16</v>
      </c>
      <c r="AE422" s="3">
        <f>IFERROR(((L422^2)*N422*O422*AK422*10^-6*Q422*T422*AI422), "NA")</f>
        <v>72.749999999999972</v>
      </c>
      <c r="AF422">
        <v>40</v>
      </c>
      <c r="AG422" t="str">
        <f>IFERROR((M422*O422*P422), "NA")</f>
        <v>NA</v>
      </c>
      <c r="AH422" t="str">
        <f>IFERROR((AG422*T422*AI422), "NA")</f>
        <v>NA</v>
      </c>
      <c r="AI422" s="11">
        <v>1</v>
      </c>
      <c r="AJ422" t="s">
        <v>31</v>
      </c>
      <c r="AK422">
        <v>2910</v>
      </c>
      <c r="AL422" t="s">
        <v>543</v>
      </c>
      <c r="AM422" t="s">
        <v>86</v>
      </c>
      <c r="AN422" t="s">
        <v>205</v>
      </c>
      <c r="AO422" t="s">
        <v>789</v>
      </c>
      <c r="AP422">
        <v>4.05</v>
      </c>
      <c r="AQ422" t="s">
        <v>33</v>
      </c>
      <c r="AR422" t="s">
        <v>33</v>
      </c>
      <c r="AS422">
        <f>LOG(10^6)</f>
        <v>6</v>
      </c>
      <c r="AT422" s="3">
        <f>IFERROR(AS422-AU422,"NA")</f>
        <v>3.8170000000000002</v>
      </c>
      <c r="AU422" s="6">
        <v>2.1829999999999998</v>
      </c>
      <c r="AV422" t="b">
        <v>1</v>
      </c>
      <c r="AW422" t="s">
        <v>29</v>
      </c>
      <c r="AX422" t="s">
        <v>30</v>
      </c>
      <c r="AY422" t="s">
        <v>216</v>
      </c>
      <c r="AZ422" t="s">
        <v>33</v>
      </c>
      <c r="BA422" s="18" t="s">
        <v>798</v>
      </c>
      <c r="BB422" t="b">
        <v>0</v>
      </c>
      <c r="BC422" t="s">
        <v>81</v>
      </c>
      <c r="BD422">
        <v>4</v>
      </c>
      <c r="BE422" t="s">
        <v>159</v>
      </c>
      <c r="BF422" s="11">
        <v>24</v>
      </c>
      <c r="BG422" t="s">
        <v>572</v>
      </c>
      <c r="BH422" t="s">
        <v>31</v>
      </c>
      <c r="BI422" t="s">
        <v>31</v>
      </c>
      <c r="BJ422" s="3">
        <f t="shared" si="217"/>
        <v>2.1829999999999998</v>
      </c>
      <c r="BK422" s="3">
        <f t="shared" si="210"/>
        <v>0.33905373570913916</v>
      </c>
      <c r="BL422">
        <v>2</v>
      </c>
      <c r="BM422" s="3">
        <f t="shared" si="218"/>
        <v>1.5227792619488056</v>
      </c>
      <c r="BN422" t="s">
        <v>33</v>
      </c>
      <c r="BO422" s="3">
        <f t="shared" si="211"/>
        <v>33.32569857993586</v>
      </c>
      <c r="BP422" t="s">
        <v>33</v>
      </c>
      <c r="BQ422" t="s">
        <v>33</v>
      </c>
      <c r="BR422" t="s">
        <v>33</v>
      </c>
      <c r="BS422" t="s">
        <v>33</v>
      </c>
      <c r="BT422" t="s">
        <v>31</v>
      </c>
      <c r="BU422" t="s">
        <v>274</v>
      </c>
      <c r="BV422">
        <v>2006</v>
      </c>
      <c r="BW422" t="s">
        <v>275</v>
      </c>
      <c r="BX422" t="s">
        <v>78</v>
      </c>
      <c r="BY422" t="s">
        <v>277</v>
      </c>
      <c r="BZ422" t="s">
        <v>33</v>
      </c>
      <c r="CA422" t="str">
        <f t="shared" si="212"/>
        <v>high acid</v>
      </c>
    </row>
    <row r="423" spans="1:79">
      <c r="A423" t="s">
        <v>325</v>
      </c>
      <c r="B423" t="s">
        <v>565</v>
      </c>
      <c r="C423" t="s">
        <v>563</v>
      </c>
      <c r="D423" t="s">
        <v>304</v>
      </c>
      <c r="E423" t="s">
        <v>77</v>
      </c>
      <c r="F423" t="s">
        <v>32</v>
      </c>
      <c r="G423">
        <v>30</v>
      </c>
      <c r="H423">
        <v>32.6</v>
      </c>
      <c r="I423" t="b">
        <v>1</v>
      </c>
      <c r="J423">
        <v>12600</v>
      </c>
      <c r="K423">
        <v>50.4</v>
      </c>
      <c r="L423">
        <v>33.4</v>
      </c>
      <c r="M423" s="4">
        <v>77</v>
      </c>
      <c r="N423" s="3">
        <f>IFERROR(AF423/((T423*X423/Y423)*O423*AI423),"NA")</f>
        <v>74.896443807950718</v>
      </c>
      <c r="O423">
        <v>5</v>
      </c>
      <c r="P423">
        <v>2.4E-2</v>
      </c>
      <c r="Q423" s="8">
        <f t="shared" si="219"/>
        <v>2.3376623376623381E-2</v>
      </c>
      <c r="R423" t="s">
        <v>183</v>
      </c>
      <c r="S423" t="s">
        <v>612</v>
      </c>
      <c r="T423" s="11">
        <v>1</v>
      </c>
      <c r="U423">
        <v>3.4</v>
      </c>
      <c r="V423">
        <v>3</v>
      </c>
      <c r="W423">
        <v>2.4E-2</v>
      </c>
      <c r="X423" s="8">
        <f t="shared" si="224"/>
        <v>2.4033183799961926E-2</v>
      </c>
      <c r="Y423" s="6">
        <f>1</f>
        <v>1</v>
      </c>
      <c r="Z423" s="3">
        <f t="shared" ref="Z423:Z428" si="226">IFERROR(X423*M423*O423*T423*AI423/AF423, "NA")</f>
        <v>1.02808619588726</v>
      </c>
      <c r="AA423">
        <v>1.8</v>
      </c>
      <c r="AB423" s="6">
        <f t="shared" ref="AB423:AB428" si="227">IFERROR(((X423*M423)/Z423), "NA")</f>
        <v>1.8000000000000003</v>
      </c>
      <c r="AC423">
        <f t="shared" si="225"/>
        <v>1.8480000000000001</v>
      </c>
      <c r="AD423" s="4">
        <f>IFERROR(AB423*T423*AI423, "NA")</f>
        <v>1.8000000000000003</v>
      </c>
      <c r="AE423" s="3">
        <f t="shared" ref="AE423:AE428" si="228">IFERROR(((L423^2)*M423*O423*AK423*10^-6*Q423*T423*AI423), "NA")</f>
        <v>10.040040000000001</v>
      </c>
      <c r="AF423">
        <v>9</v>
      </c>
      <c r="AG423">
        <f>IFERROR((M423*O423*P423), "NA")</f>
        <v>9.24</v>
      </c>
      <c r="AH423">
        <f>IFERROR((AG423*T423*AI423), "NA")</f>
        <v>9.24</v>
      </c>
      <c r="AI423">
        <v>1</v>
      </c>
      <c r="AJ423" t="s">
        <v>31</v>
      </c>
      <c r="AK423">
        <v>1000</v>
      </c>
      <c r="AL423" t="s">
        <v>169</v>
      </c>
      <c r="AM423" t="s">
        <v>103</v>
      </c>
      <c r="AN423" t="s">
        <v>305</v>
      </c>
      <c r="AO423" t="s">
        <v>790</v>
      </c>
      <c r="AP423">
        <v>4.5</v>
      </c>
      <c r="AQ423" t="s">
        <v>33</v>
      </c>
      <c r="AR423" t="s">
        <v>33</v>
      </c>
      <c r="AS423" s="6">
        <f>LOG(3*10^7)</f>
        <v>7.4771212547196626</v>
      </c>
      <c r="AT423" s="3">
        <f>IFERROR(AS423-AU423,"NA")</f>
        <v>3.8171212547196625</v>
      </c>
      <c r="AU423" s="6">
        <v>3.66</v>
      </c>
      <c r="AV423" t="b">
        <v>1</v>
      </c>
      <c r="AW423" t="s">
        <v>123</v>
      </c>
      <c r="AX423" t="s">
        <v>88</v>
      </c>
      <c r="AY423" t="s">
        <v>306</v>
      </c>
      <c r="AZ423" t="s">
        <v>33</v>
      </c>
      <c r="BA423" s="18" t="s">
        <v>579</v>
      </c>
      <c r="BB423" t="b">
        <v>1</v>
      </c>
      <c r="BC423" t="s">
        <v>81</v>
      </c>
      <c r="BD423">
        <v>48</v>
      </c>
      <c r="BE423" t="s">
        <v>80</v>
      </c>
      <c r="BF423" s="11">
        <v>120</v>
      </c>
      <c r="BG423" t="s">
        <v>395</v>
      </c>
      <c r="BH423" t="s">
        <v>31</v>
      </c>
      <c r="BI423" t="s">
        <v>31</v>
      </c>
      <c r="BJ423" s="3">
        <f t="shared" si="217"/>
        <v>3.66</v>
      </c>
      <c r="BK423" s="3">
        <f t="shared" si="210"/>
        <v>0.56348108539441066</v>
      </c>
      <c r="BL423">
        <v>2</v>
      </c>
      <c r="BM423" s="3">
        <f t="shared" si="218"/>
        <v>0.43825435766804322</v>
      </c>
      <c r="BN423" t="s">
        <v>33</v>
      </c>
      <c r="BO423" s="3">
        <f t="shared" si="211"/>
        <v>2.7431803278688527</v>
      </c>
      <c r="BP423" t="s">
        <v>33</v>
      </c>
      <c r="BQ423" t="s">
        <v>33</v>
      </c>
      <c r="BR423" t="s">
        <v>33</v>
      </c>
      <c r="BS423" t="s">
        <v>33</v>
      </c>
      <c r="BT423" t="s">
        <v>32</v>
      </c>
      <c r="BU423" t="s">
        <v>323</v>
      </c>
      <c r="BV423">
        <v>2003</v>
      </c>
      <c r="BW423" s="2" t="s">
        <v>322</v>
      </c>
      <c r="BX423" t="s">
        <v>78</v>
      </c>
      <c r="BY423" t="s">
        <v>33</v>
      </c>
      <c r="BZ423" t="s">
        <v>33</v>
      </c>
      <c r="CA423" t="str">
        <f t="shared" si="212"/>
        <v>high acid</v>
      </c>
    </row>
    <row r="424" spans="1:79">
      <c r="A424" t="s">
        <v>532</v>
      </c>
      <c r="B424" t="s">
        <v>565</v>
      </c>
      <c r="C424" t="s">
        <v>564</v>
      </c>
      <c r="D424" t="s">
        <v>209</v>
      </c>
      <c r="E424" t="s">
        <v>77</v>
      </c>
      <c r="F424" t="s">
        <v>32</v>
      </c>
      <c r="G424">
        <v>30</v>
      </c>
      <c r="H424">
        <v>38.200000000000003</v>
      </c>
      <c r="I424" t="b">
        <v>0</v>
      </c>
      <c r="J424" t="s">
        <v>33</v>
      </c>
      <c r="K424" t="s">
        <v>33</v>
      </c>
      <c r="L424">
        <v>12</v>
      </c>
      <c r="M424" s="4">
        <v>120</v>
      </c>
      <c r="N424" s="3">
        <f>IFERROR(AF424/((T424*X424/Y424)*O424*AI424),"NA")</f>
        <v>119.28772855013848</v>
      </c>
      <c r="O424">
        <v>3</v>
      </c>
      <c r="P424" t="s">
        <v>33</v>
      </c>
      <c r="Q424" s="9">
        <f t="shared" si="219"/>
        <v>0.125</v>
      </c>
      <c r="R424" t="s">
        <v>183</v>
      </c>
      <c r="S424" t="s">
        <v>612</v>
      </c>
      <c r="T424" s="11">
        <v>4</v>
      </c>
      <c r="U424">
        <v>3</v>
      </c>
      <c r="V424">
        <v>2.6</v>
      </c>
      <c r="W424" t="s">
        <v>33</v>
      </c>
      <c r="X424" s="8">
        <f t="shared" si="224"/>
        <v>1.5927874753700257E-2</v>
      </c>
      <c r="Y424" s="6">
        <f>7.6/60</f>
        <v>0.12666666666666665</v>
      </c>
      <c r="Z424" s="3">
        <f t="shared" si="226"/>
        <v>0.12742299802960205</v>
      </c>
      <c r="AA424" t="s">
        <v>33</v>
      </c>
      <c r="AB424" s="6">
        <f t="shared" si="227"/>
        <v>15</v>
      </c>
      <c r="AC424" t="str">
        <f t="shared" si="225"/>
        <v>NA</v>
      </c>
      <c r="AD424" s="4">
        <f>IFERROR(AB424*T424*AI424, "NA")</f>
        <v>60</v>
      </c>
      <c r="AE424" s="3">
        <f t="shared" si="228"/>
        <v>25.401599999999998</v>
      </c>
      <c r="AF424">
        <v>180</v>
      </c>
      <c r="AG424" t="str">
        <f>IFERROR((M424*O424*P424), "NA")</f>
        <v>NA</v>
      </c>
      <c r="AH424" t="str">
        <f>IFERROR((AG424*T424*AI424), "NA")</f>
        <v>NA</v>
      </c>
      <c r="AI424" s="11">
        <v>1</v>
      </c>
      <c r="AJ424" t="s">
        <v>31</v>
      </c>
      <c r="AK424">
        <v>980</v>
      </c>
      <c r="AL424" t="s">
        <v>551</v>
      </c>
      <c r="AM424" t="s">
        <v>86</v>
      </c>
      <c r="AN424" t="s">
        <v>186</v>
      </c>
      <c r="AO424" t="s">
        <v>794</v>
      </c>
      <c r="AP424">
        <v>5.98</v>
      </c>
      <c r="AQ424" t="s">
        <v>33</v>
      </c>
      <c r="AR424" t="s">
        <v>33</v>
      </c>
      <c r="AS424" s="6">
        <v>6.5</v>
      </c>
      <c r="AT424" s="3">
        <f>IFERROR(AS424-AU424,"NA")</f>
        <v>3.819</v>
      </c>
      <c r="AU424" s="6">
        <v>2.681</v>
      </c>
      <c r="AV424" t="b">
        <v>1</v>
      </c>
      <c r="AW424" t="s">
        <v>172</v>
      </c>
      <c r="AX424" t="s">
        <v>173</v>
      </c>
      <c r="AY424" t="s">
        <v>246</v>
      </c>
      <c r="AZ424" t="s">
        <v>33</v>
      </c>
      <c r="BA424" s="18" t="s">
        <v>799</v>
      </c>
      <c r="BB424" t="b">
        <v>0</v>
      </c>
      <c r="BC424" t="s">
        <v>81</v>
      </c>
      <c r="BD424">
        <v>72</v>
      </c>
      <c r="BE424" t="s">
        <v>80</v>
      </c>
      <c r="BF424" s="11">
        <v>72</v>
      </c>
      <c r="BG424" t="s">
        <v>522</v>
      </c>
      <c r="BH424" t="s">
        <v>31</v>
      </c>
      <c r="BI424" t="s">
        <v>31</v>
      </c>
      <c r="BJ424" s="3">
        <f t="shared" si="217"/>
        <v>2.681</v>
      </c>
      <c r="BK424" s="3">
        <f t="shared" si="210"/>
        <v>0.42829681398287955</v>
      </c>
      <c r="BL424">
        <v>2</v>
      </c>
      <c r="BM424" s="3">
        <f t="shared" si="218"/>
        <v>0.976564258908171</v>
      </c>
      <c r="BN424" t="s">
        <v>33</v>
      </c>
      <c r="BO424" s="3">
        <f t="shared" si="211"/>
        <v>9.4746736292428189</v>
      </c>
      <c r="BP424" t="s">
        <v>33</v>
      </c>
      <c r="BQ424" t="s">
        <v>33</v>
      </c>
      <c r="BR424" t="s">
        <v>33</v>
      </c>
      <c r="BS424" t="s">
        <v>33</v>
      </c>
      <c r="BT424" t="s">
        <v>32</v>
      </c>
      <c r="BU424" t="s">
        <v>207</v>
      </c>
      <c r="BV424">
        <v>2014</v>
      </c>
      <c r="BW424" t="s">
        <v>208</v>
      </c>
      <c r="BX424" t="s">
        <v>78</v>
      </c>
      <c r="BY424" t="s">
        <v>33</v>
      </c>
      <c r="BZ424" t="s">
        <v>33</v>
      </c>
      <c r="CA424" t="str">
        <f t="shared" si="212"/>
        <v>low acid</v>
      </c>
    </row>
    <row r="425" spans="1:79">
      <c r="A425" t="s">
        <v>602</v>
      </c>
      <c r="B425" t="s">
        <v>565</v>
      </c>
      <c r="C425" t="s">
        <v>563</v>
      </c>
      <c r="D425" t="s">
        <v>118</v>
      </c>
      <c r="E425" t="s">
        <v>77</v>
      </c>
      <c r="F425" t="s">
        <v>33</v>
      </c>
      <c r="G425">
        <v>35</v>
      </c>
      <c r="H425">
        <v>5</v>
      </c>
      <c r="I425" t="b">
        <v>1</v>
      </c>
      <c r="J425">
        <v>6739</v>
      </c>
      <c r="K425">
        <v>10.55</v>
      </c>
      <c r="L425">
        <v>23</v>
      </c>
      <c r="M425" s="4">
        <v>500</v>
      </c>
      <c r="N425" t="e">
        <f>(#REF!*Y425)/(T425*X425*O425)</f>
        <v>#REF!</v>
      </c>
      <c r="O425">
        <v>3</v>
      </c>
      <c r="P425" t="s">
        <v>33</v>
      </c>
      <c r="Q425" s="1">
        <f t="shared" si="219"/>
        <v>1.2044444444444444E-2</v>
      </c>
      <c r="R425" t="s">
        <v>183</v>
      </c>
      <c r="S425" t="s">
        <v>613</v>
      </c>
      <c r="T425">
        <v>6</v>
      </c>
      <c r="U425">
        <v>2.92</v>
      </c>
      <c r="V425">
        <v>2.2999999999999998</v>
      </c>
      <c r="W425" t="s">
        <v>33</v>
      </c>
      <c r="X425">
        <f t="shared" si="224"/>
        <v>1.2131888350367701E-2</v>
      </c>
      <c r="Y425">
        <v>1</v>
      </c>
      <c r="Z425" s="3">
        <f t="shared" si="226"/>
        <v>1.0072601028903072</v>
      </c>
      <c r="AA425" t="s">
        <v>33</v>
      </c>
      <c r="AB425">
        <f t="shared" si="227"/>
        <v>6.022222222222223</v>
      </c>
      <c r="AC425" s="1" t="str">
        <f t="shared" si="225"/>
        <v>NA</v>
      </c>
      <c r="AE425" s="3">
        <f t="shared" si="228"/>
        <v>297.03984800000001</v>
      </c>
      <c r="AF425">
        <v>108.4</v>
      </c>
      <c r="AG425" s="1" t="str">
        <f>IFERROR((N425*P425*Q425), "NA")</f>
        <v>NA</v>
      </c>
      <c r="AH425" s="1" t="str">
        <f>IFERROR((O425*Q425*R425), "NA")</f>
        <v>NA</v>
      </c>
      <c r="AI425" s="1">
        <v>1</v>
      </c>
      <c r="AJ425" s="11" t="s">
        <v>31</v>
      </c>
      <c r="AK425">
        <v>5180</v>
      </c>
      <c r="AL425" t="s">
        <v>265</v>
      </c>
      <c r="AM425" t="s">
        <v>86</v>
      </c>
      <c r="AN425" t="s">
        <v>205</v>
      </c>
      <c r="AO425" t="s">
        <v>789</v>
      </c>
      <c r="AP425">
        <v>3.27</v>
      </c>
      <c r="AQ425" t="s">
        <v>33</v>
      </c>
      <c r="AR425" t="s">
        <v>33</v>
      </c>
      <c r="AS425">
        <v>6.5</v>
      </c>
      <c r="AT425">
        <v>3.82</v>
      </c>
      <c r="AU425" s="6">
        <f>AS425-AT425</f>
        <v>2.68</v>
      </c>
      <c r="AV425" t="b">
        <v>1</v>
      </c>
      <c r="AW425" t="s">
        <v>626</v>
      </c>
      <c r="AX425" t="s">
        <v>627</v>
      </c>
      <c r="AY425">
        <v>95047</v>
      </c>
      <c r="AZ425" t="s">
        <v>33</v>
      </c>
      <c r="BA425" s="18" t="s">
        <v>800</v>
      </c>
      <c r="BB425" s="3" t="b">
        <v>0</v>
      </c>
      <c r="BC425" t="s">
        <v>81</v>
      </c>
      <c r="BD425">
        <v>24</v>
      </c>
      <c r="BE425" t="s">
        <v>80</v>
      </c>
      <c r="BF425">
        <v>48</v>
      </c>
      <c r="BG425" t="s">
        <v>697</v>
      </c>
      <c r="BH425" t="s">
        <v>32</v>
      </c>
      <c r="BI425" t="s">
        <v>31</v>
      </c>
      <c r="BJ425" s="3">
        <f t="shared" si="217"/>
        <v>2.68</v>
      </c>
      <c r="BK425" s="3">
        <f t="shared" si="210"/>
        <v>0.42813479402878885</v>
      </c>
      <c r="BL425">
        <v>2</v>
      </c>
      <c r="BM425" s="3">
        <f t="shared" si="218"/>
        <v>2.0446799199539982</v>
      </c>
      <c r="BN425" t="s">
        <v>33</v>
      </c>
      <c r="BO425" s="3">
        <f t="shared" si="211"/>
        <v>110.83576417910447</v>
      </c>
      <c r="BP425" t="s">
        <v>33</v>
      </c>
      <c r="BQ425" t="s">
        <v>33</v>
      </c>
      <c r="BR425" t="s">
        <v>33</v>
      </c>
      <c r="BS425" t="s">
        <v>33</v>
      </c>
      <c r="BT425" t="s">
        <v>31</v>
      </c>
      <c r="BU425" s="13" t="s">
        <v>163</v>
      </c>
      <c r="BV425" s="14">
        <v>2017</v>
      </c>
      <c r="BW425" t="s">
        <v>266</v>
      </c>
      <c r="BX425" t="s">
        <v>78</v>
      </c>
      <c r="BY425" s="13" t="s">
        <v>690</v>
      </c>
      <c r="CA425" t="str">
        <f t="shared" si="212"/>
        <v>high acid</v>
      </c>
    </row>
    <row r="426" spans="1:79">
      <c r="A426" t="s">
        <v>593</v>
      </c>
      <c r="B426" t="s">
        <v>565</v>
      </c>
      <c r="C426" t="s">
        <v>563</v>
      </c>
      <c r="D426" t="s">
        <v>118</v>
      </c>
      <c r="E426" t="s">
        <v>77</v>
      </c>
      <c r="F426" t="s">
        <v>32</v>
      </c>
      <c r="G426" t="s">
        <v>33</v>
      </c>
      <c r="H426">
        <v>35</v>
      </c>
      <c r="I426" t="b">
        <v>0</v>
      </c>
      <c r="J426" t="s">
        <v>33</v>
      </c>
      <c r="K426" t="s">
        <v>33</v>
      </c>
      <c r="L426">
        <v>30</v>
      </c>
      <c r="M426" s="4">
        <v>400</v>
      </c>
      <c r="N426" t="e">
        <f>(#REF!*Y426)/(T426*X426*O426)</f>
        <v>#REF!</v>
      </c>
      <c r="O426">
        <v>2</v>
      </c>
      <c r="P426" t="s">
        <v>33</v>
      </c>
      <c r="Q426" s="1">
        <f t="shared" si="219"/>
        <v>0.11395833333333333</v>
      </c>
      <c r="R426" t="s">
        <v>183</v>
      </c>
      <c r="S426" t="s">
        <v>613</v>
      </c>
      <c r="T426">
        <v>6</v>
      </c>
      <c r="U426">
        <v>2.92</v>
      </c>
      <c r="V426">
        <v>2.2999999999999998</v>
      </c>
      <c r="W426" t="s">
        <v>33</v>
      </c>
      <c r="X426">
        <f t="shared" si="224"/>
        <v>1.2131888350367701E-2</v>
      </c>
      <c r="Y426">
        <v>1</v>
      </c>
      <c r="Z426" s="3">
        <f t="shared" si="226"/>
        <v>0.10645898369609683</v>
      </c>
      <c r="AA426" t="s">
        <v>33</v>
      </c>
      <c r="AB426">
        <f t="shared" si="227"/>
        <v>45.583333333333336</v>
      </c>
      <c r="AC426" s="1" t="str">
        <f t="shared" si="225"/>
        <v>NA</v>
      </c>
      <c r="AE426" s="3">
        <f t="shared" si="228"/>
        <v>1033.83</v>
      </c>
      <c r="AF426">
        <v>547</v>
      </c>
      <c r="AG426" s="1" t="str">
        <f>IFERROR((N426*P426*Q426), "NA")</f>
        <v>NA</v>
      </c>
      <c r="AH426" s="1" t="str">
        <f>IFERROR((AG426*U426*AI426), "NA")</f>
        <v>NA</v>
      </c>
      <c r="AI426">
        <v>1</v>
      </c>
      <c r="AJ426" s="11" t="s">
        <v>31</v>
      </c>
      <c r="AK426">
        <v>2100</v>
      </c>
      <c r="AL426" t="s">
        <v>693</v>
      </c>
      <c r="AM426" t="s">
        <v>530</v>
      </c>
      <c r="AN426" t="s">
        <v>186</v>
      </c>
      <c r="AO426" t="s">
        <v>796</v>
      </c>
      <c r="AP426">
        <v>7.21</v>
      </c>
      <c r="AQ426" t="s">
        <v>33</v>
      </c>
      <c r="AR426" t="s">
        <v>33</v>
      </c>
      <c r="AS426">
        <v>6.5</v>
      </c>
      <c r="AT426">
        <f>AS426-AU426</f>
        <v>3.82</v>
      </c>
      <c r="AU426" s="6">
        <v>2.68</v>
      </c>
      <c r="AV426" t="b">
        <v>1</v>
      </c>
      <c r="AW426" t="s">
        <v>626</v>
      </c>
      <c r="AX426" t="s">
        <v>627</v>
      </c>
      <c r="AY426" t="s">
        <v>625</v>
      </c>
      <c r="AZ426" t="s">
        <v>33</v>
      </c>
      <c r="BA426" s="18" t="s">
        <v>800</v>
      </c>
      <c r="BB426" s="3" t="b">
        <v>0</v>
      </c>
      <c r="BC426" t="s">
        <v>81</v>
      </c>
      <c r="BD426">
        <f>AVERAGE(14, 16)</f>
        <v>15</v>
      </c>
      <c r="BE426" t="s">
        <v>80</v>
      </c>
      <c r="BF426">
        <v>48</v>
      </c>
      <c r="BG426" t="s">
        <v>568</v>
      </c>
      <c r="BH426" t="s">
        <v>31</v>
      </c>
      <c r="BI426" t="s">
        <v>31</v>
      </c>
      <c r="BJ426">
        <f t="shared" si="217"/>
        <v>2.68</v>
      </c>
      <c r="BK426" s="3">
        <f t="shared" si="210"/>
        <v>0.42813479402878885</v>
      </c>
      <c r="BL426">
        <v>2</v>
      </c>
      <c r="BM426" s="3">
        <f t="shared" si="218"/>
        <v>2.5863143364778862</v>
      </c>
      <c r="BN426" t="s">
        <v>33</v>
      </c>
      <c r="BO426" s="3">
        <f t="shared" si="211"/>
        <v>385.75746268656712</v>
      </c>
      <c r="BP426" t="s">
        <v>33</v>
      </c>
      <c r="BQ426" t="s">
        <v>33</v>
      </c>
      <c r="BR426" t="s">
        <v>33</v>
      </c>
      <c r="BS426" t="s">
        <v>33</v>
      </c>
      <c r="BT426" t="s">
        <v>31</v>
      </c>
      <c r="BU426" s="15" t="s">
        <v>217</v>
      </c>
      <c r="BV426">
        <v>2012</v>
      </c>
      <c r="BW426" t="s">
        <v>660</v>
      </c>
      <c r="BX426" t="s">
        <v>78</v>
      </c>
      <c r="BY426" s="13" t="s">
        <v>681</v>
      </c>
      <c r="CA426" t="str">
        <f t="shared" si="212"/>
        <v>low acid</v>
      </c>
    </row>
    <row r="427" spans="1:79">
      <c r="A427" t="s">
        <v>589</v>
      </c>
      <c r="B427" t="s">
        <v>566</v>
      </c>
      <c r="C427" t="s">
        <v>563</v>
      </c>
      <c r="D427" t="s">
        <v>33</v>
      </c>
      <c r="E427" t="s">
        <v>77</v>
      </c>
      <c r="F427" t="s">
        <v>33</v>
      </c>
      <c r="G427" t="s">
        <v>33</v>
      </c>
      <c r="H427">
        <v>35</v>
      </c>
      <c r="I427" t="b">
        <v>0</v>
      </c>
      <c r="J427" t="s">
        <v>33</v>
      </c>
      <c r="K427" t="s">
        <v>33</v>
      </c>
      <c r="L427">
        <v>19</v>
      </c>
      <c r="M427" s="4">
        <v>1</v>
      </c>
      <c r="N427" t="e">
        <f>(#REF!*Y427)/(T427*X427*O427)</f>
        <v>#REF!</v>
      </c>
      <c r="O427">
        <v>2</v>
      </c>
      <c r="P427" t="s">
        <v>33</v>
      </c>
      <c r="Q427" s="1">
        <f t="shared" si="219"/>
        <v>700.5</v>
      </c>
      <c r="R427" t="s">
        <v>183</v>
      </c>
      <c r="S427" t="s">
        <v>613</v>
      </c>
      <c r="T427">
        <v>1</v>
      </c>
      <c r="U427">
        <v>2.5</v>
      </c>
      <c r="V427" t="s">
        <v>33</v>
      </c>
      <c r="W427">
        <v>0.50249999999999995</v>
      </c>
      <c r="X427">
        <f>W427</f>
        <v>0.50249999999999995</v>
      </c>
      <c r="Y427" t="s">
        <v>33</v>
      </c>
      <c r="Z427" s="3">
        <f t="shared" si="226"/>
        <v>7.1734475374732331E-4</v>
      </c>
      <c r="AA427" t="s">
        <v>33</v>
      </c>
      <c r="AB427">
        <f t="shared" si="227"/>
        <v>700.5</v>
      </c>
      <c r="AC427" s="1" t="str">
        <f t="shared" si="225"/>
        <v>NA</v>
      </c>
      <c r="AE427" s="3">
        <f t="shared" si="228"/>
        <v>1011.5219999999999</v>
      </c>
      <c r="AF427">
        <v>1401</v>
      </c>
      <c r="AG427" s="1" t="str">
        <f>IFERROR((N427*P427*Q427), "NA")</f>
        <v>NA</v>
      </c>
      <c r="AH427" s="1" t="str">
        <f>IFERROR((AG427*U427*AI427), "NA")</f>
        <v>NA</v>
      </c>
      <c r="AI427" s="1">
        <v>1</v>
      </c>
      <c r="AJ427" s="11" t="s">
        <v>31</v>
      </c>
      <c r="AK427">
        <v>2000</v>
      </c>
      <c r="AL427" t="s">
        <v>616</v>
      </c>
      <c r="AM427" s="3" t="s">
        <v>103</v>
      </c>
      <c r="AN427" t="s">
        <v>130</v>
      </c>
      <c r="AO427" t="s">
        <v>795</v>
      </c>
      <c r="AP427">
        <v>7</v>
      </c>
      <c r="AQ427" t="s">
        <v>33</v>
      </c>
      <c r="AR427" t="s">
        <v>33</v>
      </c>
      <c r="AS427">
        <v>9</v>
      </c>
      <c r="AT427">
        <f>AS427-AU427</f>
        <v>3.8200000000000003</v>
      </c>
      <c r="AU427" s="6">
        <v>5.18</v>
      </c>
      <c r="AV427" t="b">
        <v>1</v>
      </c>
      <c r="AW427" t="s">
        <v>617</v>
      </c>
      <c r="AX427" t="s">
        <v>33</v>
      </c>
      <c r="AY427" t="s">
        <v>629</v>
      </c>
      <c r="AZ427" t="s">
        <v>630</v>
      </c>
      <c r="BA427" s="18" t="s">
        <v>802</v>
      </c>
      <c r="BB427" s="3" t="b">
        <v>0</v>
      </c>
      <c r="BC427" t="s">
        <v>81</v>
      </c>
      <c r="BD427">
        <v>24</v>
      </c>
      <c r="BE427" t="s">
        <v>80</v>
      </c>
      <c r="BF427">
        <v>24</v>
      </c>
      <c r="BG427" t="s">
        <v>644</v>
      </c>
      <c r="BH427" t="s">
        <v>31</v>
      </c>
      <c r="BI427" t="s">
        <v>32</v>
      </c>
      <c r="BJ427">
        <f t="shared" si="217"/>
        <v>5.18</v>
      </c>
      <c r="BK427" s="3">
        <f t="shared" si="210"/>
        <v>0.71432975974523305</v>
      </c>
      <c r="BL427">
        <v>2</v>
      </c>
      <c r="BM427" s="3">
        <f t="shared" si="218"/>
        <v>2.2906455731101807</v>
      </c>
      <c r="BN427" t="s">
        <v>33</v>
      </c>
      <c r="BO427" s="3">
        <f t="shared" si="211"/>
        <v>195.27451737451736</v>
      </c>
      <c r="BP427" t="s">
        <v>33</v>
      </c>
      <c r="BQ427" t="s">
        <v>33</v>
      </c>
      <c r="BR427" t="s">
        <v>33</v>
      </c>
      <c r="BS427" t="s">
        <v>33</v>
      </c>
      <c r="BT427" t="s">
        <v>31</v>
      </c>
      <c r="BU427" s="15" t="s">
        <v>655</v>
      </c>
      <c r="BV427">
        <v>2003</v>
      </c>
      <c r="BW427" t="s">
        <v>656</v>
      </c>
      <c r="BX427" t="s">
        <v>78</v>
      </c>
      <c r="BY427" s="13" t="s">
        <v>677</v>
      </c>
      <c r="CA427" t="str">
        <f t="shared" si="212"/>
        <v>low acid</v>
      </c>
    </row>
    <row r="428" spans="1:79">
      <c r="A428" t="s">
        <v>220</v>
      </c>
      <c r="B428" t="s">
        <v>565</v>
      </c>
      <c r="C428" t="s">
        <v>563</v>
      </c>
      <c r="D428" t="s">
        <v>118</v>
      </c>
      <c r="E428" t="s">
        <v>77</v>
      </c>
      <c r="F428" t="s">
        <v>32</v>
      </c>
      <c r="G428">
        <v>5</v>
      </c>
      <c r="H428">
        <v>39.1</v>
      </c>
      <c r="I428" t="b">
        <v>0</v>
      </c>
      <c r="J428" t="s">
        <v>33</v>
      </c>
      <c r="K428" t="s">
        <v>33</v>
      </c>
      <c r="L428">
        <v>35</v>
      </c>
      <c r="M428" s="4">
        <v>250</v>
      </c>
      <c r="N428" s="3">
        <f>IFERROR(AF428/((T428*X428/Y428)*O428*AI428),"NA")</f>
        <v>5366.3671133845755</v>
      </c>
      <c r="O428">
        <v>4</v>
      </c>
      <c r="P428" t="s">
        <v>33</v>
      </c>
      <c r="Q428">
        <f t="shared" si="219"/>
        <v>0.15625</v>
      </c>
      <c r="R428" t="s">
        <v>183</v>
      </c>
      <c r="S428" t="s">
        <v>613</v>
      </c>
      <c r="T428" s="11">
        <v>8</v>
      </c>
      <c r="U428">
        <v>2.92</v>
      </c>
      <c r="V428">
        <v>2.2999999999999998</v>
      </c>
      <c r="W428">
        <v>1.21E-2</v>
      </c>
      <c r="X428" s="8">
        <f t="shared" ref="X428:X433" si="229">IFERROR(((PI())*(((V428*10^-1)/2)^2)*(U428*10^-1)), "NA")</f>
        <v>1.2131888350367701E-2</v>
      </c>
      <c r="Y428" s="6">
        <f>100/60</f>
        <v>1.6666666666666667</v>
      </c>
      <c r="Z428" s="3">
        <f t="shared" si="226"/>
        <v>7.7644085442353281E-2</v>
      </c>
      <c r="AA428" t="s">
        <v>33</v>
      </c>
      <c r="AB428" s="6">
        <f t="shared" si="227"/>
        <v>39.0625</v>
      </c>
      <c r="AC428" t="str">
        <f t="shared" si="225"/>
        <v>NA</v>
      </c>
      <c r="AD428" s="4">
        <f>AB428*T428*AI428</f>
        <v>312.5</v>
      </c>
      <c r="AE428" s="3">
        <f t="shared" si="228"/>
        <v>8008.4375</v>
      </c>
      <c r="AF428">
        <v>1250</v>
      </c>
      <c r="AG428" t="str">
        <f>IFERROR((M428*O428*P428), "NA")</f>
        <v>NA</v>
      </c>
      <c r="AH428" t="str">
        <f>IFERROR((AG428*T428*AI428), "NA")</f>
        <v>NA</v>
      </c>
      <c r="AI428">
        <v>1</v>
      </c>
      <c r="AJ428" t="s">
        <v>31</v>
      </c>
      <c r="AK428">
        <v>5230</v>
      </c>
      <c r="AL428" t="s">
        <v>542</v>
      </c>
      <c r="AM428" t="s">
        <v>86</v>
      </c>
      <c r="AN428" t="s">
        <v>186</v>
      </c>
      <c r="AO428" t="s">
        <v>794</v>
      </c>
      <c r="AP428">
        <v>5.82</v>
      </c>
      <c r="AQ428" t="s">
        <v>33</v>
      </c>
      <c r="AR428" t="s">
        <v>33</v>
      </c>
      <c r="AS428" s="6">
        <f>LOG((10^7+10^8)/2)</f>
        <v>7.7403626894942441</v>
      </c>
      <c r="AT428" s="3">
        <f>IFERROR(AS428-AU428,"NA")</f>
        <v>3.822362689494244</v>
      </c>
      <c r="AU428" s="6">
        <v>3.9180000000000001</v>
      </c>
      <c r="AV428" t="b">
        <v>1</v>
      </c>
      <c r="AW428" t="s">
        <v>29</v>
      </c>
      <c r="AX428" t="s">
        <v>30</v>
      </c>
      <c r="AY428" s="10">
        <v>1107</v>
      </c>
      <c r="AZ428" t="s">
        <v>33</v>
      </c>
      <c r="BA428" s="18" t="s">
        <v>798</v>
      </c>
      <c r="BB428" t="b">
        <v>0</v>
      </c>
      <c r="BC428" t="s">
        <v>81</v>
      </c>
      <c r="BD428">
        <f>(16+14)/2</f>
        <v>15</v>
      </c>
      <c r="BE428" t="s">
        <v>80</v>
      </c>
      <c r="BF428" t="s">
        <v>33</v>
      </c>
      <c r="BG428" t="s">
        <v>222</v>
      </c>
      <c r="BH428" t="s">
        <v>31</v>
      </c>
      <c r="BI428" t="s">
        <v>31</v>
      </c>
      <c r="BJ428" s="3">
        <f t="shared" si="217"/>
        <v>3.9180000000000001</v>
      </c>
      <c r="BK428" s="3">
        <f t="shared" si="210"/>
        <v>0.59306443165871758</v>
      </c>
      <c r="BL428">
        <v>2</v>
      </c>
      <c r="BM428" s="3">
        <f t="shared" si="218"/>
        <v>3.3104833589171645</v>
      </c>
      <c r="BN428" t="s">
        <v>33</v>
      </c>
      <c r="BO428" s="3">
        <f t="shared" si="211"/>
        <v>2044.0116130678916</v>
      </c>
      <c r="BP428" t="s">
        <v>33</v>
      </c>
      <c r="BQ428" t="s">
        <v>33</v>
      </c>
      <c r="BR428" t="s">
        <v>33</v>
      </c>
      <c r="BS428" t="s">
        <v>33</v>
      </c>
      <c r="BT428" t="s">
        <v>31</v>
      </c>
      <c r="BU428" t="s">
        <v>219</v>
      </c>
      <c r="BV428">
        <v>2007</v>
      </c>
      <c r="BW428" t="s">
        <v>218</v>
      </c>
      <c r="BX428" t="s">
        <v>78</v>
      </c>
      <c r="BY428" t="s">
        <v>33</v>
      </c>
      <c r="BZ428" t="s">
        <v>33</v>
      </c>
      <c r="CA428" t="str">
        <f t="shared" si="212"/>
        <v>low acid</v>
      </c>
    </row>
    <row r="429" spans="1:79">
      <c r="A429" t="s">
        <v>452</v>
      </c>
      <c r="B429" t="s">
        <v>565</v>
      </c>
      <c r="C429" t="s">
        <v>563</v>
      </c>
      <c r="D429" t="s">
        <v>182</v>
      </c>
      <c r="E429" t="s">
        <v>77</v>
      </c>
      <c r="F429" t="s">
        <v>32</v>
      </c>
      <c r="G429">
        <v>18</v>
      </c>
      <c r="H429">
        <v>49</v>
      </c>
      <c r="I429" t="b">
        <v>1</v>
      </c>
      <c r="J429" t="s">
        <v>33</v>
      </c>
      <c r="K429" t="s">
        <v>33</v>
      </c>
      <c r="L429">
        <v>33</v>
      </c>
      <c r="M429" s="4" t="s">
        <v>33</v>
      </c>
      <c r="N429" s="3">
        <f>IFERROR(AF429/((T429*X429/Y429)*O429*AI429),"NA")</f>
        <v>281.42752925843115</v>
      </c>
      <c r="O429">
        <v>8</v>
      </c>
      <c r="P429">
        <f>0.047/2</f>
        <v>2.35E-2</v>
      </c>
      <c r="Q429" s="8">
        <f t="shared" si="219"/>
        <v>2.3318614270936313E-2</v>
      </c>
      <c r="R429" t="s">
        <v>183</v>
      </c>
      <c r="S429" t="s">
        <v>613</v>
      </c>
      <c r="T429" s="11">
        <v>2</v>
      </c>
      <c r="U429">
        <v>5.6</v>
      </c>
      <c r="V429">
        <v>4.5</v>
      </c>
      <c r="W429" t="s">
        <v>33</v>
      </c>
      <c r="X429" s="9">
        <f t="shared" si="229"/>
        <v>8.9064151729270638E-2</v>
      </c>
      <c r="Y429" s="6">
        <f>13750/3600</f>
        <v>3.8194444444444446</v>
      </c>
      <c r="Z429" s="3">
        <f>IFERROR(X429*N429*O429*T429*AI429/AF429, "NA")</f>
        <v>3.8194444444444442</v>
      </c>
      <c r="AA429" t="s">
        <v>33</v>
      </c>
      <c r="AB429" s="4">
        <f>IFERROR(((X429*N429)/Y429), "NA")</f>
        <v>6.5624999999999991</v>
      </c>
      <c r="AC429" s="4">
        <f>IFERROR(N429*P429,"NA")</f>
        <v>6.6135469375731324</v>
      </c>
      <c r="AD429" s="4">
        <f>AB429*T429*AI429</f>
        <v>13.124999999999998</v>
      </c>
      <c r="AE429" s="3">
        <f>IFERROR(((L429^2)*N429*O429*AK429*10^-6*Q429*T429*AI429), "NA")</f>
        <v>262.99349999999998</v>
      </c>
      <c r="AF429">
        <v>105</v>
      </c>
      <c r="AG429" s="4">
        <f>IFERROR((N429*O429*P429), "NA")</f>
        <v>52.908375500585059</v>
      </c>
      <c r="AH429" s="4">
        <f>IFERROR((AG429*T429*AI429), "NA")</f>
        <v>105.81675100117012</v>
      </c>
      <c r="AI429" s="11">
        <v>1</v>
      </c>
      <c r="AJ429" t="s">
        <v>31</v>
      </c>
      <c r="AK429">
        <v>2300</v>
      </c>
      <c r="AL429" t="s">
        <v>805</v>
      </c>
      <c r="AM429" t="s">
        <v>515</v>
      </c>
      <c r="AN429" t="s">
        <v>205</v>
      </c>
      <c r="AO429" t="s">
        <v>788</v>
      </c>
      <c r="AP429">
        <v>3.68</v>
      </c>
      <c r="AQ429" t="s">
        <v>33</v>
      </c>
      <c r="AR429" t="s">
        <v>33</v>
      </c>
      <c r="AS429">
        <f>LOG(10^8)</f>
        <v>8</v>
      </c>
      <c r="AT429" s="3">
        <f>IFERROR(AS429-AU429,"NA")</f>
        <v>3.84</v>
      </c>
      <c r="AU429" s="6">
        <v>4.16</v>
      </c>
      <c r="AV429" t="b">
        <v>1</v>
      </c>
      <c r="AW429" t="s">
        <v>123</v>
      </c>
      <c r="AX429" t="s">
        <v>463</v>
      </c>
      <c r="AY429" t="s">
        <v>467</v>
      </c>
      <c r="AZ429" t="s">
        <v>33</v>
      </c>
      <c r="BA429" s="18" t="s">
        <v>579</v>
      </c>
      <c r="BB429" t="b">
        <v>1</v>
      </c>
      <c r="BC429" t="s">
        <v>81</v>
      </c>
      <c r="BD429" t="s">
        <v>33</v>
      </c>
      <c r="BE429" t="s">
        <v>80</v>
      </c>
      <c r="BF429" t="s">
        <v>33</v>
      </c>
      <c r="BG429" t="s">
        <v>395</v>
      </c>
      <c r="BH429" t="s">
        <v>31</v>
      </c>
      <c r="BI429" t="s">
        <v>31</v>
      </c>
      <c r="BJ429" s="3">
        <f t="shared" si="217"/>
        <v>4.16</v>
      </c>
      <c r="BK429" s="3">
        <f t="shared" si="210"/>
        <v>0.61909333062674277</v>
      </c>
      <c r="BL429">
        <v>2</v>
      </c>
      <c r="BM429" s="3">
        <f t="shared" si="218"/>
        <v>1.8008516842165632</v>
      </c>
      <c r="BN429" t="s">
        <v>33</v>
      </c>
      <c r="BO429" s="3">
        <f t="shared" si="211"/>
        <v>63.219591346153841</v>
      </c>
      <c r="BP429" t="s">
        <v>33</v>
      </c>
      <c r="BQ429" t="s">
        <v>33</v>
      </c>
      <c r="BR429" t="s">
        <v>33</v>
      </c>
      <c r="BS429" t="s">
        <v>33</v>
      </c>
      <c r="BT429" t="s">
        <v>32</v>
      </c>
      <c r="BU429" t="s">
        <v>484</v>
      </c>
      <c r="BV429">
        <v>2015</v>
      </c>
      <c r="BW429" t="s">
        <v>485</v>
      </c>
      <c r="BX429" t="s">
        <v>78</v>
      </c>
      <c r="BY429" t="s">
        <v>486</v>
      </c>
      <c r="CA429" t="str">
        <f t="shared" si="212"/>
        <v>high acid</v>
      </c>
    </row>
    <row r="430" spans="1:79">
      <c r="A430" t="s">
        <v>588</v>
      </c>
      <c r="B430" t="s">
        <v>565</v>
      </c>
      <c r="C430" t="s">
        <v>563</v>
      </c>
      <c r="D430" t="s">
        <v>608</v>
      </c>
      <c r="E430" t="s">
        <v>77</v>
      </c>
      <c r="F430" t="s">
        <v>32</v>
      </c>
      <c r="G430" t="s">
        <v>33</v>
      </c>
      <c r="H430">
        <v>40</v>
      </c>
      <c r="I430" t="b">
        <v>0</v>
      </c>
      <c r="J430" t="s">
        <v>33</v>
      </c>
      <c r="K430" t="s">
        <v>33</v>
      </c>
      <c r="L430">
        <v>35</v>
      </c>
      <c r="M430" s="4">
        <v>250</v>
      </c>
      <c r="N430" t="e">
        <f>(#REF!*Y430)/(T430*X430*O430)</f>
        <v>#REF!</v>
      </c>
      <c r="O430">
        <v>3.7</v>
      </c>
      <c r="P430" t="s">
        <v>33</v>
      </c>
      <c r="Q430" s="1">
        <f t="shared" si="219"/>
        <v>4.8648648648648644E-2</v>
      </c>
      <c r="R430" t="s">
        <v>183</v>
      </c>
      <c r="S430" t="s">
        <v>613</v>
      </c>
      <c r="T430">
        <v>6</v>
      </c>
      <c r="U430">
        <v>1.9</v>
      </c>
      <c r="V430">
        <v>2.2999999999999998</v>
      </c>
      <c r="W430" t="s">
        <v>33</v>
      </c>
      <c r="X430">
        <f t="shared" si="229"/>
        <v>7.8940369403077502E-3</v>
      </c>
      <c r="Y430">
        <v>1</v>
      </c>
      <c r="Z430" s="3">
        <f t="shared" ref="Z430:Z467" si="230">IFERROR(X430*M430*O430*T430*AI430/AF430, "NA")</f>
        <v>0.16226631488410376</v>
      </c>
      <c r="AA430" t="s">
        <v>33</v>
      </c>
      <c r="AB430">
        <f t="shared" ref="AB430:AB441" si="231">IFERROR(((X430*M430)/Z430), "NA")</f>
        <v>12.162162162162163</v>
      </c>
      <c r="AC430" s="1" t="str">
        <f t="shared" ref="AC430:AC467" si="232">IFERROR(M430*P430,"NA")</f>
        <v>NA</v>
      </c>
      <c r="AE430" s="3">
        <f t="shared" ref="AE430:AE467" si="233">IFERROR(((L430^2)*M430*O430*AK430*10^-6*Q430*T430*AI430), "NA")</f>
        <v>1587.6</v>
      </c>
      <c r="AF430">
        <v>270</v>
      </c>
      <c r="AG430" s="1" t="str">
        <f>IFERROR((N430*P430*Q430), "NA")</f>
        <v>NA</v>
      </c>
      <c r="AH430" s="1" t="str">
        <f>IFERROR((AG430*U430*AI430), "NA")</f>
        <v>NA</v>
      </c>
      <c r="AI430" s="1">
        <v>1</v>
      </c>
      <c r="AJ430" s="11" t="s">
        <v>31</v>
      </c>
      <c r="AK430">
        <v>4800</v>
      </c>
      <c r="AL430" t="s">
        <v>156</v>
      </c>
      <c r="AM430" t="s">
        <v>157</v>
      </c>
      <c r="AN430" t="s">
        <v>186</v>
      </c>
      <c r="AO430" t="s">
        <v>792</v>
      </c>
      <c r="AP430">
        <v>6.53</v>
      </c>
      <c r="AQ430" t="s">
        <v>33</v>
      </c>
      <c r="AR430" t="s">
        <v>33</v>
      </c>
      <c r="AS430">
        <v>6.5</v>
      </c>
      <c r="AT430">
        <v>3.84</v>
      </c>
      <c r="AU430" s="6">
        <f>AS430-AT430</f>
        <v>2.66</v>
      </c>
      <c r="AV430" t="b">
        <v>1</v>
      </c>
      <c r="AW430" t="s">
        <v>626</v>
      </c>
      <c r="AX430" t="s">
        <v>627</v>
      </c>
      <c r="AY430" t="s">
        <v>625</v>
      </c>
      <c r="AZ430" t="s">
        <v>33</v>
      </c>
      <c r="BA430" s="18" t="s">
        <v>800</v>
      </c>
      <c r="BB430" s="3" t="b">
        <v>0</v>
      </c>
      <c r="BC430" t="s">
        <v>81</v>
      </c>
      <c r="BD430">
        <v>12</v>
      </c>
      <c r="BE430" t="s">
        <v>80</v>
      </c>
      <c r="BF430">
        <v>48</v>
      </c>
      <c r="BG430" t="s">
        <v>643</v>
      </c>
      <c r="BH430" t="s">
        <v>31</v>
      </c>
      <c r="BI430" t="s">
        <v>31</v>
      </c>
      <c r="BJ430">
        <f t="shared" si="217"/>
        <v>2.66</v>
      </c>
      <c r="BK430" s="3">
        <f t="shared" si="210"/>
        <v>0.42488163663106698</v>
      </c>
      <c r="BL430">
        <v>2</v>
      </c>
      <c r="BM430" s="3">
        <f t="shared" si="218"/>
        <v>2.7758594536040588</v>
      </c>
      <c r="BN430" t="s">
        <v>33</v>
      </c>
      <c r="BO430" s="3">
        <f t="shared" si="211"/>
        <v>596.8421052631578</v>
      </c>
      <c r="BP430" t="s">
        <v>33</v>
      </c>
      <c r="BQ430" t="s">
        <v>33</v>
      </c>
      <c r="BR430" t="s">
        <v>33</v>
      </c>
      <c r="BS430" t="s">
        <v>33</v>
      </c>
      <c r="BT430" t="s">
        <v>31</v>
      </c>
      <c r="BU430" s="13" t="s">
        <v>163</v>
      </c>
      <c r="BV430">
        <v>2004</v>
      </c>
      <c r="BW430" t="s">
        <v>654</v>
      </c>
      <c r="BX430" t="s">
        <v>78</v>
      </c>
      <c r="BY430" s="13" t="s">
        <v>677</v>
      </c>
      <c r="CA430" t="str">
        <f t="shared" si="212"/>
        <v>low acid</v>
      </c>
    </row>
    <row r="431" spans="1:79">
      <c r="A431" t="s">
        <v>210</v>
      </c>
      <c r="B431" t="s">
        <v>565</v>
      </c>
      <c r="C431" t="s">
        <v>564</v>
      </c>
      <c r="D431" t="s">
        <v>209</v>
      </c>
      <c r="E431" t="s">
        <v>77</v>
      </c>
      <c r="F431" t="s">
        <v>32</v>
      </c>
      <c r="G431">
        <v>30</v>
      </c>
      <c r="H431">
        <v>38.200000000000003</v>
      </c>
      <c r="I431" t="b">
        <v>0</v>
      </c>
      <c r="J431" t="s">
        <v>33</v>
      </c>
      <c r="K431" t="s">
        <v>33</v>
      </c>
      <c r="L431">
        <v>24</v>
      </c>
      <c r="M431" s="4">
        <v>120</v>
      </c>
      <c r="N431" s="3">
        <f>IFERROR(AF431/((T431*X431/Y431)*O431*AI431),"NA")</f>
        <v>49.703220229224364</v>
      </c>
      <c r="O431">
        <v>6</v>
      </c>
      <c r="P431" t="s">
        <v>33</v>
      </c>
      <c r="Q431" s="8">
        <f t="shared" si="219"/>
        <v>5.2083333333333329E-2</v>
      </c>
      <c r="R431" t="s">
        <v>183</v>
      </c>
      <c r="S431" t="s">
        <v>612</v>
      </c>
      <c r="T431" s="11">
        <v>4</v>
      </c>
      <c r="U431">
        <v>3</v>
      </c>
      <c r="V431">
        <v>2.6</v>
      </c>
      <c r="W431" t="s">
        <v>33</v>
      </c>
      <c r="X431" s="8">
        <f t="shared" si="229"/>
        <v>1.5927874753700257E-2</v>
      </c>
      <c r="Y431" s="6">
        <f>7.6/60</f>
        <v>0.12666666666666665</v>
      </c>
      <c r="Z431" s="3">
        <f t="shared" si="230"/>
        <v>0.30581519527104495</v>
      </c>
      <c r="AA431" t="s">
        <v>33</v>
      </c>
      <c r="AB431" s="6">
        <f t="shared" si="231"/>
        <v>6.25</v>
      </c>
      <c r="AC431" t="str">
        <f t="shared" si="232"/>
        <v>NA</v>
      </c>
      <c r="AD431" s="4">
        <f>IFERROR(AB431*T431*AI431, "NA")</f>
        <v>25</v>
      </c>
      <c r="AE431" s="3">
        <f t="shared" si="233"/>
        <v>84.671999999999983</v>
      </c>
      <c r="AF431">
        <v>150</v>
      </c>
      <c r="AG431" t="str">
        <f>IFERROR((M431*O431*P431), "NA")</f>
        <v>NA</v>
      </c>
      <c r="AH431" t="str">
        <f>IFERROR((AG431*T431*AI431), "NA")</f>
        <v>NA</v>
      </c>
      <c r="AI431" s="11">
        <v>1</v>
      </c>
      <c r="AJ431" t="s">
        <v>31</v>
      </c>
      <c r="AK431">
        <v>980</v>
      </c>
      <c r="AL431" t="s">
        <v>551</v>
      </c>
      <c r="AM431" t="s">
        <v>86</v>
      </c>
      <c r="AN431" t="s">
        <v>186</v>
      </c>
      <c r="AO431" t="s">
        <v>794</v>
      </c>
      <c r="AP431">
        <v>5.98</v>
      </c>
      <c r="AQ431" t="s">
        <v>33</v>
      </c>
      <c r="AR431" t="s">
        <v>33</v>
      </c>
      <c r="AS431" s="6">
        <v>6.5</v>
      </c>
      <c r="AT431" s="3">
        <f>IFERROR(AS431-AU431,"NA")</f>
        <v>3.84</v>
      </c>
      <c r="AU431" s="6">
        <v>2.66</v>
      </c>
      <c r="AV431" t="b">
        <v>1</v>
      </c>
      <c r="AW431" t="s">
        <v>29</v>
      </c>
      <c r="AX431" t="s">
        <v>30</v>
      </c>
      <c r="AY431" t="s">
        <v>211</v>
      </c>
      <c r="AZ431" t="s">
        <v>33</v>
      </c>
      <c r="BA431" s="18" t="s">
        <v>798</v>
      </c>
      <c r="BB431" t="b">
        <v>0</v>
      </c>
      <c r="BC431" t="s">
        <v>81</v>
      </c>
      <c r="BD431">
        <v>20</v>
      </c>
      <c r="BE431" t="s">
        <v>80</v>
      </c>
      <c r="BF431" s="11">
        <v>20</v>
      </c>
      <c r="BG431" t="s">
        <v>570</v>
      </c>
      <c r="BH431" t="s">
        <v>31</v>
      </c>
      <c r="BI431" t="s">
        <v>31</v>
      </c>
      <c r="BJ431" s="3">
        <f t="shared" si="217"/>
        <v>2.66</v>
      </c>
      <c r="BK431" s="3">
        <f t="shared" si="210"/>
        <v>0.42488163663106698</v>
      </c>
      <c r="BL431">
        <v>2</v>
      </c>
      <c r="BM431" s="3">
        <f t="shared" si="218"/>
        <v>1.502858181540321</v>
      </c>
      <c r="BN431" t="s">
        <v>33</v>
      </c>
      <c r="BO431" s="3">
        <f t="shared" si="211"/>
        <v>31.831578947368413</v>
      </c>
      <c r="BP431" t="s">
        <v>33</v>
      </c>
      <c r="BQ431" t="s">
        <v>33</v>
      </c>
      <c r="BR431" t="s">
        <v>33</v>
      </c>
      <c r="BS431" t="s">
        <v>33</v>
      </c>
      <c r="BT431" t="s">
        <v>32</v>
      </c>
      <c r="BU431" t="s">
        <v>207</v>
      </c>
      <c r="BV431">
        <v>2014</v>
      </c>
      <c r="BW431" t="s">
        <v>208</v>
      </c>
      <c r="BX431" t="s">
        <v>78</v>
      </c>
      <c r="BY431" t="s">
        <v>33</v>
      </c>
      <c r="BZ431" t="s">
        <v>33</v>
      </c>
      <c r="CA431" t="str">
        <f t="shared" si="212"/>
        <v>low acid</v>
      </c>
    </row>
    <row r="432" spans="1:79">
      <c r="A432" t="s">
        <v>596</v>
      </c>
      <c r="B432" t="s">
        <v>565</v>
      </c>
      <c r="C432" t="s">
        <v>563</v>
      </c>
      <c r="D432" t="s">
        <v>610</v>
      </c>
      <c r="E432" t="s">
        <v>77</v>
      </c>
      <c r="F432" t="s">
        <v>33</v>
      </c>
      <c r="G432">
        <v>20</v>
      </c>
      <c r="H432" t="s">
        <v>33</v>
      </c>
      <c r="I432" t="b">
        <v>0</v>
      </c>
      <c r="J432">
        <v>12000</v>
      </c>
      <c r="K432" t="s">
        <v>33</v>
      </c>
      <c r="L432">
        <v>30</v>
      </c>
      <c r="M432" s="4">
        <v>8</v>
      </c>
      <c r="N432" t="e">
        <f>(#REF!*Y432)/(T432*X432*O432)</f>
        <v>#REF!</v>
      </c>
      <c r="O432">
        <v>5</v>
      </c>
      <c r="P432" t="s">
        <v>33</v>
      </c>
      <c r="Q432" s="1">
        <f t="shared" si="219"/>
        <v>0.90000000000000013</v>
      </c>
      <c r="R432" t="s">
        <v>183</v>
      </c>
      <c r="S432" t="s">
        <v>613</v>
      </c>
      <c r="T432">
        <v>1</v>
      </c>
      <c r="U432">
        <v>4</v>
      </c>
      <c r="V432">
        <v>4</v>
      </c>
      <c r="W432" t="s">
        <v>33</v>
      </c>
      <c r="X432">
        <f t="shared" si="229"/>
        <v>5.02654824574367E-2</v>
      </c>
      <c r="Y432">
        <v>0.106667</v>
      </c>
      <c r="Z432" s="3">
        <f t="shared" si="230"/>
        <v>5.5850536063818547E-2</v>
      </c>
      <c r="AA432" t="s">
        <v>33</v>
      </c>
      <c r="AB432">
        <f t="shared" si="231"/>
        <v>7.2000000000000011</v>
      </c>
      <c r="AC432" s="1" t="str">
        <f t="shared" si="232"/>
        <v>NA</v>
      </c>
      <c r="AE432" s="3">
        <f t="shared" si="233"/>
        <v>64.800000000000011</v>
      </c>
      <c r="AF432">
        <v>36</v>
      </c>
      <c r="AG432" s="1" t="str">
        <f>IFERROR((N432*P432*Q432), "NA")</f>
        <v>NA</v>
      </c>
      <c r="AH432" s="1" t="str">
        <f>IFERROR((AG432*U432*AI432), "NA")</f>
        <v>NA</v>
      </c>
      <c r="AI432" s="1">
        <v>1</v>
      </c>
      <c r="AJ432" s="11" t="s">
        <v>31</v>
      </c>
      <c r="AK432">
        <v>2000</v>
      </c>
      <c r="AL432" t="s">
        <v>149</v>
      </c>
      <c r="AM432" t="s">
        <v>86</v>
      </c>
      <c r="AN432" t="s">
        <v>205</v>
      </c>
      <c r="AO432" t="s">
        <v>789</v>
      </c>
      <c r="AP432" t="s">
        <v>33</v>
      </c>
      <c r="AQ432" t="s">
        <v>33</v>
      </c>
      <c r="AR432" t="s">
        <v>33</v>
      </c>
      <c r="AS432">
        <f>AVERAGE(6,8)</f>
        <v>7</v>
      </c>
      <c r="AT432">
        <f>AS432-AU432</f>
        <v>3.84</v>
      </c>
      <c r="AU432" s="6">
        <v>3.16</v>
      </c>
      <c r="AV432" t="b">
        <v>1</v>
      </c>
      <c r="AW432" t="s">
        <v>626</v>
      </c>
      <c r="AX432" t="s">
        <v>627</v>
      </c>
      <c r="AY432" t="s">
        <v>634</v>
      </c>
      <c r="AZ432" t="s">
        <v>33</v>
      </c>
      <c r="BA432" s="18" t="s">
        <v>800</v>
      </c>
      <c r="BB432" s="3" t="b">
        <v>0</v>
      </c>
      <c r="BC432" t="s">
        <v>81</v>
      </c>
      <c r="BD432">
        <v>18</v>
      </c>
      <c r="BE432" t="s">
        <v>80</v>
      </c>
      <c r="BF432">
        <v>24</v>
      </c>
      <c r="BG432" t="s">
        <v>644</v>
      </c>
      <c r="BH432" t="s">
        <v>31</v>
      </c>
      <c r="BI432" t="s">
        <v>31</v>
      </c>
      <c r="BJ432">
        <f t="shared" si="217"/>
        <v>3.16</v>
      </c>
      <c r="BK432" s="3">
        <f t="shared" si="210"/>
        <v>0.49968708261840383</v>
      </c>
      <c r="BL432">
        <v>2</v>
      </c>
      <c r="BM432" s="3">
        <f t="shared" si="218"/>
        <v>1.3118879232521896</v>
      </c>
      <c r="BN432" t="s">
        <v>33</v>
      </c>
      <c r="BO432" s="3">
        <f t="shared" si="211"/>
        <v>20.506329113924053</v>
      </c>
      <c r="BP432" t="s">
        <v>33</v>
      </c>
      <c r="BQ432" t="s">
        <v>33</v>
      </c>
      <c r="BR432" t="s">
        <v>33</v>
      </c>
      <c r="BS432" t="s">
        <v>33</v>
      </c>
      <c r="BT432" t="s">
        <v>32</v>
      </c>
      <c r="BU432" t="s">
        <v>661</v>
      </c>
      <c r="BV432">
        <v>2013</v>
      </c>
      <c r="BW432" t="s">
        <v>662</v>
      </c>
      <c r="BX432" s="13" t="s">
        <v>663</v>
      </c>
      <c r="BY432" s="13" t="s">
        <v>684</v>
      </c>
      <c r="CA432" t="str">
        <f t="shared" si="212"/>
        <v>high acid</v>
      </c>
    </row>
    <row r="433" spans="1:79">
      <c r="A433" t="s">
        <v>596</v>
      </c>
      <c r="B433" t="s">
        <v>565</v>
      </c>
      <c r="C433" t="s">
        <v>563</v>
      </c>
      <c r="D433" t="s">
        <v>610</v>
      </c>
      <c r="E433" t="s">
        <v>77</v>
      </c>
      <c r="F433" t="s">
        <v>33</v>
      </c>
      <c r="G433">
        <v>20</v>
      </c>
      <c r="H433" t="s">
        <v>33</v>
      </c>
      <c r="I433" t="b">
        <v>0</v>
      </c>
      <c r="J433">
        <v>12000</v>
      </c>
      <c r="K433" t="s">
        <v>33</v>
      </c>
      <c r="L433">
        <v>30</v>
      </c>
      <c r="M433" s="4">
        <v>8</v>
      </c>
      <c r="N433" t="e">
        <f>(#REF!*Y433)/(T433*X433*O433)</f>
        <v>#REF!</v>
      </c>
      <c r="O433">
        <v>5</v>
      </c>
      <c r="P433" t="s">
        <v>33</v>
      </c>
      <c r="Q433" s="1">
        <f t="shared" si="219"/>
        <v>0.90000000000000013</v>
      </c>
      <c r="R433" t="s">
        <v>183</v>
      </c>
      <c r="S433" t="s">
        <v>613</v>
      </c>
      <c r="T433">
        <v>1</v>
      </c>
      <c r="U433">
        <v>4</v>
      </c>
      <c r="V433">
        <v>4</v>
      </c>
      <c r="W433" t="s">
        <v>33</v>
      </c>
      <c r="X433">
        <f t="shared" si="229"/>
        <v>5.02654824574367E-2</v>
      </c>
      <c r="Y433">
        <v>0.106667</v>
      </c>
      <c r="Z433" s="3">
        <f t="shared" si="230"/>
        <v>5.5850536063818547E-2</v>
      </c>
      <c r="AA433" t="s">
        <v>33</v>
      </c>
      <c r="AB433">
        <f t="shared" si="231"/>
        <v>7.2000000000000011</v>
      </c>
      <c r="AC433" s="1" t="str">
        <f t="shared" si="232"/>
        <v>NA</v>
      </c>
      <c r="AE433" s="3">
        <f t="shared" si="233"/>
        <v>64.800000000000011</v>
      </c>
      <c r="AF433">
        <v>36</v>
      </c>
      <c r="AG433" s="1" t="str">
        <f>IFERROR((N433*P433*Q433), "NA")</f>
        <v>NA</v>
      </c>
      <c r="AH433" s="1" t="str">
        <f>IFERROR((AG433*U433*AI433), "NA")</f>
        <v>NA</v>
      </c>
      <c r="AI433" s="1">
        <v>1</v>
      </c>
      <c r="AJ433" s="11" t="s">
        <v>31</v>
      </c>
      <c r="AK433">
        <v>2000</v>
      </c>
      <c r="AL433" t="s">
        <v>149</v>
      </c>
      <c r="AM433" t="s">
        <v>86</v>
      </c>
      <c r="AN433" t="s">
        <v>205</v>
      </c>
      <c r="AO433" t="s">
        <v>789</v>
      </c>
      <c r="AP433" t="s">
        <v>33</v>
      </c>
      <c r="AQ433" t="s">
        <v>33</v>
      </c>
      <c r="AR433" t="s">
        <v>33</v>
      </c>
      <c r="AS433">
        <f>AVERAGE(6,8)</f>
        <v>7</v>
      </c>
      <c r="AT433">
        <f>AS433-AU433</f>
        <v>3.84</v>
      </c>
      <c r="AU433" s="6">
        <v>3.16</v>
      </c>
      <c r="AV433" t="b">
        <v>1</v>
      </c>
      <c r="AW433" t="s">
        <v>626</v>
      </c>
      <c r="AX433" t="s">
        <v>627</v>
      </c>
      <c r="AY433" t="s">
        <v>634</v>
      </c>
      <c r="AZ433" t="s">
        <v>33</v>
      </c>
      <c r="BA433" s="18" t="s">
        <v>800</v>
      </c>
      <c r="BB433" s="3" t="b">
        <v>0</v>
      </c>
      <c r="BC433" t="s">
        <v>81</v>
      </c>
      <c r="BD433">
        <v>18</v>
      </c>
      <c r="BE433" t="s">
        <v>80</v>
      </c>
      <c r="BF433">
        <v>24</v>
      </c>
      <c r="BG433" t="s">
        <v>644</v>
      </c>
      <c r="BH433" t="s">
        <v>31</v>
      </c>
      <c r="BI433" t="s">
        <v>31</v>
      </c>
      <c r="BJ433">
        <f t="shared" si="217"/>
        <v>3.16</v>
      </c>
      <c r="BK433" s="3">
        <f t="shared" si="210"/>
        <v>0.49968708261840383</v>
      </c>
      <c r="BL433">
        <v>2</v>
      </c>
      <c r="BM433" s="3">
        <f t="shared" si="218"/>
        <v>1.3118879232521896</v>
      </c>
      <c r="BN433" t="s">
        <v>33</v>
      </c>
      <c r="BO433" s="3">
        <f t="shared" si="211"/>
        <v>20.506329113924053</v>
      </c>
      <c r="BP433" t="s">
        <v>33</v>
      </c>
      <c r="BQ433" t="s">
        <v>33</v>
      </c>
      <c r="BR433" t="s">
        <v>33</v>
      </c>
      <c r="BS433" t="s">
        <v>33</v>
      </c>
      <c r="BT433" t="s">
        <v>32</v>
      </c>
      <c r="BU433" t="s">
        <v>661</v>
      </c>
      <c r="BV433">
        <v>2013</v>
      </c>
      <c r="BW433" t="s">
        <v>662</v>
      </c>
      <c r="BX433" s="13" t="s">
        <v>663</v>
      </c>
      <c r="BY433" s="13" t="s">
        <v>684</v>
      </c>
      <c r="CA433" t="str">
        <f t="shared" si="212"/>
        <v>high acid</v>
      </c>
    </row>
    <row r="434" spans="1:79">
      <c r="A434" t="s">
        <v>584</v>
      </c>
      <c r="B434" t="s">
        <v>566</v>
      </c>
      <c r="C434" t="s">
        <v>563</v>
      </c>
      <c r="D434" t="s">
        <v>607</v>
      </c>
      <c r="E434" t="s">
        <v>77</v>
      </c>
      <c r="F434" t="s">
        <v>33</v>
      </c>
      <c r="G434">
        <v>20</v>
      </c>
      <c r="H434">
        <v>35</v>
      </c>
      <c r="I434" t="b">
        <v>0</v>
      </c>
      <c r="J434">
        <v>1000</v>
      </c>
      <c r="K434">
        <v>200</v>
      </c>
      <c r="L434">
        <v>30</v>
      </c>
      <c r="M434" s="4">
        <v>1</v>
      </c>
      <c r="N434" t="e">
        <f>(#REF!*Y434)/(T434*X434*O434)</f>
        <v>#REF!</v>
      </c>
      <c r="O434">
        <v>3</v>
      </c>
      <c r="P434" t="s">
        <v>33</v>
      </c>
      <c r="Q434" s="1">
        <f t="shared" si="219"/>
        <v>10</v>
      </c>
      <c r="R434" t="s">
        <v>183</v>
      </c>
      <c r="S434" t="s">
        <v>33</v>
      </c>
      <c r="T434">
        <v>1</v>
      </c>
      <c r="U434">
        <v>2.5</v>
      </c>
      <c r="V434" t="s">
        <v>33</v>
      </c>
      <c r="W434">
        <v>0.50249999999999995</v>
      </c>
      <c r="X434">
        <f>W434</f>
        <v>0.50249999999999995</v>
      </c>
      <c r="Y434" t="s">
        <v>33</v>
      </c>
      <c r="Z434" s="3">
        <f t="shared" si="230"/>
        <v>5.0249999999999996E-2</v>
      </c>
      <c r="AA434" t="s">
        <v>33</v>
      </c>
      <c r="AB434">
        <f t="shared" si="231"/>
        <v>10</v>
      </c>
      <c r="AC434" s="1" t="str">
        <f t="shared" si="232"/>
        <v>NA</v>
      </c>
      <c r="AE434" s="3">
        <f t="shared" si="233"/>
        <v>26.999999999999996</v>
      </c>
      <c r="AF434">
        <v>30</v>
      </c>
      <c r="AG434" s="1" t="str">
        <f>IFERROR((N434*P434*Q434), "NA")</f>
        <v>NA</v>
      </c>
      <c r="AH434" s="1" t="str">
        <f>IFERROR((AG434*U434*AI434), "NA")</f>
        <v>NA</v>
      </c>
      <c r="AI434" s="1">
        <v>1</v>
      </c>
      <c r="AJ434" s="11" t="s">
        <v>31</v>
      </c>
      <c r="AK434">
        <v>1000</v>
      </c>
      <c r="AL434" t="s">
        <v>614</v>
      </c>
      <c r="AM434" s="3" t="s">
        <v>103</v>
      </c>
      <c r="AN434" t="s">
        <v>305</v>
      </c>
      <c r="AO434" t="s">
        <v>790</v>
      </c>
      <c r="AP434">
        <v>3.5</v>
      </c>
      <c r="AQ434" t="s">
        <v>33</v>
      </c>
      <c r="AR434" t="s">
        <v>33</v>
      </c>
      <c r="AS434">
        <v>8</v>
      </c>
      <c r="AT434">
        <f>AS434-AU434</f>
        <v>3.84</v>
      </c>
      <c r="AU434" s="6">
        <v>4.16</v>
      </c>
      <c r="AV434" t="b">
        <v>1</v>
      </c>
      <c r="AW434" t="s">
        <v>617</v>
      </c>
      <c r="AX434" t="s">
        <v>33</v>
      </c>
      <c r="AY434" t="s">
        <v>623</v>
      </c>
      <c r="AZ434" t="s">
        <v>621</v>
      </c>
      <c r="BA434" s="18" t="s">
        <v>802</v>
      </c>
      <c r="BB434" s="3" t="b">
        <v>0</v>
      </c>
      <c r="BC434" t="s">
        <v>81</v>
      </c>
      <c r="BD434">
        <v>18</v>
      </c>
      <c r="BE434" t="s">
        <v>80</v>
      </c>
      <c r="BF434">
        <v>24</v>
      </c>
      <c r="BG434" t="s">
        <v>642</v>
      </c>
      <c r="BH434" t="s">
        <v>32</v>
      </c>
      <c r="BI434" t="s">
        <v>31</v>
      </c>
      <c r="BJ434">
        <f t="shared" si="217"/>
        <v>4.16</v>
      </c>
      <c r="BK434" s="3">
        <f t="shared" si="210"/>
        <v>0.61909333062674277</v>
      </c>
      <c r="BL434">
        <v>2</v>
      </c>
      <c r="BM434" s="3">
        <f t="shared" si="218"/>
        <v>0.81227043353224448</v>
      </c>
      <c r="BN434" t="s">
        <v>33</v>
      </c>
      <c r="BO434" s="3">
        <f t="shared" si="211"/>
        <v>6.4903846153846141</v>
      </c>
      <c r="BP434" t="s">
        <v>33</v>
      </c>
      <c r="BQ434" t="s">
        <v>33</v>
      </c>
      <c r="BR434" t="s">
        <v>33</v>
      </c>
      <c r="BS434" t="s">
        <v>33</v>
      </c>
      <c r="BT434" t="s">
        <v>31</v>
      </c>
      <c r="BU434" t="s">
        <v>255</v>
      </c>
      <c r="BV434">
        <v>2010</v>
      </c>
      <c r="BW434" t="s">
        <v>651</v>
      </c>
      <c r="BX434" t="s">
        <v>78</v>
      </c>
      <c r="BY434" s="13" t="s">
        <v>674</v>
      </c>
      <c r="BZ434" t="s">
        <v>780</v>
      </c>
      <c r="CA434" t="str">
        <f t="shared" si="212"/>
        <v>high acid</v>
      </c>
    </row>
    <row r="435" spans="1:79">
      <c r="A435" t="s">
        <v>326</v>
      </c>
      <c r="B435" t="s">
        <v>565</v>
      </c>
      <c r="C435" t="s">
        <v>563</v>
      </c>
      <c r="D435" t="s">
        <v>118</v>
      </c>
      <c r="E435" t="s">
        <v>77</v>
      </c>
      <c r="F435" t="s">
        <v>32</v>
      </c>
      <c r="G435">
        <v>15</v>
      </c>
      <c r="H435">
        <v>30.4</v>
      </c>
      <c r="I435" t="b">
        <v>0</v>
      </c>
      <c r="J435" t="s">
        <v>33</v>
      </c>
      <c r="K435" t="s">
        <v>33</v>
      </c>
      <c r="L435">
        <v>35</v>
      </c>
      <c r="M435" s="4">
        <v>600</v>
      </c>
      <c r="N435" s="3">
        <f>IFERROR(AF435/((T435*X435/Y435)*O435*AI435),"NA")</f>
        <v>6909.4056514700696</v>
      </c>
      <c r="O435">
        <v>5</v>
      </c>
      <c r="P435" t="s">
        <v>33</v>
      </c>
      <c r="Q435" s="8">
        <f t="shared" si="219"/>
        <v>4.1666666666666664E-2</v>
      </c>
      <c r="R435" t="s">
        <v>183</v>
      </c>
      <c r="S435" t="s">
        <v>613</v>
      </c>
      <c r="T435" s="11">
        <v>8</v>
      </c>
      <c r="U435">
        <v>2.9</v>
      </c>
      <c r="V435">
        <v>2.2999999999999998</v>
      </c>
      <c r="W435">
        <v>1.2E-2</v>
      </c>
      <c r="X435" s="8">
        <f>IFERROR(((PI())*(((V435*10^-1)/2)^2)*(U435*10^-1)), "NA")</f>
        <v>1.204879322468025E-2</v>
      </c>
      <c r="Y435">
        <v>3.33</v>
      </c>
      <c r="Z435" s="3">
        <f t="shared" si="230"/>
        <v>0.28917103739232602</v>
      </c>
      <c r="AA435" t="s">
        <v>33</v>
      </c>
      <c r="AB435" s="6">
        <f t="shared" si="231"/>
        <v>25</v>
      </c>
      <c r="AC435" t="str">
        <f t="shared" si="232"/>
        <v>NA</v>
      </c>
      <c r="AD435" s="4">
        <f>AB435*T435*AI435</f>
        <v>200</v>
      </c>
      <c r="AE435" s="3">
        <f t="shared" si="233"/>
        <v>2572.5</v>
      </c>
      <c r="AF435">
        <v>1000</v>
      </c>
      <c r="AG435" t="str">
        <f>IFERROR((M435*O435*P435), "NA")</f>
        <v>NA</v>
      </c>
      <c r="AH435" t="str">
        <f>IFERROR((AG435*T435*AI435), "NA")</f>
        <v>NA</v>
      </c>
      <c r="AI435">
        <v>1</v>
      </c>
      <c r="AJ435" t="s">
        <v>31</v>
      </c>
      <c r="AK435">
        <v>2100</v>
      </c>
      <c r="AL435" t="s">
        <v>551</v>
      </c>
      <c r="AM435" t="s">
        <v>86</v>
      </c>
      <c r="AN435" t="s">
        <v>205</v>
      </c>
      <c r="AO435" t="s">
        <v>789</v>
      </c>
      <c r="AP435">
        <v>3.79</v>
      </c>
      <c r="AQ435">
        <v>1060</v>
      </c>
      <c r="AR435" t="s">
        <v>33</v>
      </c>
      <c r="AS435" s="6">
        <f>LOG((10^6+10^7)/2)</f>
        <v>6.7403626894942441</v>
      </c>
      <c r="AT435" s="3">
        <f>IFERROR(AS435-AU435,"NA")</f>
        <v>3.8403626894942442</v>
      </c>
      <c r="AU435" s="6">
        <v>2.9</v>
      </c>
      <c r="AV435" t="b">
        <v>1</v>
      </c>
      <c r="AW435" t="s">
        <v>123</v>
      </c>
      <c r="AX435" t="s">
        <v>327</v>
      </c>
      <c r="AY435" t="s">
        <v>328</v>
      </c>
      <c r="AZ435" t="s">
        <v>33</v>
      </c>
      <c r="BA435" s="18" t="s">
        <v>579</v>
      </c>
      <c r="BB435" t="b">
        <v>1</v>
      </c>
      <c r="BC435" t="s">
        <v>81</v>
      </c>
      <c r="BD435">
        <v>144</v>
      </c>
      <c r="BE435" t="s">
        <v>80</v>
      </c>
      <c r="BF435" s="11">
        <v>120</v>
      </c>
      <c r="BG435" t="s">
        <v>329</v>
      </c>
      <c r="BH435" t="s">
        <v>31</v>
      </c>
      <c r="BI435" t="s">
        <v>31</v>
      </c>
      <c r="BJ435" s="3">
        <f t="shared" si="217"/>
        <v>2.9</v>
      </c>
      <c r="BK435" s="3">
        <f t="shared" si="210"/>
        <v>0.46239799789895608</v>
      </c>
      <c r="BL435">
        <v>2</v>
      </c>
      <c r="BM435" s="3">
        <f t="shared" ref="BM435:BM465" si="234">IFERROR(LOG(BO435),"NA")</f>
        <v>2.9479573855355143</v>
      </c>
      <c r="BN435" t="s">
        <v>33</v>
      </c>
      <c r="BO435" s="3">
        <f t="shared" si="211"/>
        <v>887.06896551724139</v>
      </c>
      <c r="BP435" t="s">
        <v>33</v>
      </c>
      <c r="BQ435" t="s">
        <v>33</v>
      </c>
      <c r="BR435" t="s">
        <v>33</v>
      </c>
      <c r="BS435" t="s">
        <v>33</v>
      </c>
      <c r="BT435" t="s">
        <v>31</v>
      </c>
      <c r="BU435" t="s">
        <v>330</v>
      </c>
      <c r="BV435">
        <v>2009</v>
      </c>
      <c r="BW435" t="s">
        <v>331</v>
      </c>
      <c r="BX435" t="s">
        <v>78</v>
      </c>
      <c r="BY435" t="s">
        <v>33</v>
      </c>
      <c r="BZ435" t="s">
        <v>335</v>
      </c>
      <c r="CA435" t="str">
        <f t="shared" si="212"/>
        <v>high acid</v>
      </c>
    </row>
    <row r="436" spans="1:79">
      <c r="A436" t="s">
        <v>584</v>
      </c>
      <c r="B436" t="s">
        <v>566</v>
      </c>
      <c r="C436" t="s">
        <v>563</v>
      </c>
      <c r="D436" t="s">
        <v>607</v>
      </c>
      <c r="E436" t="s">
        <v>77</v>
      </c>
      <c r="F436" t="s">
        <v>33</v>
      </c>
      <c r="G436">
        <v>20</v>
      </c>
      <c r="H436">
        <v>35</v>
      </c>
      <c r="I436" t="b">
        <v>0</v>
      </c>
      <c r="J436">
        <v>1000</v>
      </c>
      <c r="K436">
        <v>200</v>
      </c>
      <c r="L436">
        <v>25</v>
      </c>
      <c r="M436" s="4">
        <v>1</v>
      </c>
      <c r="N436" t="e">
        <f>(#REF!*Y436)/(T436*X436*O436)</f>
        <v>#REF!</v>
      </c>
      <c r="O436">
        <v>3</v>
      </c>
      <c r="P436" t="s">
        <v>33</v>
      </c>
      <c r="Q436" s="1">
        <f t="shared" si="219"/>
        <v>166.66666666666666</v>
      </c>
      <c r="R436" t="s">
        <v>183</v>
      </c>
      <c r="S436" t="s">
        <v>33</v>
      </c>
      <c r="T436">
        <v>1</v>
      </c>
      <c r="U436">
        <v>2.5</v>
      </c>
      <c r="V436" t="s">
        <v>33</v>
      </c>
      <c r="W436">
        <v>0.50249999999999995</v>
      </c>
      <c r="X436">
        <f>W436</f>
        <v>0.50249999999999995</v>
      </c>
      <c r="Y436" t="s">
        <v>33</v>
      </c>
      <c r="Z436" s="3">
        <f t="shared" si="230"/>
        <v>3.0149999999999999E-3</v>
      </c>
      <c r="AA436" t="s">
        <v>33</v>
      </c>
      <c r="AB436">
        <f t="shared" si="231"/>
        <v>166.66666666666666</v>
      </c>
      <c r="AC436" s="1" t="str">
        <f t="shared" si="232"/>
        <v>NA</v>
      </c>
      <c r="AE436" s="3">
        <f t="shared" si="233"/>
        <v>312.5</v>
      </c>
      <c r="AF436">
        <v>500</v>
      </c>
      <c r="AG436" s="1" t="str">
        <f>IFERROR((N436*P436*Q436), "NA")</f>
        <v>NA</v>
      </c>
      <c r="AH436" s="1" t="str">
        <f>IFERROR((AG436*U436*AI436), "NA")</f>
        <v>NA</v>
      </c>
      <c r="AI436" s="1">
        <v>1</v>
      </c>
      <c r="AJ436" s="11" t="s">
        <v>31</v>
      </c>
      <c r="AK436">
        <v>1000</v>
      </c>
      <c r="AL436" t="s">
        <v>614</v>
      </c>
      <c r="AM436" s="3" t="s">
        <v>103</v>
      </c>
      <c r="AN436" t="s">
        <v>130</v>
      </c>
      <c r="AO436" t="s">
        <v>795</v>
      </c>
      <c r="AP436">
        <v>5.5</v>
      </c>
      <c r="AQ436" t="s">
        <v>33</v>
      </c>
      <c r="AR436" t="s">
        <v>33</v>
      </c>
      <c r="AS436">
        <v>8</v>
      </c>
      <c r="AT436">
        <f>AS436-AU436</f>
        <v>3.8499999999999996</v>
      </c>
      <c r="AU436" s="6">
        <v>4.1500000000000004</v>
      </c>
      <c r="AV436" t="b">
        <v>1</v>
      </c>
      <c r="AW436" t="s">
        <v>617</v>
      </c>
      <c r="AX436" t="s">
        <v>33</v>
      </c>
      <c r="AY436" t="s">
        <v>623</v>
      </c>
      <c r="AZ436" t="s">
        <v>621</v>
      </c>
      <c r="BA436" s="18" t="s">
        <v>802</v>
      </c>
      <c r="BB436" s="3" t="b">
        <v>0</v>
      </c>
      <c r="BC436" t="s">
        <v>81</v>
      </c>
      <c r="BD436">
        <v>18</v>
      </c>
      <c r="BE436" t="s">
        <v>80</v>
      </c>
      <c r="BF436">
        <v>24</v>
      </c>
      <c r="BG436" t="s">
        <v>642</v>
      </c>
      <c r="BH436" t="s">
        <v>32</v>
      </c>
      <c r="BI436" t="s">
        <v>31</v>
      </c>
      <c r="BJ436">
        <f t="shared" si="217"/>
        <v>4.1500000000000004</v>
      </c>
      <c r="BK436" s="3">
        <f t="shared" si="210"/>
        <v>0.61804809671209271</v>
      </c>
      <c r="BL436">
        <v>2</v>
      </c>
      <c r="BM436" s="3">
        <f t="shared" si="234"/>
        <v>1.8768019249680012</v>
      </c>
      <c r="BN436" t="s">
        <v>33</v>
      </c>
      <c r="BO436" s="3">
        <f t="shared" si="211"/>
        <v>75.301204819277103</v>
      </c>
      <c r="BP436" t="s">
        <v>33</v>
      </c>
      <c r="BQ436" t="s">
        <v>33</v>
      </c>
      <c r="BR436" t="s">
        <v>33</v>
      </c>
      <c r="BS436" t="s">
        <v>33</v>
      </c>
      <c r="BT436" t="s">
        <v>31</v>
      </c>
      <c r="BU436" t="s">
        <v>255</v>
      </c>
      <c r="BV436">
        <v>2010</v>
      </c>
      <c r="BW436" t="s">
        <v>651</v>
      </c>
      <c r="BX436" t="s">
        <v>78</v>
      </c>
      <c r="BY436" s="13" t="s">
        <v>674</v>
      </c>
      <c r="CA436" t="str">
        <f t="shared" si="212"/>
        <v>low acid</v>
      </c>
    </row>
    <row r="437" spans="1:79">
      <c r="A437" t="s">
        <v>584</v>
      </c>
      <c r="B437" t="s">
        <v>566</v>
      </c>
      <c r="C437" t="s">
        <v>563</v>
      </c>
      <c r="D437" t="s">
        <v>607</v>
      </c>
      <c r="E437" t="s">
        <v>77</v>
      </c>
      <c r="F437" t="s">
        <v>33</v>
      </c>
      <c r="G437">
        <v>20</v>
      </c>
      <c r="H437">
        <v>35</v>
      </c>
      <c r="I437" t="b">
        <v>0</v>
      </c>
      <c r="J437">
        <v>1000</v>
      </c>
      <c r="K437">
        <v>200</v>
      </c>
      <c r="L437">
        <v>30</v>
      </c>
      <c r="M437" s="4">
        <v>1</v>
      </c>
      <c r="N437" t="e">
        <f>(#REF!*Y437)/(T437*X437*O437)</f>
        <v>#REF!</v>
      </c>
      <c r="O437">
        <v>3</v>
      </c>
      <c r="P437" t="s">
        <v>33</v>
      </c>
      <c r="Q437" s="1">
        <f t="shared" si="219"/>
        <v>25.000000000000004</v>
      </c>
      <c r="R437" t="s">
        <v>183</v>
      </c>
      <c r="S437" t="s">
        <v>33</v>
      </c>
      <c r="T437">
        <v>1</v>
      </c>
      <c r="U437">
        <v>2.5</v>
      </c>
      <c r="V437" t="s">
        <v>33</v>
      </c>
      <c r="W437">
        <v>0.50249999999999995</v>
      </c>
      <c r="X437">
        <f>W437</f>
        <v>0.50249999999999995</v>
      </c>
      <c r="Y437" t="s">
        <v>33</v>
      </c>
      <c r="Z437" s="3">
        <f t="shared" si="230"/>
        <v>2.0099999999999996E-2</v>
      </c>
      <c r="AA437" t="s">
        <v>33</v>
      </c>
      <c r="AB437">
        <f t="shared" si="231"/>
        <v>25.000000000000004</v>
      </c>
      <c r="AC437" s="1" t="str">
        <f t="shared" si="232"/>
        <v>NA</v>
      </c>
      <c r="AE437" s="3">
        <f t="shared" si="233"/>
        <v>67.5</v>
      </c>
      <c r="AF437">
        <v>75</v>
      </c>
      <c r="AG437" s="1" t="str">
        <f>IFERROR((N437*P437*Q437), "NA")</f>
        <v>NA</v>
      </c>
      <c r="AH437" s="1" t="str">
        <f>IFERROR((AG437*U437*AI437), "NA")</f>
        <v>NA</v>
      </c>
      <c r="AI437" s="1">
        <v>1</v>
      </c>
      <c r="AJ437" s="11" t="s">
        <v>31</v>
      </c>
      <c r="AK437">
        <v>1000</v>
      </c>
      <c r="AL437" t="s">
        <v>614</v>
      </c>
      <c r="AM437" s="3" t="s">
        <v>103</v>
      </c>
      <c r="AN437" t="s">
        <v>305</v>
      </c>
      <c r="AO437" t="s">
        <v>790</v>
      </c>
      <c r="AP437">
        <v>3.5</v>
      </c>
      <c r="AQ437" t="s">
        <v>33</v>
      </c>
      <c r="AR437" t="s">
        <v>33</v>
      </c>
      <c r="AS437">
        <v>8</v>
      </c>
      <c r="AT437">
        <f>AS437-AU437</f>
        <v>3.8499999999999996</v>
      </c>
      <c r="AU437" s="6">
        <v>4.1500000000000004</v>
      </c>
      <c r="AV437" t="b">
        <v>1</v>
      </c>
      <c r="AW437" t="s">
        <v>617</v>
      </c>
      <c r="AX437" t="s">
        <v>33</v>
      </c>
      <c r="AY437" t="s">
        <v>623</v>
      </c>
      <c r="AZ437" t="s">
        <v>621</v>
      </c>
      <c r="BA437" s="18" t="s">
        <v>802</v>
      </c>
      <c r="BB437" s="3" t="b">
        <v>0</v>
      </c>
      <c r="BC437" t="s">
        <v>81</v>
      </c>
      <c r="BD437">
        <v>18</v>
      </c>
      <c r="BE437" t="s">
        <v>80</v>
      </c>
      <c r="BF437">
        <v>24</v>
      </c>
      <c r="BG437" t="s">
        <v>642</v>
      </c>
      <c r="BH437" t="s">
        <v>32</v>
      </c>
      <c r="BI437" t="s">
        <v>31</v>
      </c>
      <c r="BJ437">
        <f t="shared" si="217"/>
        <v>4.1500000000000004</v>
      </c>
      <c r="BK437" s="3">
        <f t="shared" si="210"/>
        <v>0.61804809671209271</v>
      </c>
      <c r="BL437">
        <v>2</v>
      </c>
      <c r="BM437" s="3">
        <f t="shared" si="234"/>
        <v>1.2112556761189321</v>
      </c>
      <c r="BN437" t="s">
        <v>33</v>
      </c>
      <c r="BO437" s="3">
        <f t="shared" si="211"/>
        <v>16.265060240963855</v>
      </c>
      <c r="BP437" t="s">
        <v>33</v>
      </c>
      <c r="BQ437" t="s">
        <v>33</v>
      </c>
      <c r="BR437" t="s">
        <v>33</v>
      </c>
      <c r="BS437" t="s">
        <v>33</v>
      </c>
      <c r="BT437" t="s">
        <v>31</v>
      </c>
      <c r="BU437" t="s">
        <v>255</v>
      </c>
      <c r="BV437">
        <v>2010</v>
      </c>
      <c r="BW437" t="s">
        <v>651</v>
      </c>
      <c r="BX437" t="s">
        <v>78</v>
      </c>
      <c r="BY437" s="13" t="s">
        <v>674</v>
      </c>
      <c r="CA437" t="str">
        <f t="shared" si="212"/>
        <v>high acid</v>
      </c>
    </row>
    <row r="438" spans="1:79">
      <c r="A438" t="s">
        <v>597</v>
      </c>
      <c r="B438" t="s">
        <v>565</v>
      </c>
      <c r="C438" t="s">
        <v>563</v>
      </c>
      <c r="D438" t="s">
        <v>33</v>
      </c>
      <c r="E438" t="s">
        <v>77</v>
      </c>
      <c r="F438" t="s">
        <v>33</v>
      </c>
      <c r="G438">
        <v>20</v>
      </c>
      <c r="H438">
        <v>35</v>
      </c>
      <c r="I438" t="b">
        <v>0</v>
      </c>
      <c r="J438" t="s">
        <v>33</v>
      </c>
      <c r="K438" t="s">
        <v>33</v>
      </c>
      <c r="L438">
        <v>22</v>
      </c>
      <c r="M438" s="4">
        <v>1</v>
      </c>
      <c r="N438" t="e">
        <f>(#REF!*Y438)/(T438*X438*O438)</f>
        <v>#REF!</v>
      </c>
      <c r="O438">
        <v>2</v>
      </c>
      <c r="P438" t="s">
        <v>33</v>
      </c>
      <c r="Q438" s="1">
        <f t="shared" si="219"/>
        <v>799.2</v>
      </c>
      <c r="R438" t="s">
        <v>183</v>
      </c>
      <c r="S438" t="s">
        <v>33</v>
      </c>
      <c r="T438">
        <v>1</v>
      </c>
      <c r="U438">
        <v>2.5</v>
      </c>
      <c r="V438" t="s">
        <v>33</v>
      </c>
      <c r="W438">
        <v>0.50249999999999995</v>
      </c>
      <c r="X438">
        <f>W438</f>
        <v>0.50249999999999995</v>
      </c>
      <c r="Y438" t="s">
        <v>33</v>
      </c>
      <c r="Z438" s="3">
        <f t="shared" si="230"/>
        <v>6.2875375375375366E-4</v>
      </c>
      <c r="AA438" t="s">
        <v>33</v>
      </c>
      <c r="AB438">
        <f t="shared" si="231"/>
        <v>799.2</v>
      </c>
      <c r="AC438" s="1" t="str">
        <f t="shared" si="232"/>
        <v>NA</v>
      </c>
      <c r="AE438" s="3">
        <f t="shared" si="233"/>
        <v>1547.2512000000002</v>
      </c>
      <c r="AF438">
        <v>1598.4</v>
      </c>
      <c r="AG438" s="1" t="str">
        <f>IFERROR((N438*P438*Q438), "NA")</f>
        <v>NA</v>
      </c>
      <c r="AH438" s="1" t="str">
        <f>IFERROR((AG438*U438*AI438), "NA")</f>
        <v>NA</v>
      </c>
      <c r="AI438" s="1">
        <v>1</v>
      </c>
      <c r="AJ438" s="11" t="s">
        <v>31</v>
      </c>
      <c r="AK438">
        <v>2000</v>
      </c>
      <c r="AL438" t="s">
        <v>784</v>
      </c>
      <c r="AM438" s="3" t="s">
        <v>103</v>
      </c>
      <c r="AN438" t="s">
        <v>130</v>
      </c>
      <c r="AO438" t="s">
        <v>795</v>
      </c>
      <c r="AP438">
        <v>7</v>
      </c>
      <c r="AQ438" t="s">
        <v>33</v>
      </c>
      <c r="AR438" t="s">
        <v>33</v>
      </c>
      <c r="AS438">
        <v>9</v>
      </c>
      <c r="AT438">
        <f>AS438-AU438</f>
        <v>3.8499999999999996</v>
      </c>
      <c r="AU438" s="6">
        <v>5.15</v>
      </c>
      <c r="AV438" t="b">
        <v>1</v>
      </c>
      <c r="AW438" t="s">
        <v>617</v>
      </c>
      <c r="AX438" t="s">
        <v>635</v>
      </c>
      <c r="AY438" t="s">
        <v>636</v>
      </c>
      <c r="AZ438" t="s">
        <v>33</v>
      </c>
      <c r="BA438" s="18" t="s">
        <v>802</v>
      </c>
      <c r="BB438" s="3" t="b">
        <v>0</v>
      </c>
      <c r="BC438" t="s">
        <v>81</v>
      </c>
      <c r="BD438">
        <v>24</v>
      </c>
      <c r="BE438" t="s">
        <v>80</v>
      </c>
      <c r="BF438">
        <v>24</v>
      </c>
      <c r="BG438" t="s">
        <v>644</v>
      </c>
      <c r="BH438" t="s">
        <v>31</v>
      </c>
      <c r="BI438" t="s">
        <v>32</v>
      </c>
      <c r="BJ438">
        <f t="shared" si="217"/>
        <v>5.15</v>
      </c>
      <c r="BK438" s="3">
        <f t="shared" si="210"/>
        <v>0.71180722904119109</v>
      </c>
      <c r="BL438">
        <v>2</v>
      </c>
      <c r="BM438" s="3">
        <f t="shared" si="234"/>
        <v>2.4777535991491098</v>
      </c>
      <c r="BN438" t="s">
        <v>33</v>
      </c>
      <c r="BO438" s="3">
        <f t="shared" si="211"/>
        <v>300.43712621359225</v>
      </c>
      <c r="BP438" t="s">
        <v>33</v>
      </c>
      <c r="BQ438" t="s">
        <v>33</v>
      </c>
      <c r="BR438" t="s">
        <v>33</v>
      </c>
      <c r="BS438" t="s">
        <v>33</v>
      </c>
      <c r="BT438" t="s">
        <v>31</v>
      </c>
      <c r="BU438" t="s">
        <v>664</v>
      </c>
      <c r="BV438">
        <v>2000</v>
      </c>
      <c r="BW438" t="s">
        <v>665</v>
      </c>
      <c r="BX438" t="s">
        <v>78</v>
      </c>
      <c r="BY438" s="13" t="s">
        <v>685</v>
      </c>
      <c r="CA438" t="str">
        <f t="shared" si="212"/>
        <v>low acid</v>
      </c>
    </row>
    <row r="439" spans="1:79">
      <c r="A439" t="s">
        <v>595</v>
      </c>
      <c r="B439" t="s">
        <v>565</v>
      </c>
      <c r="C439" t="s">
        <v>564</v>
      </c>
      <c r="D439" t="s">
        <v>609</v>
      </c>
      <c r="E439" t="s">
        <v>77</v>
      </c>
      <c r="F439" t="s">
        <v>32</v>
      </c>
      <c r="G439">
        <v>30</v>
      </c>
      <c r="H439">
        <v>38.200000000000003</v>
      </c>
      <c r="I439" t="b">
        <v>0</v>
      </c>
      <c r="J439" t="s">
        <v>33</v>
      </c>
      <c r="K439" t="s">
        <v>33</v>
      </c>
      <c r="L439">
        <v>24</v>
      </c>
      <c r="M439" s="4">
        <v>120</v>
      </c>
      <c r="N439" t="e">
        <f>(#REF!*Y439)/(T439*X439*O439)</f>
        <v>#REF!</v>
      </c>
      <c r="O439">
        <v>6</v>
      </c>
      <c r="P439" t="s">
        <v>33</v>
      </c>
      <c r="Q439" s="1">
        <f t="shared" si="219"/>
        <v>5.2083333333333329E-2</v>
      </c>
      <c r="R439" t="s">
        <v>183</v>
      </c>
      <c r="S439" t="s">
        <v>612</v>
      </c>
      <c r="T439">
        <v>4</v>
      </c>
      <c r="U439">
        <v>3</v>
      </c>
      <c r="V439">
        <v>2.6</v>
      </c>
      <c r="W439" t="s">
        <v>33</v>
      </c>
      <c r="X439">
        <f>IFERROR(((PI())*(((V439*10^-1)/2)^2)*(U439*10^-1)), "NA")</f>
        <v>1.5927874753700257E-2</v>
      </c>
      <c r="Y439">
        <v>0.126667</v>
      </c>
      <c r="Z439" s="3">
        <f t="shared" si="230"/>
        <v>0.30581519527104495</v>
      </c>
      <c r="AA439" t="s">
        <v>33</v>
      </c>
      <c r="AB439">
        <f t="shared" si="231"/>
        <v>6.25</v>
      </c>
      <c r="AC439" s="1" t="str">
        <f t="shared" si="232"/>
        <v>NA</v>
      </c>
      <c r="AE439" s="3">
        <f t="shared" si="233"/>
        <v>84.671999999999983</v>
      </c>
      <c r="AF439">
        <v>150</v>
      </c>
      <c r="AG439" s="1" t="str">
        <f>IFERROR((N439*P439*Q439), "NA")</f>
        <v>NA</v>
      </c>
      <c r="AH439" s="1" t="str">
        <f>IFERROR((AG439*U439*AI439), "NA")</f>
        <v>NA</v>
      </c>
      <c r="AI439" s="1">
        <v>1</v>
      </c>
      <c r="AJ439" s="11" t="s">
        <v>31</v>
      </c>
      <c r="AK439">
        <v>980</v>
      </c>
      <c r="AL439" t="s">
        <v>551</v>
      </c>
      <c r="AM439" t="s">
        <v>86</v>
      </c>
      <c r="AN439" t="s">
        <v>186</v>
      </c>
      <c r="AO439" t="s">
        <v>794</v>
      </c>
      <c r="AP439">
        <v>5.98</v>
      </c>
      <c r="AQ439" t="s">
        <v>33</v>
      </c>
      <c r="AR439" t="s">
        <v>33</v>
      </c>
      <c r="AS439">
        <v>6</v>
      </c>
      <c r="AT439">
        <f>AS439-AU439</f>
        <v>3.85</v>
      </c>
      <c r="AU439" s="6">
        <v>2.15</v>
      </c>
      <c r="AV439" t="b">
        <v>1</v>
      </c>
      <c r="AW439" t="s">
        <v>626</v>
      </c>
      <c r="AX439" t="s">
        <v>627</v>
      </c>
      <c r="AY439" t="s">
        <v>631</v>
      </c>
      <c r="AZ439" t="s">
        <v>33</v>
      </c>
      <c r="BA439" s="18" t="s">
        <v>800</v>
      </c>
      <c r="BB439" s="3" t="b">
        <v>0</v>
      </c>
      <c r="BC439" t="s">
        <v>81</v>
      </c>
      <c r="BD439">
        <v>20</v>
      </c>
      <c r="BE439" t="s">
        <v>80</v>
      </c>
      <c r="BF439">
        <v>20</v>
      </c>
      <c r="BG439" t="s">
        <v>695</v>
      </c>
      <c r="BH439" t="s">
        <v>32</v>
      </c>
      <c r="BI439" t="s">
        <v>31</v>
      </c>
      <c r="BJ439">
        <f t="shared" si="217"/>
        <v>2.15</v>
      </c>
      <c r="BK439" s="3">
        <f t="shared" si="210"/>
        <v>0.33243845991560533</v>
      </c>
      <c r="BL439">
        <v>2</v>
      </c>
      <c r="BM439" s="3">
        <f t="shared" si="234"/>
        <v>1.5953013582557827</v>
      </c>
      <c r="BN439" t="s">
        <v>33</v>
      </c>
      <c r="BO439" s="3">
        <f t="shared" si="211"/>
        <v>39.382325581395342</v>
      </c>
      <c r="BP439" t="s">
        <v>33</v>
      </c>
      <c r="BQ439" t="s">
        <v>33</v>
      </c>
      <c r="BR439" t="s">
        <v>33</v>
      </c>
      <c r="BS439" t="s">
        <v>33</v>
      </c>
      <c r="BT439" t="s">
        <v>32</v>
      </c>
      <c r="BU439" t="s">
        <v>207</v>
      </c>
      <c r="BV439">
        <v>2014</v>
      </c>
      <c r="BW439" t="s">
        <v>208</v>
      </c>
      <c r="BX439" t="s">
        <v>78</v>
      </c>
      <c r="BY439" s="13" t="s">
        <v>683</v>
      </c>
      <c r="CA439" t="str">
        <f t="shared" si="212"/>
        <v>low acid</v>
      </c>
    </row>
    <row r="440" spans="1:79">
      <c r="A440" t="s">
        <v>332</v>
      </c>
      <c r="B440" t="s">
        <v>565</v>
      </c>
      <c r="C440" t="s">
        <v>563</v>
      </c>
      <c r="D440" t="s">
        <v>118</v>
      </c>
      <c r="E440" t="s">
        <v>77</v>
      </c>
      <c r="F440" t="s">
        <v>32</v>
      </c>
      <c r="G440">
        <v>15</v>
      </c>
      <c r="H440">
        <v>30.4</v>
      </c>
      <c r="I440" t="b">
        <v>0</v>
      </c>
      <c r="J440" t="s">
        <v>33</v>
      </c>
      <c r="K440" t="s">
        <v>33</v>
      </c>
      <c r="L440">
        <v>27.5</v>
      </c>
      <c r="M440" s="4">
        <v>200</v>
      </c>
      <c r="N440" s="3">
        <f>IFERROR(AF440/((T440*X440/Y440)*O440*AI440),"NA")</f>
        <v>3454.7028257350348</v>
      </c>
      <c r="O440">
        <v>5</v>
      </c>
      <c r="P440" t="s">
        <v>33</v>
      </c>
      <c r="Q440" s="8">
        <f t="shared" si="219"/>
        <v>6.2500000000000014E-2</v>
      </c>
      <c r="R440" t="s">
        <v>183</v>
      </c>
      <c r="S440" t="s">
        <v>613</v>
      </c>
      <c r="T440" s="11">
        <v>8</v>
      </c>
      <c r="U440">
        <v>2.9</v>
      </c>
      <c r="V440">
        <v>2.2999999999999998</v>
      </c>
      <c r="W440">
        <v>1.2E-2</v>
      </c>
      <c r="X440" s="8">
        <f>IFERROR(((PI())*(((V440*10^-1)/2)^2)*(U440*10^-1)), "NA")</f>
        <v>1.204879322468025E-2</v>
      </c>
      <c r="Y440">
        <v>3.33</v>
      </c>
      <c r="Z440" s="3">
        <f t="shared" si="230"/>
        <v>0.19278069159488398</v>
      </c>
      <c r="AA440" t="s">
        <v>33</v>
      </c>
      <c r="AB440" s="6">
        <f t="shared" si="231"/>
        <v>12.500000000000002</v>
      </c>
      <c r="AC440" t="str">
        <f t="shared" si="232"/>
        <v>NA</v>
      </c>
      <c r="AD440" s="4">
        <f>AB440*T440*AI440</f>
        <v>100.00000000000001</v>
      </c>
      <c r="AE440" s="3">
        <f t="shared" si="233"/>
        <v>794.06250000000023</v>
      </c>
      <c r="AF440">
        <v>500</v>
      </c>
      <c r="AG440" t="str">
        <f>IFERROR((M440*O440*P440), "NA")</f>
        <v>NA</v>
      </c>
      <c r="AH440" t="str">
        <f>IFERROR((AG440*T440*AI440), "NA")</f>
        <v>NA</v>
      </c>
      <c r="AI440">
        <v>1</v>
      </c>
      <c r="AJ440" t="s">
        <v>31</v>
      </c>
      <c r="AK440">
        <v>2100</v>
      </c>
      <c r="AL440" t="s">
        <v>551</v>
      </c>
      <c r="AM440" t="s">
        <v>86</v>
      </c>
      <c r="AN440" t="s">
        <v>205</v>
      </c>
      <c r="AO440" t="s">
        <v>789</v>
      </c>
      <c r="AP440">
        <v>3.79</v>
      </c>
      <c r="AQ440">
        <v>1060</v>
      </c>
      <c r="AR440" t="s">
        <v>33</v>
      </c>
      <c r="AS440" s="6">
        <f>LOG((10^6+10^7)/2)</f>
        <v>6.7403626894942441</v>
      </c>
      <c r="AT440" s="3">
        <f>IFERROR(AS440-AU440,"NA")</f>
        <v>3.8603626894942442</v>
      </c>
      <c r="AU440" s="6">
        <v>2.88</v>
      </c>
      <c r="AV440" t="b">
        <v>1</v>
      </c>
      <c r="AW440" t="s">
        <v>172</v>
      </c>
      <c r="AX440" t="s">
        <v>173</v>
      </c>
      <c r="AY440" t="s">
        <v>333</v>
      </c>
      <c r="AZ440" t="s">
        <v>33</v>
      </c>
      <c r="BA440" s="18" t="s">
        <v>799</v>
      </c>
      <c r="BB440" t="b">
        <v>0</v>
      </c>
      <c r="BC440" t="s">
        <v>81</v>
      </c>
      <c r="BD440">
        <v>72</v>
      </c>
      <c r="BE440" t="s">
        <v>80</v>
      </c>
      <c r="BF440" s="11">
        <v>168</v>
      </c>
      <c r="BG440" t="s">
        <v>334</v>
      </c>
      <c r="BH440" t="s">
        <v>31</v>
      </c>
      <c r="BI440" t="s">
        <v>31</v>
      </c>
      <c r="BJ440" s="3">
        <f t="shared" si="217"/>
        <v>2.88</v>
      </c>
      <c r="BK440" s="3">
        <f t="shared" si="210"/>
        <v>0.45939248775923086</v>
      </c>
      <c r="BL440">
        <v>2</v>
      </c>
      <c r="BM440" s="3">
        <f t="shared" si="234"/>
        <v>2.4404621989712325</v>
      </c>
      <c r="BN440" t="s">
        <v>33</v>
      </c>
      <c r="BO440" s="3">
        <f t="shared" si="211"/>
        <v>275.71614583333343</v>
      </c>
      <c r="BP440" t="s">
        <v>33</v>
      </c>
      <c r="BQ440" t="s">
        <v>33</v>
      </c>
      <c r="BR440" t="s">
        <v>33</v>
      </c>
      <c r="BS440" t="s">
        <v>33</v>
      </c>
      <c r="BT440" t="s">
        <v>31</v>
      </c>
      <c r="BU440" t="s">
        <v>330</v>
      </c>
      <c r="BV440">
        <v>2009</v>
      </c>
      <c r="BW440" t="s">
        <v>331</v>
      </c>
      <c r="BX440" t="s">
        <v>78</v>
      </c>
      <c r="BY440" t="s">
        <v>33</v>
      </c>
      <c r="BZ440" t="s">
        <v>33</v>
      </c>
      <c r="CA440" t="str">
        <f t="shared" si="212"/>
        <v>high acid</v>
      </c>
    </row>
    <row r="441" spans="1:79">
      <c r="A441" t="s">
        <v>383</v>
      </c>
      <c r="B441" t="s">
        <v>565</v>
      </c>
      <c r="C441" t="s">
        <v>563</v>
      </c>
      <c r="D441" t="s">
        <v>378</v>
      </c>
      <c r="E441" t="s">
        <v>77</v>
      </c>
      <c r="F441" t="s">
        <v>32</v>
      </c>
      <c r="G441">
        <v>30</v>
      </c>
      <c r="H441">
        <v>41</v>
      </c>
      <c r="I441" t="b">
        <v>1</v>
      </c>
      <c r="J441">
        <v>5438</v>
      </c>
      <c r="K441">
        <v>16.899999999999999</v>
      </c>
      <c r="L441">
        <v>20</v>
      </c>
      <c r="M441" s="4">
        <v>250</v>
      </c>
      <c r="N441" s="3">
        <f>IFERROR(AF441/((T441*X441/Y441)*O441*AI441),"NA")</f>
        <v>251.11113243387931</v>
      </c>
      <c r="O441">
        <v>4</v>
      </c>
      <c r="P441" t="s">
        <v>33</v>
      </c>
      <c r="Q441" s="8">
        <f t="shared" si="219"/>
        <v>1.4200000000000001E-2</v>
      </c>
      <c r="R441" t="s">
        <v>183</v>
      </c>
      <c r="S441" t="s">
        <v>612</v>
      </c>
      <c r="T441" s="11">
        <v>6</v>
      </c>
      <c r="U441">
        <v>2.7</v>
      </c>
      <c r="V441">
        <v>2</v>
      </c>
      <c r="W441">
        <v>8.5000000000000006E-3</v>
      </c>
      <c r="X441" s="8">
        <f>IFERROR(((PI())*(((V441*10^-1)/2)^2)*(U441*10^-1)), "NA")</f>
        <v>8.4823001646924419E-3</v>
      </c>
      <c r="Y441">
        <f>36/60</f>
        <v>0.6</v>
      </c>
      <c r="Z441" s="3">
        <f t="shared" si="230"/>
        <v>0.59734508202059444</v>
      </c>
      <c r="AA441">
        <f>21.3/6</f>
        <v>3.5500000000000003</v>
      </c>
      <c r="AB441" s="6">
        <f t="shared" si="231"/>
        <v>3.5500000000000003</v>
      </c>
      <c r="AC441" t="str">
        <f t="shared" si="232"/>
        <v>NA</v>
      </c>
      <c r="AD441" s="4">
        <f>IFERROR(AB441*T441*AI441, "NA")</f>
        <v>21.3</v>
      </c>
      <c r="AE441" s="3">
        <f t="shared" si="233"/>
        <v>136.32000000000002</v>
      </c>
      <c r="AF441">
        <f>AA441*O441*T441*AI441</f>
        <v>85.2</v>
      </c>
      <c r="AG441" t="str">
        <f>IFERROR((M441*O441*P441), "NA")</f>
        <v>NA</v>
      </c>
      <c r="AH441" t="str">
        <f>IFERROR((AG441*T441*AI441), "NA")</f>
        <v>NA</v>
      </c>
      <c r="AI441" s="1">
        <v>1</v>
      </c>
      <c r="AJ441" t="s">
        <v>31</v>
      </c>
      <c r="AK441">
        <v>4000</v>
      </c>
      <c r="AL441" t="s">
        <v>545</v>
      </c>
      <c r="AM441" t="s">
        <v>103</v>
      </c>
      <c r="AN441" t="s">
        <v>130</v>
      </c>
      <c r="AO441" t="s">
        <v>795</v>
      </c>
      <c r="AP441">
        <v>7</v>
      </c>
      <c r="AQ441" t="s">
        <v>33</v>
      </c>
      <c r="AR441" t="s">
        <v>33</v>
      </c>
      <c r="AS441" s="6">
        <f>LOG(10^8)</f>
        <v>8</v>
      </c>
      <c r="AT441" s="3">
        <f>IFERROR(AS441-AU441,"NA")</f>
        <v>3.867</v>
      </c>
      <c r="AU441" s="6">
        <v>4.133</v>
      </c>
      <c r="AV441" t="b">
        <v>1</v>
      </c>
      <c r="AW441" t="s">
        <v>29</v>
      </c>
      <c r="AX441" t="s">
        <v>30</v>
      </c>
      <c r="AY441" t="s">
        <v>226</v>
      </c>
      <c r="AZ441" t="s">
        <v>33</v>
      </c>
      <c r="BA441" s="18" t="s">
        <v>798</v>
      </c>
      <c r="BB441" t="b">
        <v>0</v>
      </c>
      <c r="BC441" t="s">
        <v>81</v>
      </c>
      <c r="BD441">
        <v>14</v>
      </c>
      <c r="BE441" t="s">
        <v>80</v>
      </c>
      <c r="BF441" s="11">
        <v>48</v>
      </c>
      <c r="BG441" t="s">
        <v>139</v>
      </c>
      <c r="BH441" t="s">
        <v>31</v>
      </c>
      <c r="BI441" t="s">
        <v>31</v>
      </c>
      <c r="BJ441" s="3">
        <f t="shared" si="217"/>
        <v>4.133</v>
      </c>
      <c r="BK441" s="3">
        <f t="shared" si="210"/>
        <v>0.61626540528170815</v>
      </c>
      <c r="BL441">
        <v>2</v>
      </c>
      <c r="BM441" s="3">
        <f t="shared" si="234"/>
        <v>1.5182941721409169</v>
      </c>
      <c r="BN441" t="s">
        <v>33</v>
      </c>
      <c r="BO441" s="3">
        <f t="shared" si="211"/>
        <v>32.98330510525043</v>
      </c>
      <c r="BP441" t="s">
        <v>33</v>
      </c>
      <c r="BQ441" t="s">
        <v>33</v>
      </c>
      <c r="BR441" t="s">
        <v>33</v>
      </c>
      <c r="BS441" t="s">
        <v>33</v>
      </c>
      <c r="BT441" t="s">
        <v>31</v>
      </c>
      <c r="BU441" t="s">
        <v>227</v>
      </c>
      <c r="BV441">
        <v>2004</v>
      </c>
      <c r="BW441" t="s">
        <v>381</v>
      </c>
      <c r="BX441" t="s">
        <v>78</v>
      </c>
      <c r="BY441" t="s">
        <v>33</v>
      </c>
      <c r="BZ441" t="s">
        <v>33</v>
      </c>
      <c r="CA441" t="str">
        <f t="shared" si="212"/>
        <v>low acid</v>
      </c>
    </row>
    <row r="442" spans="1:79">
      <c r="A442" t="s">
        <v>698</v>
      </c>
      <c r="B442" t="s">
        <v>566</v>
      </c>
      <c r="C442" t="s">
        <v>563</v>
      </c>
      <c r="D442" t="s">
        <v>699</v>
      </c>
      <c r="E442" t="s">
        <v>77</v>
      </c>
      <c r="F442" t="s">
        <v>32</v>
      </c>
      <c r="G442">
        <v>20</v>
      </c>
      <c r="H442">
        <v>64</v>
      </c>
      <c r="I442" t="b">
        <v>1</v>
      </c>
      <c r="J442" t="s">
        <v>33</v>
      </c>
      <c r="K442" t="s">
        <v>33</v>
      </c>
      <c r="L442">
        <v>20</v>
      </c>
      <c r="M442" s="4">
        <v>64</v>
      </c>
      <c r="N442" s="3">
        <f>IFERROR(AF442/((T442*X442/Y442)*O442*AI442),"NA")</f>
        <v>63.657407407407391</v>
      </c>
      <c r="O442">
        <v>5</v>
      </c>
      <c r="P442">
        <v>0.43</v>
      </c>
      <c r="Q442" s="8">
        <f>IFERROR(X442/Y442, "NA")</f>
        <v>0.43200000000000011</v>
      </c>
      <c r="R442" t="s">
        <v>183</v>
      </c>
      <c r="S442" t="s">
        <v>612</v>
      </c>
      <c r="T442" s="11">
        <v>1</v>
      </c>
      <c r="U442">
        <v>4</v>
      </c>
      <c r="V442" t="s">
        <v>33</v>
      </c>
      <c r="W442">
        <f>0.4*3*0.5</f>
        <v>0.60000000000000009</v>
      </c>
      <c r="X442" s="9">
        <f>W442</f>
        <v>0.60000000000000009</v>
      </c>
      <c r="Y442" s="6">
        <f>5000/3600</f>
        <v>1.3888888888888888</v>
      </c>
      <c r="Z442" s="3">
        <f t="shared" si="230"/>
        <v>1.3963636363636365</v>
      </c>
      <c r="AA442" t="s">
        <v>33</v>
      </c>
      <c r="AB442" s="4">
        <f>IFERROR(((X442*M442)/Y442), "NA")</f>
        <v>27.648000000000007</v>
      </c>
      <c r="AC442" s="4">
        <f t="shared" si="232"/>
        <v>27.52</v>
      </c>
      <c r="AD442" s="4">
        <f>AB442*T442*AI442</f>
        <v>27.648000000000007</v>
      </c>
      <c r="AE442" s="3">
        <f t="shared" si="233"/>
        <v>110.59200000000003</v>
      </c>
      <c r="AF442">
        <v>137.5</v>
      </c>
      <c r="AG442" s="4">
        <f>IFERROR((M442*O442*P442), "NA")</f>
        <v>137.6</v>
      </c>
      <c r="AH442" s="4">
        <f>IFERROR((AG442*T442*AI442), "NA")</f>
        <v>137.6</v>
      </c>
      <c r="AI442">
        <v>1</v>
      </c>
      <c r="AJ442" s="11" t="s">
        <v>31</v>
      </c>
      <c r="AK442">
        <v>2000</v>
      </c>
      <c r="AL442" t="s">
        <v>784</v>
      </c>
      <c r="AM442" t="s">
        <v>103</v>
      </c>
      <c r="AN442" t="s">
        <v>130</v>
      </c>
      <c r="AO442" t="s">
        <v>795</v>
      </c>
      <c r="AP442">
        <v>7</v>
      </c>
      <c r="AQ442" t="s">
        <v>33</v>
      </c>
      <c r="AR442" t="s">
        <v>33</v>
      </c>
      <c r="AS442" s="6">
        <f>LOG(AVERAGE(10^8, 10^9))</f>
        <v>8.7403626894942441</v>
      </c>
      <c r="AT442" s="3">
        <f>IFERROR(AS442-AU442,"NA")</f>
        <v>3.870362689494244</v>
      </c>
      <c r="AU442" s="6">
        <v>4.87</v>
      </c>
      <c r="AV442" t="b">
        <v>1</v>
      </c>
      <c r="AW442" t="s">
        <v>29</v>
      </c>
      <c r="AX442" t="s">
        <v>30</v>
      </c>
      <c r="AY442" t="s">
        <v>700</v>
      </c>
      <c r="AZ442" t="s">
        <v>33</v>
      </c>
      <c r="BA442" s="18" t="s">
        <v>798</v>
      </c>
      <c r="BB442" s="3" t="b">
        <v>0</v>
      </c>
      <c r="BC442" t="s">
        <v>81</v>
      </c>
      <c r="BD442">
        <v>24</v>
      </c>
      <c r="BE442" t="s">
        <v>80</v>
      </c>
      <c r="BF442">
        <v>24</v>
      </c>
      <c r="BG442" t="s">
        <v>568</v>
      </c>
      <c r="BH442" t="s">
        <v>31</v>
      </c>
      <c r="BI442" t="s">
        <v>31</v>
      </c>
      <c r="BJ442" s="3">
        <f t="shared" si="217"/>
        <v>4.87</v>
      </c>
      <c r="BK442" s="3">
        <f t="shared" si="210"/>
        <v>0.68752896121463436</v>
      </c>
      <c r="BL442">
        <v>2</v>
      </c>
      <c r="BM442" s="3">
        <f t="shared" si="234"/>
        <v>1.3561947509121275</v>
      </c>
      <c r="BN442" t="s">
        <v>33</v>
      </c>
      <c r="BO442" s="3">
        <f t="shared" si="211"/>
        <v>22.708829568788506</v>
      </c>
      <c r="BP442" t="s">
        <v>33</v>
      </c>
      <c r="BQ442" t="s">
        <v>33</v>
      </c>
      <c r="BR442" t="s">
        <v>33</v>
      </c>
      <c r="BS442" t="s">
        <v>33</v>
      </c>
      <c r="BT442" t="s">
        <v>32</v>
      </c>
      <c r="BU442" t="s">
        <v>709</v>
      </c>
      <c r="BV442">
        <v>2024</v>
      </c>
      <c r="BW442" t="s">
        <v>710</v>
      </c>
      <c r="BX442" t="s">
        <v>78</v>
      </c>
      <c r="BY442" t="s">
        <v>711</v>
      </c>
      <c r="CA442" t="str">
        <f t="shared" si="212"/>
        <v>low acid</v>
      </c>
    </row>
    <row r="443" spans="1:79">
      <c r="A443" t="s">
        <v>534</v>
      </c>
      <c r="B443" t="s">
        <v>565</v>
      </c>
      <c r="C443" t="s">
        <v>564</v>
      </c>
      <c r="D443" t="s">
        <v>243</v>
      </c>
      <c r="E443" t="s">
        <v>77</v>
      </c>
      <c r="F443" t="s">
        <v>32</v>
      </c>
      <c r="G443">
        <v>40</v>
      </c>
      <c r="H443">
        <v>50.2</v>
      </c>
      <c r="I443" t="b">
        <v>0</v>
      </c>
      <c r="J443" t="s">
        <v>33</v>
      </c>
      <c r="K443" t="s">
        <v>33</v>
      </c>
      <c r="L443">
        <v>27</v>
      </c>
      <c r="M443" s="4">
        <v>120</v>
      </c>
      <c r="N443" s="3">
        <f>IFERROR(AF443/((T443*X443/Y443)*O443*AI443),"NA")</f>
        <v>601.6705606695582</v>
      </c>
      <c r="O443">
        <v>3</v>
      </c>
      <c r="P443" t="s">
        <v>33</v>
      </c>
      <c r="Q443" s="8">
        <f t="shared" ref="Q443:Q450" si="235">IFERROR(X443/Z443, "NA")</f>
        <v>0.19166666666666665</v>
      </c>
      <c r="R443" t="s">
        <v>183</v>
      </c>
      <c r="S443" t="s">
        <v>612</v>
      </c>
      <c r="T443" s="11">
        <v>4</v>
      </c>
      <c r="U443">
        <v>3</v>
      </c>
      <c r="V443">
        <v>2.6</v>
      </c>
      <c r="W443">
        <v>1.5900000000000001E-2</v>
      </c>
      <c r="X443" s="8">
        <f>IFERROR(((PI())*(((V443*10^-1)/2)^2)*(U443*10^-1)), "NA")</f>
        <v>1.5927874753700257E-2</v>
      </c>
      <c r="Y443" s="6">
        <f>25/60</f>
        <v>0.41666666666666669</v>
      </c>
      <c r="Z443" s="3">
        <f t="shared" si="230"/>
        <v>8.3101955236697E-2</v>
      </c>
      <c r="AA443" t="s">
        <v>33</v>
      </c>
      <c r="AB443" s="6">
        <f t="shared" ref="AB443:AB450" si="236">IFERROR(((X443*M443)/Z443), "NA")</f>
        <v>22.999999999999996</v>
      </c>
      <c r="AC443" t="str">
        <f t="shared" si="232"/>
        <v>NA</v>
      </c>
      <c r="AD443" s="4">
        <f>IFERROR(AB443*T443*AI443, "NA")</f>
        <v>91.999999999999986</v>
      </c>
      <c r="AE443" s="3">
        <f t="shared" si="233"/>
        <v>185.10767999999999</v>
      </c>
      <c r="AF443">
        <v>276</v>
      </c>
      <c r="AG443" t="str">
        <f>IFERROR((M443*O443*P443), "NA")</f>
        <v>NA</v>
      </c>
      <c r="AH443" t="str">
        <f>IFERROR((AG443*T443*AI443), "NA")</f>
        <v>NA</v>
      </c>
      <c r="AI443" s="11">
        <v>1</v>
      </c>
      <c r="AJ443" t="s">
        <v>31</v>
      </c>
      <c r="AK443">
        <v>920</v>
      </c>
      <c r="AL443" t="s">
        <v>551</v>
      </c>
      <c r="AM443" t="s">
        <v>86</v>
      </c>
      <c r="AN443" t="s">
        <v>186</v>
      </c>
      <c r="AO443" t="s">
        <v>794</v>
      </c>
      <c r="AP443">
        <v>5.92</v>
      </c>
      <c r="AQ443" t="s">
        <v>33</v>
      </c>
      <c r="AR443" t="s">
        <v>33</v>
      </c>
      <c r="AS443" s="6">
        <f>LOG(1.4*10^6)</f>
        <v>6.1461280356782382</v>
      </c>
      <c r="AT443" s="3">
        <f>IFERROR(AS443-AU443,"NA")</f>
        <v>3.8721280356782382</v>
      </c>
      <c r="AU443" s="6">
        <v>2.274</v>
      </c>
      <c r="AV443" t="b">
        <v>1</v>
      </c>
      <c r="AW443" t="s">
        <v>29</v>
      </c>
      <c r="AX443" t="s">
        <v>30</v>
      </c>
      <c r="AY443" t="s">
        <v>244</v>
      </c>
      <c r="AZ443" t="s">
        <v>33</v>
      </c>
      <c r="BA443" s="18" t="s">
        <v>798</v>
      </c>
      <c r="BB443" t="b">
        <v>0</v>
      </c>
      <c r="BC443" t="s">
        <v>81</v>
      </c>
      <c r="BD443">
        <v>20</v>
      </c>
      <c r="BE443" t="s">
        <v>80</v>
      </c>
      <c r="BF443" s="11">
        <v>20</v>
      </c>
      <c r="BG443" t="s">
        <v>245</v>
      </c>
      <c r="BH443" t="s">
        <v>31</v>
      </c>
      <c r="BI443" t="s">
        <v>31</v>
      </c>
      <c r="BJ443" s="3">
        <f t="shared" si="217"/>
        <v>2.274</v>
      </c>
      <c r="BK443" s="3">
        <f t="shared" si="210"/>
        <v>0.35679046035171597</v>
      </c>
      <c r="BL443">
        <v>2</v>
      </c>
      <c r="BM443" s="3">
        <f t="shared" si="234"/>
        <v>1.9106339773770316</v>
      </c>
      <c r="BN443" t="s">
        <v>33</v>
      </c>
      <c r="BO443" s="3">
        <f t="shared" si="211"/>
        <v>81.401794195250659</v>
      </c>
      <c r="BP443" t="s">
        <v>33</v>
      </c>
      <c r="BQ443" t="s">
        <v>33</v>
      </c>
      <c r="BR443" t="s">
        <v>33</v>
      </c>
      <c r="BS443" t="s">
        <v>33</v>
      </c>
      <c r="BT443" t="s">
        <v>32</v>
      </c>
      <c r="BU443" t="s">
        <v>207</v>
      </c>
      <c r="BV443">
        <v>2014</v>
      </c>
      <c r="BW443" s="2" t="s">
        <v>242</v>
      </c>
      <c r="BX443" t="s">
        <v>78</v>
      </c>
      <c r="BY443" t="s">
        <v>33</v>
      </c>
      <c r="BZ443" t="s">
        <v>33</v>
      </c>
      <c r="CA443" t="str">
        <f t="shared" si="212"/>
        <v>low acid</v>
      </c>
    </row>
    <row r="444" spans="1:79">
      <c r="A444" t="s">
        <v>599</v>
      </c>
      <c r="B444" t="s">
        <v>565</v>
      </c>
      <c r="C444" t="s">
        <v>563</v>
      </c>
      <c r="D444" t="s">
        <v>118</v>
      </c>
      <c r="E444" t="s">
        <v>77</v>
      </c>
      <c r="F444" t="s">
        <v>32</v>
      </c>
      <c r="G444" t="s">
        <v>33</v>
      </c>
      <c r="H444" t="s">
        <v>33</v>
      </c>
      <c r="I444" t="b">
        <v>0</v>
      </c>
      <c r="J444" t="s">
        <v>33</v>
      </c>
      <c r="K444" t="s">
        <v>33</v>
      </c>
      <c r="L444">
        <v>17</v>
      </c>
      <c r="M444" s="4">
        <v>500</v>
      </c>
      <c r="N444" t="e">
        <f>(#REF!*Y444)/(T444*X444*O444)</f>
        <v>#REF!</v>
      </c>
      <c r="O444">
        <v>3</v>
      </c>
      <c r="P444" t="s">
        <v>33</v>
      </c>
      <c r="Q444" s="1">
        <f t="shared" si="235"/>
        <v>2.3333333333333331E-2</v>
      </c>
      <c r="R444" t="s">
        <v>183</v>
      </c>
      <c r="S444" t="s">
        <v>613</v>
      </c>
      <c r="T444">
        <v>6</v>
      </c>
      <c r="U444">
        <v>2.2999999999999998</v>
      </c>
      <c r="V444">
        <v>2.9</v>
      </c>
      <c r="W444">
        <v>0.36420000000000002</v>
      </c>
      <c r="X444">
        <f>IFERROR(((PI())*(((V444*10^-1)/2)^2)*(U444*10^-1)), "NA")</f>
        <v>1.519195667459684E-2</v>
      </c>
      <c r="Y444">
        <v>0.83333299999999999</v>
      </c>
      <c r="Z444" s="3">
        <f t="shared" si="230"/>
        <v>0.6510838574827218</v>
      </c>
      <c r="AA444" t="s">
        <v>33</v>
      </c>
      <c r="AB444">
        <f t="shared" si="236"/>
        <v>11.666666666666666</v>
      </c>
      <c r="AC444" s="1" t="str">
        <f t="shared" si="232"/>
        <v>NA</v>
      </c>
      <c r="AE444" s="3">
        <f t="shared" si="233"/>
        <v>220.91159999999994</v>
      </c>
      <c r="AF444">
        <v>210</v>
      </c>
      <c r="AG444" s="1" t="str">
        <f>IFERROR((N444*P444*Q444), "NA")</f>
        <v>NA</v>
      </c>
      <c r="AH444" s="1" t="str">
        <f>IFERROR((AG444*U444*AI444), "NA")</f>
        <v>NA</v>
      </c>
      <c r="AI444" s="1">
        <v>1</v>
      </c>
      <c r="AJ444" s="11" t="s">
        <v>31</v>
      </c>
      <c r="AK444">
        <f>3.64*10^3</f>
        <v>3640</v>
      </c>
      <c r="AL444" t="s">
        <v>145</v>
      </c>
      <c r="AM444" t="s">
        <v>86</v>
      </c>
      <c r="AN444" t="s">
        <v>205</v>
      </c>
      <c r="AO444" t="s">
        <v>789</v>
      </c>
      <c r="AP444">
        <v>3.19</v>
      </c>
      <c r="AQ444" t="s">
        <v>33</v>
      </c>
      <c r="AR444" t="s">
        <v>33</v>
      </c>
      <c r="AS444">
        <v>7.36</v>
      </c>
      <c r="AT444">
        <v>3.88</v>
      </c>
      <c r="AU444" s="6">
        <f>AS444-AT444</f>
        <v>3.4800000000000004</v>
      </c>
      <c r="AV444" t="b">
        <v>1</v>
      </c>
      <c r="AW444" t="s">
        <v>632</v>
      </c>
      <c r="AX444" t="s">
        <v>639</v>
      </c>
      <c r="AY444" t="s">
        <v>33</v>
      </c>
      <c r="AZ444" t="s">
        <v>33</v>
      </c>
      <c r="BA444" s="18" t="s">
        <v>803</v>
      </c>
      <c r="BB444" s="3" t="b">
        <v>0</v>
      </c>
      <c r="BC444" t="s">
        <v>81</v>
      </c>
      <c r="BD444">
        <f>AVERAGE(24,48)</f>
        <v>36</v>
      </c>
      <c r="BE444" t="s">
        <v>80</v>
      </c>
      <c r="BF444">
        <v>48</v>
      </c>
      <c r="BG444" t="s">
        <v>647</v>
      </c>
      <c r="BH444" t="s">
        <v>31</v>
      </c>
      <c r="BI444" t="s">
        <v>31</v>
      </c>
      <c r="BJ444" s="3">
        <f t="shared" si="217"/>
        <v>3.4800000000000004</v>
      </c>
      <c r="BK444" s="3">
        <f t="shared" si="210"/>
        <v>0.54157924394658097</v>
      </c>
      <c r="BL444">
        <v>2</v>
      </c>
      <c r="BM444" s="3">
        <f t="shared" si="234"/>
        <v>1.802639277192942</v>
      </c>
      <c r="BN444" t="s">
        <v>33</v>
      </c>
      <c r="BO444" s="3">
        <f t="shared" si="211"/>
        <v>63.48034482758618</v>
      </c>
      <c r="BP444" t="s">
        <v>33</v>
      </c>
      <c r="BQ444" t="s">
        <v>33</v>
      </c>
      <c r="BR444" t="s">
        <v>33</v>
      </c>
      <c r="BS444" t="s">
        <v>33</v>
      </c>
      <c r="BT444" t="s">
        <v>31</v>
      </c>
      <c r="BU444" s="13" t="s">
        <v>135</v>
      </c>
      <c r="BV444" s="14">
        <v>2010</v>
      </c>
      <c r="BW444" s="13" t="s">
        <v>140</v>
      </c>
      <c r="BX444" t="s">
        <v>78</v>
      </c>
      <c r="BY444" s="13" t="s">
        <v>687</v>
      </c>
      <c r="CA444" t="str">
        <f t="shared" si="212"/>
        <v>high acid</v>
      </c>
    </row>
    <row r="445" spans="1:79">
      <c r="A445" t="s">
        <v>584</v>
      </c>
      <c r="B445" t="s">
        <v>566</v>
      </c>
      <c r="C445" t="s">
        <v>563</v>
      </c>
      <c r="D445" t="s">
        <v>607</v>
      </c>
      <c r="E445" t="s">
        <v>77</v>
      </c>
      <c r="F445" t="s">
        <v>33</v>
      </c>
      <c r="G445">
        <v>20</v>
      </c>
      <c r="H445">
        <v>35</v>
      </c>
      <c r="I445" t="b">
        <v>0</v>
      </c>
      <c r="J445">
        <v>1000</v>
      </c>
      <c r="K445">
        <v>200</v>
      </c>
      <c r="L445">
        <v>25</v>
      </c>
      <c r="M445" s="4">
        <v>1</v>
      </c>
      <c r="N445" t="e">
        <f>(#REF!*Y445)/(T445*X445*O445)</f>
        <v>#REF!</v>
      </c>
      <c r="O445">
        <v>3</v>
      </c>
      <c r="P445" t="s">
        <v>33</v>
      </c>
      <c r="Q445" s="1">
        <f t="shared" si="235"/>
        <v>100.00000000000001</v>
      </c>
      <c r="R445" t="s">
        <v>183</v>
      </c>
      <c r="S445" t="s">
        <v>33</v>
      </c>
      <c r="T445">
        <v>1</v>
      </c>
      <c r="U445">
        <v>2.5</v>
      </c>
      <c r="V445" t="s">
        <v>33</v>
      </c>
      <c r="W445">
        <v>0.50249999999999995</v>
      </c>
      <c r="X445">
        <f>W445</f>
        <v>0.50249999999999995</v>
      </c>
      <c r="Y445" t="s">
        <v>33</v>
      </c>
      <c r="Z445" s="3">
        <f t="shared" si="230"/>
        <v>5.0249999999999991E-3</v>
      </c>
      <c r="AA445" t="s">
        <v>33</v>
      </c>
      <c r="AB445">
        <f t="shared" si="236"/>
        <v>100.00000000000001</v>
      </c>
      <c r="AC445" s="1" t="str">
        <f t="shared" si="232"/>
        <v>NA</v>
      </c>
      <c r="AE445" s="3">
        <f t="shared" si="233"/>
        <v>187.50000000000003</v>
      </c>
      <c r="AF445">
        <v>300</v>
      </c>
      <c r="AG445" s="1" t="str">
        <f>IFERROR((N445*P445*Q445), "NA")</f>
        <v>NA</v>
      </c>
      <c r="AH445" s="1" t="str">
        <f>IFERROR((AG445*U445*AI445), "NA")</f>
        <v>NA</v>
      </c>
      <c r="AI445" s="1">
        <v>1</v>
      </c>
      <c r="AJ445" s="11" t="s">
        <v>31</v>
      </c>
      <c r="AK445">
        <v>1000</v>
      </c>
      <c r="AL445" t="s">
        <v>614</v>
      </c>
      <c r="AM445" s="3" t="s">
        <v>103</v>
      </c>
      <c r="AN445" t="s">
        <v>130</v>
      </c>
      <c r="AO445" t="s">
        <v>795</v>
      </c>
      <c r="AP445">
        <v>7</v>
      </c>
      <c r="AQ445" t="s">
        <v>33</v>
      </c>
      <c r="AR445" t="s">
        <v>33</v>
      </c>
      <c r="AS445">
        <v>8</v>
      </c>
      <c r="AT445">
        <f>AS445-AU445</f>
        <v>3.88</v>
      </c>
      <c r="AU445" s="6">
        <v>4.12</v>
      </c>
      <c r="AV445" t="b">
        <v>1</v>
      </c>
      <c r="AW445" t="s">
        <v>617</v>
      </c>
      <c r="AX445" t="s">
        <v>33</v>
      </c>
      <c r="AY445" t="s">
        <v>623</v>
      </c>
      <c r="AZ445" t="s">
        <v>621</v>
      </c>
      <c r="BA445" s="18" t="s">
        <v>802</v>
      </c>
      <c r="BB445" s="3" t="b">
        <v>0</v>
      </c>
      <c r="BC445" t="s">
        <v>81</v>
      </c>
      <c r="BD445">
        <v>18</v>
      </c>
      <c r="BE445" t="s">
        <v>80</v>
      </c>
      <c r="BF445">
        <v>24</v>
      </c>
      <c r="BG445" t="s">
        <v>569</v>
      </c>
      <c r="BH445" t="s">
        <v>31</v>
      </c>
      <c r="BI445" t="s">
        <v>31</v>
      </c>
      <c r="BJ445">
        <f t="shared" si="217"/>
        <v>4.12</v>
      </c>
      <c r="BK445" s="3">
        <f t="shared" si="210"/>
        <v>0.61489721603313463</v>
      </c>
      <c r="BL445">
        <v>2</v>
      </c>
      <c r="BM445" s="3">
        <f t="shared" si="234"/>
        <v>1.6581040560306031</v>
      </c>
      <c r="BN445" t="s">
        <v>33</v>
      </c>
      <c r="BO445" s="3">
        <f t="shared" si="211"/>
        <v>45.509708737864081</v>
      </c>
      <c r="BP445" t="s">
        <v>33</v>
      </c>
      <c r="BQ445" t="s">
        <v>33</v>
      </c>
      <c r="BR445" t="s">
        <v>33</v>
      </c>
      <c r="BS445" t="s">
        <v>33</v>
      </c>
      <c r="BT445" t="s">
        <v>31</v>
      </c>
      <c r="BU445" t="s">
        <v>255</v>
      </c>
      <c r="BV445">
        <v>2010</v>
      </c>
      <c r="BW445" t="s">
        <v>651</v>
      </c>
      <c r="BX445" t="s">
        <v>78</v>
      </c>
      <c r="BY445" s="13" t="s">
        <v>674</v>
      </c>
      <c r="CA445" t="str">
        <f t="shared" si="212"/>
        <v>low acid</v>
      </c>
    </row>
    <row r="446" spans="1:79">
      <c r="A446" t="s">
        <v>584</v>
      </c>
      <c r="B446" t="s">
        <v>566</v>
      </c>
      <c r="C446" t="s">
        <v>563</v>
      </c>
      <c r="D446" t="s">
        <v>607</v>
      </c>
      <c r="E446" t="s">
        <v>77</v>
      </c>
      <c r="F446" t="s">
        <v>33</v>
      </c>
      <c r="G446">
        <v>20</v>
      </c>
      <c r="H446">
        <v>35</v>
      </c>
      <c r="I446" t="b">
        <v>0</v>
      </c>
      <c r="J446">
        <v>1000</v>
      </c>
      <c r="K446">
        <v>200</v>
      </c>
      <c r="L446">
        <v>25</v>
      </c>
      <c r="M446" s="4">
        <v>1</v>
      </c>
      <c r="N446" t="e">
        <f>(#REF!*Y446)/(T446*X446*O446)</f>
        <v>#REF!</v>
      </c>
      <c r="O446">
        <v>3</v>
      </c>
      <c r="P446" t="s">
        <v>33</v>
      </c>
      <c r="Q446" s="1">
        <f t="shared" si="235"/>
        <v>100.00000000000001</v>
      </c>
      <c r="R446" t="s">
        <v>183</v>
      </c>
      <c r="S446" t="s">
        <v>33</v>
      </c>
      <c r="T446">
        <v>1</v>
      </c>
      <c r="U446">
        <v>2.5</v>
      </c>
      <c r="V446" t="s">
        <v>33</v>
      </c>
      <c r="W446">
        <v>0.50249999999999995</v>
      </c>
      <c r="X446">
        <f>W446</f>
        <v>0.50249999999999995</v>
      </c>
      <c r="Y446" t="s">
        <v>33</v>
      </c>
      <c r="Z446" s="3">
        <f t="shared" si="230"/>
        <v>5.0249999999999991E-3</v>
      </c>
      <c r="AA446" t="s">
        <v>33</v>
      </c>
      <c r="AB446">
        <f t="shared" si="236"/>
        <v>100.00000000000001</v>
      </c>
      <c r="AC446" s="1" t="str">
        <f t="shared" si="232"/>
        <v>NA</v>
      </c>
      <c r="AE446" s="3">
        <f t="shared" si="233"/>
        <v>187.50000000000003</v>
      </c>
      <c r="AF446">
        <v>300</v>
      </c>
      <c r="AG446" s="1" t="str">
        <f>IFERROR((N446*P446*Q446), "NA")</f>
        <v>NA</v>
      </c>
      <c r="AH446" s="1" t="str">
        <f>IFERROR((AG446*U446*AI446), "NA")</f>
        <v>NA</v>
      </c>
      <c r="AI446" s="1">
        <v>1</v>
      </c>
      <c r="AJ446" s="11" t="s">
        <v>31</v>
      </c>
      <c r="AK446">
        <v>1000</v>
      </c>
      <c r="AL446" t="s">
        <v>614</v>
      </c>
      <c r="AM446" s="3" t="s">
        <v>103</v>
      </c>
      <c r="AN446" t="s">
        <v>305</v>
      </c>
      <c r="AO446" t="s">
        <v>790</v>
      </c>
      <c r="AP446">
        <v>3.5</v>
      </c>
      <c r="AQ446" t="s">
        <v>33</v>
      </c>
      <c r="AR446" t="s">
        <v>33</v>
      </c>
      <c r="AS446">
        <v>8</v>
      </c>
      <c r="AT446">
        <f>AS446-AU446</f>
        <v>3.88</v>
      </c>
      <c r="AU446" s="6">
        <v>4.12</v>
      </c>
      <c r="AV446" t="b">
        <v>1</v>
      </c>
      <c r="AW446" t="s">
        <v>617</v>
      </c>
      <c r="AX446" t="s">
        <v>33</v>
      </c>
      <c r="AY446" t="s">
        <v>623</v>
      </c>
      <c r="AZ446" t="s">
        <v>621</v>
      </c>
      <c r="BA446" s="18" t="s">
        <v>802</v>
      </c>
      <c r="BB446" s="3" t="b">
        <v>0</v>
      </c>
      <c r="BC446" t="s">
        <v>81</v>
      </c>
      <c r="BD446">
        <v>18</v>
      </c>
      <c r="BE446" t="s">
        <v>80</v>
      </c>
      <c r="BF446">
        <v>24</v>
      </c>
      <c r="BG446" t="s">
        <v>569</v>
      </c>
      <c r="BH446" t="s">
        <v>31</v>
      </c>
      <c r="BI446" t="s">
        <v>31</v>
      </c>
      <c r="BJ446">
        <f t="shared" si="217"/>
        <v>4.12</v>
      </c>
      <c r="BK446" s="3">
        <f t="shared" si="210"/>
        <v>0.61489721603313463</v>
      </c>
      <c r="BL446">
        <v>2</v>
      </c>
      <c r="BM446" s="3">
        <f t="shared" si="234"/>
        <v>1.6581040560306031</v>
      </c>
      <c r="BN446" t="s">
        <v>33</v>
      </c>
      <c r="BO446" s="3">
        <f t="shared" si="211"/>
        <v>45.509708737864081</v>
      </c>
      <c r="BP446" t="s">
        <v>33</v>
      </c>
      <c r="BQ446" t="s">
        <v>33</v>
      </c>
      <c r="BR446" t="s">
        <v>33</v>
      </c>
      <c r="BS446" t="s">
        <v>33</v>
      </c>
      <c r="BT446" t="s">
        <v>31</v>
      </c>
      <c r="BU446" t="s">
        <v>255</v>
      </c>
      <c r="BV446">
        <v>2010</v>
      </c>
      <c r="BW446" t="s">
        <v>651</v>
      </c>
      <c r="BX446" t="s">
        <v>78</v>
      </c>
      <c r="BY446" s="13" t="s">
        <v>674</v>
      </c>
      <c r="CA446" t="str">
        <f t="shared" si="212"/>
        <v>high acid</v>
      </c>
    </row>
    <row r="447" spans="1:79">
      <c r="A447" t="s">
        <v>326</v>
      </c>
      <c r="B447" t="s">
        <v>565</v>
      </c>
      <c r="C447" t="s">
        <v>563</v>
      </c>
      <c r="D447" t="s">
        <v>118</v>
      </c>
      <c r="E447" t="s">
        <v>77</v>
      </c>
      <c r="F447" t="s">
        <v>32</v>
      </c>
      <c r="G447">
        <v>15</v>
      </c>
      <c r="H447">
        <v>30.4</v>
      </c>
      <c r="I447" t="b">
        <v>0</v>
      </c>
      <c r="J447" t="s">
        <v>33</v>
      </c>
      <c r="K447" t="s">
        <v>33</v>
      </c>
      <c r="L447">
        <v>35</v>
      </c>
      <c r="M447" s="4">
        <v>200</v>
      </c>
      <c r="N447" s="3">
        <f>IFERROR(AF447/((T447*X447/Y447)*O447*AI447),"NA")</f>
        <v>3454.7028257350348</v>
      </c>
      <c r="O447">
        <v>5</v>
      </c>
      <c r="P447" t="s">
        <v>33</v>
      </c>
      <c r="Q447" s="8">
        <f t="shared" si="235"/>
        <v>6.2500000000000014E-2</v>
      </c>
      <c r="R447" t="s">
        <v>183</v>
      </c>
      <c r="S447" t="s">
        <v>613</v>
      </c>
      <c r="T447" s="11">
        <v>8</v>
      </c>
      <c r="U447">
        <v>2.9</v>
      </c>
      <c r="V447">
        <v>2.2999999999999998</v>
      </c>
      <c r="W447">
        <v>1.2E-2</v>
      </c>
      <c r="X447" s="8">
        <f>IFERROR(((PI())*(((V447*10^-1)/2)^2)*(U447*10^-1)), "NA")</f>
        <v>1.204879322468025E-2</v>
      </c>
      <c r="Y447">
        <v>3.33</v>
      </c>
      <c r="Z447" s="3">
        <f t="shared" si="230"/>
        <v>0.19278069159488398</v>
      </c>
      <c r="AA447" t="s">
        <v>33</v>
      </c>
      <c r="AB447" s="6">
        <f t="shared" si="236"/>
        <v>12.500000000000002</v>
      </c>
      <c r="AC447" t="str">
        <f t="shared" si="232"/>
        <v>NA</v>
      </c>
      <c r="AD447" s="4">
        <f>AB447*T447*AI447</f>
        <v>100.00000000000001</v>
      </c>
      <c r="AE447" s="3">
        <f t="shared" si="233"/>
        <v>1286.2500000000002</v>
      </c>
      <c r="AF447">
        <v>500</v>
      </c>
      <c r="AG447" t="str">
        <f>IFERROR((M447*O447*P447), "NA")</f>
        <v>NA</v>
      </c>
      <c r="AH447" t="str">
        <f>IFERROR((AG447*T447*AI447), "NA")</f>
        <v>NA</v>
      </c>
      <c r="AI447">
        <v>1</v>
      </c>
      <c r="AJ447" t="s">
        <v>31</v>
      </c>
      <c r="AK447">
        <v>2100</v>
      </c>
      <c r="AL447" t="s">
        <v>551</v>
      </c>
      <c r="AM447" t="s">
        <v>86</v>
      </c>
      <c r="AN447" t="s">
        <v>205</v>
      </c>
      <c r="AO447" t="s">
        <v>789</v>
      </c>
      <c r="AP447">
        <v>3.79</v>
      </c>
      <c r="AQ447">
        <v>1060</v>
      </c>
      <c r="AR447" t="s">
        <v>33</v>
      </c>
      <c r="AS447" s="6">
        <f>LOG((10^6+10^7)/2)</f>
        <v>6.7403626894942441</v>
      </c>
      <c r="AT447" s="3">
        <f>IFERROR(AS447-AU447,"NA")</f>
        <v>3.8803626894942442</v>
      </c>
      <c r="AU447" s="6">
        <v>2.86</v>
      </c>
      <c r="AV447" t="b">
        <v>1</v>
      </c>
      <c r="AW447" t="s">
        <v>123</v>
      </c>
      <c r="AX447" t="s">
        <v>327</v>
      </c>
      <c r="AY447" t="s">
        <v>328</v>
      </c>
      <c r="AZ447" t="s">
        <v>33</v>
      </c>
      <c r="BA447" s="18" t="s">
        <v>579</v>
      </c>
      <c r="BB447" t="b">
        <v>1</v>
      </c>
      <c r="BC447" t="s">
        <v>81</v>
      </c>
      <c r="BD447">
        <v>144</v>
      </c>
      <c r="BE447" t="s">
        <v>80</v>
      </c>
      <c r="BF447" s="11">
        <v>120</v>
      </c>
      <c r="BG447" t="s">
        <v>329</v>
      </c>
      <c r="BH447" t="s">
        <v>31</v>
      </c>
      <c r="BI447" t="s">
        <v>31</v>
      </c>
      <c r="BJ447" s="3">
        <f t="shared" si="217"/>
        <v>2.86</v>
      </c>
      <c r="BK447" s="3">
        <f t="shared" si="210"/>
        <v>0.456366033129043</v>
      </c>
      <c r="BL447">
        <v>2</v>
      </c>
      <c r="BM447" s="3">
        <f t="shared" si="234"/>
        <v>2.6529593546414465</v>
      </c>
      <c r="BN447" t="s">
        <v>33</v>
      </c>
      <c r="BO447" s="3">
        <f t="shared" si="211"/>
        <v>449.73776223776235</v>
      </c>
      <c r="BP447" t="s">
        <v>33</v>
      </c>
      <c r="BQ447" t="s">
        <v>33</v>
      </c>
      <c r="BR447" t="s">
        <v>33</v>
      </c>
      <c r="BS447" t="s">
        <v>33</v>
      </c>
      <c r="BT447" t="s">
        <v>31</v>
      </c>
      <c r="BU447" t="s">
        <v>330</v>
      </c>
      <c r="BV447">
        <v>2009</v>
      </c>
      <c r="BW447" t="s">
        <v>331</v>
      </c>
      <c r="BX447" t="s">
        <v>78</v>
      </c>
      <c r="BY447" t="s">
        <v>33</v>
      </c>
      <c r="BZ447" t="s">
        <v>335</v>
      </c>
      <c r="CA447" t="str">
        <f t="shared" si="212"/>
        <v>high acid</v>
      </c>
    </row>
    <row r="448" spans="1:79">
      <c r="A448" t="s">
        <v>221</v>
      </c>
      <c r="B448" t="s">
        <v>565</v>
      </c>
      <c r="C448" t="s">
        <v>563</v>
      </c>
      <c r="D448" t="s">
        <v>118</v>
      </c>
      <c r="E448" t="s">
        <v>77</v>
      </c>
      <c r="F448" t="s">
        <v>32</v>
      </c>
      <c r="G448">
        <v>5</v>
      </c>
      <c r="H448">
        <v>30.3</v>
      </c>
      <c r="I448" t="b">
        <v>0</v>
      </c>
      <c r="J448" t="s">
        <v>33</v>
      </c>
      <c r="K448" t="s">
        <v>33</v>
      </c>
      <c r="L448">
        <v>35</v>
      </c>
      <c r="M448" s="4">
        <v>250</v>
      </c>
      <c r="N448" s="3">
        <f>IFERROR(AF448/((T448*X448/Y448)*O448*AI448),"NA")</f>
        <v>8586.1873814153205</v>
      </c>
      <c r="O448">
        <v>4</v>
      </c>
      <c r="P448" t="s">
        <v>33</v>
      </c>
      <c r="Q448">
        <f t="shared" si="235"/>
        <v>0.25</v>
      </c>
      <c r="R448" t="s">
        <v>183</v>
      </c>
      <c r="S448" t="s">
        <v>613</v>
      </c>
      <c r="T448" s="11">
        <v>8</v>
      </c>
      <c r="U448">
        <v>2.92</v>
      </c>
      <c r="V448">
        <v>2.2999999999999998</v>
      </c>
      <c r="W448">
        <v>1.21E-2</v>
      </c>
      <c r="X448" s="8">
        <f>IFERROR(((PI())*(((V448*10^-1)/2)^2)*(U448*10^-1)), "NA")</f>
        <v>1.2131888350367701E-2</v>
      </c>
      <c r="Y448" s="6">
        <f>100/60</f>
        <v>1.6666666666666667</v>
      </c>
      <c r="Z448" s="3">
        <f t="shared" si="230"/>
        <v>4.8527553401470802E-2</v>
      </c>
      <c r="AA448" t="s">
        <v>33</v>
      </c>
      <c r="AB448" s="6">
        <f t="shared" si="236"/>
        <v>62.5</v>
      </c>
      <c r="AC448" t="str">
        <f t="shared" si="232"/>
        <v>NA</v>
      </c>
      <c r="AD448" s="4">
        <f>AB448*T448*AI448</f>
        <v>500</v>
      </c>
      <c r="AE448" s="3">
        <f t="shared" si="233"/>
        <v>8967</v>
      </c>
      <c r="AF448">
        <v>2000</v>
      </c>
      <c r="AG448" t="str">
        <f>IFERROR((M448*O448*P448), "NA")</f>
        <v>NA</v>
      </c>
      <c r="AH448" t="str">
        <f>IFERROR((AG448*T448*AI448), "NA")</f>
        <v>NA</v>
      </c>
      <c r="AI448">
        <v>1</v>
      </c>
      <c r="AJ448" t="s">
        <v>31</v>
      </c>
      <c r="AK448">
        <v>3660</v>
      </c>
      <c r="AL448" t="s">
        <v>541</v>
      </c>
      <c r="AM448" t="s">
        <v>86</v>
      </c>
      <c r="AN448" t="s">
        <v>186</v>
      </c>
      <c r="AO448" t="s">
        <v>794</v>
      </c>
      <c r="AP448">
        <v>5.46</v>
      </c>
      <c r="AQ448" t="s">
        <v>33</v>
      </c>
      <c r="AR448" t="s">
        <v>33</v>
      </c>
      <c r="AS448" s="6">
        <f>LOG((10^7+10^8)/2)</f>
        <v>7.7403626894942441</v>
      </c>
      <c r="AT448" s="3">
        <f>IFERROR(AS448-AU448,"NA")</f>
        <v>3.8803626894942442</v>
      </c>
      <c r="AU448" s="6">
        <v>3.86</v>
      </c>
      <c r="AV448" t="b">
        <v>1</v>
      </c>
      <c r="AW448" t="s">
        <v>29</v>
      </c>
      <c r="AX448" t="s">
        <v>30</v>
      </c>
      <c r="AY448" s="10">
        <v>1107</v>
      </c>
      <c r="AZ448" t="s">
        <v>33</v>
      </c>
      <c r="BA448" s="18" t="s">
        <v>798</v>
      </c>
      <c r="BB448" t="b">
        <v>0</v>
      </c>
      <c r="BC448" t="s">
        <v>81</v>
      </c>
      <c r="BD448">
        <v>15</v>
      </c>
      <c r="BE448" t="s">
        <v>80</v>
      </c>
      <c r="BF448" t="s">
        <v>33</v>
      </c>
      <c r="BG448" t="s">
        <v>222</v>
      </c>
      <c r="BH448" t="s">
        <v>31</v>
      </c>
      <c r="BI448" t="s">
        <v>31</v>
      </c>
      <c r="BJ448" s="3">
        <f t="shared" si="217"/>
        <v>3.86</v>
      </c>
      <c r="BK448" s="3">
        <f t="shared" si="210"/>
        <v>0.58658730467175491</v>
      </c>
      <c r="BL448">
        <v>2</v>
      </c>
      <c r="BM448" s="3">
        <f t="shared" si="234"/>
        <v>3.366059865087188</v>
      </c>
      <c r="BN448" t="s">
        <v>33</v>
      </c>
      <c r="BO448" s="3">
        <f t="shared" si="211"/>
        <v>2323.056994818653</v>
      </c>
      <c r="BP448" t="s">
        <v>33</v>
      </c>
      <c r="BQ448" t="s">
        <v>33</v>
      </c>
      <c r="BR448" t="s">
        <v>33</v>
      </c>
      <c r="BS448" t="s">
        <v>33</v>
      </c>
      <c r="BT448" t="s">
        <v>31</v>
      </c>
      <c r="BU448" t="s">
        <v>219</v>
      </c>
      <c r="BV448">
        <v>2007</v>
      </c>
      <c r="BW448" t="s">
        <v>218</v>
      </c>
      <c r="BX448" t="s">
        <v>78</v>
      </c>
      <c r="BY448" t="s">
        <v>33</v>
      </c>
      <c r="BZ448" t="s">
        <v>33</v>
      </c>
      <c r="CA448" t="str">
        <f t="shared" si="212"/>
        <v>low acid</v>
      </c>
    </row>
    <row r="449" spans="1:79">
      <c r="A449" t="s">
        <v>237</v>
      </c>
      <c r="B449" t="s">
        <v>565</v>
      </c>
      <c r="C449" t="s">
        <v>563</v>
      </c>
      <c r="D449" t="s">
        <v>118</v>
      </c>
      <c r="E449" t="s">
        <v>77</v>
      </c>
      <c r="F449" t="s">
        <v>32</v>
      </c>
      <c r="G449">
        <v>4</v>
      </c>
      <c r="H449">
        <v>32.5</v>
      </c>
      <c r="I449" t="b">
        <v>0</v>
      </c>
      <c r="J449" t="s">
        <v>33</v>
      </c>
      <c r="K449" t="s">
        <v>33</v>
      </c>
      <c r="L449">
        <v>25</v>
      </c>
      <c r="M449" s="4">
        <v>200</v>
      </c>
      <c r="N449" s="3">
        <f>IFERROR(AF449/((T449*X449/Y449)*O449*AI449),"NA")</f>
        <v>2575.8562144245957</v>
      </c>
      <c r="O449">
        <v>4</v>
      </c>
      <c r="P449" t="s">
        <v>33</v>
      </c>
      <c r="Q449" s="9">
        <f t="shared" si="235"/>
        <v>0.15625</v>
      </c>
      <c r="R449" t="s">
        <v>183</v>
      </c>
      <c r="S449" t="s">
        <v>612</v>
      </c>
      <c r="T449" s="11">
        <v>8</v>
      </c>
      <c r="U449">
        <v>2.92</v>
      </c>
      <c r="V449">
        <v>2.2999999999999998</v>
      </c>
      <c r="W449">
        <v>1.2E-2</v>
      </c>
      <c r="X449" s="8">
        <f>IFERROR(((PI())*(((V449*10^-1)/2)^2)*(U449*10^-1)), "NA")</f>
        <v>1.2131888350367701E-2</v>
      </c>
      <c r="Y449" s="6">
        <f>60/60</f>
        <v>1</v>
      </c>
      <c r="Z449" s="3">
        <f t="shared" si="230"/>
        <v>7.7644085442353281E-2</v>
      </c>
      <c r="AA449" t="s">
        <v>33</v>
      </c>
      <c r="AB449" s="6">
        <f t="shared" si="236"/>
        <v>31.250000000000004</v>
      </c>
      <c r="AC449" t="str">
        <f t="shared" si="232"/>
        <v>NA</v>
      </c>
      <c r="AD449" s="4">
        <f>AB449*T449*AI449</f>
        <v>250.00000000000003</v>
      </c>
      <c r="AE449" s="3">
        <f t="shared" si="233"/>
        <v>2650</v>
      </c>
      <c r="AF449">
        <v>1000</v>
      </c>
      <c r="AG449" t="str">
        <f>IFERROR((M449*O449*P449), "NA")</f>
        <v>NA</v>
      </c>
      <c r="AH449" t="str">
        <f>IFERROR((AG449*T449*AI449), "NA")</f>
        <v>NA</v>
      </c>
      <c r="AI449">
        <v>1</v>
      </c>
      <c r="AJ449" t="s">
        <v>31</v>
      </c>
      <c r="AK449">
        <v>4240</v>
      </c>
      <c r="AL449" t="s">
        <v>238</v>
      </c>
      <c r="AM449" t="s">
        <v>86</v>
      </c>
      <c r="AN449" t="s">
        <v>205</v>
      </c>
      <c r="AO449" t="s">
        <v>789</v>
      </c>
      <c r="AP449">
        <v>3.56</v>
      </c>
      <c r="AQ449" t="s">
        <v>33</v>
      </c>
      <c r="AR449" t="s">
        <v>33</v>
      </c>
      <c r="AS449">
        <f>LOG(10^8)</f>
        <v>8</v>
      </c>
      <c r="AT449" s="3">
        <f>IFERROR(AS449-AU449,"NA")</f>
        <v>3.8849999999999998</v>
      </c>
      <c r="AU449" s="6">
        <v>4.1150000000000002</v>
      </c>
      <c r="AV449" t="b">
        <v>1</v>
      </c>
      <c r="AW449" t="s">
        <v>172</v>
      </c>
      <c r="AX449" t="s">
        <v>173</v>
      </c>
      <c r="AY449" t="s">
        <v>239</v>
      </c>
      <c r="AZ449" t="s">
        <v>33</v>
      </c>
      <c r="BA449" s="18" t="s">
        <v>799</v>
      </c>
      <c r="BB449" t="b">
        <v>0</v>
      </c>
      <c r="BC449" t="s">
        <v>81</v>
      </c>
      <c r="BD449">
        <v>48</v>
      </c>
      <c r="BE449" t="s">
        <v>80</v>
      </c>
      <c r="BF449" s="11">
        <v>120</v>
      </c>
      <c r="BG449" t="s">
        <v>571</v>
      </c>
      <c r="BH449" t="s">
        <v>31</v>
      </c>
      <c r="BI449" t="s">
        <v>31</v>
      </c>
      <c r="BJ449" s="3">
        <f t="shared" si="217"/>
        <v>4.1150000000000002</v>
      </c>
      <c r="BK449" s="3">
        <f t="shared" ref="BK449:BK509" si="237">LOG10(BJ449)</f>
        <v>0.61436983954828872</v>
      </c>
      <c r="BL449">
        <v>2</v>
      </c>
      <c r="BM449" s="3">
        <f t="shared" si="234"/>
        <v>2.8088760343885193</v>
      </c>
      <c r="BN449" t="s">
        <v>33</v>
      </c>
      <c r="BO449" s="3">
        <f t="shared" si="211"/>
        <v>643.98541919805587</v>
      </c>
      <c r="BP449" t="s">
        <v>33</v>
      </c>
      <c r="BQ449" t="s">
        <v>33</v>
      </c>
      <c r="BR449" t="s">
        <v>33</v>
      </c>
      <c r="BS449" t="s">
        <v>33</v>
      </c>
      <c r="BT449" t="s">
        <v>31</v>
      </c>
      <c r="BU449" t="s">
        <v>240</v>
      </c>
      <c r="BV449">
        <v>2004</v>
      </c>
      <c r="BW449" t="s">
        <v>241</v>
      </c>
      <c r="BX449" t="s">
        <v>78</v>
      </c>
      <c r="BY449" t="s">
        <v>33</v>
      </c>
      <c r="BZ449" t="s">
        <v>33</v>
      </c>
      <c r="CA449" t="str">
        <f t="shared" si="212"/>
        <v>high acid</v>
      </c>
    </row>
    <row r="450" spans="1:79">
      <c r="A450" t="s">
        <v>584</v>
      </c>
      <c r="B450" t="s">
        <v>566</v>
      </c>
      <c r="C450" t="s">
        <v>563</v>
      </c>
      <c r="D450" t="s">
        <v>607</v>
      </c>
      <c r="E450" t="s">
        <v>77</v>
      </c>
      <c r="F450" t="s">
        <v>33</v>
      </c>
      <c r="G450">
        <v>20</v>
      </c>
      <c r="H450">
        <v>35</v>
      </c>
      <c r="I450" t="b">
        <v>0</v>
      </c>
      <c r="J450">
        <v>1000</v>
      </c>
      <c r="K450">
        <v>200</v>
      </c>
      <c r="L450">
        <v>25</v>
      </c>
      <c r="M450" s="4">
        <v>1</v>
      </c>
      <c r="N450" t="e">
        <f>(#REF!*Y450)/(T450*X450*O450)</f>
        <v>#REF!</v>
      </c>
      <c r="O450">
        <v>3</v>
      </c>
      <c r="P450" t="s">
        <v>33</v>
      </c>
      <c r="Q450" s="1">
        <f t="shared" si="235"/>
        <v>50.000000000000007</v>
      </c>
      <c r="R450" t="s">
        <v>183</v>
      </c>
      <c r="S450" t="s">
        <v>33</v>
      </c>
      <c r="T450">
        <v>1</v>
      </c>
      <c r="U450">
        <v>2.5</v>
      </c>
      <c r="V450" t="s">
        <v>33</v>
      </c>
      <c r="W450">
        <v>0.50249999999999995</v>
      </c>
      <c r="X450">
        <f>W450</f>
        <v>0.50249999999999995</v>
      </c>
      <c r="Y450" t="s">
        <v>33</v>
      </c>
      <c r="Z450" s="3">
        <f t="shared" si="230"/>
        <v>1.0049999999999998E-2</v>
      </c>
      <c r="AA450" t="s">
        <v>33</v>
      </c>
      <c r="AB450">
        <f t="shared" si="236"/>
        <v>50.000000000000007</v>
      </c>
      <c r="AC450" s="1" t="str">
        <f t="shared" si="232"/>
        <v>NA</v>
      </c>
      <c r="AE450" s="3">
        <f t="shared" si="233"/>
        <v>93.750000000000014</v>
      </c>
      <c r="AF450">
        <v>150</v>
      </c>
      <c r="AG450" s="1" t="str">
        <f>IFERROR((N450*P450*Q450), "NA")</f>
        <v>NA</v>
      </c>
      <c r="AH450" s="1" t="str">
        <f>IFERROR((AG450*U450*AI450), "NA")</f>
        <v>NA</v>
      </c>
      <c r="AI450" s="1">
        <v>1</v>
      </c>
      <c r="AJ450" s="11" t="s">
        <v>31</v>
      </c>
      <c r="AK450">
        <v>1000</v>
      </c>
      <c r="AL450" t="s">
        <v>614</v>
      </c>
      <c r="AM450" s="3" t="s">
        <v>103</v>
      </c>
      <c r="AN450" t="s">
        <v>305</v>
      </c>
      <c r="AO450" t="s">
        <v>790</v>
      </c>
      <c r="AP450">
        <v>3.5</v>
      </c>
      <c r="AQ450" t="s">
        <v>33</v>
      </c>
      <c r="AR450" t="s">
        <v>33</v>
      </c>
      <c r="AS450">
        <v>8</v>
      </c>
      <c r="AT450">
        <f>AS450-AU450</f>
        <v>3.8899999999999997</v>
      </c>
      <c r="AU450" s="6">
        <v>4.1100000000000003</v>
      </c>
      <c r="AV450" t="b">
        <v>1</v>
      </c>
      <c r="AW450" t="s">
        <v>617</v>
      </c>
      <c r="AX450" t="s">
        <v>33</v>
      </c>
      <c r="AY450" t="s">
        <v>623</v>
      </c>
      <c r="AZ450" t="s">
        <v>621</v>
      </c>
      <c r="BA450" s="18" t="s">
        <v>802</v>
      </c>
      <c r="BB450" s="3" t="b">
        <v>0</v>
      </c>
      <c r="BC450" t="s">
        <v>81</v>
      </c>
      <c r="BD450">
        <v>18</v>
      </c>
      <c r="BE450" t="s">
        <v>80</v>
      </c>
      <c r="BF450">
        <v>24</v>
      </c>
      <c r="BG450" t="s">
        <v>642</v>
      </c>
      <c r="BH450" t="s">
        <v>32</v>
      </c>
      <c r="BI450" t="s">
        <v>31</v>
      </c>
      <c r="BJ450">
        <f t="shared" si="217"/>
        <v>4.1100000000000003</v>
      </c>
      <c r="BK450" s="3">
        <f t="shared" si="237"/>
        <v>0.61384182187606928</v>
      </c>
      <c r="BL450">
        <v>2</v>
      </c>
      <c r="BM450" s="3">
        <f t="shared" si="234"/>
        <v>1.3581294545236873</v>
      </c>
      <c r="BN450" t="s">
        <v>33</v>
      </c>
      <c r="BO450" s="3">
        <f t="shared" ref="BO450:BO513" si="238">IFERROR((AE450/BJ450),"NA")</f>
        <v>22.810218978102192</v>
      </c>
      <c r="BP450" t="s">
        <v>33</v>
      </c>
      <c r="BQ450" t="s">
        <v>33</v>
      </c>
      <c r="BR450" t="s">
        <v>33</v>
      </c>
      <c r="BS450" t="s">
        <v>33</v>
      </c>
      <c r="BT450" t="s">
        <v>31</v>
      </c>
      <c r="BU450" t="s">
        <v>255</v>
      </c>
      <c r="BV450">
        <v>2010</v>
      </c>
      <c r="BW450" t="s">
        <v>651</v>
      </c>
      <c r="BX450" t="s">
        <v>78</v>
      </c>
      <c r="BY450" s="13" t="s">
        <v>674</v>
      </c>
      <c r="CA450" t="str">
        <f t="shared" si="212"/>
        <v>high acid</v>
      </c>
    </row>
    <row r="451" spans="1:79">
      <c r="A451" t="s">
        <v>698</v>
      </c>
      <c r="B451" t="s">
        <v>566</v>
      </c>
      <c r="C451" t="s">
        <v>563</v>
      </c>
      <c r="D451" t="s">
        <v>699</v>
      </c>
      <c r="E451" t="s">
        <v>77</v>
      </c>
      <c r="F451" t="s">
        <v>32</v>
      </c>
      <c r="G451">
        <v>20</v>
      </c>
      <c r="H451">
        <v>64</v>
      </c>
      <c r="I451" t="b">
        <v>1</v>
      </c>
      <c r="J451" t="s">
        <v>33</v>
      </c>
      <c r="K451" t="s">
        <v>33</v>
      </c>
      <c r="L451">
        <v>20</v>
      </c>
      <c r="M451" s="4">
        <v>64</v>
      </c>
      <c r="N451" s="3">
        <f>IFERROR(AF451/((T451*X451/Y451)*O451*AI451),"NA")</f>
        <v>63.657407407407391</v>
      </c>
      <c r="O451">
        <v>5</v>
      </c>
      <c r="P451">
        <v>0.43</v>
      </c>
      <c r="Q451" s="8">
        <f>IFERROR(X451/Y451, "NA")</f>
        <v>0.43200000000000011</v>
      </c>
      <c r="R451" t="s">
        <v>183</v>
      </c>
      <c r="S451" t="s">
        <v>612</v>
      </c>
      <c r="T451" s="11">
        <v>1</v>
      </c>
      <c r="U451">
        <v>4</v>
      </c>
      <c r="V451" t="s">
        <v>33</v>
      </c>
      <c r="W451">
        <f>0.4*3*0.5</f>
        <v>0.60000000000000009</v>
      </c>
      <c r="X451" s="9">
        <f>W451</f>
        <v>0.60000000000000009</v>
      </c>
      <c r="Y451" s="6">
        <f>5000/3600</f>
        <v>1.3888888888888888</v>
      </c>
      <c r="Z451" s="3">
        <f t="shared" si="230"/>
        <v>1.3963636363636365</v>
      </c>
      <c r="AA451" t="s">
        <v>33</v>
      </c>
      <c r="AB451" s="4">
        <f>IFERROR(((X451*M451)/Y451), "NA")</f>
        <v>27.648000000000007</v>
      </c>
      <c r="AC451" s="4">
        <f t="shared" si="232"/>
        <v>27.52</v>
      </c>
      <c r="AD451" s="4">
        <f>AB451*T451*AI451</f>
        <v>27.648000000000007</v>
      </c>
      <c r="AE451" s="3">
        <f t="shared" si="233"/>
        <v>110.59200000000003</v>
      </c>
      <c r="AF451">
        <v>137.5</v>
      </c>
      <c r="AG451" s="4">
        <f>IFERROR((M451*O451*P451), "NA")</f>
        <v>137.6</v>
      </c>
      <c r="AH451" s="4">
        <f>IFERROR((AG451*T451*AI451), "NA")</f>
        <v>137.6</v>
      </c>
      <c r="AI451">
        <v>1</v>
      </c>
      <c r="AJ451" s="11" t="s">
        <v>31</v>
      </c>
      <c r="AK451">
        <v>2000</v>
      </c>
      <c r="AL451" t="s">
        <v>784</v>
      </c>
      <c r="AM451" t="s">
        <v>103</v>
      </c>
      <c r="AN451" t="s">
        <v>130</v>
      </c>
      <c r="AO451" t="s">
        <v>795</v>
      </c>
      <c r="AP451">
        <v>7</v>
      </c>
      <c r="AQ451" t="s">
        <v>33</v>
      </c>
      <c r="AR451" t="s">
        <v>33</v>
      </c>
      <c r="AS451" s="6">
        <f>LOG(AVERAGE(10^8, 10^9))</f>
        <v>8.7403626894942441</v>
      </c>
      <c r="AT451" s="3">
        <f>IFERROR(AS451-AU451,"NA")</f>
        <v>3.8933626894942437</v>
      </c>
      <c r="AU451" s="6">
        <v>4.8470000000000004</v>
      </c>
      <c r="AV451" t="b">
        <v>1</v>
      </c>
      <c r="AW451" t="s">
        <v>29</v>
      </c>
      <c r="AX451" t="s">
        <v>30</v>
      </c>
      <c r="AY451" t="s">
        <v>701</v>
      </c>
      <c r="AZ451" t="s">
        <v>33</v>
      </c>
      <c r="BA451" s="18" t="s">
        <v>798</v>
      </c>
      <c r="BB451" s="3" t="b">
        <v>0</v>
      </c>
      <c r="BC451" t="s">
        <v>81</v>
      </c>
      <c r="BD451">
        <v>24</v>
      </c>
      <c r="BE451" t="s">
        <v>80</v>
      </c>
      <c r="BF451">
        <v>24</v>
      </c>
      <c r="BG451" t="s">
        <v>568</v>
      </c>
      <c r="BH451" t="s">
        <v>31</v>
      </c>
      <c r="BI451" t="s">
        <v>31</v>
      </c>
      <c r="BJ451" s="3">
        <f t="shared" si="217"/>
        <v>4.8470000000000004</v>
      </c>
      <c r="BK451" s="3">
        <f t="shared" si="237"/>
        <v>0.68547301972275931</v>
      </c>
      <c r="BL451">
        <v>2</v>
      </c>
      <c r="BM451" s="3">
        <f t="shared" si="234"/>
        <v>1.3582506924040025</v>
      </c>
      <c r="BN451" t="s">
        <v>33</v>
      </c>
      <c r="BO451" s="3">
        <f t="shared" si="238"/>
        <v>22.816587579946361</v>
      </c>
      <c r="BP451" t="s">
        <v>33</v>
      </c>
      <c r="BQ451" t="s">
        <v>33</v>
      </c>
      <c r="BR451" t="s">
        <v>33</v>
      </c>
      <c r="BS451" t="s">
        <v>33</v>
      </c>
      <c r="BT451" t="s">
        <v>32</v>
      </c>
      <c r="BU451" t="s">
        <v>709</v>
      </c>
      <c r="BV451">
        <v>2024</v>
      </c>
      <c r="BW451" t="s">
        <v>710</v>
      </c>
      <c r="BX451" t="s">
        <v>78</v>
      </c>
      <c r="BY451" t="s">
        <v>711</v>
      </c>
      <c r="CA451" t="str">
        <f t="shared" ref="CA451:CA514" si="239">IF(OR(AN451="low acidic liquid medium", AN451="low acidic food product"), "low acid",
    IF(OR(AN451="high acidic food product", AN451="high acidic liquid medium"), "high acid", "NA"))</f>
        <v>low acid</v>
      </c>
    </row>
    <row r="452" spans="1:79">
      <c r="A452" t="s">
        <v>258</v>
      </c>
      <c r="B452" t="s">
        <v>565</v>
      </c>
      <c r="C452" t="s">
        <v>563</v>
      </c>
      <c r="D452" t="s">
        <v>118</v>
      </c>
      <c r="E452" t="s">
        <v>77</v>
      </c>
      <c r="F452" t="s">
        <v>32</v>
      </c>
      <c r="G452">
        <v>5</v>
      </c>
      <c r="H452">
        <v>40</v>
      </c>
      <c r="I452" t="b">
        <v>0</v>
      </c>
      <c r="J452" t="s">
        <v>33</v>
      </c>
      <c r="K452" t="s">
        <v>33</v>
      </c>
      <c r="L452">
        <v>35</v>
      </c>
      <c r="M452" s="4">
        <v>175</v>
      </c>
      <c r="N452" s="3">
        <f>IFERROR(AF452/((T452*X452/Y452)*O452*AI452),"NA")</f>
        <v>5903.0038247230323</v>
      </c>
      <c r="O452">
        <v>4</v>
      </c>
      <c r="P452" t="s">
        <v>33</v>
      </c>
      <c r="Q452" s="8">
        <f t="shared" ref="Q452:Q464" si="240">IFERROR(X452/Z452, "NA")</f>
        <v>0.22321428571428573</v>
      </c>
      <c r="R452" t="s">
        <v>183</v>
      </c>
      <c r="S452" t="s">
        <v>613</v>
      </c>
      <c r="T452" s="11">
        <v>8</v>
      </c>
      <c r="U452">
        <v>2.92</v>
      </c>
      <c r="V452">
        <v>2.2999999999999998</v>
      </c>
      <c r="W452">
        <v>1.21E-2</v>
      </c>
      <c r="X452" s="8">
        <f>IFERROR(((PI())*(((V452*10^-1)/2)^2)*(U452*10^-1)), "NA")</f>
        <v>1.2131888350367701E-2</v>
      </c>
      <c r="Y452" s="6">
        <f>110/60</f>
        <v>1.8333333333333333</v>
      </c>
      <c r="Z452" s="3">
        <f t="shared" si="230"/>
        <v>5.4350859809647295E-2</v>
      </c>
      <c r="AA452" t="s">
        <v>33</v>
      </c>
      <c r="AB452" s="6">
        <f>IFERROR(((X452*M452)/Z452), "NA")</f>
        <v>39.0625</v>
      </c>
      <c r="AC452" t="str">
        <f t="shared" si="232"/>
        <v>NA</v>
      </c>
      <c r="AD452" s="4">
        <f>AB452*T452*AI452</f>
        <v>312.5</v>
      </c>
      <c r="AE452" s="3">
        <f t="shared" si="233"/>
        <v>3338.125</v>
      </c>
      <c r="AF452">
        <v>1250</v>
      </c>
      <c r="AG452" t="str">
        <f>IFERROR((M452*O452*P452), "NA")</f>
        <v>NA</v>
      </c>
      <c r="AH452" t="str">
        <f>IFERROR((AG452*T452*AI452), "NA")</f>
        <v>NA</v>
      </c>
      <c r="AI452">
        <v>1</v>
      </c>
      <c r="AJ452" t="s">
        <v>31</v>
      </c>
      <c r="AK452">
        <v>2180</v>
      </c>
      <c r="AL452" t="s">
        <v>149</v>
      </c>
      <c r="AM452" t="s">
        <v>86</v>
      </c>
      <c r="AN452" t="s">
        <v>205</v>
      </c>
      <c r="AO452" t="s">
        <v>789</v>
      </c>
      <c r="AP452">
        <v>4.46</v>
      </c>
      <c r="AQ452" t="s">
        <v>33</v>
      </c>
      <c r="AR452" t="s">
        <v>33</v>
      </c>
      <c r="AS452" s="6">
        <f>LOG((10^7+10^8)/2)</f>
        <v>7.7403626894942441</v>
      </c>
      <c r="AT452" s="3">
        <f>IFERROR(AS452-AU452,"NA")</f>
        <v>3.8953626894942439</v>
      </c>
      <c r="AU452" s="6">
        <v>3.8450000000000002</v>
      </c>
      <c r="AV452" t="b">
        <v>1</v>
      </c>
      <c r="AW452" t="s">
        <v>29</v>
      </c>
      <c r="AX452" t="s">
        <v>30</v>
      </c>
      <c r="AY452" t="s">
        <v>33</v>
      </c>
      <c r="AZ452" t="s">
        <v>134</v>
      </c>
      <c r="BA452" s="18" t="s">
        <v>798</v>
      </c>
      <c r="BB452" t="b">
        <v>0</v>
      </c>
      <c r="BC452" t="s">
        <v>81</v>
      </c>
      <c r="BD452">
        <v>15</v>
      </c>
      <c r="BE452" t="s">
        <v>80</v>
      </c>
      <c r="BF452" s="11">
        <v>24</v>
      </c>
      <c r="BG452" t="s">
        <v>262</v>
      </c>
      <c r="BH452" t="s">
        <v>31</v>
      </c>
      <c r="BI452" t="s">
        <v>31</v>
      </c>
      <c r="BJ452" s="3">
        <f t="shared" si="217"/>
        <v>3.8450000000000002</v>
      </c>
      <c r="BK452" s="3">
        <f t="shared" si="237"/>
        <v>0.58489634413744984</v>
      </c>
      <c r="BL452">
        <v>2</v>
      </c>
      <c r="BM452" s="3">
        <f t="shared" si="234"/>
        <v>2.9386062511757625</v>
      </c>
      <c r="BN452" t="s">
        <v>33</v>
      </c>
      <c r="BO452" s="3">
        <f t="shared" si="238"/>
        <v>868.17295188556568</v>
      </c>
      <c r="BP452" t="s">
        <v>33</v>
      </c>
      <c r="BQ452" t="s">
        <v>33</v>
      </c>
      <c r="BR452" t="s">
        <v>33</v>
      </c>
      <c r="BS452" t="s">
        <v>33</v>
      </c>
      <c r="BT452" t="s">
        <v>31</v>
      </c>
      <c r="BU452" t="s">
        <v>219</v>
      </c>
      <c r="BV452">
        <v>2008</v>
      </c>
      <c r="BW452" s="2" t="s">
        <v>257</v>
      </c>
      <c r="BX452" t="s">
        <v>78</v>
      </c>
      <c r="BY452" t="s">
        <v>33</v>
      </c>
      <c r="BZ452" t="s">
        <v>33</v>
      </c>
      <c r="CA452" t="str">
        <f t="shared" si="239"/>
        <v>high acid</v>
      </c>
    </row>
    <row r="453" spans="1:79">
      <c r="A453" t="s">
        <v>311</v>
      </c>
      <c r="B453" t="s">
        <v>565</v>
      </c>
      <c r="C453" t="s">
        <v>563</v>
      </c>
      <c r="D453" t="s">
        <v>33</v>
      </c>
      <c r="E453" t="s">
        <v>77</v>
      </c>
      <c r="F453" t="s">
        <v>32</v>
      </c>
      <c r="G453">
        <v>5</v>
      </c>
      <c r="H453">
        <v>52</v>
      </c>
      <c r="I453" t="b">
        <v>0</v>
      </c>
      <c r="J453" t="s">
        <v>33</v>
      </c>
      <c r="K453" t="s">
        <v>33</v>
      </c>
      <c r="L453">
        <v>60</v>
      </c>
      <c r="M453" s="4">
        <v>60</v>
      </c>
      <c r="N453" s="3">
        <f>IFERROR(AF453/((T453*X453/Y453)*O453*AI453),"NA")</f>
        <v>60.185185185185183</v>
      </c>
      <c r="O453">
        <v>3.5</v>
      </c>
      <c r="P453" t="s">
        <v>33</v>
      </c>
      <c r="Q453" s="8">
        <f t="shared" si="240"/>
        <v>5.4166666666666669E-2</v>
      </c>
      <c r="R453" t="s">
        <v>278</v>
      </c>
      <c r="S453" t="s">
        <v>613</v>
      </c>
      <c r="T453" s="11">
        <v>2</v>
      </c>
      <c r="U453" t="s">
        <v>33</v>
      </c>
      <c r="V453" t="s">
        <v>33</v>
      </c>
      <c r="W453">
        <v>1.26E-2</v>
      </c>
      <c r="X453" s="8">
        <f>W453</f>
        <v>1.26E-2</v>
      </c>
      <c r="Y453" s="6">
        <f>14/60</f>
        <v>0.23333333333333334</v>
      </c>
      <c r="Z453" s="3">
        <f t="shared" si="230"/>
        <v>0.23261538461538461</v>
      </c>
      <c r="AA453">
        <f>6.5/2</f>
        <v>3.25</v>
      </c>
      <c r="AB453" s="6">
        <f>IFERROR(((X453*M453)/Y453), "NA")</f>
        <v>3.2399999999999998</v>
      </c>
      <c r="AC453" t="str">
        <f t="shared" si="232"/>
        <v>NA</v>
      </c>
      <c r="AD453" s="4">
        <f>IFERROR(AB453*T453*AI453, "NA")</f>
        <v>6.4799999999999995</v>
      </c>
      <c r="AE453" s="3">
        <f t="shared" si="233"/>
        <v>193.28399999999999</v>
      </c>
      <c r="AF453">
        <f>AA453*O453*T453</f>
        <v>22.75</v>
      </c>
      <c r="AG453" t="str">
        <f>IFERROR((M453*O453*P453), "NA")</f>
        <v>NA</v>
      </c>
      <c r="AH453" t="str">
        <f>IFERROR((AG453*T453*AI453), "NA")</f>
        <v>NA</v>
      </c>
      <c r="AI453">
        <v>1</v>
      </c>
      <c r="AJ453" t="s">
        <v>31</v>
      </c>
      <c r="AK453">
        <v>2360</v>
      </c>
      <c r="AL453" t="s">
        <v>149</v>
      </c>
      <c r="AM453" t="s">
        <v>86</v>
      </c>
      <c r="AN453" t="s">
        <v>205</v>
      </c>
      <c r="AO453" t="s">
        <v>789</v>
      </c>
      <c r="AP453">
        <v>3.8</v>
      </c>
      <c r="AQ453" t="s">
        <v>33</v>
      </c>
      <c r="AR453" t="s">
        <v>33</v>
      </c>
      <c r="AS453" s="3">
        <f>LOG(10^6)</f>
        <v>6</v>
      </c>
      <c r="AT453" s="3">
        <f>IFERROR(AS453-AU453,"NA")</f>
        <v>3.8959999999999999</v>
      </c>
      <c r="AU453" s="6">
        <v>2.1040000000000001</v>
      </c>
      <c r="AV453" t="b">
        <v>1</v>
      </c>
      <c r="AW453" t="s">
        <v>29</v>
      </c>
      <c r="AX453" t="s">
        <v>30</v>
      </c>
      <c r="AY453" t="s">
        <v>307</v>
      </c>
      <c r="AZ453" t="s">
        <v>33</v>
      </c>
      <c r="BA453" s="18" t="s">
        <v>798</v>
      </c>
      <c r="BB453" t="b">
        <v>0</v>
      </c>
      <c r="BC453" t="s">
        <v>81</v>
      </c>
      <c r="BD453">
        <v>18</v>
      </c>
      <c r="BE453" t="s">
        <v>80</v>
      </c>
      <c r="BF453" s="11">
        <v>48</v>
      </c>
      <c r="BG453" t="s">
        <v>308</v>
      </c>
      <c r="BH453" t="s">
        <v>31</v>
      </c>
      <c r="BI453" t="s">
        <v>31</v>
      </c>
      <c r="BJ453" s="3">
        <f t="shared" si="217"/>
        <v>2.1040000000000001</v>
      </c>
      <c r="BK453" s="3">
        <f t="shared" si="237"/>
        <v>0.32304573548170146</v>
      </c>
      <c r="BL453">
        <v>2</v>
      </c>
      <c r="BM453" s="3">
        <f t="shared" si="234"/>
        <v>1.9631501692488236</v>
      </c>
      <c r="BN453" t="s">
        <v>33</v>
      </c>
      <c r="BO453" s="3">
        <f t="shared" si="238"/>
        <v>91.865019011406829</v>
      </c>
      <c r="BP453" t="s">
        <v>33</v>
      </c>
      <c r="BQ453" t="s">
        <v>33</v>
      </c>
      <c r="BR453" t="s">
        <v>33</v>
      </c>
      <c r="BS453" t="s">
        <v>33</v>
      </c>
      <c r="BT453" t="s">
        <v>31</v>
      </c>
      <c r="BU453" t="s">
        <v>309</v>
      </c>
      <c r="BV453">
        <v>2011</v>
      </c>
      <c r="BW453" s="2" t="s">
        <v>312</v>
      </c>
      <c r="BX453" t="s">
        <v>78</v>
      </c>
      <c r="BY453" t="s">
        <v>310</v>
      </c>
      <c r="BZ453" t="s">
        <v>33</v>
      </c>
      <c r="CA453" t="str">
        <f t="shared" si="239"/>
        <v>high acid</v>
      </c>
    </row>
    <row r="454" spans="1:79">
      <c r="A454" t="s">
        <v>584</v>
      </c>
      <c r="B454" t="s">
        <v>566</v>
      </c>
      <c r="C454" t="s">
        <v>563</v>
      </c>
      <c r="D454" t="s">
        <v>607</v>
      </c>
      <c r="E454" t="s">
        <v>77</v>
      </c>
      <c r="F454" t="s">
        <v>33</v>
      </c>
      <c r="G454">
        <v>20</v>
      </c>
      <c r="H454">
        <v>35</v>
      </c>
      <c r="I454" t="b">
        <v>0</v>
      </c>
      <c r="J454">
        <v>1000</v>
      </c>
      <c r="K454">
        <v>200</v>
      </c>
      <c r="L454">
        <v>25</v>
      </c>
      <c r="M454" s="4">
        <v>1</v>
      </c>
      <c r="N454" t="e">
        <f>(#REF!*Y454)/(T454*X454*O454)</f>
        <v>#REF!</v>
      </c>
      <c r="O454">
        <v>3</v>
      </c>
      <c r="P454" t="s">
        <v>33</v>
      </c>
      <c r="Q454" s="1">
        <f t="shared" si="240"/>
        <v>50.000000000000007</v>
      </c>
      <c r="R454" t="s">
        <v>183</v>
      </c>
      <c r="S454" t="s">
        <v>33</v>
      </c>
      <c r="T454">
        <v>1</v>
      </c>
      <c r="U454">
        <v>2.5</v>
      </c>
      <c r="V454" t="s">
        <v>33</v>
      </c>
      <c r="W454">
        <v>0.50249999999999995</v>
      </c>
      <c r="X454">
        <f>W454</f>
        <v>0.50249999999999995</v>
      </c>
      <c r="Y454" t="s">
        <v>33</v>
      </c>
      <c r="Z454" s="3">
        <f t="shared" si="230"/>
        <v>1.0049999999999998E-2</v>
      </c>
      <c r="AA454" t="s">
        <v>33</v>
      </c>
      <c r="AB454">
        <f>IFERROR(((X454*M454)/Z454), "NA")</f>
        <v>50.000000000000007</v>
      </c>
      <c r="AC454" s="1" t="str">
        <f t="shared" si="232"/>
        <v>NA</v>
      </c>
      <c r="AE454" s="3">
        <f t="shared" si="233"/>
        <v>93.750000000000014</v>
      </c>
      <c r="AF454">
        <v>150</v>
      </c>
      <c r="AG454" s="1" t="str">
        <f>IFERROR((N454*P454*Q454), "NA")</f>
        <v>NA</v>
      </c>
      <c r="AH454" s="1" t="str">
        <f>IFERROR((AG454*U454*AI454), "NA")</f>
        <v>NA</v>
      </c>
      <c r="AI454" s="1">
        <v>1</v>
      </c>
      <c r="AJ454" s="11" t="s">
        <v>31</v>
      </c>
      <c r="AK454">
        <v>1000</v>
      </c>
      <c r="AL454" t="s">
        <v>614</v>
      </c>
      <c r="AM454" s="3" t="s">
        <v>103</v>
      </c>
      <c r="AN454" t="s">
        <v>130</v>
      </c>
      <c r="AO454" t="s">
        <v>795</v>
      </c>
      <c r="AP454">
        <v>5.5</v>
      </c>
      <c r="AQ454" t="s">
        <v>33</v>
      </c>
      <c r="AR454" t="s">
        <v>33</v>
      </c>
      <c r="AS454">
        <v>8</v>
      </c>
      <c r="AT454">
        <f>AS454-AU454</f>
        <v>3.9000000000000004</v>
      </c>
      <c r="AU454" s="6">
        <v>4.0999999999999996</v>
      </c>
      <c r="AV454" t="b">
        <v>1</v>
      </c>
      <c r="AW454" t="s">
        <v>617</v>
      </c>
      <c r="AX454" t="s">
        <v>33</v>
      </c>
      <c r="AY454" t="s">
        <v>623</v>
      </c>
      <c r="AZ454" t="s">
        <v>621</v>
      </c>
      <c r="BA454" s="18" t="s">
        <v>802</v>
      </c>
      <c r="BB454" s="3" t="b">
        <v>0</v>
      </c>
      <c r="BC454" t="s">
        <v>81</v>
      </c>
      <c r="BD454">
        <v>18</v>
      </c>
      <c r="BE454" t="s">
        <v>80</v>
      </c>
      <c r="BF454">
        <v>24</v>
      </c>
      <c r="BG454" t="s">
        <v>569</v>
      </c>
      <c r="BH454" t="s">
        <v>31</v>
      </c>
      <c r="BI454" t="s">
        <v>31</v>
      </c>
      <c r="BJ454">
        <f t="shared" si="217"/>
        <v>4.0999999999999996</v>
      </c>
      <c r="BK454" s="3">
        <f t="shared" si="237"/>
        <v>0.61278385671973545</v>
      </c>
      <c r="BL454">
        <v>2</v>
      </c>
      <c r="BM454" s="3">
        <f t="shared" si="234"/>
        <v>1.3591874196800211</v>
      </c>
      <c r="BN454" t="s">
        <v>33</v>
      </c>
      <c r="BO454" s="3">
        <f t="shared" si="238"/>
        <v>22.86585365853659</v>
      </c>
      <c r="BP454" t="s">
        <v>33</v>
      </c>
      <c r="BQ454" t="s">
        <v>33</v>
      </c>
      <c r="BR454" t="s">
        <v>33</v>
      </c>
      <c r="BS454" t="s">
        <v>33</v>
      </c>
      <c r="BT454" t="s">
        <v>31</v>
      </c>
      <c r="BU454" t="s">
        <v>255</v>
      </c>
      <c r="BV454">
        <v>2010</v>
      </c>
      <c r="BW454" t="s">
        <v>651</v>
      </c>
      <c r="BX454" t="s">
        <v>78</v>
      </c>
      <c r="BY454" s="13" t="s">
        <v>674</v>
      </c>
      <c r="CA454" t="str">
        <f t="shared" si="239"/>
        <v>low acid</v>
      </c>
    </row>
    <row r="455" spans="1:79">
      <c r="A455" t="s">
        <v>536</v>
      </c>
      <c r="B455" t="s">
        <v>565</v>
      </c>
      <c r="C455" t="s">
        <v>563</v>
      </c>
      <c r="D455" t="s">
        <v>118</v>
      </c>
      <c r="E455" t="s">
        <v>77</v>
      </c>
      <c r="F455" t="s">
        <v>32</v>
      </c>
      <c r="G455">
        <v>20</v>
      </c>
      <c r="H455">
        <v>55</v>
      </c>
      <c r="I455" t="b">
        <v>0</v>
      </c>
      <c r="J455" t="s">
        <v>33</v>
      </c>
      <c r="K455" t="s">
        <v>33</v>
      </c>
      <c r="L455">
        <v>30</v>
      </c>
      <c r="M455" s="4">
        <v>500</v>
      </c>
      <c r="N455" s="3">
        <f t="shared" ref="N455:N466" si="241">IFERROR(AF455/((T455*X455/Y455)*O455*AI455),"NA")</f>
        <v>497.97518208793286</v>
      </c>
      <c r="O455">
        <v>2</v>
      </c>
      <c r="P455" t="s">
        <v>33</v>
      </c>
      <c r="Q455">
        <f t="shared" si="240"/>
        <v>6.0000000000000001E-3</v>
      </c>
      <c r="R455" t="s">
        <v>183</v>
      </c>
      <c r="S455" t="s">
        <v>613</v>
      </c>
      <c r="T455" s="11">
        <v>6</v>
      </c>
      <c r="U455">
        <v>2.9</v>
      </c>
      <c r="V455">
        <v>2.2999999999999998</v>
      </c>
      <c r="W455" t="s">
        <v>33</v>
      </c>
      <c r="X455" s="8">
        <f t="shared" ref="X455:X460" si="242">IFERROR(((PI())*(((V455*10^-1)/2)^2)*(U455*10^-1)), "NA")</f>
        <v>1.204879322468025E-2</v>
      </c>
      <c r="Y455">
        <v>2</v>
      </c>
      <c r="Z455" s="3">
        <f t="shared" si="230"/>
        <v>2.0081322041133749</v>
      </c>
      <c r="AA455" t="s">
        <v>33</v>
      </c>
      <c r="AB455" s="6">
        <f>IFERROR(((X455*M455)/Z455), "NA")</f>
        <v>3.0000000000000004</v>
      </c>
      <c r="AC455" t="str">
        <f t="shared" si="232"/>
        <v>NA</v>
      </c>
      <c r="AD455" s="4">
        <f>IFERROR(AB455*T455*AI455, "NA")</f>
        <v>18.000000000000004</v>
      </c>
      <c r="AE455" s="3">
        <f t="shared" si="233"/>
        <v>145.80000000000001</v>
      </c>
      <c r="AF455">
        <v>36</v>
      </c>
      <c r="AG455" t="str">
        <f t="shared" ref="AG455:AG466" si="243">IFERROR((M455*O455*P455), "NA")</f>
        <v>NA</v>
      </c>
      <c r="AH455" t="str">
        <f t="shared" ref="AH455:AH466" si="244">IFERROR((AG455*T455*AI455), "NA")</f>
        <v>NA</v>
      </c>
      <c r="AI455" s="11">
        <v>1</v>
      </c>
      <c r="AJ455" t="s">
        <v>31</v>
      </c>
      <c r="AK455">
        <v>4500</v>
      </c>
      <c r="AL455" t="s">
        <v>265</v>
      </c>
      <c r="AM455" t="s">
        <v>86</v>
      </c>
      <c r="AN455" t="s">
        <v>205</v>
      </c>
      <c r="AO455" t="s">
        <v>789</v>
      </c>
      <c r="AP455">
        <v>3.8</v>
      </c>
      <c r="AQ455" t="s">
        <v>33</v>
      </c>
      <c r="AR455" t="s">
        <v>33</v>
      </c>
      <c r="AS455" s="6">
        <f>LOG(10^7)</f>
        <v>7</v>
      </c>
      <c r="AT455" s="3">
        <f t="shared" ref="AT455:AT466" si="245">IFERROR(AS455-AU455,"NA")</f>
        <v>3.8159999999999998</v>
      </c>
      <c r="AU455" s="6">
        <v>3.1840000000000002</v>
      </c>
      <c r="AV455" t="b">
        <v>1</v>
      </c>
      <c r="AW455" t="s">
        <v>29</v>
      </c>
      <c r="AX455" t="s">
        <v>30</v>
      </c>
      <c r="AY455" t="s">
        <v>270</v>
      </c>
      <c r="AZ455" t="s">
        <v>33</v>
      </c>
      <c r="BA455" s="18" t="s">
        <v>798</v>
      </c>
      <c r="BB455" t="b">
        <v>0</v>
      </c>
      <c r="BC455" t="s">
        <v>81</v>
      </c>
      <c r="BD455">
        <v>48</v>
      </c>
      <c r="BE455" t="s">
        <v>80</v>
      </c>
      <c r="BF455" s="11">
        <v>24</v>
      </c>
      <c r="BG455" t="s">
        <v>568</v>
      </c>
      <c r="BH455" t="s">
        <v>31</v>
      </c>
      <c r="BI455" t="s">
        <v>31</v>
      </c>
      <c r="BJ455" s="3">
        <f t="shared" si="217"/>
        <v>3.1840000000000002</v>
      </c>
      <c r="BK455" s="3">
        <f t="shared" si="237"/>
        <v>0.5029730590656315</v>
      </c>
      <c r="BL455">
        <v>2</v>
      </c>
      <c r="BM455" s="3">
        <f t="shared" si="234"/>
        <v>1.6607844649163244</v>
      </c>
      <c r="BN455" t="s">
        <v>33</v>
      </c>
      <c r="BO455" s="3">
        <f t="shared" si="238"/>
        <v>45.791457286432163</v>
      </c>
      <c r="BP455" t="s">
        <v>33</v>
      </c>
      <c r="BQ455" t="s">
        <v>33</v>
      </c>
      <c r="BR455" t="s">
        <v>33</v>
      </c>
      <c r="BS455" t="s">
        <v>33</v>
      </c>
      <c r="BT455" t="s">
        <v>32</v>
      </c>
      <c r="BU455" t="s">
        <v>263</v>
      </c>
      <c r="BV455">
        <v>2015</v>
      </c>
      <c r="BW455" s="2" t="s">
        <v>264</v>
      </c>
      <c r="BX455" t="s">
        <v>78</v>
      </c>
      <c r="BY455" t="s">
        <v>33</v>
      </c>
      <c r="BZ455" t="s">
        <v>33</v>
      </c>
      <c r="CA455" t="str">
        <f t="shared" si="239"/>
        <v>high acid</v>
      </c>
    </row>
    <row r="456" spans="1:79">
      <c r="A456" t="s">
        <v>392</v>
      </c>
      <c r="B456" t="s">
        <v>565</v>
      </c>
      <c r="C456" t="s">
        <v>563</v>
      </c>
      <c r="D456" t="s">
        <v>118</v>
      </c>
      <c r="E456" t="s">
        <v>77</v>
      </c>
      <c r="F456" t="s">
        <v>32</v>
      </c>
      <c r="G456">
        <v>25</v>
      </c>
      <c r="H456">
        <v>36</v>
      </c>
      <c r="I456" t="b">
        <v>0</v>
      </c>
      <c r="J456" t="s">
        <v>33</v>
      </c>
      <c r="K456" t="s">
        <v>33</v>
      </c>
      <c r="L456">
        <v>25</v>
      </c>
      <c r="M456" s="4">
        <v>200</v>
      </c>
      <c r="N456" s="3" t="str">
        <f t="shared" si="241"/>
        <v>NA</v>
      </c>
      <c r="O456">
        <v>4</v>
      </c>
      <c r="P456" t="s">
        <v>33</v>
      </c>
      <c r="Q456" s="8">
        <f t="shared" si="240"/>
        <v>0.15625</v>
      </c>
      <c r="R456" t="s">
        <v>183</v>
      </c>
      <c r="S456" t="s">
        <v>613</v>
      </c>
      <c r="T456" s="11">
        <v>8</v>
      </c>
      <c r="U456">
        <v>2.9</v>
      </c>
      <c r="V456">
        <v>2.2999999999999998</v>
      </c>
      <c r="W456">
        <v>1.2E-2</v>
      </c>
      <c r="X456" s="8">
        <f t="shared" si="242"/>
        <v>1.204879322468025E-2</v>
      </c>
      <c r="Y456" t="s">
        <v>33</v>
      </c>
      <c r="Z456" s="3">
        <f t="shared" si="230"/>
        <v>7.71122766379536E-2</v>
      </c>
      <c r="AA456" t="s">
        <v>33</v>
      </c>
      <c r="AB456" s="6">
        <f>IFERROR(((X456*M456)/Z456), "NA")</f>
        <v>31.25</v>
      </c>
      <c r="AC456" t="str">
        <f t="shared" si="232"/>
        <v>NA</v>
      </c>
      <c r="AD456" s="4">
        <f>AB456*T456*AI456</f>
        <v>250</v>
      </c>
      <c r="AE456" s="3">
        <f t="shared" si="233"/>
        <v>2650</v>
      </c>
      <c r="AF456">
        <v>1000</v>
      </c>
      <c r="AG456" t="str">
        <f t="shared" si="243"/>
        <v>NA</v>
      </c>
      <c r="AH456" t="str">
        <f t="shared" si="244"/>
        <v>NA</v>
      </c>
      <c r="AI456">
        <v>1</v>
      </c>
      <c r="AJ456" t="s">
        <v>31</v>
      </c>
      <c r="AK456">
        <v>4240</v>
      </c>
      <c r="AL456" t="s">
        <v>238</v>
      </c>
      <c r="AM456" t="s">
        <v>86</v>
      </c>
      <c r="AN456" t="s">
        <v>205</v>
      </c>
      <c r="AO456" t="s">
        <v>789</v>
      </c>
      <c r="AP456">
        <v>3.56</v>
      </c>
      <c r="AQ456" t="s">
        <v>33</v>
      </c>
      <c r="AR456" t="s">
        <v>33</v>
      </c>
      <c r="AS456" s="6">
        <f>LOG(10^8)</f>
        <v>8</v>
      </c>
      <c r="AT456" s="3">
        <f t="shared" si="245"/>
        <v>3.9029999999999996</v>
      </c>
      <c r="AU456" s="6">
        <v>4.0970000000000004</v>
      </c>
      <c r="AV456" t="b">
        <v>1</v>
      </c>
      <c r="AW456" t="s">
        <v>123</v>
      </c>
      <c r="AX456" t="s">
        <v>393</v>
      </c>
      <c r="AY456" t="s">
        <v>394</v>
      </c>
      <c r="AZ456" t="s">
        <v>33</v>
      </c>
      <c r="BA456" s="18" t="s">
        <v>579</v>
      </c>
      <c r="BB456" t="b">
        <v>1</v>
      </c>
      <c r="BC456" t="s">
        <v>81</v>
      </c>
      <c r="BD456">
        <v>72</v>
      </c>
      <c r="BE456" t="s">
        <v>80</v>
      </c>
      <c r="BF456" s="11">
        <v>72</v>
      </c>
      <c r="BG456" t="s">
        <v>395</v>
      </c>
      <c r="BH456" t="s">
        <v>31</v>
      </c>
      <c r="BI456" t="s">
        <v>31</v>
      </c>
      <c r="BJ456" s="3">
        <f t="shared" si="217"/>
        <v>4.0970000000000004</v>
      </c>
      <c r="BK456" s="3">
        <f t="shared" si="237"/>
        <v>0.61246596395314234</v>
      </c>
      <c r="BL456">
        <v>2</v>
      </c>
      <c r="BM456" s="3">
        <f t="shared" si="234"/>
        <v>2.8107799099836654</v>
      </c>
      <c r="BN456" t="s">
        <v>33</v>
      </c>
      <c r="BO456" s="3">
        <f t="shared" si="238"/>
        <v>646.8147424945081</v>
      </c>
      <c r="BP456" t="s">
        <v>33</v>
      </c>
      <c r="BQ456" t="s">
        <v>33</v>
      </c>
      <c r="BR456" t="s">
        <v>33</v>
      </c>
      <c r="BS456" t="s">
        <v>33</v>
      </c>
      <c r="BT456" t="s">
        <v>31</v>
      </c>
      <c r="BU456" t="s">
        <v>240</v>
      </c>
      <c r="BV456">
        <v>2005</v>
      </c>
      <c r="BW456" t="s">
        <v>396</v>
      </c>
      <c r="BX456" t="s">
        <v>78</v>
      </c>
      <c r="BY456" t="s">
        <v>33</v>
      </c>
      <c r="BZ456" t="s">
        <v>33</v>
      </c>
      <c r="CA456" t="str">
        <f t="shared" si="239"/>
        <v>high acid</v>
      </c>
    </row>
    <row r="457" spans="1:79">
      <c r="A457" t="s">
        <v>436</v>
      </c>
      <c r="B457" t="s">
        <v>565</v>
      </c>
      <c r="C457" t="s">
        <v>563</v>
      </c>
      <c r="D457" t="s">
        <v>368</v>
      </c>
      <c r="E457" t="s">
        <v>77</v>
      </c>
      <c r="F457" t="s">
        <v>32</v>
      </c>
      <c r="G457">
        <v>23</v>
      </c>
      <c r="H457">
        <v>43</v>
      </c>
      <c r="I457" t="b">
        <v>0</v>
      </c>
      <c r="J457" t="s">
        <v>33</v>
      </c>
      <c r="K457" t="s">
        <v>33</v>
      </c>
      <c r="L457">
        <v>45</v>
      </c>
      <c r="M457" s="4">
        <v>1000</v>
      </c>
      <c r="N457" s="3">
        <f t="shared" si="241"/>
        <v>805.8545285219634</v>
      </c>
      <c r="O457">
        <v>1.5</v>
      </c>
      <c r="P457" t="s">
        <v>33</v>
      </c>
      <c r="Q457" s="8">
        <f t="shared" si="240"/>
        <v>4.6666666666666669E-2</v>
      </c>
      <c r="R457" t="s">
        <v>183</v>
      </c>
      <c r="S457" t="s">
        <v>613</v>
      </c>
      <c r="T457" s="11">
        <v>1</v>
      </c>
      <c r="U457">
        <v>5</v>
      </c>
      <c r="V457">
        <v>8</v>
      </c>
      <c r="W457" t="s">
        <v>33</v>
      </c>
      <c r="X457" s="9">
        <f t="shared" si="242"/>
        <v>0.25132741228718347</v>
      </c>
      <c r="Y457" s="6">
        <v>4.34</v>
      </c>
      <c r="Z457" s="3">
        <f t="shared" si="230"/>
        <v>5.3855874061539311</v>
      </c>
      <c r="AA457">
        <v>46.3</v>
      </c>
      <c r="AB457" s="6">
        <f>IFERROR(((X457*M457)/Y457), "NA")</f>
        <v>57.909542001655183</v>
      </c>
      <c r="AC457" t="str">
        <f t="shared" si="232"/>
        <v>NA</v>
      </c>
      <c r="AD457" s="4">
        <f>IFERROR(AB457*T457*AI457, "NA")</f>
        <v>57.909542001655183</v>
      </c>
      <c r="AE457" s="3">
        <f t="shared" si="233"/>
        <v>194.19750000000002</v>
      </c>
      <c r="AF457">
        <v>70</v>
      </c>
      <c r="AG457" t="str">
        <f t="shared" si="243"/>
        <v>NA</v>
      </c>
      <c r="AH457" t="str">
        <f t="shared" si="244"/>
        <v>NA</v>
      </c>
      <c r="AI457" s="11">
        <v>1</v>
      </c>
      <c r="AJ457" t="s">
        <v>31</v>
      </c>
      <c r="AK457">
        <v>1370</v>
      </c>
      <c r="AL457" t="s">
        <v>554</v>
      </c>
      <c r="AM457" t="s">
        <v>515</v>
      </c>
      <c r="AN457" t="s">
        <v>205</v>
      </c>
      <c r="AO457" t="s">
        <v>788</v>
      </c>
      <c r="AP457" s="4" t="s">
        <v>33</v>
      </c>
      <c r="AQ457" t="s">
        <v>33</v>
      </c>
      <c r="AR457" t="s">
        <v>33</v>
      </c>
      <c r="AS457">
        <f>LOG(10^5)</f>
        <v>5</v>
      </c>
      <c r="AT457" s="3">
        <f t="shared" si="245"/>
        <v>3.9079999999999999</v>
      </c>
      <c r="AU457" s="6">
        <v>1.0920000000000001</v>
      </c>
      <c r="AV457" t="b">
        <v>1</v>
      </c>
      <c r="AW457" t="s">
        <v>172</v>
      </c>
      <c r="AX457" t="s">
        <v>173</v>
      </c>
      <c r="AY457" t="s">
        <v>444</v>
      </c>
      <c r="AZ457" t="s">
        <v>33</v>
      </c>
      <c r="BA457" s="18" t="s">
        <v>799</v>
      </c>
      <c r="BB457" t="b">
        <v>0</v>
      </c>
      <c r="BC457" t="s">
        <v>81</v>
      </c>
      <c r="BD457" t="s">
        <v>33</v>
      </c>
      <c r="BE457" t="s">
        <v>33</v>
      </c>
      <c r="BF457" s="11">
        <v>48</v>
      </c>
      <c r="BG457" t="s">
        <v>401</v>
      </c>
      <c r="BH457" t="s">
        <v>31</v>
      </c>
      <c r="BI457" t="s">
        <v>31</v>
      </c>
      <c r="BJ457" s="3">
        <f t="shared" si="217"/>
        <v>1.0920000000000001</v>
      </c>
      <c r="BK457" s="3">
        <f t="shared" si="237"/>
        <v>3.8222638368718462E-2</v>
      </c>
      <c r="BL457">
        <v>2</v>
      </c>
      <c r="BM457" s="3">
        <f t="shared" si="234"/>
        <v>2.2500209963526325</v>
      </c>
      <c r="BN457" t="s">
        <v>33</v>
      </c>
      <c r="BO457" s="3">
        <f t="shared" si="238"/>
        <v>177.83653846153845</v>
      </c>
      <c r="BP457" t="s">
        <v>33</v>
      </c>
      <c r="BQ457" t="s">
        <v>33</v>
      </c>
      <c r="BR457" t="s">
        <v>33</v>
      </c>
      <c r="BS457" t="s">
        <v>33</v>
      </c>
      <c r="BT457" t="s">
        <v>31</v>
      </c>
      <c r="BU457" t="s">
        <v>445</v>
      </c>
      <c r="BV457">
        <v>2015</v>
      </c>
      <c r="BW457" t="s">
        <v>446</v>
      </c>
      <c r="BX457" t="s">
        <v>78</v>
      </c>
      <c r="BY457" t="s">
        <v>447</v>
      </c>
      <c r="CA457" t="str">
        <f t="shared" si="239"/>
        <v>high acid</v>
      </c>
    </row>
    <row r="458" spans="1:79">
      <c r="A458" t="s">
        <v>439</v>
      </c>
      <c r="B458" t="s">
        <v>565</v>
      </c>
      <c r="C458" t="s">
        <v>563</v>
      </c>
      <c r="D458" t="s">
        <v>368</v>
      </c>
      <c r="E458" t="s">
        <v>77</v>
      </c>
      <c r="F458" t="s">
        <v>32</v>
      </c>
      <c r="G458">
        <v>23</v>
      </c>
      <c r="H458">
        <v>43</v>
      </c>
      <c r="I458" t="b">
        <v>0</v>
      </c>
      <c r="J458" t="s">
        <v>33</v>
      </c>
      <c r="K458" t="s">
        <v>33</v>
      </c>
      <c r="L458">
        <v>45</v>
      </c>
      <c r="M458" s="4">
        <v>1000</v>
      </c>
      <c r="N458" s="3">
        <f t="shared" si="241"/>
        <v>805.8545285219634</v>
      </c>
      <c r="O458">
        <v>1.5</v>
      </c>
      <c r="P458" t="s">
        <v>33</v>
      </c>
      <c r="Q458" s="8">
        <f t="shared" si="240"/>
        <v>4.6666666666666669E-2</v>
      </c>
      <c r="R458" t="s">
        <v>183</v>
      </c>
      <c r="S458" t="s">
        <v>613</v>
      </c>
      <c r="T458" s="11">
        <v>1</v>
      </c>
      <c r="U458">
        <v>5</v>
      </c>
      <c r="V458">
        <v>8</v>
      </c>
      <c r="W458" t="s">
        <v>33</v>
      </c>
      <c r="X458" s="9">
        <f t="shared" si="242"/>
        <v>0.25132741228718347</v>
      </c>
      <c r="Y458" s="6">
        <v>4.34</v>
      </c>
      <c r="Z458" s="3">
        <f t="shared" si="230"/>
        <v>5.3855874061539311</v>
      </c>
      <c r="AA458">
        <v>46.3</v>
      </c>
      <c r="AB458" s="6">
        <f>IFERROR(((X458*M458)/Y458), "NA")</f>
        <v>57.909542001655183</v>
      </c>
      <c r="AC458" t="str">
        <f t="shared" si="232"/>
        <v>NA</v>
      </c>
      <c r="AD458" s="4">
        <f>AB458*T458*AI458</f>
        <v>57.909542001655183</v>
      </c>
      <c r="AE458" s="3">
        <f t="shared" si="233"/>
        <v>277.83000000000004</v>
      </c>
      <c r="AF458">
        <v>70</v>
      </c>
      <c r="AG458" t="str">
        <f t="shared" si="243"/>
        <v>NA</v>
      </c>
      <c r="AH458" t="str">
        <f t="shared" si="244"/>
        <v>NA</v>
      </c>
      <c r="AI458" s="11">
        <v>1</v>
      </c>
      <c r="AJ458" t="s">
        <v>31</v>
      </c>
      <c r="AK458">
        <v>1960</v>
      </c>
      <c r="AL458" t="s">
        <v>557</v>
      </c>
      <c r="AM458" t="s">
        <v>515</v>
      </c>
      <c r="AN458" t="s">
        <v>205</v>
      </c>
      <c r="AO458" t="s">
        <v>788</v>
      </c>
      <c r="AP458" s="4" t="s">
        <v>33</v>
      </c>
      <c r="AQ458" t="s">
        <v>33</v>
      </c>
      <c r="AR458" t="s">
        <v>33</v>
      </c>
      <c r="AS458">
        <f>LOG(10^5)</f>
        <v>5</v>
      </c>
      <c r="AT458" s="3">
        <f t="shared" si="245"/>
        <v>3.9079999999999999</v>
      </c>
      <c r="AU458" s="6">
        <v>1.0920000000000001</v>
      </c>
      <c r="AV458" t="b">
        <v>1</v>
      </c>
      <c r="AW458" t="s">
        <v>172</v>
      </c>
      <c r="AX458" t="s">
        <v>173</v>
      </c>
      <c r="AY458" t="s">
        <v>444</v>
      </c>
      <c r="AZ458" t="s">
        <v>33</v>
      </c>
      <c r="BA458" s="18" t="s">
        <v>799</v>
      </c>
      <c r="BB458" t="b">
        <v>0</v>
      </c>
      <c r="BC458" t="s">
        <v>81</v>
      </c>
      <c r="BD458" t="s">
        <v>33</v>
      </c>
      <c r="BE458" t="s">
        <v>33</v>
      </c>
      <c r="BF458" s="11">
        <v>48</v>
      </c>
      <c r="BG458" t="s">
        <v>401</v>
      </c>
      <c r="BH458" t="s">
        <v>31</v>
      </c>
      <c r="BI458" t="s">
        <v>31</v>
      </c>
      <c r="BJ458" s="3">
        <f t="shared" si="217"/>
        <v>1.0920000000000001</v>
      </c>
      <c r="BK458" s="3">
        <f t="shared" si="237"/>
        <v>3.8222638368718462E-2</v>
      </c>
      <c r="BL458">
        <v>2</v>
      </c>
      <c r="BM458" s="3">
        <f t="shared" si="234"/>
        <v>2.4055565005527018</v>
      </c>
      <c r="BN458" t="s">
        <v>33</v>
      </c>
      <c r="BO458" s="3">
        <f t="shared" si="238"/>
        <v>254.42307692307693</v>
      </c>
      <c r="BP458" t="s">
        <v>33</v>
      </c>
      <c r="BQ458" t="s">
        <v>33</v>
      </c>
      <c r="BR458" t="s">
        <v>33</v>
      </c>
      <c r="BS458" t="s">
        <v>33</v>
      </c>
      <c r="BT458" t="s">
        <v>31</v>
      </c>
      <c r="BU458" t="s">
        <v>445</v>
      </c>
      <c r="BV458">
        <v>2015</v>
      </c>
      <c r="BW458" t="s">
        <v>446</v>
      </c>
      <c r="BX458" t="s">
        <v>78</v>
      </c>
      <c r="BY458" t="s">
        <v>447</v>
      </c>
      <c r="CA458" t="str">
        <f t="shared" si="239"/>
        <v>high acid</v>
      </c>
    </row>
    <row r="459" spans="1:79">
      <c r="A459" t="s">
        <v>438</v>
      </c>
      <c r="B459" t="s">
        <v>565</v>
      </c>
      <c r="C459" t="s">
        <v>563</v>
      </c>
      <c r="D459" t="s">
        <v>368</v>
      </c>
      <c r="E459" t="s">
        <v>77</v>
      </c>
      <c r="F459" t="s">
        <v>32</v>
      </c>
      <c r="G459">
        <v>23</v>
      </c>
      <c r="H459">
        <v>43</v>
      </c>
      <c r="I459" t="b">
        <v>0</v>
      </c>
      <c r="J459" t="s">
        <v>33</v>
      </c>
      <c r="K459" t="s">
        <v>33</v>
      </c>
      <c r="L459">
        <v>45</v>
      </c>
      <c r="M459" s="4">
        <v>1000</v>
      </c>
      <c r="N459" s="3">
        <f t="shared" si="241"/>
        <v>805.8545285219634</v>
      </c>
      <c r="O459">
        <v>1.5</v>
      </c>
      <c r="P459" t="s">
        <v>33</v>
      </c>
      <c r="Q459" s="8">
        <f t="shared" si="240"/>
        <v>4.6666666666666669E-2</v>
      </c>
      <c r="R459" t="s">
        <v>183</v>
      </c>
      <c r="S459" t="s">
        <v>613</v>
      </c>
      <c r="T459" s="11">
        <v>1</v>
      </c>
      <c r="U459">
        <v>5</v>
      </c>
      <c r="V459">
        <v>8</v>
      </c>
      <c r="W459" t="s">
        <v>33</v>
      </c>
      <c r="X459" s="9">
        <f t="shared" si="242"/>
        <v>0.25132741228718347</v>
      </c>
      <c r="Y459" s="6">
        <v>4.34</v>
      </c>
      <c r="Z459" s="3">
        <f t="shared" si="230"/>
        <v>5.3855874061539311</v>
      </c>
      <c r="AA459">
        <v>46.3</v>
      </c>
      <c r="AB459" s="6">
        <f>IFERROR(((X459*M459)/Y459), "NA")</f>
        <v>57.909542001655183</v>
      </c>
      <c r="AC459" t="str">
        <f t="shared" si="232"/>
        <v>NA</v>
      </c>
      <c r="AD459" s="4">
        <f>AB459*T459*AI459</f>
        <v>57.909542001655183</v>
      </c>
      <c r="AE459" s="3">
        <f t="shared" si="233"/>
        <v>280.66500000000002</v>
      </c>
      <c r="AF459">
        <v>70</v>
      </c>
      <c r="AG459" t="str">
        <f t="shared" si="243"/>
        <v>NA</v>
      </c>
      <c r="AH459" t="str">
        <f t="shared" si="244"/>
        <v>NA</v>
      </c>
      <c r="AI459" s="11">
        <v>1</v>
      </c>
      <c r="AJ459" t="s">
        <v>31</v>
      </c>
      <c r="AK459">
        <v>1980</v>
      </c>
      <c r="AL459" t="s">
        <v>559</v>
      </c>
      <c r="AM459" t="s">
        <v>515</v>
      </c>
      <c r="AN459" t="s">
        <v>205</v>
      </c>
      <c r="AO459" t="s">
        <v>788</v>
      </c>
      <c r="AP459" s="4" t="s">
        <v>33</v>
      </c>
      <c r="AQ459" t="s">
        <v>33</v>
      </c>
      <c r="AR459" t="s">
        <v>33</v>
      </c>
      <c r="AS459">
        <f>LOG(10^5)</f>
        <v>5</v>
      </c>
      <c r="AT459" s="3">
        <f t="shared" si="245"/>
        <v>3.9079999999999999</v>
      </c>
      <c r="AU459" s="6">
        <v>1.0920000000000001</v>
      </c>
      <c r="AV459" t="b">
        <v>1</v>
      </c>
      <c r="AW459" t="s">
        <v>172</v>
      </c>
      <c r="AX459" t="s">
        <v>173</v>
      </c>
      <c r="AY459" t="s">
        <v>444</v>
      </c>
      <c r="AZ459" t="s">
        <v>33</v>
      </c>
      <c r="BA459" s="18" t="s">
        <v>799</v>
      </c>
      <c r="BB459" t="b">
        <v>0</v>
      </c>
      <c r="BC459" t="s">
        <v>81</v>
      </c>
      <c r="BD459" t="s">
        <v>33</v>
      </c>
      <c r="BE459" t="s">
        <v>33</v>
      </c>
      <c r="BF459" s="11">
        <v>48</v>
      </c>
      <c r="BG459" t="s">
        <v>401</v>
      </c>
      <c r="BH459" t="s">
        <v>31</v>
      </c>
      <c r="BI459" t="s">
        <v>31</v>
      </c>
      <c r="BJ459" s="3">
        <f t="shared" si="217"/>
        <v>1.0920000000000001</v>
      </c>
      <c r="BK459" s="3">
        <f t="shared" si="237"/>
        <v>3.8222638368718462E-2</v>
      </c>
      <c r="BL459">
        <v>2</v>
      </c>
      <c r="BM459" s="3">
        <f t="shared" si="234"/>
        <v>2.4099656194577568</v>
      </c>
      <c r="BN459" t="s">
        <v>33</v>
      </c>
      <c r="BO459" s="3">
        <f t="shared" si="238"/>
        <v>257.01923076923077</v>
      </c>
      <c r="BP459" t="s">
        <v>33</v>
      </c>
      <c r="BQ459" t="s">
        <v>33</v>
      </c>
      <c r="BR459" t="s">
        <v>33</v>
      </c>
      <c r="BS459" t="s">
        <v>33</v>
      </c>
      <c r="BT459" t="s">
        <v>31</v>
      </c>
      <c r="BU459" t="s">
        <v>445</v>
      </c>
      <c r="BV459">
        <v>2015</v>
      </c>
      <c r="BW459" t="s">
        <v>446</v>
      </c>
      <c r="BX459" t="s">
        <v>78</v>
      </c>
      <c r="BY459" t="s">
        <v>447</v>
      </c>
      <c r="CA459" t="str">
        <f t="shared" si="239"/>
        <v>high acid</v>
      </c>
    </row>
    <row r="460" spans="1:79">
      <c r="A460" t="s">
        <v>441</v>
      </c>
      <c r="B460" t="s">
        <v>565</v>
      </c>
      <c r="C460" t="s">
        <v>563</v>
      </c>
      <c r="D460" t="s">
        <v>368</v>
      </c>
      <c r="E460" t="s">
        <v>77</v>
      </c>
      <c r="F460" t="s">
        <v>32</v>
      </c>
      <c r="G460">
        <v>23</v>
      </c>
      <c r="H460">
        <v>43</v>
      </c>
      <c r="I460" t="b">
        <v>0</v>
      </c>
      <c r="J460" t="s">
        <v>33</v>
      </c>
      <c r="K460" t="s">
        <v>33</v>
      </c>
      <c r="L460">
        <v>45</v>
      </c>
      <c r="M460" s="4">
        <v>1000</v>
      </c>
      <c r="N460" s="3">
        <f t="shared" si="241"/>
        <v>805.8545285219634</v>
      </c>
      <c r="O460">
        <v>1.5</v>
      </c>
      <c r="P460" t="s">
        <v>33</v>
      </c>
      <c r="Q460" s="8">
        <f t="shared" si="240"/>
        <v>4.6666666666666669E-2</v>
      </c>
      <c r="R460" t="s">
        <v>183</v>
      </c>
      <c r="S460" t="s">
        <v>613</v>
      </c>
      <c r="T460" s="11">
        <v>1</v>
      </c>
      <c r="U460">
        <v>5</v>
      </c>
      <c r="V460">
        <v>8</v>
      </c>
      <c r="W460" t="s">
        <v>33</v>
      </c>
      <c r="X460" s="9">
        <f t="shared" si="242"/>
        <v>0.25132741228718347</v>
      </c>
      <c r="Y460" s="6">
        <v>4.34</v>
      </c>
      <c r="Z460" s="3">
        <f t="shared" si="230"/>
        <v>5.3855874061539311</v>
      </c>
      <c r="AA460">
        <v>46.3</v>
      </c>
      <c r="AB460" s="6">
        <f>IFERROR(((X460*M460)/Y460), "NA")</f>
        <v>57.909542001655183</v>
      </c>
      <c r="AC460" t="str">
        <f t="shared" si="232"/>
        <v>NA</v>
      </c>
      <c r="AD460" s="4">
        <f>AB460*T460*AI460</f>
        <v>57.909542001655183</v>
      </c>
      <c r="AE460" s="3">
        <f t="shared" si="233"/>
        <v>301.92750000000001</v>
      </c>
      <c r="AF460">
        <v>70</v>
      </c>
      <c r="AG460" t="str">
        <f t="shared" si="243"/>
        <v>NA</v>
      </c>
      <c r="AH460" t="str">
        <f t="shared" si="244"/>
        <v>NA</v>
      </c>
      <c r="AI460" s="11">
        <v>1</v>
      </c>
      <c r="AJ460" t="s">
        <v>31</v>
      </c>
      <c r="AK460">
        <v>2130</v>
      </c>
      <c r="AL460" t="s">
        <v>549</v>
      </c>
      <c r="AM460" t="s">
        <v>515</v>
      </c>
      <c r="AN460" t="s">
        <v>205</v>
      </c>
      <c r="AO460" t="s">
        <v>788</v>
      </c>
      <c r="AP460" s="4" t="s">
        <v>33</v>
      </c>
      <c r="AQ460" t="s">
        <v>33</v>
      </c>
      <c r="AR460" t="s">
        <v>33</v>
      </c>
      <c r="AS460">
        <f>LOG(10^5)</f>
        <v>5</v>
      </c>
      <c r="AT460" s="3">
        <f t="shared" si="245"/>
        <v>3.9079999999999999</v>
      </c>
      <c r="AU460" s="6">
        <v>1.0920000000000001</v>
      </c>
      <c r="AV460" t="b">
        <v>1</v>
      </c>
      <c r="AW460" t="s">
        <v>172</v>
      </c>
      <c r="AX460" t="s">
        <v>173</v>
      </c>
      <c r="AY460" t="s">
        <v>444</v>
      </c>
      <c r="AZ460" t="s">
        <v>33</v>
      </c>
      <c r="BA460" s="18" t="s">
        <v>799</v>
      </c>
      <c r="BB460" t="b">
        <v>0</v>
      </c>
      <c r="BC460" t="s">
        <v>81</v>
      </c>
      <c r="BD460" t="s">
        <v>33</v>
      </c>
      <c r="BE460" t="s">
        <v>33</v>
      </c>
      <c r="BF460" s="11">
        <v>48</v>
      </c>
      <c r="BG460" t="s">
        <v>401</v>
      </c>
      <c r="BH460" t="s">
        <v>31</v>
      </c>
      <c r="BI460" t="s">
        <v>31</v>
      </c>
      <c r="BJ460" s="3">
        <f t="shared" si="217"/>
        <v>1.0920000000000001</v>
      </c>
      <c r="BK460" s="3">
        <f t="shared" si="237"/>
        <v>3.8222638368718462E-2</v>
      </c>
      <c r="BL460">
        <v>2</v>
      </c>
      <c r="BM460" s="3">
        <f t="shared" si="234"/>
        <v>2.4416800326349635</v>
      </c>
      <c r="BN460" t="s">
        <v>33</v>
      </c>
      <c r="BO460" s="3">
        <f t="shared" si="238"/>
        <v>276.49038461538458</v>
      </c>
      <c r="BP460" t="s">
        <v>33</v>
      </c>
      <c r="BQ460" t="s">
        <v>33</v>
      </c>
      <c r="BR460" t="s">
        <v>33</v>
      </c>
      <c r="BS460" t="s">
        <v>33</v>
      </c>
      <c r="BT460" t="s">
        <v>31</v>
      </c>
      <c r="BU460" t="s">
        <v>445</v>
      </c>
      <c r="BV460">
        <v>2015</v>
      </c>
      <c r="BW460" t="s">
        <v>446</v>
      </c>
      <c r="BX460" t="s">
        <v>78</v>
      </c>
      <c r="BY460" t="s">
        <v>447</v>
      </c>
      <c r="CA460" t="str">
        <f t="shared" si="239"/>
        <v>high acid</v>
      </c>
    </row>
    <row r="461" spans="1:79">
      <c r="A461" t="s">
        <v>261</v>
      </c>
      <c r="B461" t="s">
        <v>565</v>
      </c>
      <c r="C461" t="s">
        <v>563</v>
      </c>
      <c r="D461" t="s">
        <v>118</v>
      </c>
      <c r="E461" t="s">
        <v>77</v>
      </c>
      <c r="F461" t="s">
        <v>32</v>
      </c>
      <c r="G461">
        <v>5</v>
      </c>
      <c r="H461">
        <v>40</v>
      </c>
      <c r="I461" t="b">
        <v>0</v>
      </c>
      <c r="J461" t="s">
        <v>33</v>
      </c>
      <c r="K461" t="s">
        <v>33</v>
      </c>
      <c r="L461">
        <v>35</v>
      </c>
      <c r="M461" s="4">
        <v>175</v>
      </c>
      <c r="N461" s="3">
        <f t="shared" si="241"/>
        <v>9444.8061195568516</v>
      </c>
      <c r="O461">
        <v>4</v>
      </c>
      <c r="P461" t="s">
        <v>33</v>
      </c>
      <c r="Q461" s="8">
        <f t="shared" si="240"/>
        <v>0.35714285714285715</v>
      </c>
      <c r="R461" t="s">
        <v>183</v>
      </c>
      <c r="S461" t="s">
        <v>613</v>
      </c>
      <c r="T461" s="11">
        <v>8</v>
      </c>
      <c r="U461">
        <v>2.92</v>
      </c>
      <c r="V461">
        <v>2.2999999999999998</v>
      </c>
      <c r="W461">
        <v>1.21E-2</v>
      </c>
      <c r="X461" s="8">
        <f>IFERROR(((PI())*(((V461*10^-1)/2)^2)*(U461*10^-1)), "NA")</f>
        <v>1.2131888350367701E-2</v>
      </c>
      <c r="Y461" s="6">
        <f>110/60</f>
        <v>1.8333333333333333</v>
      </c>
      <c r="Z461" s="3">
        <f t="shared" si="230"/>
        <v>3.3969287381029563E-2</v>
      </c>
      <c r="AA461" t="s">
        <v>33</v>
      </c>
      <c r="AB461" s="6">
        <f>IFERROR(((X461*M461)/Z461), "NA")</f>
        <v>62.499999999999993</v>
      </c>
      <c r="AC461" t="str">
        <f t="shared" si="232"/>
        <v>NA</v>
      </c>
      <c r="AD461" s="4">
        <f>AB461*T461*AI461</f>
        <v>499.99999999999994</v>
      </c>
      <c r="AE461" s="3">
        <f t="shared" si="233"/>
        <v>12568.499999999998</v>
      </c>
      <c r="AF461">
        <v>2000</v>
      </c>
      <c r="AG461" t="str">
        <f t="shared" si="243"/>
        <v>NA</v>
      </c>
      <c r="AH461" t="str">
        <f t="shared" si="244"/>
        <v>NA</v>
      </c>
      <c r="AI461">
        <v>1</v>
      </c>
      <c r="AJ461" t="s">
        <v>31</v>
      </c>
      <c r="AK461">
        <v>5130</v>
      </c>
      <c r="AL461" t="s">
        <v>547</v>
      </c>
      <c r="AM461" t="s">
        <v>86</v>
      </c>
      <c r="AN461" t="s">
        <v>205</v>
      </c>
      <c r="AO461" t="s">
        <v>789</v>
      </c>
      <c r="AP461">
        <v>3.16</v>
      </c>
      <c r="AQ461" t="s">
        <v>33</v>
      </c>
      <c r="AR461" t="s">
        <v>33</v>
      </c>
      <c r="AS461" s="6">
        <f>LOG((10^7+10^8)/2)</f>
        <v>7.7403626894942441</v>
      </c>
      <c r="AT461" s="3">
        <f t="shared" si="245"/>
        <v>3.9153626894942439</v>
      </c>
      <c r="AU461" s="6">
        <v>3.8250000000000002</v>
      </c>
      <c r="AV461" t="b">
        <v>1</v>
      </c>
      <c r="AW461" t="s">
        <v>29</v>
      </c>
      <c r="AX461" t="s">
        <v>30</v>
      </c>
      <c r="AY461" t="s">
        <v>33</v>
      </c>
      <c r="AZ461" t="s">
        <v>134</v>
      </c>
      <c r="BA461" s="18" t="s">
        <v>798</v>
      </c>
      <c r="BB461" t="b">
        <v>0</v>
      </c>
      <c r="BC461" t="s">
        <v>81</v>
      </c>
      <c r="BD461">
        <v>15</v>
      </c>
      <c r="BE461" t="s">
        <v>80</v>
      </c>
      <c r="BF461" s="11">
        <v>24</v>
      </c>
      <c r="BG461" t="s">
        <v>262</v>
      </c>
      <c r="BH461" t="s">
        <v>31</v>
      </c>
      <c r="BI461" t="s">
        <v>31</v>
      </c>
      <c r="BJ461" s="3">
        <f t="shared" ref="BJ461:BJ521" si="246">AU461</f>
        <v>3.8250000000000002</v>
      </c>
      <c r="BK461" s="3">
        <f t="shared" si="237"/>
        <v>0.58263143948963647</v>
      </c>
      <c r="BL461">
        <v>2</v>
      </c>
      <c r="BM461" s="3">
        <f t="shared" si="234"/>
        <v>3.516652009986712</v>
      </c>
      <c r="BN461" t="s">
        <v>33</v>
      </c>
      <c r="BO461" s="3">
        <f t="shared" si="238"/>
        <v>3285.8823529411757</v>
      </c>
      <c r="BP461" t="s">
        <v>33</v>
      </c>
      <c r="BQ461" t="s">
        <v>33</v>
      </c>
      <c r="BR461" t="s">
        <v>33</v>
      </c>
      <c r="BS461" t="s">
        <v>33</v>
      </c>
      <c r="BT461" t="s">
        <v>31</v>
      </c>
      <c r="BU461" t="s">
        <v>219</v>
      </c>
      <c r="BV461">
        <v>2008</v>
      </c>
      <c r="BW461" s="2" t="s">
        <v>257</v>
      </c>
      <c r="BX461" t="s">
        <v>78</v>
      </c>
      <c r="BY461" t="s">
        <v>33</v>
      </c>
      <c r="BZ461" t="s">
        <v>33</v>
      </c>
      <c r="CA461" t="str">
        <f t="shared" si="239"/>
        <v>high acid</v>
      </c>
    </row>
    <row r="462" spans="1:79">
      <c r="A462" t="s">
        <v>325</v>
      </c>
      <c r="B462" t="s">
        <v>565</v>
      </c>
      <c r="C462" t="s">
        <v>563</v>
      </c>
      <c r="D462" t="s">
        <v>304</v>
      </c>
      <c r="E462" t="s">
        <v>77</v>
      </c>
      <c r="F462" t="s">
        <v>32</v>
      </c>
      <c r="G462">
        <v>30</v>
      </c>
      <c r="H462">
        <v>32.700000000000003</v>
      </c>
      <c r="I462" t="b">
        <v>1</v>
      </c>
      <c r="J462">
        <v>12600</v>
      </c>
      <c r="K462">
        <v>50.4</v>
      </c>
      <c r="L462">
        <v>31.3</v>
      </c>
      <c r="M462" s="4">
        <v>87</v>
      </c>
      <c r="N462" s="3">
        <f t="shared" si="241"/>
        <v>83.218270897723016</v>
      </c>
      <c r="O462">
        <v>5</v>
      </c>
      <c r="P462">
        <v>2.4E-2</v>
      </c>
      <c r="Q462" s="8">
        <f t="shared" si="240"/>
        <v>2.2988505747126436E-2</v>
      </c>
      <c r="R462" t="s">
        <v>183</v>
      </c>
      <c r="S462" t="s">
        <v>612</v>
      </c>
      <c r="T462" s="11">
        <v>1</v>
      </c>
      <c r="U462">
        <v>3.4</v>
      </c>
      <c r="V462">
        <v>3</v>
      </c>
      <c r="W462">
        <v>2.4E-2</v>
      </c>
      <c r="X462" s="8">
        <f>IFERROR(((PI())*(((V462*10^-1)/2)^2)*(U462*10^-1)), "NA")</f>
        <v>2.4033183799961926E-2</v>
      </c>
      <c r="Y462" s="6">
        <f>1</f>
        <v>1</v>
      </c>
      <c r="Z462" s="3">
        <f t="shared" si="230"/>
        <v>1.0454434952983438</v>
      </c>
      <c r="AA462">
        <v>2.1</v>
      </c>
      <c r="AB462" s="6">
        <f>IFERROR(((X462*M462)/Z462), "NA")</f>
        <v>2</v>
      </c>
      <c r="AC462">
        <f t="shared" si="232"/>
        <v>2.0880000000000001</v>
      </c>
      <c r="AD462" s="4">
        <f>IFERROR(AB462*T462*AI462, "NA")</f>
        <v>2</v>
      </c>
      <c r="AE462" s="3">
        <f t="shared" si="233"/>
        <v>9.7968999999999991</v>
      </c>
      <c r="AF462">
        <v>10</v>
      </c>
      <c r="AG462">
        <f t="shared" si="243"/>
        <v>10.44</v>
      </c>
      <c r="AH462">
        <f t="shared" si="244"/>
        <v>10.44</v>
      </c>
      <c r="AI462">
        <v>1</v>
      </c>
      <c r="AJ462" t="s">
        <v>31</v>
      </c>
      <c r="AK462">
        <v>1000</v>
      </c>
      <c r="AL462" t="s">
        <v>169</v>
      </c>
      <c r="AM462" t="s">
        <v>103</v>
      </c>
      <c r="AN462" t="s">
        <v>305</v>
      </c>
      <c r="AO462" t="s">
        <v>790</v>
      </c>
      <c r="AP462">
        <v>4.5</v>
      </c>
      <c r="AQ462" t="s">
        <v>33</v>
      </c>
      <c r="AR462" t="s">
        <v>33</v>
      </c>
      <c r="AS462" s="6">
        <f>LOG(3*10^7)</f>
        <v>7.4771212547196626</v>
      </c>
      <c r="AT462" s="3">
        <f t="shared" si="245"/>
        <v>3.9171212547196625</v>
      </c>
      <c r="AU462" s="6">
        <v>3.56</v>
      </c>
      <c r="AV462" t="b">
        <v>1</v>
      </c>
      <c r="AW462" t="s">
        <v>123</v>
      </c>
      <c r="AX462" t="s">
        <v>88</v>
      </c>
      <c r="AY462" t="s">
        <v>306</v>
      </c>
      <c r="AZ462" t="s">
        <v>33</v>
      </c>
      <c r="BA462" s="18" t="s">
        <v>579</v>
      </c>
      <c r="BB462" t="b">
        <v>1</v>
      </c>
      <c r="BC462" t="s">
        <v>81</v>
      </c>
      <c r="BD462">
        <v>48</v>
      </c>
      <c r="BE462" t="s">
        <v>80</v>
      </c>
      <c r="BF462" s="11">
        <v>120</v>
      </c>
      <c r="BG462" t="s">
        <v>395</v>
      </c>
      <c r="BH462" t="s">
        <v>31</v>
      </c>
      <c r="BI462" t="s">
        <v>31</v>
      </c>
      <c r="BJ462" s="3">
        <f t="shared" si="246"/>
        <v>3.56</v>
      </c>
      <c r="BK462" s="3">
        <f t="shared" si="237"/>
        <v>0.55144999797287519</v>
      </c>
      <c r="BL462">
        <v>2</v>
      </c>
      <c r="BM462" s="3">
        <f t="shared" si="234"/>
        <v>0.43963867712002175</v>
      </c>
      <c r="BN462" t="s">
        <v>33</v>
      </c>
      <c r="BO462" s="3">
        <f t="shared" si="238"/>
        <v>2.7519382022471905</v>
      </c>
      <c r="BP462" t="s">
        <v>33</v>
      </c>
      <c r="BQ462" t="s">
        <v>33</v>
      </c>
      <c r="BR462" t="s">
        <v>33</v>
      </c>
      <c r="BS462" t="s">
        <v>33</v>
      </c>
      <c r="BT462" t="s">
        <v>32</v>
      </c>
      <c r="BU462" t="s">
        <v>323</v>
      </c>
      <c r="BV462">
        <v>2003</v>
      </c>
      <c r="BW462" s="2" t="s">
        <v>322</v>
      </c>
      <c r="BX462" t="s">
        <v>78</v>
      </c>
      <c r="BY462" t="s">
        <v>33</v>
      </c>
      <c r="BZ462" t="s">
        <v>33</v>
      </c>
      <c r="CA462" t="str">
        <f t="shared" si="239"/>
        <v>high acid</v>
      </c>
    </row>
    <row r="463" spans="1:79">
      <c r="A463" t="s">
        <v>431</v>
      </c>
      <c r="B463" t="s">
        <v>565</v>
      </c>
      <c r="C463" t="s">
        <v>563</v>
      </c>
      <c r="D463" t="s">
        <v>118</v>
      </c>
      <c r="E463" t="s">
        <v>77</v>
      </c>
      <c r="F463" t="s">
        <v>32</v>
      </c>
      <c r="G463">
        <v>20</v>
      </c>
      <c r="H463">
        <v>25</v>
      </c>
      <c r="I463" t="b">
        <v>0</v>
      </c>
      <c r="J463" t="s">
        <v>33</v>
      </c>
      <c r="K463" t="s">
        <v>33</v>
      </c>
      <c r="L463">
        <v>27.4</v>
      </c>
      <c r="M463" s="4">
        <v>667</v>
      </c>
      <c r="N463" s="3" t="str">
        <f t="shared" si="241"/>
        <v>NA</v>
      </c>
      <c r="O463">
        <v>2</v>
      </c>
      <c r="P463" t="s">
        <v>33</v>
      </c>
      <c r="Q463" s="8">
        <f t="shared" si="240"/>
        <v>1.4992503748125939E-2</v>
      </c>
      <c r="R463" t="s">
        <v>183</v>
      </c>
      <c r="S463" t="s">
        <v>613</v>
      </c>
      <c r="T463" s="11">
        <v>6</v>
      </c>
      <c r="U463">
        <v>2.92</v>
      </c>
      <c r="V463">
        <v>2.2999999999999998</v>
      </c>
      <c r="W463" t="s">
        <v>33</v>
      </c>
      <c r="X463" s="9">
        <f>IFERROR(((PI())*(((V463*10^-1)/2)^2)*(U463*10^-1)), "NA")</f>
        <v>1.2131888350367701E-2</v>
      </c>
      <c r="Y463" s="6" t="s">
        <v>33</v>
      </c>
      <c r="Z463" s="3">
        <f t="shared" si="230"/>
        <v>0.80919695296952554</v>
      </c>
      <c r="AA463" t="s">
        <v>33</v>
      </c>
      <c r="AB463" s="6" t="str">
        <f>IFERROR(((X463*M463)/Y463), "NA")</f>
        <v>NA</v>
      </c>
      <c r="AC463" t="str">
        <f t="shared" si="232"/>
        <v>NA</v>
      </c>
      <c r="AD463" s="4" t="str">
        <f>IFERROR(AB463*T463*AI463, "NA")</f>
        <v>NA</v>
      </c>
      <c r="AE463" s="3">
        <f t="shared" si="233"/>
        <v>90.091200000000001</v>
      </c>
      <c r="AF463">
        <v>120</v>
      </c>
      <c r="AG463" t="str">
        <f t="shared" si="243"/>
        <v>NA</v>
      </c>
      <c r="AH463" t="str">
        <f t="shared" si="244"/>
        <v>NA</v>
      </c>
      <c r="AI463" s="11">
        <v>1</v>
      </c>
      <c r="AJ463" t="s">
        <v>31</v>
      </c>
      <c r="AK463">
        <v>1000</v>
      </c>
      <c r="AL463" t="s">
        <v>430</v>
      </c>
      <c r="AM463" t="s">
        <v>530</v>
      </c>
      <c r="AN463" t="s">
        <v>186</v>
      </c>
      <c r="AO463" t="s">
        <v>796</v>
      </c>
      <c r="AP463" s="4">
        <v>6</v>
      </c>
      <c r="AQ463" t="s">
        <v>33</v>
      </c>
      <c r="AR463" t="s">
        <v>33</v>
      </c>
      <c r="AS463" s="3">
        <f>LOG((10^6+10^7)/2)</f>
        <v>6.7403626894942441</v>
      </c>
      <c r="AT463" s="3">
        <f t="shared" si="245"/>
        <v>3.9173626894942442</v>
      </c>
      <c r="AU463" s="6">
        <v>2.823</v>
      </c>
      <c r="AV463" t="b">
        <v>1</v>
      </c>
      <c r="AW463" t="s">
        <v>29</v>
      </c>
      <c r="AX463" t="s">
        <v>30</v>
      </c>
      <c r="AY463" t="s">
        <v>216</v>
      </c>
      <c r="AZ463" t="s">
        <v>33</v>
      </c>
      <c r="BA463" s="18" t="s">
        <v>798</v>
      </c>
      <c r="BB463" s="3" t="b">
        <v>0</v>
      </c>
      <c r="BC463" t="s">
        <v>81</v>
      </c>
      <c r="BD463">
        <v>15</v>
      </c>
      <c r="BE463" t="s">
        <v>80</v>
      </c>
      <c r="BF463" s="11">
        <v>240</v>
      </c>
      <c r="BG463" t="s">
        <v>139</v>
      </c>
      <c r="BH463" t="s">
        <v>31</v>
      </c>
      <c r="BI463" t="s">
        <v>31</v>
      </c>
      <c r="BJ463" s="3">
        <f t="shared" si="246"/>
        <v>2.823</v>
      </c>
      <c r="BK463" s="3">
        <f t="shared" si="237"/>
        <v>0.45071087814691935</v>
      </c>
      <c r="BL463">
        <v>2</v>
      </c>
      <c r="BM463" s="3">
        <f t="shared" si="234"/>
        <v>1.5039714935414814</v>
      </c>
      <c r="BN463" t="s">
        <v>33</v>
      </c>
      <c r="BO463" s="3">
        <f t="shared" si="238"/>
        <v>31.913283740701381</v>
      </c>
      <c r="BP463" t="s">
        <v>33</v>
      </c>
      <c r="BQ463" t="s">
        <v>33</v>
      </c>
      <c r="BR463" t="s">
        <v>33</v>
      </c>
      <c r="BS463" t="s">
        <v>33</v>
      </c>
      <c r="BT463" t="s">
        <v>32</v>
      </c>
      <c r="BU463" t="s">
        <v>344</v>
      </c>
      <c r="BV463">
        <v>2008</v>
      </c>
      <c r="BW463" t="s">
        <v>432</v>
      </c>
      <c r="BX463" t="s">
        <v>78</v>
      </c>
      <c r="BY463" t="s">
        <v>33</v>
      </c>
      <c r="BZ463" t="s">
        <v>33</v>
      </c>
      <c r="CA463" t="str">
        <f t="shared" si="239"/>
        <v>low acid</v>
      </c>
    </row>
    <row r="464" spans="1:79">
      <c r="A464" t="s">
        <v>326</v>
      </c>
      <c r="B464" t="s">
        <v>565</v>
      </c>
      <c r="C464" t="s">
        <v>563</v>
      </c>
      <c r="D464" t="s">
        <v>118</v>
      </c>
      <c r="E464" t="s">
        <v>77</v>
      </c>
      <c r="F464" t="s">
        <v>32</v>
      </c>
      <c r="G464">
        <v>15</v>
      </c>
      <c r="H464">
        <v>30.4</v>
      </c>
      <c r="I464" t="b">
        <v>0</v>
      </c>
      <c r="J464" t="s">
        <v>33</v>
      </c>
      <c r="K464" t="s">
        <v>33</v>
      </c>
      <c r="L464">
        <v>27.5</v>
      </c>
      <c r="M464" s="4">
        <v>200</v>
      </c>
      <c r="N464" s="3">
        <f t="shared" si="241"/>
        <v>6909.4056514700696</v>
      </c>
      <c r="O464">
        <v>5</v>
      </c>
      <c r="P464" t="s">
        <v>33</v>
      </c>
      <c r="Q464" s="8">
        <f t="shared" si="240"/>
        <v>0.12500000000000003</v>
      </c>
      <c r="R464" t="s">
        <v>183</v>
      </c>
      <c r="S464" t="s">
        <v>613</v>
      </c>
      <c r="T464" s="11">
        <v>8</v>
      </c>
      <c r="U464">
        <v>2.9</v>
      </c>
      <c r="V464">
        <v>2.2999999999999998</v>
      </c>
      <c r="W464">
        <v>1.2E-2</v>
      </c>
      <c r="X464" s="8">
        <f>IFERROR(((PI())*(((V464*10^-1)/2)^2)*(U464*10^-1)), "NA")</f>
        <v>1.204879322468025E-2</v>
      </c>
      <c r="Y464">
        <v>3.33</v>
      </c>
      <c r="Z464" s="3">
        <f t="shared" si="230"/>
        <v>9.639034579744199E-2</v>
      </c>
      <c r="AA464" t="s">
        <v>33</v>
      </c>
      <c r="AB464" s="6">
        <f>IFERROR(((X464*M464)/Z464), "NA")</f>
        <v>25.000000000000004</v>
      </c>
      <c r="AC464" t="str">
        <f t="shared" si="232"/>
        <v>NA</v>
      </c>
      <c r="AD464" s="4">
        <f>AB464*T464*AI464</f>
        <v>200.00000000000003</v>
      </c>
      <c r="AE464" s="3">
        <f t="shared" si="233"/>
        <v>1588.1250000000005</v>
      </c>
      <c r="AF464">
        <v>1000</v>
      </c>
      <c r="AG464" t="str">
        <f t="shared" si="243"/>
        <v>NA</v>
      </c>
      <c r="AH464" t="str">
        <f t="shared" si="244"/>
        <v>NA</v>
      </c>
      <c r="AI464">
        <v>1</v>
      </c>
      <c r="AJ464" t="s">
        <v>31</v>
      </c>
      <c r="AK464">
        <v>2100</v>
      </c>
      <c r="AL464" t="s">
        <v>551</v>
      </c>
      <c r="AM464" t="s">
        <v>86</v>
      </c>
      <c r="AN464" t="s">
        <v>205</v>
      </c>
      <c r="AO464" t="s">
        <v>789</v>
      </c>
      <c r="AP464">
        <v>3.79</v>
      </c>
      <c r="AQ464">
        <v>1060</v>
      </c>
      <c r="AR464" t="s">
        <v>33</v>
      </c>
      <c r="AS464" s="6">
        <f>LOG((10^6+10^7)/2)</f>
        <v>6.7403626894942441</v>
      </c>
      <c r="AT464" s="3">
        <f t="shared" si="245"/>
        <v>3.9203626894942443</v>
      </c>
      <c r="AU464" s="6">
        <v>2.82</v>
      </c>
      <c r="AV464" t="b">
        <v>1</v>
      </c>
      <c r="AW464" t="s">
        <v>123</v>
      </c>
      <c r="AX464" t="s">
        <v>327</v>
      </c>
      <c r="AY464" t="s">
        <v>328</v>
      </c>
      <c r="AZ464" t="s">
        <v>33</v>
      </c>
      <c r="BA464" s="18" t="s">
        <v>579</v>
      </c>
      <c r="BB464" t="b">
        <v>1</v>
      </c>
      <c r="BC464" t="s">
        <v>81</v>
      </c>
      <c r="BD464">
        <v>144</v>
      </c>
      <c r="BE464" t="s">
        <v>80</v>
      </c>
      <c r="BF464" s="11">
        <v>120</v>
      </c>
      <c r="BG464" t="s">
        <v>329</v>
      </c>
      <c r="BH464" t="s">
        <v>31</v>
      </c>
      <c r="BI464" t="s">
        <v>31</v>
      </c>
      <c r="BJ464" s="3">
        <f t="shared" si="246"/>
        <v>2.82</v>
      </c>
      <c r="BK464" s="3">
        <f t="shared" si="237"/>
        <v>0.45024910831936105</v>
      </c>
      <c r="BL464">
        <v>2</v>
      </c>
      <c r="BM464" s="3">
        <f t="shared" si="234"/>
        <v>2.7506355740750834</v>
      </c>
      <c r="BN464" t="s">
        <v>33</v>
      </c>
      <c r="BO464" s="3">
        <f t="shared" si="238"/>
        <v>563.16489361702145</v>
      </c>
      <c r="BP464" t="s">
        <v>33</v>
      </c>
      <c r="BQ464" t="s">
        <v>33</v>
      </c>
      <c r="BR464" t="s">
        <v>33</v>
      </c>
      <c r="BS464" t="s">
        <v>33</v>
      </c>
      <c r="BT464" t="s">
        <v>31</v>
      </c>
      <c r="BU464" t="s">
        <v>330</v>
      </c>
      <c r="BV464">
        <v>2009</v>
      </c>
      <c r="BW464" t="s">
        <v>331</v>
      </c>
      <c r="BX464" t="s">
        <v>78</v>
      </c>
      <c r="BY464" t="s">
        <v>33</v>
      </c>
      <c r="BZ464" t="s">
        <v>335</v>
      </c>
      <c r="CA464" t="str">
        <f t="shared" si="239"/>
        <v>high acid</v>
      </c>
    </row>
    <row r="465" spans="1:79">
      <c r="A465" t="s">
        <v>733</v>
      </c>
      <c r="B465" t="s">
        <v>566</v>
      </c>
      <c r="C465" t="s">
        <v>563</v>
      </c>
      <c r="D465" t="s">
        <v>699</v>
      </c>
      <c r="E465" t="s">
        <v>77</v>
      </c>
      <c r="F465" t="s">
        <v>32</v>
      </c>
      <c r="G465">
        <v>20</v>
      </c>
      <c r="H465">
        <v>64</v>
      </c>
      <c r="I465" t="b">
        <v>1</v>
      </c>
      <c r="J465" t="s">
        <v>33</v>
      </c>
      <c r="K465" t="s">
        <v>33</v>
      </c>
      <c r="L465">
        <v>20</v>
      </c>
      <c r="M465" s="4">
        <v>64</v>
      </c>
      <c r="N465" s="3">
        <f t="shared" si="241"/>
        <v>63.657407407407391</v>
      </c>
      <c r="O465">
        <v>5</v>
      </c>
      <c r="P465">
        <v>0.43</v>
      </c>
      <c r="Q465" s="8">
        <f>IFERROR(X465/Y465, "NA")</f>
        <v>0.43200000000000011</v>
      </c>
      <c r="R465" t="s">
        <v>183</v>
      </c>
      <c r="S465" t="s">
        <v>612</v>
      </c>
      <c r="T465" s="11">
        <v>1</v>
      </c>
      <c r="U465">
        <v>4</v>
      </c>
      <c r="V465" t="s">
        <v>33</v>
      </c>
      <c r="W465">
        <f>0.4*3*0.5</f>
        <v>0.60000000000000009</v>
      </c>
      <c r="X465" s="9">
        <f>W465</f>
        <v>0.60000000000000009</v>
      </c>
      <c r="Y465" s="6">
        <f>5000/3600</f>
        <v>1.3888888888888888</v>
      </c>
      <c r="Z465" s="3">
        <f t="shared" si="230"/>
        <v>1.3963636363636365</v>
      </c>
      <c r="AA465" t="s">
        <v>33</v>
      </c>
      <c r="AB465" s="4">
        <f>IFERROR(((X465*M465)/Y465), "NA")</f>
        <v>27.648000000000007</v>
      </c>
      <c r="AC465" s="4">
        <f t="shared" si="232"/>
        <v>27.52</v>
      </c>
      <c r="AD465" s="4">
        <f>AB465*T465*AI465</f>
        <v>27.648000000000007</v>
      </c>
      <c r="AE465" s="3">
        <f t="shared" si="233"/>
        <v>110.59200000000003</v>
      </c>
      <c r="AF465">
        <v>137.5</v>
      </c>
      <c r="AG465" s="4">
        <f t="shared" si="243"/>
        <v>137.6</v>
      </c>
      <c r="AH465" s="4">
        <f t="shared" si="244"/>
        <v>137.6</v>
      </c>
      <c r="AI465">
        <v>1</v>
      </c>
      <c r="AJ465" s="11" t="s">
        <v>31</v>
      </c>
      <c r="AK465">
        <v>2000</v>
      </c>
      <c r="AL465" t="s">
        <v>784</v>
      </c>
      <c r="AM465" t="s">
        <v>103</v>
      </c>
      <c r="AN465" t="s">
        <v>130</v>
      </c>
      <c r="AO465" t="s">
        <v>795</v>
      </c>
      <c r="AP465">
        <v>7</v>
      </c>
      <c r="AQ465" t="s">
        <v>33</v>
      </c>
      <c r="AR465" t="s">
        <v>33</v>
      </c>
      <c r="AS465" s="6">
        <f>LOG(AVERAGE(10^8, 10^9))</f>
        <v>8.7403626894942441</v>
      </c>
      <c r="AT465" s="3">
        <f t="shared" si="245"/>
        <v>3.9223626894942445</v>
      </c>
      <c r="AU465" s="6">
        <v>4.8179999999999996</v>
      </c>
      <c r="AV465" t="b">
        <v>1</v>
      </c>
      <c r="AW465" t="s">
        <v>172</v>
      </c>
      <c r="AX465" t="s">
        <v>173</v>
      </c>
      <c r="AY465">
        <v>28.031500000000001</v>
      </c>
      <c r="AZ465" t="s">
        <v>33</v>
      </c>
      <c r="BA465" s="18" t="s">
        <v>799</v>
      </c>
      <c r="BB465" s="3" t="b">
        <v>0</v>
      </c>
      <c r="BC465" t="s">
        <v>81</v>
      </c>
      <c r="BD465">
        <v>24</v>
      </c>
      <c r="BE465" t="s">
        <v>80</v>
      </c>
      <c r="BF465">
        <v>48</v>
      </c>
      <c r="BG465" t="s">
        <v>734</v>
      </c>
      <c r="BH465" t="s">
        <v>31</v>
      </c>
      <c r="BI465" t="s">
        <v>31</v>
      </c>
      <c r="BJ465" s="3">
        <f t="shared" si="246"/>
        <v>4.8179999999999996</v>
      </c>
      <c r="BK465" s="3">
        <f t="shared" si="237"/>
        <v>0.68286679566232455</v>
      </c>
      <c r="BL465">
        <v>2</v>
      </c>
      <c r="BM465" s="3">
        <f t="shared" si="234"/>
        <v>1.3608569164644373</v>
      </c>
      <c r="BN465" t="s">
        <v>33</v>
      </c>
      <c r="BO465" s="3">
        <f t="shared" si="238"/>
        <v>22.953922789539234</v>
      </c>
      <c r="BP465" t="s">
        <v>33</v>
      </c>
      <c r="BQ465" t="s">
        <v>33</v>
      </c>
      <c r="BR465" t="s">
        <v>33</v>
      </c>
      <c r="BS465" t="s">
        <v>33</v>
      </c>
      <c r="BT465" t="s">
        <v>32</v>
      </c>
      <c r="BU465" t="s">
        <v>709</v>
      </c>
      <c r="BV465">
        <v>2024</v>
      </c>
      <c r="BW465" t="s">
        <v>710</v>
      </c>
      <c r="BX465" t="s">
        <v>78</v>
      </c>
      <c r="BY465" t="s">
        <v>711</v>
      </c>
      <c r="CA465" t="str">
        <f t="shared" si="239"/>
        <v>low acid</v>
      </c>
    </row>
    <row r="466" spans="1:79">
      <c r="A466" t="s">
        <v>698</v>
      </c>
      <c r="B466" t="s">
        <v>566</v>
      </c>
      <c r="C466" t="s">
        <v>563</v>
      </c>
      <c r="D466" t="s">
        <v>699</v>
      </c>
      <c r="E466" t="s">
        <v>77</v>
      </c>
      <c r="F466" t="s">
        <v>32</v>
      </c>
      <c r="G466">
        <v>20</v>
      </c>
      <c r="H466">
        <v>64</v>
      </c>
      <c r="I466" t="b">
        <v>1</v>
      </c>
      <c r="J466" t="s">
        <v>33</v>
      </c>
      <c r="K466" t="s">
        <v>33</v>
      </c>
      <c r="L466">
        <v>20</v>
      </c>
      <c r="M466" s="4">
        <v>64</v>
      </c>
      <c r="N466" s="3">
        <f t="shared" si="241"/>
        <v>63.657407407407391</v>
      </c>
      <c r="O466">
        <v>5</v>
      </c>
      <c r="P466">
        <v>0.43</v>
      </c>
      <c r="Q466" s="8">
        <f>IFERROR(X466/Y466, "NA")</f>
        <v>0.43200000000000011</v>
      </c>
      <c r="R466" t="s">
        <v>183</v>
      </c>
      <c r="S466" t="s">
        <v>612</v>
      </c>
      <c r="T466" s="11">
        <v>1</v>
      </c>
      <c r="U466">
        <v>4</v>
      </c>
      <c r="V466" t="s">
        <v>33</v>
      </c>
      <c r="W466">
        <f>0.4*3*0.5</f>
        <v>0.60000000000000009</v>
      </c>
      <c r="X466" s="9">
        <f>W466</f>
        <v>0.60000000000000009</v>
      </c>
      <c r="Y466" s="6">
        <f>5000/3600</f>
        <v>1.3888888888888888</v>
      </c>
      <c r="Z466" s="3">
        <f t="shared" si="230"/>
        <v>1.3963636363636365</v>
      </c>
      <c r="AA466" t="s">
        <v>33</v>
      </c>
      <c r="AB466" s="4">
        <f>IFERROR(((X466*M466)/Y466), "NA")</f>
        <v>27.648000000000007</v>
      </c>
      <c r="AC466" s="4">
        <f t="shared" si="232"/>
        <v>27.52</v>
      </c>
      <c r="AD466" s="4">
        <f>AB466*T466*AI466</f>
        <v>27.648000000000007</v>
      </c>
      <c r="AE466" s="3">
        <f t="shared" si="233"/>
        <v>110.59200000000003</v>
      </c>
      <c r="AF466">
        <v>137.5</v>
      </c>
      <c r="AG466" s="4">
        <f t="shared" si="243"/>
        <v>137.6</v>
      </c>
      <c r="AH466" s="4">
        <f t="shared" si="244"/>
        <v>137.6</v>
      </c>
      <c r="AI466">
        <v>1</v>
      </c>
      <c r="AJ466" s="11" t="s">
        <v>31</v>
      </c>
      <c r="AK466">
        <v>2000</v>
      </c>
      <c r="AL466" t="s">
        <v>784</v>
      </c>
      <c r="AM466" t="s">
        <v>103</v>
      </c>
      <c r="AN466" t="s">
        <v>130</v>
      </c>
      <c r="AO466" t="s">
        <v>795</v>
      </c>
      <c r="AP466">
        <v>7</v>
      </c>
      <c r="AQ466" t="s">
        <v>33</v>
      </c>
      <c r="AR466" t="s">
        <v>33</v>
      </c>
      <c r="AS466" s="6">
        <f>LOG(AVERAGE(10^8, 10^9))</f>
        <v>8.7403626894942441</v>
      </c>
      <c r="AT466" s="3">
        <f t="shared" si="245"/>
        <v>3.9263626894942441</v>
      </c>
      <c r="AU466" s="6">
        <v>4.8140000000000001</v>
      </c>
      <c r="AV466" t="b">
        <v>1</v>
      </c>
      <c r="AW466" t="s">
        <v>29</v>
      </c>
      <c r="AX466" t="s">
        <v>30</v>
      </c>
      <c r="AY466" t="s">
        <v>702</v>
      </c>
      <c r="AZ466" t="s">
        <v>33</v>
      </c>
      <c r="BA466" s="18" t="s">
        <v>798</v>
      </c>
      <c r="BB466" s="3" t="b">
        <v>0</v>
      </c>
      <c r="BC466" t="s">
        <v>81</v>
      </c>
      <c r="BD466">
        <v>24</v>
      </c>
      <c r="BE466" t="s">
        <v>80</v>
      </c>
      <c r="BF466">
        <v>24</v>
      </c>
      <c r="BG466" t="s">
        <v>568</v>
      </c>
      <c r="BH466" t="s">
        <v>31</v>
      </c>
      <c r="BI466" t="s">
        <v>31</v>
      </c>
      <c r="BJ466" s="3">
        <f t="shared" si="246"/>
        <v>4.8140000000000001</v>
      </c>
      <c r="BK466" s="3">
        <f t="shared" si="237"/>
        <v>0.68250608593901119</v>
      </c>
      <c r="BL466">
        <v>2</v>
      </c>
      <c r="BM466" s="3">
        <f t="shared" ref="BM466:BM496" si="247">IFERROR(LOG(BO466),"NA")</f>
        <v>1.3612176261877507</v>
      </c>
      <c r="BN466" t="s">
        <v>33</v>
      </c>
      <c r="BO466" s="3">
        <f t="shared" si="238"/>
        <v>22.972995429995851</v>
      </c>
      <c r="BP466" t="s">
        <v>33</v>
      </c>
      <c r="BQ466" t="s">
        <v>33</v>
      </c>
      <c r="BR466" t="s">
        <v>33</v>
      </c>
      <c r="BS466" t="s">
        <v>33</v>
      </c>
      <c r="BT466" t="s">
        <v>32</v>
      </c>
      <c r="BU466" t="s">
        <v>709</v>
      </c>
      <c r="BV466">
        <v>2024</v>
      </c>
      <c r="BW466" t="s">
        <v>710</v>
      </c>
      <c r="BX466" t="s">
        <v>78</v>
      </c>
      <c r="BY466" t="s">
        <v>711</v>
      </c>
      <c r="CA466" t="str">
        <f t="shared" si="239"/>
        <v>low acid</v>
      </c>
    </row>
    <row r="467" spans="1:79">
      <c r="A467" t="s">
        <v>598</v>
      </c>
      <c r="B467" t="s">
        <v>565</v>
      </c>
      <c r="C467" t="s">
        <v>563</v>
      </c>
      <c r="D467" t="s">
        <v>118</v>
      </c>
      <c r="E467" t="s">
        <v>77</v>
      </c>
      <c r="F467" t="s">
        <v>32</v>
      </c>
      <c r="G467">
        <v>40</v>
      </c>
      <c r="H467">
        <f>40+AVERAGE(2,7)</f>
        <v>44.5</v>
      </c>
      <c r="I467" t="b">
        <v>1</v>
      </c>
      <c r="J467" t="s">
        <v>33</v>
      </c>
      <c r="K467" t="s">
        <v>33</v>
      </c>
      <c r="L467">
        <v>34</v>
      </c>
      <c r="M467" s="4">
        <v>548</v>
      </c>
      <c r="N467" t="e">
        <f>(#REF!*Y467)/(T467*X467*O467)</f>
        <v>#REF!</v>
      </c>
      <c r="O467">
        <v>2.5</v>
      </c>
      <c r="P467" t="s">
        <v>33</v>
      </c>
      <c r="Q467" s="1">
        <f t="shared" ref="Q467:Q486" si="248">IFERROR(X467/Z467, "NA")</f>
        <v>6.0827250608272501E-3</v>
      </c>
      <c r="R467" t="s">
        <v>183</v>
      </c>
      <c r="S467" t="s">
        <v>612</v>
      </c>
      <c r="T467">
        <v>6</v>
      </c>
      <c r="U467">
        <v>2.9</v>
      </c>
      <c r="V467">
        <v>2.2999999999999998</v>
      </c>
      <c r="W467" t="s">
        <v>33</v>
      </c>
      <c r="X467">
        <f>IFERROR(((PI())*(((V467*10^-1)/2)^2)*(U467*10^-1)), "NA")</f>
        <v>1.204879322468025E-2</v>
      </c>
      <c r="Y467">
        <v>2</v>
      </c>
      <c r="Z467" s="3">
        <f t="shared" si="230"/>
        <v>1.9808216061374333</v>
      </c>
      <c r="AA467">
        <v>3.3</v>
      </c>
      <c r="AB467">
        <f>IFERROR(((X467*M467)/Z467), "NA")</f>
        <v>3.333333333333333</v>
      </c>
      <c r="AC467" s="1" t="str">
        <f t="shared" si="232"/>
        <v>NA</v>
      </c>
      <c r="AE467" s="3">
        <f t="shared" si="233"/>
        <v>124.27</v>
      </c>
      <c r="AF467">
        <v>50</v>
      </c>
      <c r="AG467" s="1" t="str">
        <f>IFERROR((N467*P467*Q467), "NA")</f>
        <v>NA</v>
      </c>
      <c r="AH467" s="1" t="str">
        <f>IFERROR((AG467*U467*AI467), "NA")</f>
        <v>NA</v>
      </c>
      <c r="AI467" s="1">
        <v>1</v>
      </c>
      <c r="AJ467" s="11" t="s">
        <v>31</v>
      </c>
      <c r="AK467">
        <f>2.15*10^3</f>
        <v>2150</v>
      </c>
      <c r="AL467" t="s">
        <v>238</v>
      </c>
      <c r="AM467" t="s">
        <v>86</v>
      </c>
      <c r="AN467" t="s">
        <v>205</v>
      </c>
      <c r="AO467" t="s">
        <v>789</v>
      </c>
      <c r="AP467">
        <v>4.16</v>
      </c>
      <c r="AQ467" t="s">
        <v>33</v>
      </c>
      <c r="AR467" t="s">
        <v>33</v>
      </c>
      <c r="AS467">
        <f>AVERAGE(6.63, 6.39)</f>
        <v>6.51</v>
      </c>
      <c r="AT467">
        <f>AS467-AU467</f>
        <v>3.9299999999999997</v>
      </c>
      <c r="AU467" s="6">
        <v>2.58</v>
      </c>
      <c r="AV467" t="b">
        <v>1</v>
      </c>
      <c r="AW467" t="s">
        <v>617</v>
      </c>
      <c r="AX467" t="s">
        <v>638</v>
      </c>
      <c r="AY467" t="s">
        <v>637</v>
      </c>
      <c r="AZ467" t="s">
        <v>33</v>
      </c>
      <c r="BA467" s="18" t="s">
        <v>802</v>
      </c>
      <c r="BB467" s="3" t="b">
        <v>0</v>
      </c>
      <c r="BC467" t="s">
        <v>81</v>
      </c>
      <c r="BD467">
        <v>16</v>
      </c>
      <c r="BE467" t="s">
        <v>80</v>
      </c>
      <c r="BF467">
        <v>24</v>
      </c>
      <c r="BG467" t="s">
        <v>646</v>
      </c>
      <c r="BH467" t="s">
        <v>31</v>
      </c>
      <c r="BI467" t="s">
        <v>31</v>
      </c>
      <c r="BJ467">
        <f t="shared" si="246"/>
        <v>2.58</v>
      </c>
      <c r="BK467" s="3">
        <f t="shared" si="237"/>
        <v>0.41161970596323016</v>
      </c>
      <c r="BL467">
        <v>2</v>
      </c>
      <c r="BM467" s="3">
        <f t="shared" si="247"/>
        <v>1.6827465923729041</v>
      </c>
      <c r="BN467" t="s">
        <v>33</v>
      </c>
      <c r="BO467" s="3">
        <f t="shared" si="238"/>
        <v>48.166666666666664</v>
      </c>
      <c r="BP467" t="s">
        <v>33</v>
      </c>
      <c r="BQ467" t="s">
        <v>33</v>
      </c>
      <c r="BR467" t="s">
        <v>33</v>
      </c>
      <c r="BS467" t="s">
        <v>33</v>
      </c>
      <c r="BT467" t="s">
        <v>32</v>
      </c>
      <c r="BU467" s="13" t="s">
        <v>84</v>
      </c>
      <c r="BV467" s="14">
        <v>2012</v>
      </c>
      <c r="BW467" s="13" t="s">
        <v>83</v>
      </c>
      <c r="BX467" t="s">
        <v>78</v>
      </c>
      <c r="BY467" s="13" t="s">
        <v>686</v>
      </c>
      <c r="CA467" t="str">
        <f t="shared" si="239"/>
        <v>high acid</v>
      </c>
    </row>
    <row r="468" spans="1:79">
      <c r="A468" t="s">
        <v>449</v>
      </c>
      <c r="B468" t="s">
        <v>565</v>
      </c>
      <c r="C468" t="s">
        <v>563</v>
      </c>
      <c r="D468" t="s">
        <v>182</v>
      </c>
      <c r="E468" t="s">
        <v>77</v>
      </c>
      <c r="F468" t="s">
        <v>32</v>
      </c>
      <c r="G468">
        <v>18</v>
      </c>
      <c r="H468">
        <v>49</v>
      </c>
      <c r="I468" t="b">
        <v>1</v>
      </c>
      <c r="J468" t="s">
        <v>33</v>
      </c>
      <c r="K468" t="s">
        <v>33</v>
      </c>
      <c r="L468">
        <v>33</v>
      </c>
      <c r="M468" s="4" t="s">
        <v>33</v>
      </c>
      <c r="N468" s="3">
        <f>IFERROR(AF468/((T468*X468/Y468)*O468*AI468),"NA")</f>
        <v>281.42752925843115</v>
      </c>
      <c r="O468">
        <v>8</v>
      </c>
      <c r="P468">
        <f>0.047/2</f>
        <v>2.35E-2</v>
      </c>
      <c r="Q468" s="8">
        <f t="shared" si="248"/>
        <v>2.3318614270936313E-2</v>
      </c>
      <c r="R468" t="s">
        <v>183</v>
      </c>
      <c r="S468" t="s">
        <v>613</v>
      </c>
      <c r="T468" s="11">
        <v>2</v>
      </c>
      <c r="U468">
        <v>5.6</v>
      </c>
      <c r="V468">
        <v>4.5</v>
      </c>
      <c r="W468" t="s">
        <v>33</v>
      </c>
      <c r="X468" s="9">
        <f>IFERROR(((PI())*(((V468*10^-1)/2)^2)*(U468*10^-1)), "NA")</f>
        <v>8.9064151729270638E-2</v>
      </c>
      <c r="Y468" s="6">
        <f>13750/3600</f>
        <v>3.8194444444444446</v>
      </c>
      <c r="Z468" s="3">
        <f>IFERROR(X468*N468*O468*T468*AI468/AF468, "NA")</f>
        <v>3.8194444444444442</v>
      </c>
      <c r="AA468" t="s">
        <v>33</v>
      </c>
      <c r="AB468" s="4">
        <f>IFERROR(((X468*N468)/Y468), "NA")</f>
        <v>6.5624999999999991</v>
      </c>
      <c r="AC468" s="4">
        <f>IFERROR(N468*P468,"NA")</f>
        <v>6.6135469375731324</v>
      </c>
      <c r="AD468" s="4">
        <f>AB468*T468*AI468</f>
        <v>13.124999999999998</v>
      </c>
      <c r="AE468" s="3">
        <f>IFERROR(((L468^2)*N468*O468*AK468*10^-6*Q468*T468*AI468), "NA")</f>
        <v>262.99349999999998</v>
      </c>
      <c r="AF468">
        <v>105</v>
      </c>
      <c r="AG468" s="4">
        <f>IFERROR((N468*O468*P468), "NA")</f>
        <v>52.908375500585059</v>
      </c>
      <c r="AH468" s="4">
        <f>IFERROR((AG468*T468*AI468), "NA")</f>
        <v>105.81675100117012</v>
      </c>
      <c r="AI468" s="11">
        <v>1</v>
      </c>
      <c r="AJ468" t="s">
        <v>31</v>
      </c>
      <c r="AK468">
        <v>2300</v>
      </c>
      <c r="AL468" t="s">
        <v>805</v>
      </c>
      <c r="AM468" t="s">
        <v>515</v>
      </c>
      <c r="AN468" t="s">
        <v>205</v>
      </c>
      <c r="AO468" t="s">
        <v>788</v>
      </c>
      <c r="AP468">
        <v>3.68</v>
      </c>
      <c r="AQ468" t="s">
        <v>33</v>
      </c>
      <c r="AR468" t="s">
        <v>33</v>
      </c>
      <c r="AS468">
        <f>LOG(10^8)</f>
        <v>8</v>
      </c>
      <c r="AT468" s="3">
        <f>IFERROR(AS468-AU468,"NA")</f>
        <v>3.9299999999999997</v>
      </c>
      <c r="AU468" s="6">
        <v>4.07</v>
      </c>
      <c r="AV468" t="b">
        <v>1</v>
      </c>
      <c r="AW468" t="s">
        <v>123</v>
      </c>
      <c r="AX468" t="s">
        <v>393</v>
      </c>
      <c r="AY468" t="s">
        <v>521</v>
      </c>
      <c r="AZ468" t="s">
        <v>33</v>
      </c>
      <c r="BA468" s="18" t="s">
        <v>579</v>
      </c>
      <c r="BB468" t="b">
        <v>1</v>
      </c>
      <c r="BC468" t="s">
        <v>81</v>
      </c>
      <c r="BD468" t="s">
        <v>33</v>
      </c>
      <c r="BE468" t="s">
        <v>80</v>
      </c>
      <c r="BF468" t="s">
        <v>33</v>
      </c>
      <c r="BG468" t="s">
        <v>395</v>
      </c>
      <c r="BH468" t="s">
        <v>31</v>
      </c>
      <c r="BI468" t="s">
        <v>31</v>
      </c>
      <c r="BJ468" s="3">
        <f t="shared" si="246"/>
        <v>4.07</v>
      </c>
      <c r="BK468" s="3">
        <f t="shared" si="237"/>
        <v>0.60959440922522001</v>
      </c>
      <c r="BL468">
        <v>2</v>
      </c>
      <c r="BM468" s="3">
        <f t="shared" si="247"/>
        <v>1.8103506056180858</v>
      </c>
      <c r="BN468" t="s">
        <v>33</v>
      </c>
      <c r="BO468" s="3">
        <f t="shared" si="238"/>
        <v>64.617567567567562</v>
      </c>
      <c r="BP468" t="s">
        <v>33</v>
      </c>
      <c r="BQ468" t="s">
        <v>33</v>
      </c>
      <c r="BR468" t="s">
        <v>33</v>
      </c>
      <c r="BS468" t="s">
        <v>33</v>
      </c>
      <c r="BT468" t="s">
        <v>32</v>
      </c>
      <c r="BU468" t="s">
        <v>484</v>
      </c>
      <c r="BV468">
        <v>2015</v>
      </c>
      <c r="BW468" t="s">
        <v>485</v>
      </c>
      <c r="BX468" t="s">
        <v>78</v>
      </c>
      <c r="BY468" t="s">
        <v>486</v>
      </c>
      <c r="CA468" t="str">
        <f t="shared" si="239"/>
        <v>high acid</v>
      </c>
    </row>
    <row r="469" spans="1:79">
      <c r="A469" t="s">
        <v>589</v>
      </c>
      <c r="B469" t="s">
        <v>566</v>
      </c>
      <c r="C469" t="s">
        <v>563</v>
      </c>
      <c r="D469" t="s">
        <v>33</v>
      </c>
      <c r="E469" t="s">
        <v>77</v>
      </c>
      <c r="F469" t="s">
        <v>33</v>
      </c>
      <c r="G469" t="s">
        <v>33</v>
      </c>
      <c r="H469">
        <v>35</v>
      </c>
      <c r="I469" t="b">
        <v>0</v>
      </c>
      <c r="J469" t="s">
        <v>33</v>
      </c>
      <c r="K469" t="s">
        <v>33</v>
      </c>
      <c r="L469">
        <v>25</v>
      </c>
      <c r="M469" s="4">
        <v>1</v>
      </c>
      <c r="N469" t="e">
        <f>(#REF!*Y469)/(T469*X469*O469)</f>
        <v>#REF!</v>
      </c>
      <c r="O469">
        <v>2</v>
      </c>
      <c r="P469" t="s">
        <v>33</v>
      </c>
      <c r="Q469" s="1">
        <f t="shared" si="248"/>
        <v>398</v>
      </c>
      <c r="R469" t="s">
        <v>183</v>
      </c>
      <c r="S469" t="s">
        <v>613</v>
      </c>
      <c r="T469">
        <v>1</v>
      </c>
      <c r="U469">
        <v>2.5</v>
      </c>
      <c r="V469" t="s">
        <v>33</v>
      </c>
      <c r="W469">
        <v>0.50249999999999995</v>
      </c>
      <c r="X469">
        <f>W469</f>
        <v>0.50249999999999995</v>
      </c>
      <c r="Y469" t="s">
        <v>33</v>
      </c>
      <c r="Z469" s="3">
        <f t="shared" ref="Z469:Z478" si="249">IFERROR(X469*M469*O469*T469*AI469/AF469, "NA")</f>
        <v>1.2625628140703516E-3</v>
      </c>
      <c r="AA469" t="s">
        <v>33</v>
      </c>
      <c r="AB469">
        <f t="shared" ref="AB469:AB478" si="250">IFERROR(((X469*M469)/Z469), "NA")</f>
        <v>398</v>
      </c>
      <c r="AC469" s="1" t="str">
        <f t="shared" ref="AC469:AC478" si="251">IFERROR(M469*P469,"NA")</f>
        <v>NA</v>
      </c>
      <c r="AE469" s="3">
        <f t="shared" ref="AE469:AE478" si="252">IFERROR(((L469^2)*M469*O469*AK469*10^-6*Q469*T469*AI469), "NA")</f>
        <v>995</v>
      </c>
      <c r="AF469">
        <v>796</v>
      </c>
      <c r="AG469" s="1" t="str">
        <f>IFERROR((N469*P469*Q469), "NA")</f>
        <v>NA</v>
      </c>
      <c r="AH469" s="1" t="str">
        <f>IFERROR((AG469*U469*AI469), "NA")</f>
        <v>NA</v>
      </c>
      <c r="AI469" s="1">
        <v>1</v>
      </c>
      <c r="AJ469" s="11" t="s">
        <v>31</v>
      </c>
      <c r="AK469">
        <v>2000</v>
      </c>
      <c r="AL469" t="s">
        <v>616</v>
      </c>
      <c r="AM469" s="3" t="s">
        <v>103</v>
      </c>
      <c r="AN469" t="s">
        <v>130</v>
      </c>
      <c r="AO469" t="s">
        <v>795</v>
      </c>
      <c r="AP469">
        <v>7</v>
      </c>
      <c r="AQ469" t="s">
        <v>33</v>
      </c>
      <c r="AR469" t="s">
        <v>33</v>
      </c>
      <c r="AS469">
        <v>9</v>
      </c>
      <c r="AT469">
        <f>AS469-AU469</f>
        <v>3.9299999999999997</v>
      </c>
      <c r="AU469" s="6">
        <v>5.07</v>
      </c>
      <c r="AV469" t="b">
        <v>1</v>
      </c>
      <c r="AW469" t="s">
        <v>617</v>
      </c>
      <c r="AX469" t="s">
        <v>33</v>
      </c>
      <c r="AY469" t="s">
        <v>629</v>
      </c>
      <c r="AZ469" t="s">
        <v>630</v>
      </c>
      <c r="BA469" s="18" t="s">
        <v>802</v>
      </c>
      <c r="BB469" s="3" t="b">
        <v>0</v>
      </c>
      <c r="BC469" t="s">
        <v>81</v>
      </c>
      <c r="BD469">
        <v>24</v>
      </c>
      <c r="BE469" t="s">
        <v>80</v>
      </c>
      <c r="BF469">
        <v>24</v>
      </c>
      <c r="BG469" t="s">
        <v>644</v>
      </c>
      <c r="BH469" t="s">
        <v>31</v>
      </c>
      <c r="BI469" t="s">
        <v>32</v>
      </c>
      <c r="BJ469">
        <f t="shared" si="246"/>
        <v>5.07</v>
      </c>
      <c r="BK469" s="3">
        <f t="shared" si="237"/>
        <v>0.70500795933333604</v>
      </c>
      <c r="BL469">
        <v>2</v>
      </c>
      <c r="BM469" s="3">
        <f t="shared" si="247"/>
        <v>2.2928151214123895</v>
      </c>
      <c r="BN469" t="s">
        <v>33</v>
      </c>
      <c r="BO469" s="3">
        <f t="shared" si="238"/>
        <v>196.25246548323472</v>
      </c>
      <c r="BP469" t="s">
        <v>33</v>
      </c>
      <c r="BQ469" t="s">
        <v>33</v>
      </c>
      <c r="BR469" t="s">
        <v>33</v>
      </c>
      <c r="BS469" t="s">
        <v>33</v>
      </c>
      <c r="BT469" t="s">
        <v>31</v>
      </c>
      <c r="BU469" s="15" t="s">
        <v>655</v>
      </c>
      <c r="BV469">
        <v>2003</v>
      </c>
      <c r="BW469" t="s">
        <v>656</v>
      </c>
      <c r="BX469" t="s">
        <v>78</v>
      </c>
      <c r="BY469" s="13" t="s">
        <v>677</v>
      </c>
      <c r="BZ469" t="s">
        <v>780</v>
      </c>
      <c r="CA469" t="str">
        <f t="shared" si="239"/>
        <v>low acid</v>
      </c>
    </row>
    <row r="470" spans="1:79">
      <c r="A470" t="s">
        <v>268</v>
      </c>
      <c r="B470" t="s">
        <v>565</v>
      </c>
      <c r="C470" t="s">
        <v>563</v>
      </c>
      <c r="D470" t="s">
        <v>118</v>
      </c>
      <c r="E470" t="s">
        <v>77</v>
      </c>
      <c r="F470" t="s">
        <v>31</v>
      </c>
      <c r="G470">
        <v>18</v>
      </c>
      <c r="H470" t="s">
        <v>33</v>
      </c>
      <c r="I470" t="b">
        <v>0</v>
      </c>
      <c r="J470" t="s">
        <v>33</v>
      </c>
      <c r="K470" t="s">
        <v>33</v>
      </c>
      <c r="L470">
        <v>23</v>
      </c>
      <c r="M470" s="4">
        <v>500</v>
      </c>
      <c r="N470" s="3">
        <f>IFERROR(AF470/((T470*X470/Y470)*O470*AI470),"NA")</f>
        <v>496.39611314422439</v>
      </c>
      <c r="O470">
        <v>3</v>
      </c>
      <c r="P470" t="s">
        <v>33</v>
      </c>
      <c r="Q470" s="8">
        <f t="shared" si="248"/>
        <v>1.2044444444444444E-2</v>
      </c>
      <c r="R470" t="s">
        <v>183</v>
      </c>
      <c r="S470" t="s">
        <v>613</v>
      </c>
      <c r="T470" s="11">
        <v>6</v>
      </c>
      <c r="U470">
        <v>2.92</v>
      </c>
      <c r="V470">
        <v>2.2999999999999998</v>
      </c>
      <c r="W470" t="s">
        <v>33</v>
      </c>
      <c r="X470" s="8">
        <f>IFERROR(((PI())*(((V470*10^-1)/2)^2)*(U470*10^-1)), "NA")</f>
        <v>1.2131888350367701E-2</v>
      </c>
      <c r="Y470">
        <v>1</v>
      </c>
      <c r="Z470" s="3">
        <f t="shared" si="249"/>
        <v>1.0072601028903072</v>
      </c>
      <c r="AA470" t="s">
        <v>33</v>
      </c>
      <c r="AB470" s="6">
        <f t="shared" si="250"/>
        <v>6.022222222222223</v>
      </c>
      <c r="AC470" t="str">
        <f t="shared" si="251"/>
        <v>NA</v>
      </c>
      <c r="AD470" s="4">
        <f>AB470*T470*AI470</f>
        <v>36.13333333333334</v>
      </c>
      <c r="AE470" s="3">
        <f t="shared" si="252"/>
        <v>296.46641199999993</v>
      </c>
      <c r="AF470">
        <v>108.4</v>
      </c>
      <c r="AG470" t="str">
        <f>IFERROR((M470*O470*P470), "NA")</f>
        <v>NA</v>
      </c>
      <c r="AH470" t="str">
        <f>IFERROR((AG470*T470*AI470), "NA")</f>
        <v>NA</v>
      </c>
      <c r="AI470">
        <v>1</v>
      </c>
      <c r="AJ470" t="s">
        <v>31</v>
      </c>
      <c r="AK470">
        <v>5170</v>
      </c>
      <c r="AL470" t="s">
        <v>265</v>
      </c>
      <c r="AM470" t="s">
        <v>86</v>
      </c>
      <c r="AN470" t="s">
        <v>205</v>
      </c>
      <c r="AO470" t="s">
        <v>789</v>
      </c>
      <c r="AP470">
        <v>3.28</v>
      </c>
      <c r="AQ470" t="s">
        <v>33</v>
      </c>
      <c r="AR470" t="s">
        <v>33</v>
      </c>
      <c r="AS470" s="6">
        <v>5.665</v>
      </c>
      <c r="AT470" s="3">
        <f>IFERROR(AS470-AU470,"NA")</f>
        <v>3.931</v>
      </c>
      <c r="AU470" s="6">
        <v>1.734</v>
      </c>
      <c r="AV470" t="b">
        <v>1</v>
      </c>
      <c r="AW470" t="s">
        <v>29</v>
      </c>
      <c r="AX470" t="s">
        <v>30</v>
      </c>
      <c r="AY470" t="s">
        <v>33</v>
      </c>
      <c r="AZ470" t="s">
        <v>134</v>
      </c>
      <c r="BA470" s="18" t="s">
        <v>798</v>
      </c>
      <c r="BB470" t="b">
        <v>0</v>
      </c>
      <c r="BC470" t="s">
        <v>81</v>
      </c>
      <c r="BD470">
        <v>24</v>
      </c>
      <c r="BE470" t="s">
        <v>80</v>
      </c>
      <c r="BF470" s="11">
        <f>(24+48)/2</f>
        <v>36</v>
      </c>
      <c r="BG470" t="s">
        <v>262</v>
      </c>
      <c r="BH470" t="s">
        <v>31</v>
      </c>
      <c r="BI470" t="s">
        <v>31</v>
      </c>
      <c r="BJ470" s="3">
        <f t="shared" si="246"/>
        <v>1.734</v>
      </c>
      <c r="BK470" s="3">
        <f t="shared" si="237"/>
        <v>0.23904909314019149</v>
      </c>
      <c r="BL470">
        <v>2</v>
      </c>
      <c r="BM470" s="3">
        <f t="shared" si="247"/>
        <v>2.2329264041913048</v>
      </c>
      <c r="BN470" t="s">
        <v>33</v>
      </c>
      <c r="BO470" s="3">
        <f t="shared" si="238"/>
        <v>170.97255594002303</v>
      </c>
      <c r="BP470" t="s">
        <v>33</v>
      </c>
      <c r="BQ470" t="s">
        <v>33</v>
      </c>
      <c r="BR470" t="s">
        <v>33</v>
      </c>
      <c r="BS470" t="s">
        <v>33</v>
      </c>
      <c r="BT470" t="s">
        <v>31</v>
      </c>
      <c r="BU470" t="s">
        <v>267</v>
      </c>
      <c r="BV470">
        <v>2017</v>
      </c>
      <c r="BW470" s="2" t="s">
        <v>266</v>
      </c>
      <c r="BX470" t="s">
        <v>78</v>
      </c>
      <c r="BY470" t="s">
        <v>269</v>
      </c>
      <c r="BZ470" t="s">
        <v>33</v>
      </c>
      <c r="CA470" t="str">
        <f t="shared" si="239"/>
        <v>high acid</v>
      </c>
    </row>
    <row r="471" spans="1:79">
      <c r="A471" t="s">
        <v>533</v>
      </c>
      <c r="B471" t="s">
        <v>565</v>
      </c>
      <c r="C471" t="s">
        <v>564</v>
      </c>
      <c r="D471" t="s">
        <v>209</v>
      </c>
      <c r="E471" t="s">
        <v>77</v>
      </c>
      <c r="F471" t="s">
        <v>32</v>
      </c>
      <c r="G471">
        <v>30</v>
      </c>
      <c r="H471">
        <v>38.200000000000003</v>
      </c>
      <c r="I471" t="b">
        <v>0</v>
      </c>
      <c r="J471" t="s">
        <v>33</v>
      </c>
      <c r="K471" t="s">
        <v>33</v>
      </c>
      <c r="L471">
        <v>24</v>
      </c>
      <c r="M471" s="4">
        <v>120</v>
      </c>
      <c r="N471" s="3">
        <f>IFERROR(AF471/((T471*X471/Y471)*O471*AI471),"NA")</f>
        <v>79.525152366758988</v>
      </c>
      <c r="O471">
        <v>3</v>
      </c>
      <c r="P471" t="s">
        <v>33</v>
      </c>
      <c r="Q471" s="8">
        <f t="shared" si="248"/>
        <v>8.3333333333333329E-2</v>
      </c>
      <c r="R471" t="s">
        <v>183</v>
      </c>
      <c r="S471" t="s">
        <v>612</v>
      </c>
      <c r="T471" s="11">
        <v>4</v>
      </c>
      <c r="U471">
        <v>3</v>
      </c>
      <c r="V471">
        <v>2.6</v>
      </c>
      <c r="W471" t="s">
        <v>33</v>
      </c>
      <c r="X471" s="8">
        <f>IFERROR(((PI())*(((V471*10^-1)/2)^2)*(U471*10^-1)), "NA")</f>
        <v>1.5927874753700257E-2</v>
      </c>
      <c r="Y471" s="6">
        <f>7.6/60</f>
        <v>0.12666666666666665</v>
      </c>
      <c r="Z471" s="3">
        <f t="shared" si="249"/>
        <v>0.19113449704440308</v>
      </c>
      <c r="AA471" t="s">
        <v>33</v>
      </c>
      <c r="AB471" s="6">
        <f t="shared" si="250"/>
        <v>10</v>
      </c>
      <c r="AC471" t="str">
        <f t="shared" si="251"/>
        <v>NA</v>
      </c>
      <c r="AD471" s="4">
        <f>IFERROR(AB471*T471*AI471, "NA")</f>
        <v>40</v>
      </c>
      <c r="AE471" s="3">
        <f t="shared" si="252"/>
        <v>67.737599999999986</v>
      </c>
      <c r="AF471">
        <v>120</v>
      </c>
      <c r="AG471" t="str">
        <f>IFERROR((M471*O471*P471), "NA")</f>
        <v>NA</v>
      </c>
      <c r="AH471" t="str">
        <f>IFERROR((AG471*T471*AI471), "NA")</f>
        <v>NA</v>
      </c>
      <c r="AI471" s="11">
        <v>1</v>
      </c>
      <c r="AJ471" t="s">
        <v>31</v>
      </c>
      <c r="AK471">
        <v>980</v>
      </c>
      <c r="AL471" t="s">
        <v>551</v>
      </c>
      <c r="AM471" t="s">
        <v>86</v>
      </c>
      <c r="AN471" t="s">
        <v>186</v>
      </c>
      <c r="AO471" t="s">
        <v>794</v>
      </c>
      <c r="AP471">
        <v>5.98</v>
      </c>
      <c r="AQ471" t="s">
        <v>33</v>
      </c>
      <c r="AR471" t="s">
        <v>33</v>
      </c>
      <c r="AS471" s="6">
        <v>6.5</v>
      </c>
      <c r="AT471" s="3">
        <f>IFERROR(AS471-AU471,"NA")</f>
        <v>3.9390000000000001</v>
      </c>
      <c r="AU471" s="6">
        <v>2.5609999999999999</v>
      </c>
      <c r="AV471" t="b">
        <v>1</v>
      </c>
      <c r="AW471" t="s">
        <v>29</v>
      </c>
      <c r="AX471" t="s">
        <v>30</v>
      </c>
      <c r="AY471" t="s">
        <v>211</v>
      </c>
      <c r="AZ471" t="s">
        <v>33</v>
      </c>
      <c r="BA471" s="18" t="s">
        <v>798</v>
      </c>
      <c r="BB471" t="b">
        <v>0</v>
      </c>
      <c r="BC471" t="s">
        <v>81</v>
      </c>
      <c r="BD471">
        <v>20</v>
      </c>
      <c r="BE471" t="s">
        <v>80</v>
      </c>
      <c r="BF471" s="11">
        <v>20</v>
      </c>
      <c r="BG471" t="s">
        <v>570</v>
      </c>
      <c r="BH471" t="s">
        <v>31</v>
      </c>
      <c r="BI471" t="s">
        <v>31</v>
      </c>
      <c r="BJ471" s="3">
        <f t="shared" si="246"/>
        <v>2.5609999999999999</v>
      </c>
      <c r="BK471" s="3">
        <f t="shared" si="237"/>
        <v>0.40840957846842968</v>
      </c>
      <c r="BL471">
        <v>2</v>
      </c>
      <c r="BM471" s="3">
        <f t="shared" si="247"/>
        <v>1.422420226694902</v>
      </c>
      <c r="BN471" t="s">
        <v>33</v>
      </c>
      <c r="BO471" s="3">
        <f t="shared" si="238"/>
        <v>26.449668098399059</v>
      </c>
      <c r="BP471" t="s">
        <v>33</v>
      </c>
      <c r="BQ471" t="s">
        <v>33</v>
      </c>
      <c r="BR471" t="s">
        <v>33</v>
      </c>
      <c r="BS471" t="s">
        <v>33</v>
      </c>
      <c r="BT471" t="s">
        <v>32</v>
      </c>
      <c r="BU471" t="s">
        <v>207</v>
      </c>
      <c r="BV471">
        <v>2014</v>
      </c>
      <c r="BW471" t="s">
        <v>208</v>
      </c>
      <c r="BX471" t="s">
        <v>78</v>
      </c>
      <c r="BY471" t="s">
        <v>33</v>
      </c>
      <c r="BZ471" t="s">
        <v>33</v>
      </c>
      <c r="CA471" t="str">
        <f t="shared" si="239"/>
        <v>low acid</v>
      </c>
    </row>
    <row r="472" spans="1:79">
      <c r="A472" t="s">
        <v>237</v>
      </c>
      <c r="B472" t="s">
        <v>565</v>
      </c>
      <c r="C472" t="s">
        <v>563</v>
      </c>
      <c r="D472" t="s">
        <v>118</v>
      </c>
      <c r="E472" t="s">
        <v>77</v>
      </c>
      <c r="F472" t="s">
        <v>32</v>
      </c>
      <c r="G472">
        <v>4</v>
      </c>
      <c r="H472">
        <v>32.5</v>
      </c>
      <c r="I472" t="b">
        <v>0</v>
      </c>
      <c r="J472" t="s">
        <v>33</v>
      </c>
      <c r="K472" t="s">
        <v>33</v>
      </c>
      <c r="L472">
        <v>25</v>
      </c>
      <c r="M472" s="4">
        <v>200</v>
      </c>
      <c r="N472" s="3">
        <f>IFERROR(AF472/((T472*X472/Y472)*O472*AI472),"NA")</f>
        <v>2575.8562144245957</v>
      </c>
      <c r="O472">
        <v>4</v>
      </c>
      <c r="P472" t="s">
        <v>33</v>
      </c>
      <c r="Q472" s="9">
        <f t="shared" si="248"/>
        <v>0.15625</v>
      </c>
      <c r="R472" t="s">
        <v>183</v>
      </c>
      <c r="S472" t="s">
        <v>613</v>
      </c>
      <c r="T472" s="11">
        <v>8</v>
      </c>
      <c r="U472">
        <v>2.92</v>
      </c>
      <c r="V472">
        <v>2.2999999999999998</v>
      </c>
      <c r="W472">
        <v>1.2E-2</v>
      </c>
      <c r="X472" s="8">
        <f>IFERROR(((PI())*(((V472*10^-1)/2)^2)*(U472*10^-1)), "NA")</f>
        <v>1.2131888350367701E-2</v>
      </c>
      <c r="Y472" s="6">
        <f>60/60</f>
        <v>1</v>
      </c>
      <c r="Z472" s="3">
        <f t="shared" si="249"/>
        <v>7.7644085442353281E-2</v>
      </c>
      <c r="AA472" t="s">
        <v>33</v>
      </c>
      <c r="AB472" s="6">
        <f t="shared" si="250"/>
        <v>31.250000000000004</v>
      </c>
      <c r="AC472" t="str">
        <f t="shared" si="251"/>
        <v>NA</v>
      </c>
      <c r="AD472" s="4">
        <f>AB472*T472*AI472</f>
        <v>250.00000000000003</v>
      </c>
      <c r="AE472" s="3">
        <f t="shared" si="252"/>
        <v>2650</v>
      </c>
      <c r="AF472">
        <v>1000</v>
      </c>
      <c r="AG472" t="str">
        <f>IFERROR((M472*O472*P472), "NA")</f>
        <v>NA</v>
      </c>
      <c r="AH472" t="str">
        <f>IFERROR((AG472*T472*AI472), "NA")</f>
        <v>NA</v>
      </c>
      <c r="AI472">
        <v>1</v>
      </c>
      <c r="AJ472" t="s">
        <v>31</v>
      </c>
      <c r="AK472">
        <v>4240</v>
      </c>
      <c r="AL472" t="s">
        <v>238</v>
      </c>
      <c r="AM472" t="s">
        <v>86</v>
      </c>
      <c r="AN472" t="s">
        <v>205</v>
      </c>
      <c r="AO472" t="s">
        <v>789</v>
      </c>
      <c r="AP472">
        <v>3.56</v>
      </c>
      <c r="AQ472" t="s">
        <v>33</v>
      </c>
      <c r="AR472" t="s">
        <v>33</v>
      </c>
      <c r="AS472">
        <f>LOG(10^8)</f>
        <v>8</v>
      </c>
      <c r="AT472" s="3">
        <f>IFERROR(AS472-AU472,"NA")</f>
        <v>3.9400000000000004</v>
      </c>
      <c r="AU472" s="6">
        <v>4.0599999999999996</v>
      </c>
      <c r="AV472" t="b">
        <v>1</v>
      </c>
      <c r="AW472" t="s">
        <v>172</v>
      </c>
      <c r="AX472" t="s">
        <v>173</v>
      </c>
      <c r="AY472" t="s">
        <v>239</v>
      </c>
      <c r="AZ472" t="s">
        <v>33</v>
      </c>
      <c r="BA472" s="18" t="s">
        <v>799</v>
      </c>
      <c r="BB472" t="b">
        <v>0</v>
      </c>
      <c r="BC472" t="s">
        <v>81</v>
      </c>
      <c r="BD472">
        <v>48</v>
      </c>
      <c r="BE472" t="s">
        <v>80</v>
      </c>
      <c r="BF472" s="11">
        <v>120</v>
      </c>
      <c r="BG472" t="s">
        <v>571</v>
      </c>
      <c r="BH472" t="s">
        <v>31</v>
      </c>
      <c r="BI472" t="s">
        <v>31</v>
      </c>
      <c r="BJ472" s="3">
        <f t="shared" si="246"/>
        <v>4.0599999999999996</v>
      </c>
      <c r="BK472" s="3">
        <f t="shared" si="237"/>
        <v>0.60852603357719404</v>
      </c>
      <c r="BL472">
        <v>2</v>
      </c>
      <c r="BM472" s="3">
        <f t="shared" si="247"/>
        <v>2.8147198403596136</v>
      </c>
      <c r="BN472" t="s">
        <v>33</v>
      </c>
      <c r="BO472" s="3">
        <f t="shared" si="238"/>
        <v>652.70935960591135</v>
      </c>
      <c r="BP472" t="s">
        <v>33</v>
      </c>
      <c r="BQ472" t="s">
        <v>33</v>
      </c>
      <c r="BR472" t="s">
        <v>33</v>
      </c>
      <c r="BS472" t="s">
        <v>33</v>
      </c>
      <c r="BT472" t="s">
        <v>31</v>
      </c>
      <c r="BU472" t="s">
        <v>240</v>
      </c>
      <c r="BV472">
        <v>2004</v>
      </c>
      <c r="BW472" t="s">
        <v>241</v>
      </c>
      <c r="BX472" t="s">
        <v>78</v>
      </c>
      <c r="BY472" t="s">
        <v>33</v>
      </c>
      <c r="BZ472" t="s">
        <v>33</v>
      </c>
      <c r="CA472" t="str">
        <f t="shared" si="239"/>
        <v>high acid</v>
      </c>
    </row>
    <row r="473" spans="1:79">
      <c r="A473" t="s">
        <v>584</v>
      </c>
      <c r="B473" t="s">
        <v>566</v>
      </c>
      <c r="C473" t="s">
        <v>563</v>
      </c>
      <c r="D473" t="s">
        <v>607</v>
      </c>
      <c r="E473" t="s">
        <v>77</v>
      </c>
      <c r="F473" t="s">
        <v>33</v>
      </c>
      <c r="G473">
        <v>20</v>
      </c>
      <c r="H473">
        <v>35</v>
      </c>
      <c r="I473" t="b">
        <v>0</v>
      </c>
      <c r="J473">
        <v>1000</v>
      </c>
      <c r="K473">
        <v>200</v>
      </c>
      <c r="L473">
        <v>20</v>
      </c>
      <c r="M473" s="4">
        <v>1</v>
      </c>
      <c r="N473" t="e">
        <f>(#REF!*Y473)/(T473*X473*O473)</f>
        <v>#REF!</v>
      </c>
      <c r="O473">
        <v>3</v>
      </c>
      <c r="P473" t="s">
        <v>33</v>
      </c>
      <c r="Q473" s="1">
        <f t="shared" si="248"/>
        <v>100.00000000000001</v>
      </c>
      <c r="R473" t="s">
        <v>183</v>
      </c>
      <c r="S473" t="s">
        <v>33</v>
      </c>
      <c r="T473">
        <v>1</v>
      </c>
      <c r="U473">
        <v>2.5</v>
      </c>
      <c r="V473" t="s">
        <v>33</v>
      </c>
      <c r="W473">
        <v>0.50249999999999995</v>
      </c>
      <c r="X473">
        <f>W473</f>
        <v>0.50249999999999995</v>
      </c>
      <c r="Y473" t="s">
        <v>33</v>
      </c>
      <c r="Z473" s="3">
        <f t="shared" si="249"/>
        <v>5.0249999999999991E-3</v>
      </c>
      <c r="AA473" t="s">
        <v>33</v>
      </c>
      <c r="AB473">
        <f t="shared" si="250"/>
        <v>100.00000000000001</v>
      </c>
      <c r="AC473" s="1" t="str">
        <f t="shared" si="251"/>
        <v>NA</v>
      </c>
      <c r="AE473" s="3">
        <f t="shared" si="252"/>
        <v>120.00000000000001</v>
      </c>
      <c r="AF473">
        <v>300</v>
      </c>
      <c r="AG473" s="1" t="str">
        <f>IFERROR((N473*P473*Q473), "NA")</f>
        <v>NA</v>
      </c>
      <c r="AH473" s="1" t="str">
        <f>IFERROR((AG473*U473*AI473), "NA")</f>
        <v>NA</v>
      </c>
      <c r="AI473" s="1">
        <v>1</v>
      </c>
      <c r="AJ473" s="11" t="s">
        <v>31</v>
      </c>
      <c r="AK473">
        <v>1000</v>
      </c>
      <c r="AL473" t="s">
        <v>614</v>
      </c>
      <c r="AM473" s="3" t="s">
        <v>103</v>
      </c>
      <c r="AN473" t="s">
        <v>305</v>
      </c>
      <c r="AO473" t="s">
        <v>790</v>
      </c>
      <c r="AP473">
        <v>3.5</v>
      </c>
      <c r="AQ473" t="s">
        <v>33</v>
      </c>
      <c r="AR473" t="s">
        <v>33</v>
      </c>
      <c r="AS473">
        <v>8</v>
      </c>
      <c r="AT473">
        <f>AS473-AU473</f>
        <v>3.9400000000000004</v>
      </c>
      <c r="AU473" s="6">
        <v>4.0599999999999996</v>
      </c>
      <c r="AV473" t="b">
        <v>1</v>
      </c>
      <c r="AW473" t="s">
        <v>617</v>
      </c>
      <c r="AX473" t="s">
        <v>33</v>
      </c>
      <c r="AY473" t="s">
        <v>623</v>
      </c>
      <c r="AZ473" t="s">
        <v>621</v>
      </c>
      <c r="BA473" s="18" t="s">
        <v>802</v>
      </c>
      <c r="BB473" s="3" t="b">
        <v>0</v>
      </c>
      <c r="BC473" t="s">
        <v>81</v>
      </c>
      <c r="BD473">
        <v>18</v>
      </c>
      <c r="BE473" t="s">
        <v>80</v>
      </c>
      <c r="BF473">
        <v>24</v>
      </c>
      <c r="BG473" t="s">
        <v>642</v>
      </c>
      <c r="BH473" t="s">
        <v>32</v>
      </c>
      <c r="BI473" t="s">
        <v>31</v>
      </c>
      <c r="BJ473">
        <f t="shared" si="246"/>
        <v>4.0599999999999996</v>
      </c>
      <c r="BK473" s="3">
        <f t="shared" si="237"/>
        <v>0.60852603357719404</v>
      </c>
      <c r="BL473">
        <v>2</v>
      </c>
      <c r="BM473" s="3">
        <f t="shared" si="247"/>
        <v>1.4706552124704309</v>
      </c>
      <c r="BN473" t="s">
        <v>33</v>
      </c>
      <c r="BO473" s="3">
        <f t="shared" si="238"/>
        <v>29.556650246305423</v>
      </c>
      <c r="BP473" t="s">
        <v>33</v>
      </c>
      <c r="BQ473" t="s">
        <v>33</v>
      </c>
      <c r="BR473" t="s">
        <v>33</v>
      </c>
      <c r="BS473" t="s">
        <v>33</v>
      </c>
      <c r="BT473" t="s">
        <v>31</v>
      </c>
      <c r="BU473" t="s">
        <v>255</v>
      </c>
      <c r="BV473">
        <v>2010</v>
      </c>
      <c r="BW473" t="s">
        <v>651</v>
      </c>
      <c r="BX473" t="s">
        <v>78</v>
      </c>
      <c r="BY473" s="13" t="s">
        <v>674</v>
      </c>
      <c r="CA473" t="str">
        <f t="shared" si="239"/>
        <v>high acid</v>
      </c>
    </row>
    <row r="474" spans="1:79">
      <c r="A474" t="s">
        <v>597</v>
      </c>
      <c r="B474" t="s">
        <v>565</v>
      </c>
      <c r="C474" t="s">
        <v>563</v>
      </c>
      <c r="D474" t="s">
        <v>33</v>
      </c>
      <c r="E474" t="s">
        <v>77</v>
      </c>
      <c r="F474" t="s">
        <v>33</v>
      </c>
      <c r="G474">
        <v>20</v>
      </c>
      <c r="H474">
        <v>35</v>
      </c>
      <c r="I474" t="b">
        <v>0</v>
      </c>
      <c r="J474" t="s">
        <v>33</v>
      </c>
      <c r="K474" t="s">
        <v>33</v>
      </c>
      <c r="L474">
        <v>19</v>
      </c>
      <c r="M474" s="4">
        <v>1</v>
      </c>
      <c r="N474" t="e">
        <f>(#REF!*Y474)/(T474*X474*O474)</f>
        <v>#REF!</v>
      </c>
      <c r="O474">
        <v>2</v>
      </c>
      <c r="P474" t="s">
        <v>33</v>
      </c>
      <c r="Q474" s="1">
        <f t="shared" si="248"/>
        <v>996</v>
      </c>
      <c r="R474" t="s">
        <v>183</v>
      </c>
      <c r="S474" t="s">
        <v>33</v>
      </c>
      <c r="T474">
        <v>1</v>
      </c>
      <c r="U474">
        <v>2.5</v>
      </c>
      <c r="V474" t="s">
        <v>33</v>
      </c>
      <c r="W474">
        <v>0.50249999999999995</v>
      </c>
      <c r="X474">
        <f>W474</f>
        <v>0.50249999999999995</v>
      </c>
      <c r="Y474" t="s">
        <v>33</v>
      </c>
      <c r="Z474" s="3">
        <f t="shared" si="249"/>
        <v>5.0451807228915656E-4</v>
      </c>
      <c r="AA474" t="s">
        <v>33</v>
      </c>
      <c r="AB474">
        <f t="shared" si="250"/>
        <v>996</v>
      </c>
      <c r="AC474" s="1" t="str">
        <f t="shared" si="251"/>
        <v>NA</v>
      </c>
      <c r="AE474" s="3">
        <f t="shared" si="252"/>
        <v>1438.2239999999999</v>
      </c>
      <c r="AF474">
        <v>1992</v>
      </c>
      <c r="AG474" s="1" t="str">
        <f>IFERROR((N474*P474*Q474), "NA")</f>
        <v>NA</v>
      </c>
      <c r="AH474" s="1" t="str">
        <f>IFERROR((AG474*U474*AI474), "NA")</f>
        <v>NA</v>
      </c>
      <c r="AI474" s="1">
        <v>1</v>
      </c>
      <c r="AJ474" s="11" t="s">
        <v>31</v>
      </c>
      <c r="AK474">
        <v>2000</v>
      </c>
      <c r="AL474" t="s">
        <v>784</v>
      </c>
      <c r="AM474" s="3" t="s">
        <v>103</v>
      </c>
      <c r="AN474" t="s">
        <v>130</v>
      </c>
      <c r="AO474" t="s">
        <v>795</v>
      </c>
      <c r="AP474">
        <v>7</v>
      </c>
      <c r="AQ474" t="s">
        <v>33</v>
      </c>
      <c r="AR474" t="s">
        <v>33</v>
      </c>
      <c r="AS474">
        <v>9</v>
      </c>
      <c r="AT474">
        <f>AS474-AU474</f>
        <v>3.9400000000000004</v>
      </c>
      <c r="AU474" s="6">
        <v>5.0599999999999996</v>
      </c>
      <c r="AV474" t="b">
        <v>1</v>
      </c>
      <c r="AW474" t="s">
        <v>617</v>
      </c>
      <c r="AX474" t="s">
        <v>635</v>
      </c>
      <c r="AY474" t="s">
        <v>636</v>
      </c>
      <c r="AZ474" t="s">
        <v>33</v>
      </c>
      <c r="BA474" s="18" t="s">
        <v>802</v>
      </c>
      <c r="BB474" s="3" t="b">
        <v>0</v>
      </c>
      <c r="BC474" t="s">
        <v>81</v>
      </c>
      <c r="BD474">
        <v>24</v>
      </c>
      <c r="BE474" t="s">
        <v>80</v>
      </c>
      <c r="BF474">
        <v>24</v>
      </c>
      <c r="BG474" t="s">
        <v>644</v>
      </c>
      <c r="BH474" t="s">
        <v>31</v>
      </c>
      <c r="BI474" t="s">
        <v>32</v>
      </c>
      <c r="BJ474">
        <f t="shared" si="246"/>
        <v>5.0599999999999996</v>
      </c>
      <c r="BK474" s="3">
        <f t="shared" si="237"/>
        <v>0.70415051683979912</v>
      </c>
      <c r="BL474">
        <v>2</v>
      </c>
      <c r="BM474" s="3">
        <f t="shared" si="247"/>
        <v>2.4536760148175198</v>
      </c>
      <c r="BN474" t="s">
        <v>33</v>
      </c>
      <c r="BO474" s="3">
        <f t="shared" si="238"/>
        <v>284.23399209486166</v>
      </c>
      <c r="BP474" t="s">
        <v>33</v>
      </c>
      <c r="BQ474" t="s">
        <v>33</v>
      </c>
      <c r="BR474" t="s">
        <v>33</v>
      </c>
      <c r="BS474" t="s">
        <v>33</v>
      </c>
      <c r="BT474" t="s">
        <v>31</v>
      </c>
      <c r="BU474" t="s">
        <v>664</v>
      </c>
      <c r="BV474">
        <v>2000</v>
      </c>
      <c r="BW474" t="s">
        <v>665</v>
      </c>
      <c r="BX474" t="s">
        <v>78</v>
      </c>
      <c r="BY474" s="13" t="s">
        <v>685</v>
      </c>
      <c r="CA474" t="str">
        <f t="shared" si="239"/>
        <v>low acid</v>
      </c>
    </row>
    <row r="475" spans="1:79">
      <c r="A475" t="s">
        <v>598</v>
      </c>
      <c r="B475" t="s">
        <v>565</v>
      </c>
      <c r="C475" t="s">
        <v>563</v>
      </c>
      <c r="D475" t="s">
        <v>118</v>
      </c>
      <c r="E475" t="s">
        <v>77</v>
      </c>
      <c r="F475" t="s">
        <v>32</v>
      </c>
      <c r="G475">
        <v>50</v>
      </c>
      <c r="H475">
        <f>50+AVERAGE(3,10)</f>
        <v>56.5</v>
      </c>
      <c r="I475" t="b">
        <v>1</v>
      </c>
      <c r="J475" t="s">
        <v>33</v>
      </c>
      <c r="K475" t="s">
        <v>33</v>
      </c>
      <c r="L475">
        <v>22</v>
      </c>
      <c r="M475" s="4">
        <v>548</v>
      </c>
      <c r="N475" t="e">
        <f>(#REF!*Y475)/(T475*X475*O475)</f>
        <v>#REF!</v>
      </c>
      <c r="O475">
        <v>2.5</v>
      </c>
      <c r="P475" t="s">
        <v>33</v>
      </c>
      <c r="Q475" s="1">
        <f t="shared" si="248"/>
        <v>6.0827250608272501E-3</v>
      </c>
      <c r="R475" t="s">
        <v>183</v>
      </c>
      <c r="S475" t="s">
        <v>612</v>
      </c>
      <c r="T475">
        <v>6</v>
      </c>
      <c r="U475">
        <v>2.9</v>
      </c>
      <c r="V475">
        <v>2.2999999999999998</v>
      </c>
      <c r="W475" t="s">
        <v>33</v>
      </c>
      <c r="X475">
        <f>IFERROR(((PI())*(((V475*10^-1)/2)^2)*(U475*10^-1)), "NA")</f>
        <v>1.204879322468025E-2</v>
      </c>
      <c r="Y475">
        <v>2</v>
      </c>
      <c r="Z475" s="3">
        <f t="shared" si="249"/>
        <v>1.9808216061374333</v>
      </c>
      <c r="AA475">
        <v>3.3</v>
      </c>
      <c r="AB475">
        <f t="shared" si="250"/>
        <v>3.333333333333333</v>
      </c>
      <c r="AC475" s="1" t="str">
        <f t="shared" si="251"/>
        <v>NA</v>
      </c>
      <c r="AE475" s="3">
        <f t="shared" si="252"/>
        <v>78.649999999999977</v>
      </c>
      <c r="AF475">
        <v>50</v>
      </c>
      <c r="AG475" s="1" t="str">
        <f>IFERROR((N475*P475*Q475), "NA")</f>
        <v>NA</v>
      </c>
      <c r="AH475" s="1" t="str">
        <f>IFERROR((AG475*U475*AI475), "NA")</f>
        <v>NA</v>
      </c>
      <c r="AI475" s="1">
        <v>1</v>
      </c>
      <c r="AJ475" s="11" t="s">
        <v>31</v>
      </c>
      <c r="AK475">
        <f>3.25*10^3</f>
        <v>3250</v>
      </c>
      <c r="AL475" t="s">
        <v>238</v>
      </c>
      <c r="AM475" t="s">
        <v>86</v>
      </c>
      <c r="AN475" t="s">
        <v>205</v>
      </c>
      <c r="AO475" t="s">
        <v>789</v>
      </c>
      <c r="AP475">
        <v>4.16</v>
      </c>
      <c r="AQ475" t="s">
        <v>33</v>
      </c>
      <c r="AR475" t="s">
        <v>33</v>
      </c>
      <c r="AS475">
        <f>AVERAGE(6.63, 6.39)</f>
        <v>6.51</v>
      </c>
      <c r="AT475">
        <f>AS475-AU475</f>
        <v>3.9499999999999997</v>
      </c>
      <c r="AU475" s="6">
        <v>2.56</v>
      </c>
      <c r="AV475" t="b">
        <v>1</v>
      </c>
      <c r="AW475" t="s">
        <v>617</v>
      </c>
      <c r="AX475" t="s">
        <v>638</v>
      </c>
      <c r="AY475" t="s">
        <v>637</v>
      </c>
      <c r="AZ475" t="s">
        <v>33</v>
      </c>
      <c r="BA475" s="18" t="s">
        <v>802</v>
      </c>
      <c r="BB475" s="3" t="b">
        <v>0</v>
      </c>
      <c r="BC475" t="s">
        <v>81</v>
      </c>
      <c r="BD475">
        <v>16</v>
      </c>
      <c r="BE475" t="s">
        <v>80</v>
      </c>
      <c r="BF475">
        <v>24</v>
      </c>
      <c r="BG475" t="s">
        <v>646</v>
      </c>
      <c r="BH475" t="s">
        <v>31</v>
      </c>
      <c r="BI475" t="s">
        <v>31</v>
      </c>
      <c r="BJ475">
        <f t="shared" si="246"/>
        <v>2.56</v>
      </c>
      <c r="BK475" s="3">
        <f t="shared" si="237"/>
        <v>0.40823996531184958</v>
      </c>
      <c r="BL475">
        <v>2</v>
      </c>
      <c r="BM475" s="3">
        <f t="shared" si="247"/>
        <v>1.4874587616474559</v>
      </c>
      <c r="BN475" t="s">
        <v>33</v>
      </c>
      <c r="BO475" s="3">
        <f t="shared" si="238"/>
        <v>30.722656249999989</v>
      </c>
      <c r="BP475" t="s">
        <v>33</v>
      </c>
      <c r="BQ475" t="s">
        <v>33</v>
      </c>
      <c r="BR475" t="s">
        <v>33</v>
      </c>
      <c r="BS475" t="s">
        <v>33</v>
      </c>
      <c r="BT475" t="s">
        <v>32</v>
      </c>
      <c r="BU475" s="13" t="s">
        <v>84</v>
      </c>
      <c r="BV475" s="14">
        <v>2012</v>
      </c>
      <c r="BW475" s="13" t="s">
        <v>83</v>
      </c>
      <c r="BX475" t="s">
        <v>78</v>
      </c>
      <c r="BY475" s="13" t="s">
        <v>686</v>
      </c>
      <c r="CA475" t="str">
        <f t="shared" si="239"/>
        <v>high acid</v>
      </c>
    </row>
    <row r="476" spans="1:79">
      <c r="A476" t="s">
        <v>332</v>
      </c>
      <c r="B476" t="s">
        <v>565</v>
      </c>
      <c r="C476" t="s">
        <v>563</v>
      </c>
      <c r="D476" t="s">
        <v>118</v>
      </c>
      <c r="E476" t="s">
        <v>77</v>
      </c>
      <c r="F476" t="s">
        <v>32</v>
      </c>
      <c r="G476">
        <v>15</v>
      </c>
      <c r="H476">
        <v>30.4</v>
      </c>
      <c r="I476" t="b">
        <v>0</v>
      </c>
      <c r="J476" t="s">
        <v>33</v>
      </c>
      <c r="K476" t="s">
        <v>33</v>
      </c>
      <c r="L476">
        <v>27.5</v>
      </c>
      <c r="M476" s="4">
        <v>200</v>
      </c>
      <c r="N476" s="3">
        <f>IFERROR(AF476/((T476*X476/Y476)*O476*AI476),"NA")</f>
        <v>3454.7028257350348</v>
      </c>
      <c r="O476">
        <v>5</v>
      </c>
      <c r="P476" t="s">
        <v>33</v>
      </c>
      <c r="Q476" s="8">
        <f t="shared" si="248"/>
        <v>6.2500000000000014E-2</v>
      </c>
      <c r="R476" t="s">
        <v>183</v>
      </c>
      <c r="S476" t="s">
        <v>613</v>
      </c>
      <c r="T476" s="11">
        <v>8</v>
      </c>
      <c r="U476">
        <v>2.9</v>
      </c>
      <c r="V476">
        <v>2.2999999999999998</v>
      </c>
      <c r="W476">
        <v>1.2E-2</v>
      </c>
      <c r="X476" s="8">
        <f>IFERROR(((PI())*(((V476*10^-1)/2)^2)*(U476*10^-1)), "NA")</f>
        <v>1.204879322468025E-2</v>
      </c>
      <c r="Y476">
        <v>3.33</v>
      </c>
      <c r="Z476" s="3">
        <f t="shared" si="249"/>
        <v>0.19278069159488398</v>
      </c>
      <c r="AA476" t="s">
        <v>33</v>
      </c>
      <c r="AB476" s="6">
        <f t="shared" si="250"/>
        <v>12.500000000000002</v>
      </c>
      <c r="AC476" t="str">
        <f t="shared" si="251"/>
        <v>NA</v>
      </c>
      <c r="AD476" s="4">
        <f>AB476*T476*AI476</f>
        <v>100.00000000000001</v>
      </c>
      <c r="AE476" s="3">
        <f t="shared" si="252"/>
        <v>794.06250000000023</v>
      </c>
      <c r="AF476">
        <v>500</v>
      </c>
      <c r="AG476" t="str">
        <f>IFERROR((M476*O476*P476), "NA")</f>
        <v>NA</v>
      </c>
      <c r="AH476" t="str">
        <f>IFERROR((AG476*T476*AI476), "NA")</f>
        <v>NA</v>
      </c>
      <c r="AI476">
        <v>1</v>
      </c>
      <c r="AJ476" t="s">
        <v>31</v>
      </c>
      <c r="AK476">
        <v>2100</v>
      </c>
      <c r="AL476" t="s">
        <v>551</v>
      </c>
      <c r="AM476" t="s">
        <v>86</v>
      </c>
      <c r="AN476" t="s">
        <v>205</v>
      </c>
      <c r="AO476" t="s">
        <v>789</v>
      </c>
      <c r="AP476">
        <v>3.79</v>
      </c>
      <c r="AQ476">
        <v>1060</v>
      </c>
      <c r="AR476" t="s">
        <v>33</v>
      </c>
      <c r="AS476" s="6">
        <f>LOG((10^6+10^7)/2)</f>
        <v>6.7403626894942441</v>
      </c>
      <c r="AT476" s="3">
        <f>IFERROR(AS476-AU476,"NA")</f>
        <v>3.9503626894942441</v>
      </c>
      <c r="AU476" s="6">
        <v>2.79</v>
      </c>
      <c r="AV476" t="b">
        <v>1</v>
      </c>
      <c r="AW476" t="s">
        <v>172</v>
      </c>
      <c r="AX476" t="s">
        <v>173</v>
      </c>
      <c r="AY476" t="s">
        <v>333</v>
      </c>
      <c r="AZ476" t="s">
        <v>33</v>
      </c>
      <c r="BA476" s="18" t="s">
        <v>799</v>
      </c>
      <c r="BB476" t="b">
        <v>0</v>
      </c>
      <c r="BC476" t="s">
        <v>81</v>
      </c>
      <c r="BD476">
        <v>72</v>
      </c>
      <c r="BE476" t="s">
        <v>80</v>
      </c>
      <c r="BF476" s="11">
        <v>168</v>
      </c>
      <c r="BG476" t="s">
        <v>334</v>
      </c>
      <c r="BH476" t="s">
        <v>31</v>
      </c>
      <c r="BI476" t="s">
        <v>31</v>
      </c>
      <c r="BJ476" s="3">
        <f t="shared" si="246"/>
        <v>2.79</v>
      </c>
      <c r="BK476" s="3">
        <f t="shared" si="237"/>
        <v>0.44560420327359757</v>
      </c>
      <c r="BL476">
        <v>2</v>
      </c>
      <c r="BM476" s="3">
        <f t="shared" si="247"/>
        <v>2.4542504834568661</v>
      </c>
      <c r="BN476" t="s">
        <v>33</v>
      </c>
      <c r="BO476" s="3">
        <f t="shared" si="238"/>
        <v>284.61021505376351</v>
      </c>
      <c r="BP476" t="s">
        <v>33</v>
      </c>
      <c r="BQ476" t="s">
        <v>33</v>
      </c>
      <c r="BR476" t="s">
        <v>33</v>
      </c>
      <c r="BS476" t="s">
        <v>33</v>
      </c>
      <c r="BT476" t="s">
        <v>31</v>
      </c>
      <c r="BU476" t="s">
        <v>330</v>
      </c>
      <c r="BV476">
        <v>2009</v>
      </c>
      <c r="BW476" t="s">
        <v>331</v>
      </c>
      <c r="BX476" t="s">
        <v>78</v>
      </c>
      <c r="BY476" t="s">
        <v>33</v>
      </c>
      <c r="BZ476" t="s">
        <v>33</v>
      </c>
      <c r="CA476" t="str">
        <f t="shared" si="239"/>
        <v>high acid</v>
      </c>
    </row>
    <row r="477" spans="1:79">
      <c r="A477" t="s">
        <v>534</v>
      </c>
      <c r="B477" t="s">
        <v>565</v>
      </c>
      <c r="C477" t="s">
        <v>564</v>
      </c>
      <c r="D477" t="s">
        <v>243</v>
      </c>
      <c r="E477" t="s">
        <v>77</v>
      </c>
      <c r="F477" t="s">
        <v>32</v>
      </c>
      <c r="G477">
        <v>40</v>
      </c>
      <c r="H477">
        <v>50.2</v>
      </c>
      <c r="I477" t="b">
        <v>0</v>
      </c>
      <c r="J477" t="s">
        <v>33</v>
      </c>
      <c r="K477" t="s">
        <v>33</v>
      </c>
      <c r="L477">
        <v>27</v>
      </c>
      <c r="M477" s="4">
        <v>120</v>
      </c>
      <c r="N477" s="3">
        <f>IFERROR(AF477/((T477*X477/Y477)*O477*AI477),"NA")</f>
        <v>401.11370711303874</v>
      </c>
      <c r="O477">
        <v>3</v>
      </c>
      <c r="P477" t="s">
        <v>33</v>
      </c>
      <c r="Q477" s="8">
        <f t="shared" si="248"/>
        <v>0.12777777777777777</v>
      </c>
      <c r="R477" t="s">
        <v>183</v>
      </c>
      <c r="S477" t="s">
        <v>612</v>
      </c>
      <c r="T477" s="11">
        <v>4</v>
      </c>
      <c r="U477">
        <v>3</v>
      </c>
      <c r="V477">
        <v>2.6</v>
      </c>
      <c r="W477">
        <v>1.5900000000000001E-2</v>
      </c>
      <c r="X477" s="8">
        <f>IFERROR(((PI())*(((V477*10^-1)/2)^2)*(U477*10^-1)), "NA")</f>
        <v>1.5927874753700257E-2</v>
      </c>
      <c r="Y477" s="6">
        <f>25/60</f>
        <v>0.41666666666666669</v>
      </c>
      <c r="Z477" s="3">
        <f t="shared" si="249"/>
        <v>0.1246529328550455</v>
      </c>
      <c r="AA477" t="s">
        <v>33</v>
      </c>
      <c r="AB477" s="6">
        <f t="shared" si="250"/>
        <v>15.333333333333332</v>
      </c>
      <c r="AC477" t="str">
        <f t="shared" si="251"/>
        <v>NA</v>
      </c>
      <c r="AD477" s="4">
        <f>IFERROR(AB477*T477*AI477, "NA")</f>
        <v>61.333333333333329</v>
      </c>
      <c r="AE477" s="3">
        <f t="shared" si="252"/>
        <v>123.40511999999998</v>
      </c>
      <c r="AF477">
        <v>184</v>
      </c>
      <c r="AG477" t="str">
        <f>IFERROR((M477*O477*P477), "NA")</f>
        <v>NA</v>
      </c>
      <c r="AH477" t="str">
        <f>IFERROR((AG477*T477*AI477), "NA")</f>
        <v>NA</v>
      </c>
      <c r="AI477" s="11">
        <v>1</v>
      </c>
      <c r="AJ477" t="s">
        <v>31</v>
      </c>
      <c r="AK477">
        <v>920</v>
      </c>
      <c r="AL477" t="s">
        <v>551</v>
      </c>
      <c r="AM477" t="s">
        <v>86</v>
      </c>
      <c r="AN477" t="s">
        <v>186</v>
      </c>
      <c r="AO477" t="s">
        <v>794</v>
      </c>
      <c r="AP477">
        <v>5.92</v>
      </c>
      <c r="AQ477" t="s">
        <v>33</v>
      </c>
      <c r="AR477" t="s">
        <v>33</v>
      </c>
      <c r="AS477" s="6">
        <f>LOG(1.4*10^6)</f>
        <v>6.1461280356782382</v>
      </c>
      <c r="AT477" s="3">
        <f>IFERROR(AS477-AU477,"NA")</f>
        <v>3.9571280356782381</v>
      </c>
      <c r="AU477" s="6">
        <v>2.1890000000000001</v>
      </c>
      <c r="AV477" t="b">
        <v>1</v>
      </c>
      <c r="AW477" t="s">
        <v>29</v>
      </c>
      <c r="AX477" t="s">
        <v>30</v>
      </c>
      <c r="AY477" t="s">
        <v>244</v>
      </c>
      <c r="AZ477" t="s">
        <v>33</v>
      </c>
      <c r="BA477" s="18" t="s">
        <v>798</v>
      </c>
      <c r="BB477" t="b">
        <v>0</v>
      </c>
      <c r="BC477" t="s">
        <v>81</v>
      </c>
      <c r="BD477">
        <v>20</v>
      </c>
      <c r="BE477" t="s">
        <v>80</v>
      </c>
      <c r="BF477" s="11">
        <v>20</v>
      </c>
      <c r="BG477" t="s">
        <v>245</v>
      </c>
      <c r="BH477" t="s">
        <v>31</v>
      </c>
      <c r="BI477" t="s">
        <v>31</v>
      </c>
      <c r="BJ477" s="3">
        <f t="shared" si="246"/>
        <v>2.1890000000000001</v>
      </c>
      <c r="BK477" s="3">
        <f t="shared" si="237"/>
        <v>0.34024576156793168</v>
      </c>
      <c r="BL477">
        <v>2</v>
      </c>
      <c r="BM477" s="3">
        <f t="shared" si="247"/>
        <v>1.7510874171051345</v>
      </c>
      <c r="BN477" t="s">
        <v>33</v>
      </c>
      <c r="BO477" s="3">
        <f t="shared" si="238"/>
        <v>56.375111923252618</v>
      </c>
      <c r="BP477" t="s">
        <v>33</v>
      </c>
      <c r="BQ477" t="s">
        <v>33</v>
      </c>
      <c r="BR477" t="s">
        <v>33</v>
      </c>
      <c r="BS477" t="s">
        <v>33</v>
      </c>
      <c r="BT477" t="s">
        <v>32</v>
      </c>
      <c r="BU477" t="s">
        <v>207</v>
      </c>
      <c r="BV477">
        <v>2014</v>
      </c>
      <c r="BW477" s="2" t="s">
        <v>242</v>
      </c>
      <c r="BX477" t="s">
        <v>78</v>
      </c>
      <c r="BY477" t="s">
        <v>33</v>
      </c>
      <c r="BZ477" t="s">
        <v>33</v>
      </c>
      <c r="CA477" t="str">
        <f t="shared" si="239"/>
        <v>low acid</v>
      </c>
    </row>
    <row r="478" spans="1:79">
      <c r="A478" t="s">
        <v>590</v>
      </c>
      <c r="B478" t="s">
        <v>565</v>
      </c>
      <c r="C478" t="s">
        <v>564</v>
      </c>
      <c r="D478" t="s">
        <v>609</v>
      </c>
      <c r="E478" t="s">
        <v>77</v>
      </c>
      <c r="F478" t="s">
        <v>32</v>
      </c>
      <c r="G478">
        <v>40</v>
      </c>
      <c r="H478">
        <v>49</v>
      </c>
      <c r="I478" t="b">
        <v>0</v>
      </c>
      <c r="J478" t="s">
        <v>33</v>
      </c>
      <c r="K478" t="s">
        <v>33</v>
      </c>
      <c r="L478">
        <v>24</v>
      </c>
      <c r="M478" s="4">
        <v>120</v>
      </c>
      <c r="N478" t="e">
        <f>(#REF!*Y478)/(T478*X478*O478)</f>
        <v>#REF!</v>
      </c>
      <c r="O478">
        <v>3</v>
      </c>
      <c r="P478" t="s">
        <v>33</v>
      </c>
      <c r="Q478" s="1">
        <f t="shared" si="248"/>
        <v>6.3333333333333325E-2</v>
      </c>
      <c r="R478" t="s">
        <v>183</v>
      </c>
      <c r="S478" t="s">
        <v>612</v>
      </c>
      <c r="T478">
        <v>4</v>
      </c>
      <c r="U478">
        <v>3</v>
      </c>
      <c r="V478">
        <v>2.6</v>
      </c>
      <c r="W478">
        <v>1.5900000000000001E-2</v>
      </c>
      <c r="X478">
        <f>IFERROR(((PI())*(((V478*10^-1)/2)^2)*(U478*10^-1)), "NA")</f>
        <v>1.5927874753700257E-2</v>
      </c>
      <c r="Y478">
        <v>8.3333299999999999E-2</v>
      </c>
      <c r="Z478" s="3">
        <f t="shared" si="249"/>
        <v>0.25149275926895143</v>
      </c>
      <c r="AA478" t="s">
        <v>33</v>
      </c>
      <c r="AB478">
        <f t="shared" si="250"/>
        <v>7.6</v>
      </c>
      <c r="AC478" s="1" t="str">
        <f t="shared" si="251"/>
        <v>NA</v>
      </c>
      <c r="AE478" s="3">
        <f t="shared" si="252"/>
        <v>60.410879999999992</v>
      </c>
      <c r="AF478">
        <v>91.2</v>
      </c>
      <c r="AG478" s="1" t="str">
        <f>IFERROR((N478*P478*Q478), "NA")</f>
        <v>NA</v>
      </c>
      <c r="AH478" s="1" t="str">
        <f>IFERROR((AG478*U478*AI478), "NA")</f>
        <v>NA</v>
      </c>
      <c r="AI478" s="1">
        <v>1</v>
      </c>
      <c r="AJ478" s="11" t="s">
        <v>31</v>
      </c>
      <c r="AK478">
        <v>1150</v>
      </c>
      <c r="AL478" t="s">
        <v>551</v>
      </c>
      <c r="AM478" t="s">
        <v>86</v>
      </c>
      <c r="AN478" t="s">
        <v>186</v>
      </c>
      <c r="AO478" t="s">
        <v>794</v>
      </c>
      <c r="AP478">
        <v>5.92</v>
      </c>
      <c r="AQ478" t="s">
        <v>33</v>
      </c>
      <c r="AR478" t="s">
        <v>33</v>
      </c>
      <c r="AS478">
        <v>6</v>
      </c>
      <c r="AT478">
        <f>AS478-AU478</f>
        <v>3.96</v>
      </c>
      <c r="AU478" s="6">
        <v>2.04</v>
      </c>
      <c r="AV478" t="b">
        <v>1</v>
      </c>
      <c r="AW478" t="s">
        <v>626</v>
      </c>
      <c r="AX478" t="s">
        <v>627</v>
      </c>
      <c r="AY478" t="s">
        <v>631</v>
      </c>
      <c r="AZ478" t="s">
        <v>33</v>
      </c>
      <c r="BA478" s="18" t="s">
        <v>800</v>
      </c>
      <c r="BB478" s="3" t="b">
        <v>0</v>
      </c>
      <c r="BC478" t="s">
        <v>81</v>
      </c>
      <c r="BD478">
        <v>20</v>
      </c>
      <c r="BE478" t="s">
        <v>80</v>
      </c>
      <c r="BF478">
        <v>20</v>
      </c>
      <c r="BG478" t="s">
        <v>695</v>
      </c>
      <c r="BH478" t="s">
        <v>32</v>
      </c>
      <c r="BI478" t="s">
        <v>31</v>
      </c>
      <c r="BJ478">
        <f t="shared" si="246"/>
        <v>2.04</v>
      </c>
      <c r="BK478" s="3">
        <f t="shared" si="237"/>
        <v>0.30963016742589877</v>
      </c>
      <c r="BL478">
        <v>2</v>
      </c>
      <c r="BM478" s="3">
        <f t="shared" si="247"/>
        <v>1.4714849946793411</v>
      </c>
      <c r="BN478" t="s">
        <v>33</v>
      </c>
      <c r="BO478" s="3">
        <f t="shared" si="238"/>
        <v>29.613176470588229</v>
      </c>
      <c r="BP478" t="s">
        <v>33</v>
      </c>
      <c r="BQ478" t="s">
        <v>33</v>
      </c>
      <c r="BR478" t="s">
        <v>33</v>
      </c>
      <c r="BS478" t="s">
        <v>33</v>
      </c>
      <c r="BT478" t="s">
        <v>32</v>
      </c>
      <c r="BU478" s="15" t="s">
        <v>207</v>
      </c>
      <c r="BV478">
        <v>2014</v>
      </c>
      <c r="BW478" t="s">
        <v>242</v>
      </c>
      <c r="BX478" t="s">
        <v>78</v>
      </c>
      <c r="BY478" s="13" t="s">
        <v>678</v>
      </c>
      <c r="CA478" t="str">
        <f t="shared" si="239"/>
        <v>low acid</v>
      </c>
    </row>
    <row r="479" spans="1:79">
      <c r="A479" t="s">
        <v>454</v>
      </c>
      <c r="B479" t="s">
        <v>565</v>
      </c>
      <c r="C479" t="s">
        <v>563</v>
      </c>
      <c r="D479" t="s">
        <v>182</v>
      </c>
      <c r="E479" t="s">
        <v>77</v>
      </c>
      <c r="F479" t="s">
        <v>32</v>
      </c>
      <c r="G479">
        <v>18</v>
      </c>
      <c r="H479">
        <v>49</v>
      </c>
      <c r="I479" t="b">
        <v>1</v>
      </c>
      <c r="J479" t="s">
        <v>33</v>
      </c>
      <c r="K479" t="s">
        <v>33</v>
      </c>
      <c r="L479">
        <v>33</v>
      </c>
      <c r="M479" s="4" t="s">
        <v>33</v>
      </c>
      <c r="N479" s="3">
        <f>IFERROR(AF479/((T479*X479/Y479)*O479*AI479),"NA")</f>
        <v>281.42752925843115</v>
      </c>
      <c r="O479">
        <v>8</v>
      </c>
      <c r="P479">
        <f>0.047/2</f>
        <v>2.35E-2</v>
      </c>
      <c r="Q479" s="8">
        <f t="shared" si="248"/>
        <v>2.3318614270936313E-2</v>
      </c>
      <c r="R479" t="s">
        <v>183</v>
      </c>
      <c r="S479" t="s">
        <v>613</v>
      </c>
      <c r="T479" s="11">
        <v>2</v>
      </c>
      <c r="U479">
        <v>5.6</v>
      </c>
      <c r="V479">
        <v>4.5</v>
      </c>
      <c r="W479" t="s">
        <v>33</v>
      </c>
      <c r="X479" s="9">
        <f>IFERROR(((PI())*(((V479*10^-1)/2)^2)*(U479*10^-1)), "NA")</f>
        <v>8.9064151729270638E-2</v>
      </c>
      <c r="Y479" s="6">
        <f>13750/3600</f>
        <v>3.8194444444444446</v>
      </c>
      <c r="Z479" s="3">
        <f>IFERROR(X479*N479*O479*T479*AI479/AF479, "NA")</f>
        <v>3.8194444444444442</v>
      </c>
      <c r="AA479" t="s">
        <v>33</v>
      </c>
      <c r="AB479" s="4">
        <f>IFERROR(((X479*N479)/Y479), "NA")</f>
        <v>6.5624999999999991</v>
      </c>
      <c r="AC479" s="4">
        <f>IFERROR(N479*P479,"NA")</f>
        <v>6.6135469375731324</v>
      </c>
      <c r="AD479" s="4">
        <f>AB479*T479*AI479</f>
        <v>13.124999999999998</v>
      </c>
      <c r="AE479" s="3">
        <f>IFERROR(((L479^2)*N479*O479*AK479*10^-6*Q479*T479*AI479), "NA")</f>
        <v>262.99349999999998</v>
      </c>
      <c r="AF479">
        <v>105</v>
      </c>
      <c r="AG479" s="4">
        <f>IFERROR((N479*O479*P479), "NA")</f>
        <v>52.908375500585059</v>
      </c>
      <c r="AH479" s="4">
        <f>IFERROR((AG479*T479*AI479), "NA")</f>
        <v>105.81675100117012</v>
      </c>
      <c r="AI479" s="11">
        <v>1</v>
      </c>
      <c r="AJ479" t="s">
        <v>31</v>
      </c>
      <c r="AK479">
        <v>2300</v>
      </c>
      <c r="AL479" t="s">
        <v>805</v>
      </c>
      <c r="AM479" t="s">
        <v>515</v>
      </c>
      <c r="AN479" t="s">
        <v>205</v>
      </c>
      <c r="AO479" t="s">
        <v>788</v>
      </c>
      <c r="AP479">
        <v>3.68</v>
      </c>
      <c r="AQ479" t="s">
        <v>33</v>
      </c>
      <c r="AR479" t="s">
        <v>33</v>
      </c>
      <c r="AS479">
        <f>LOG(10^8)</f>
        <v>8</v>
      </c>
      <c r="AT479" s="3">
        <f>IFERROR(AS479-AU479,"NA")</f>
        <v>3.9699999999999998</v>
      </c>
      <c r="AU479" s="6">
        <v>4.03</v>
      </c>
      <c r="AV479" t="b">
        <v>1</v>
      </c>
      <c r="AW479" t="s">
        <v>470</v>
      </c>
      <c r="AX479" t="s">
        <v>464</v>
      </c>
      <c r="AY479" t="s">
        <v>469</v>
      </c>
      <c r="AZ479" t="s">
        <v>33</v>
      </c>
      <c r="BA479" s="18" t="s">
        <v>579</v>
      </c>
      <c r="BB479" t="b">
        <v>1</v>
      </c>
      <c r="BC479" t="s">
        <v>81</v>
      </c>
      <c r="BD479" t="s">
        <v>33</v>
      </c>
      <c r="BE479" t="s">
        <v>80</v>
      </c>
      <c r="BF479" t="s">
        <v>33</v>
      </c>
      <c r="BG479" t="s">
        <v>395</v>
      </c>
      <c r="BH479" t="s">
        <v>31</v>
      </c>
      <c r="BI479" t="s">
        <v>31</v>
      </c>
      <c r="BJ479" s="3">
        <f t="shared" si="246"/>
        <v>4.03</v>
      </c>
      <c r="BK479" s="3">
        <f t="shared" si="237"/>
        <v>0.60530504614110947</v>
      </c>
      <c r="BL479">
        <v>2</v>
      </c>
      <c r="BM479" s="3">
        <f t="shared" si="247"/>
        <v>1.8146399687021963</v>
      </c>
      <c r="BN479" t="s">
        <v>33</v>
      </c>
      <c r="BO479" s="3">
        <f t="shared" si="238"/>
        <v>65.258933002481385</v>
      </c>
      <c r="BP479" t="s">
        <v>33</v>
      </c>
      <c r="BQ479" t="s">
        <v>33</v>
      </c>
      <c r="BR479" t="s">
        <v>33</v>
      </c>
      <c r="BS479" t="s">
        <v>33</v>
      </c>
      <c r="BT479" t="s">
        <v>32</v>
      </c>
      <c r="BU479" t="s">
        <v>484</v>
      </c>
      <c r="BV479">
        <v>2015</v>
      </c>
      <c r="BW479" t="s">
        <v>485</v>
      </c>
      <c r="BX479" t="s">
        <v>78</v>
      </c>
      <c r="BY479" t="s">
        <v>486</v>
      </c>
      <c r="CA479" t="str">
        <f t="shared" si="239"/>
        <v>high acid</v>
      </c>
    </row>
    <row r="480" spans="1:79">
      <c r="A480" t="s">
        <v>584</v>
      </c>
      <c r="B480" t="s">
        <v>566</v>
      </c>
      <c r="C480" t="s">
        <v>563</v>
      </c>
      <c r="D480" t="s">
        <v>607</v>
      </c>
      <c r="E480" t="s">
        <v>77</v>
      </c>
      <c r="F480" t="s">
        <v>33</v>
      </c>
      <c r="G480">
        <v>20</v>
      </c>
      <c r="H480">
        <v>35</v>
      </c>
      <c r="I480" t="b">
        <v>0</v>
      </c>
      <c r="J480">
        <v>1000</v>
      </c>
      <c r="K480">
        <v>200</v>
      </c>
      <c r="L480">
        <v>25</v>
      </c>
      <c r="M480" s="4">
        <v>1</v>
      </c>
      <c r="N480" t="e">
        <f>(#REF!*Y480)/(T480*X480*O480)</f>
        <v>#REF!</v>
      </c>
      <c r="O480">
        <v>3</v>
      </c>
      <c r="P480" t="s">
        <v>33</v>
      </c>
      <c r="Q480" s="1">
        <f t="shared" si="248"/>
        <v>25.000000000000004</v>
      </c>
      <c r="R480" t="s">
        <v>183</v>
      </c>
      <c r="S480" t="s">
        <v>33</v>
      </c>
      <c r="T480">
        <v>1</v>
      </c>
      <c r="U480">
        <v>2.5</v>
      </c>
      <c r="V480" t="s">
        <v>33</v>
      </c>
      <c r="W480">
        <v>0.50249999999999995</v>
      </c>
      <c r="X480">
        <f>W480</f>
        <v>0.50249999999999995</v>
      </c>
      <c r="Y480" t="s">
        <v>33</v>
      </c>
      <c r="Z480" s="3">
        <f t="shared" ref="Z480:Z509" si="253">IFERROR(X480*M480*O480*T480*AI480/AF480, "NA")</f>
        <v>2.0099999999999996E-2</v>
      </c>
      <c r="AA480" t="s">
        <v>33</v>
      </c>
      <c r="AB480">
        <f>IFERROR(((X480*M480)/Z480), "NA")</f>
        <v>25.000000000000004</v>
      </c>
      <c r="AC480" s="1" t="str">
        <f t="shared" ref="AC480:AC524" si="254">IFERROR(M480*P480,"NA")</f>
        <v>NA</v>
      </c>
      <c r="AE480" s="3">
        <f t="shared" ref="AE480:AE509" si="255">IFERROR(((L480^2)*M480*O480*AK480*10^-6*Q480*T480*AI480), "NA")</f>
        <v>46.875000000000007</v>
      </c>
      <c r="AF480">
        <v>75</v>
      </c>
      <c r="AG480" s="1" t="str">
        <f>IFERROR((N480*P480*Q480), "NA")</f>
        <v>NA</v>
      </c>
      <c r="AH480" s="1" t="str">
        <f>IFERROR((AG480*U480*AI480), "NA")</f>
        <v>NA</v>
      </c>
      <c r="AI480" s="1">
        <v>1</v>
      </c>
      <c r="AJ480" s="11" t="s">
        <v>31</v>
      </c>
      <c r="AK480">
        <v>1000</v>
      </c>
      <c r="AL480" t="s">
        <v>614</v>
      </c>
      <c r="AM480" s="3" t="s">
        <v>103</v>
      </c>
      <c r="AN480" t="s">
        <v>130</v>
      </c>
      <c r="AO480" t="s">
        <v>795</v>
      </c>
      <c r="AP480">
        <v>5.5</v>
      </c>
      <c r="AQ480" t="s">
        <v>33</v>
      </c>
      <c r="AR480" t="s">
        <v>33</v>
      </c>
      <c r="AS480">
        <v>8</v>
      </c>
      <c r="AT480">
        <f>AS480-AU480</f>
        <v>3.9699999999999998</v>
      </c>
      <c r="AU480" s="6">
        <v>4.03</v>
      </c>
      <c r="AV480" t="b">
        <v>1</v>
      </c>
      <c r="AW480" t="s">
        <v>617</v>
      </c>
      <c r="AX480" t="s">
        <v>33</v>
      </c>
      <c r="AY480" t="s">
        <v>623</v>
      </c>
      <c r="AZ480" t="s">
        <v>621</v>
      </c>
      <c r="BA480" s="18" t="s">
        <v>802</v>
      </c>
      <c r="BB480" s="3" t="b">
        <v>0</v>
      </c>
      <c r="BC480" t="s">
        <v>81</v>
      </c>
      <c r="BD480">
        <v>18</v>
      </c>
      <c r="BE480" t="s">
        <v>80</v>
      </c>
      <c r="BF480">
        <v>24</v>
      </c>
      <c r="BG480" t="s">
        <v>642</v>
      </c>
      <c r="BH480" t="s">
        <v>32</v>
      </c>
      <c r="BI480" t="s">
        <v>31</v>
      </c>
      <c r="BJ480">
        <f t="shared" si="246"/>
        <v>4.03</v>
      </c>
      <c r="BK480" s="3">
        <f t="shared" si="237"/>
        <v>0.60530504614110947</v>
      </c>
      <c r="BL480">
        <v>2</v>
      </c>
      <c r="BM480" s="3">
        <f t="shared" si="247"/>
        <v>1.0656362345946659</v>
      </c>
      <c r="BN480" t="s">
        <v>33</v>
      </c>
      <c r="BO480" s="3">
        <f t="shared" si="238"/>
        <v>11.631513647642681</v>
      </c>
      <c r="BP480" t="s">
        <v>33</v>
      </c>
      <c r="BQ480" t="s">
        <v>33</v>
      </c>
      <c r="BR480" t="s">
        <v>33</v>
      </c>
      <c r="BS480" t="s">
        <v>33</v>
      </c>
      <c r="BT480" t="s">
        <v>31</v>
      </c>
      <c r="BU480" t="s">
        <v>255</v>
      </c>
      <c r="BV480">
        <v>2010</v>
      </c>
      <c r="BW480" t="s">
        <v>651</v>
      </c>
      <c r="BX480" t="s">
        <v>78</v>
      </c>
      <c r="BY480" s="13" t="s">
        <v>674</v>
      </c>
      <c r="BZ480" t="s">
        <v>780</v>
      </c>
      <c r="CA480" t="str">
        <f t="shared" si="239"/>
        <v>low acid</v>
      </c>
    </row>
    <row r="481" spans="1:79">
      <c r="A481" t="s">
        <v>259</v>
      </c>
      <c r="B481" t="s">
        <v>565</v>
      </c>
      <c r="C481" t="s">
        <v>563</v>
      </c>
      <c r="D481" t="s">
        <v>118</v>
      </c>
      <c r="E481" t="s">
        <v>77</v>
      </c>
      <c r="F481" t="s">
        <v>32</v>
      </c>
      <c r="G481">
        <v>5</v>
      </c>
      <c r="H481">
        <v>40</v>
      </c>
      <c r="I481" t="b">
        <v>0</v>
      </c>
      <c r="J481" t="s">
        <v>33</v>
      </c>
      <c r="K481" t="s">
        <v>33</v>
      </c>
      <c r="L481">
        <v>35</v>
      </c>
      <c r="M481" s="4">
        <v>100</v>
      </c>
      <c r="N481" s="3">
        <f>IFERROR(AF481/((T481*X481/Y481)*O481*AI481),"NA")</f>
        <v>5903.0038247230323</v>
      </c>
      <c r="O481">
        <v>4</v>
      </c>
      <c r="P481" t="s">
        <v>33</v>
      </c>
      <c r="Q481" s="8">
        <f t="shared" si="248"/>
        <v>0.39062499999999994</v>
      </c>
      <c r="R481" t="s">
        <v>183</v>
      </c>
      <c r="S481" t="s">
        <v>613</v>
      </c>
      <c r="T481" s="11">
        <v>8</v>
      </c>
      <c r="U481">
        <v>2.92</v>
      </c>
      <c r="V481">
        <v>2.2999999999999998</v>
      </c>
      <c r="W481">
        <v>1.21E-2</v>
      </c>
      <c r="X481" s="8">
        <f>IFERROR(((PI())*(((V481*10^-1)/2)^2)*(U481*10^-1)), "NA")</f>
        <v>1.2131888350367701E-2</v>
      </c>
      <c r="Y481" s="6">
        <f>110/60</f>
        <v>1.8333333333333333</v>
      </c>
      <c r="Z481" s="3">
        <f t="shared" si="253"/>
        <v>3.1057634176941316E-2</v>
      </c>
      <c r="AA481" t="s">
        <v>33</v>
      </c>
      <c r="AB481" s="6">
        <f>IFERROR(((X481*M481)/Z481), "NA")</f>
        <v>39.0625</v>
      </c>
      <c r="AC481" t="str">
        <f t="shared" si="254"/>
        <v>NA</v>
      </c>
      <c r="AD481" s="4">
        <f>AB481*T481*AI481</f>
        <v>312.5</v>
      </c>
      <c r="AE481" s="3">
        <f t="shared" si="255"/>
        <v>4578.4374999999991</v>
      </c>
      <c r="AF481">
        <v>1250</v>
      </c>
      <c r="AG481" t="str">
        <f>IFERROR((M481*O481*P481), "NA")</f>
        <v>NA</v>
      </c>
      <c r="AH481" t="str">
        <f>IFERROR((AG481*T481*AI481), "NA")</f>
        <v>NA</v>
      </c>
      <c r="AI481">
        <v>1</v>
      </c>
      <c r="AJ481" t="s">
        <v>31</v>
      </c>
      <c r="AK481">
        <v>2990</v>
      </c>
      <c r="AL481" t="s">
        <v>544</v>
      </c>
      <c r="AM481" t="s">
        <v>86</v>
      </c>
      <c r="AN481" t="s">
        <v>205</v>
      </c>
      <c r="AO481" t="s">
        <v>789</v>
      </c>
      <c r="AP481">
        <v>4.4000000000000004</v>
      </c>
      <c r="AQ481" t="s">
        <v>33</v>
      </c>
      <c r="AR481" t="s">
        <v>33</v>
      </c>
      <c r="AS481" s="6">
        <f>LOG((10^7+10^8)/2)</f>
        <v>7.7403626894942441</v>
      </c>
      <c r="AT481" s="3">
        <f>IFERROR(AS481-AU481,"NA")</f>
        <v>3.9723626894942443</v>
      </c>
      <c r="AU481" s="6">
        <v>3.7679999999999998</v>
      </c>
      <c r="AV481" t="b">
        <v>1</v>
      </c>
      <c r="AW481" t="s">
        <v>29</v>
      </c>
      <c r="AX481" t="s">
        <v>30</v>
      </c>
      <c r="AY481" t="s">
        <v>33</v>
      </c>
      <c r="AZ481" t="s">
        <v>134</v>
      </c>
      <c r="BA481" s="18" t="s">
        <v>798</v>
      </c>
      <c r="BB481" t="b">
        <v>0</v>
      </c>
      <c r="BC481" t="s">
        <v>81</v>
      </c>
      <c r="BD481">
        <v>15</v>
      </c>
      <c r="BE481" t="s">
        <v>80</v>
      </c>
      <c r="BF481" s="11">
        <v>24</v>
      </c>
      <c r="BG481" t="s">
        <v>262</v>
      </c>
      <c r="BH481" t="s">
        <v>31</v>
      </c>
      <c r="BI481" t="s">
        <v>31</v>
      </c>
      <c r="BJ481" s="3">
        <f t="shared" si="246"/>
        <v>3.7679999999999998</v>
      </c>
      <c r="BK481" s="3">
        <f t="shared" si="237"/>
        <v>0.57611089412083971</v>
      </c>
      <c r="BL481">
        <v>2</v>
      </c>
      <c r="BM481" s="3">
        <f t="shared" si="247"/>
        <v>3.0846063959121977</v>
      </c>
      <c r="BN481" t="s">
        <v>33</v>
      </c>
      <c r="BO481" s="3">
        <f t="shared" si="238"/>
        <v>1215.0842622080677</v>
      </c>
      <c r="BP481" t="s">
        <v>33</v>
      </c>
      <c r="BQ481" t="s">
        <v>33</v>
      </c>
      <c r="BR481" t="s">
        <v>33</v>
      </c>
      <c r="BS481" t="s">
        <v>33</v>
      </c>
      <c r="BT481" t="s">
        <v>31</v>
      </c>
      <c r="BU481" t="s">
        <v>219</v>
      </c>
      <c r="BV481">
        <v>2008</v>
      </c>
      <c r="BW481" s="2" t="s">
        <v>257</v>
      </c>
      <c r="BX481" t="s">
        <v>78</v>
      </c>
      <c r="BY481" t="s">
        <v>33</v>
      </c>
      <c r="BZ481" t="s">
        <v>33</v>
      </c>
      <c r="CA481" t="str">
        <f t="shared" si="239"/>
        <v>high acid</v>
      </c>
    </row>
    <row r="482" spans="1:79">
      <c r="A482" s="3" t="s">
        <v>249</v>
      </c>
      <c r="B482" t="s">
        <v>566</v>
      </c>
      <c r="C482" t="s">
        <v>563</v>
      </c>
      <c r="D482" s="3" t="s">
        <v>279</v>
      </c>
      <c r="E482" s="3" t="s">
        <v>77</v>
      </c>
      <c r="F482" t="s">
        <v>32</v>
      </c>
      <c r="G482" s="11">
        <v>20</v>
      </c>
      <c r="H482" s="11" t="s">
        <v>33</v>
      </c>
      <c r="I482" s="3" t="b">
        <v>0</v>
      </c>
      <c r="J482" s="3" t="s">
        <v>33</v>
      </c>
      <c r="K482" s="3" t="s">
        <v>33</v>
      </c>
      <c r="L482" s="3">
        <v>40</v>
      </c>
      <c r="M482" s="4">
        <v>1000</v>
      </c>
      <c r="N482" s="3">
        <f>IFERROR(AF482/((T482*X482/Y482)*O482*AI482),"NA")</f>
        <v>1010.5075751866368</v>
      </c>
      <c r="O482" s="3">
        <v>40</v>
      </c>
      <c r="P482" s="3" t="s">
        <v>33</v>
      </c>
      <c r="Q482" s="3">
        <f t="shared" si="248"/>
        <v>3.0000000000000002E-2</v>
      </c>
      <c r="R482" t="s">
        <v>183</v>
      </c>
      <c r="S482" t="s">
        <v>613</v>
      </c>
      <c r="T482" s="11">
        <v>1</v>
      </c>
      <c r="U482" s="3">
        <v>2.8</v>
      </c>
      <c r="V482" s="3">
        <v>3</v>
      </c>
      <c r="W482" s="3">
        <v>0.02</v>
      </c>
      <c r="X482" s="3">
        <f>IFERROR(((PI())*(((V482*10^-1)/2)^2)*(U482*10^-1)), "NA")</f>
        <v>1.97920337176157E-2</v>
      </c>
      <c r="Y482" s="3">
        <f>40/60</f>
        <v>0.66666666666666663</v>
      </c>
      <c r="Z482" s="3">
        <f t="shared" si="253"/>
        <v>0.6597344572538566</v>
      </c>
      <c r="AA482" s="3" t="s">
        <v>33</v>
      </c>
      <c r="AB482" s="3">
        <f>IFERROR(((X482*M482)/Z482), "NA")</f>
        <v>30</v>
      </c>
      <c r="AC482" s="3" t="str">
        <f t="shared" si="254"/>
        <v>NA</v>
      </c>
      <c r="AD482" s="4">
        <f>AB482*T482*AI482</f>
        <v>30</v>
      </c>
      <c r="AE482" s="3">
        <f t="shared" si="255"/>
        <v>960.00000000000011</v>
      </c>
      <c r="AF482" s="3">
        <v>1200</v>
      </c>
      <c r="AG482" s="3" t="str">
        <f>IFERROR((M482*O482*P482), "NA")</f>
        <v>NA</v>
      </c>
      <c r="AH482" s="3" t="str">
        <f>IFERROR((AG482*T482*AI482), "NA")</f>
        <v>NA</v>
      </c>
      <c r="AI482" s="3">
        <v>1</v>
      </c>
      <c r="AJ482" t="s">
        <v>31</v>
      </c>
      <c r="AK482" s="3">
        <v>500</v>
      </c>
      <c r="AL482" s="3" t="s">
        <v>250</v>
      </c>
      <c r="AM482" s="3" t="s">
        <v>103</v>
      </c>
      <c r="AN482" t="s">
        <v>130</v>
      </c>
      <c r="AO482" t="s">
        <v>795</v>
      </c>
      <c r="AP482" s="3">
        <f>(6.5+6.8)/2</f>
        <v>6.65</v>
      </c>
      <c r="AQ482" s="3" t="s">
        <v>33</v>
      </c>
      <c r="AR482" s="3" t="s">
        <v>33</v>
      </c>
      <c r="AS482" s="3">
        <f>LOG((10^6+10^7)/2)</f>
        <v>6.7403626894942441</v>
      </c>
      <c r="AT482" s="3">
        <f>IFERROR(AS482-AU482,"NA")</f>
        <v>3.9733626894942442</v>
      </c>
      <c r="AU482" s="6">
        <v>2.7669999999999999</v>
      </c>
      <c r="AV482" s="3" t="b">
        <v>1</v>
      </c>
      <c r="AW482" s="3" t="s">
        <v>172</v>
      </c>
      <c r="AX482" s="3" t="s">
        <v>173</v>
      </c>
      <c r="AY482" s="3" t="s">
        <v>251</v>
      </c>
      <c r="AZ482" s="3" t="s">
        <v>33</v>
      </c>
      <c r="BA482" s="18" t="s">
        <v>799</v>
      </c>
      <c r="BB482" s="3" t="b">
        <v>0</v>
      </c>
      <c r="BC482" t="s">
        <v>81</v>
      </c>
      <c r="BD482" s="3">
        <v>0.5</v>
      </c>
      <c r="BE482" s="3" t="s">
        <v>252</v>
      </c>
      <c r="BF482" s="11">
        <v>72</v>
      </c>
      <c r="BG482" s="3" t="s">
        <v>253</v>
      </c>
      <c r="BH482" s="3" t="s">
        <v>32</v>
      </c>
      <c r="BI482" s="3" t="s">
        <v>31</v>
      </c>
      <c r="BJ482" s="3">
        <f t="shared" si="246"/>
        <v>2.7669999999999999</v>
      </c>
      <c r="BK482" s="3">
        <f t="shared" si="237"/>
        <v>0.44200915914095196</v>
      </c>
      <c r="BL482" s="3">
        <v>2</v>
      </c>
      <c r="BM482" s="3">
        <f t="shared" si="247"/>
        <v>2.5402620738986164</v>
      </c>
      <c r="BN482" s="3" t="s">
        <v>33</v>
      </c>
      <c r="BO482" s="3">
        <f t="shared" si="238"/>
        <v>346.94615106613668</v>
      </c>
      <c r="BP482" s="3" t="s">
        <v>33</v>
      </c>
      <c r="BQ482" s="3" t="s">
        <v>33</v>
      </c>
      <c r="BR482" s="3" t="s">
        <v>33</v>
      </c>
      <c r="BS482" s="3" t="s">
        <v>33</v>
      </c>
      <c r="BT482" t="s">
        <v>31</v>
      </c>
      <c r="BU482" s="3" t="s">
        <v>247</v>
      </c>
      <c r="BV482" s="11">
        <v>2015</v>
      </c>
      <c r="BW482" s="12" t="s">
        <v>248</v>
      </c>
      <c r="BX482" t="s">
        <v>78</v>
      </c>
      <c r="BY482" s="3" t="s">
        <v>33</v>
      </c>
      <c r="BZ482" s="3" t="s">
        <v>33</v>
      </c>
      <c r="CA482" t="str">
        <f t="shared" si="239"/>
        <v>low acid</v>
      </c>
    </row>
    <row r="483" spans="1:79">
      <c r="A483" t="s">
        <v>487</v>
      </c>
      <c r="B483" t="s">
        <v>566</v>
      </c>
      <c r="C483" t="s">
        <v>564</v>
      </c>
      <c r="D483" t="s">
        <v>321</v>
      </c>
      <c r="E483" t="s">
        <v>77</v>
      </c>
      <c r="F483" t="s">
        <v>32</v>
      </c>
      <c r="G483">
        <v>4</v>
      </c>
      <c r="H483" t="s">
        <v>33</v>
      </c>
      <c r="I483" t="b">
        <v>0</v>
      </c>
      <c r="J483" t="s">
        <v>33</v>
      </c>
      <c r="K483" t="s">
        <v>33</v>
      </c>
      <c r="L483">
        <v>20</v>
      </c>
      <c r="M483" s="4">
        <v>10</v>
      </c>
      <c r="N483" s="3">
        <f>IFERROR(AF483/((T483*X483/Y483)*O483*AI483),"NA")</f>
        <v>10</v>
      </c>
      <c r="O483">
        <v>1.5</v>
      </c>
      <c r="P483" s="3">
        <f>6/(52.5/60)</f>
        <v>6.8571428571428568</v>
      </c>
      <c r="Q483" s="8">
        <f t="shared" si="248"/>
        <v>6.8571428571428559</v>
      </c>
      <c r="R483" t="s">
        <v>278</v>
      </c>
      <c r="S483" t="s">
        <v>613</v>
      </c>
      <c r="T483" s="11">
        <v>1</v>
      </c>
      <c r="U483">
        <v>100</v>
      </c>
      <c r="V483" t="s">
        <v>33</v>
      </c>
      <c r="W483">
        <v>6</v>
      </c>
      <c r="X483" s="9">
        <f>W483</f>
        <v>6</v>
      </c>
      <c r="Y483" s="6">
        <f>52.5/60</f>
        <v>0.875</v>
      </c>
      <c r="Z483" s="3">
        <f t="shared" si="253"/>
        <v>0.87500000000000011</v>
      </c>
      <c r="AA483" t="s">
        <v>33</v>
      </c>
      <c r="AB483" s="4">
        <f>IFERROR(((X483*M483)/Y483), "NA")</f>
        <v>68.571428571428569</v>
      </c>
      <c r="AC483" s="4">
        <f t="shared" si="254"/>
        <v>68.571428571428569</v>
      </c>
      <c r="AD483" s="4">
        <f>AB483*T483*AI483</f>
        <v>1449</v>
      </c>
      <c r="AE483" s="3">
        <f t="shared" si="255"/>
        <v>4433.9399999999987</v>
      </c>
      <c r="AF483">
        <f>1449*O483</f>
        <v>2173.5</v>
      </c>
      <c r="AG483" s="4">
        <f>IFERROR((M483*O483*P483), "NA")</f>
        <v>102.85714285714285</v>
      </c>
      <c r="AH483" s="4">
        <f>IFERROR((AG483*T483*AI483), "NA")</f>
        <v>2173.5</v>
      </c>
      <c r="AI483" s="3">
        <f>AF483/(AG483*T483)</f>
        <v>21.131250000000001</v>
      </c>
      <c r="AJ483" s="11" t="s">
        <v>32</v>
      </c>
      <c r="AK483">
        <v>5100</v>
      </c>
      <c r="AL483" t="s">
        <v>319</v>
      </c>
      <c r="AM483" t="s">
        <v>86</v>
      </c>
      <c r="AN483" t="s">
        <v>186</v>
      </c>
      <c r="AO483" t="s">
        <v>794</v>
      </c>
      <c r="AP483">
        <v>6.05</v>
      </c>
      <c r="AQ483" t="s">
        <v>33</v>
      </c>
      <c r="AR483" t="s">
        <v>33</v>
      </c>
      <c r="AS483" s="6">
        <f>LOG((10^7+10^8)/2)</f>
        <v>7.7403626894942441</v>
      </c>
      <c r="AT483" s="3">
        <f>IFERROR(AS483-AU483,"NA")</f>
        <v>3.9763626894942443</v>
      </c>
      <c r="AU483" s="6">
        <v>3.7639999999999998</v>
      </c>
      <c r="AV483" t="b">
        <v>1</v>
      </c>
      <c r="AW483" t="s">
        <v>29</v>
      </c>
      <c r="AX483" t="s">
        <v>30</v>
      </c>
      <c r="AY483" t="s">
        <v>320</v>
      </c>
      <c r="AZ483" t="s">
        <v>33</v>
      </c>
      <c r="BA483" s="18" t="s">
        <v>798</v>
      </c>
      <c r="BB483" s="3" t="b">
        <v>0</v>
      </c>
      <c r="BC483" t="s">
        <v>81</v>
      </c>
      <c r="BD483">
        <v>12</v>
      </c>
      <c r="BE483" t="s">
        <v>80</v>
      </c>
      <c r="BF483" t="s">
        <v>33</v>
      </c>
      <c r="BG483" t="s">
        <v>488</v>
      </c>
      <c r="BH483" t="s">
        <v>31</v>
      </c>
      <c r="BI483" t="s">
        <v>31</v>
      </c>
      <c r="BJ483" s="3">
        <f t="shared" si="246"/>
        <v>3.7639999999999998</v>
      </c>
      <c r="BK483" s="3">
        <f t="shared" si="237"/>
        <v>0.57564961475521925</v>
      </c>
      <c r="BL483">
        <v>2</v>
      </c>
      <c r="BM483" s="3">
        <f t="shared" si="247"/>
        <v>3.0711401971975354</v>
      </c>
      <c r="BN483" t="s">
        <v>33</v>
      </c>
      <c r="BO483" s="3">
        <f t="shared" si="238"/>
        <v>1177.9861849096703</v>
      </c>
      <c r="BP483" t="s">
        <v>33</v>
      </c>
      <c r="BQ483" t="s">
        <v>33</v>
      </c>
      <c r="BR483" t="s">
        <v>33</v>
      </c>
      <c r="BS483" t="s">
        <v>33</v>
      </c>
      <c r="BT483" t="s">
        <v>31</v>
      </c>
      <c r="BU483" t="s">
        <v>318</v>
      </c>
      <c r="BV483">
        <v>2005</v>
      </c>
      <c r="BW483" t="s">
        <v>489</v>
      </c>
      <c r="BX483" t="s">
        <v>78</v>
      </c>
      <c r="BY483" t="s">
        <v>33</v>
      </c>
      <c r="BZ483" t="s">
        <v>490</v>
      </c>
      <c r="CA483" t="str">
        <f t="shared" si="239"/>
        <v>low acid</v>
      </c>
    </row>
    <row r="484" spans="1:79">
      <c r="A484" t="s">
        <v>593</v>
      </c>
      <c r="B484" t="s">
        <v>565</v>
      </c>
      <c r="C484" t="s">
        <v>563</v>
      </c>
      <c r="D484" t="s">
        <v>118</v>
      </c>
      <c r="E484" t="s">
        <v>77</v>
      </c>
      <c r="F484" t="s">
        <v>32</v>
      </c>
      <c r="G484" t="s">
        <v>33</v>
      </c>
      <c r="H484">
        <v>35</v>
      </c>
      <c r="I484" t="b">
        <v>0</v>
      </c>
      <c r="J484" t="s">
        <v>33</v>
      </c>
      <c r="K484" t="s">
        <v>33</v>
      </c>
      <c r="L484">
        <v>35</v>
      </c>
      <c r="M484" s="4">
        <v>400</v>
      </c>
      <c r="N484" t="e">
        <f>(#REF!*Y484)/(T484*X484*O484)</f>
        <v>#REF!</v>
      </c>
      <c r="O484">
        <v>2</v>
      </c>
      <c r="P484" t="s">
        <v>33</v>
      </c>
      <c r="Q484" s="1">
        <f t="shared" si="248"/>
        <v>0.09</v>
      </c>
      <c r="R484" t="s">
        <v>183</v>
      </c>
      <c r="S484" t="s">
        <v>613</v>
      </c>
      <c r="T484">
        <v>6</v>
      </c>
      <c r="U484">
        <v>2.92</v>
      </c>
      <c r="V484">
        <v>2.2999999999999998</v>
      </c>
      <c r="W484" t="s">
        <v>33</v>
      </c>
      <c r="X484">
        <f>IFERROR(((PI())*(((V484*10^-1)/2)^2)*(U484*10^-1)), "NA")</f>
        <v>1.2131888350367701E-2</v>
      </c>
      <c r="Y484">
        <v>1</v>
      </c>
      <c r="Z484" s="3">
        <f t="shared" si="253"/>
        <v>0.13479875944853001</v>
      </c>
      <c r="AA484" t="s">
        <v>33</v>
      </c>
      <c r="AB484">
        <f>IFERROR(((X484*M484)/Z484), "NA")</f>
        <v>36</v>
      </c>
      <c r="AC484" s="1" t="str">
        <f t="shared" si="254"/>
        <v>NA</v>
      </c>
      <c r="AE484" s="3">
        <f t="shared" si="255"/>
        <v>1164.24</v>
      </c>
      <c r="AF484">
        <v>432</v>
      </c>
      <c r="AG484" s="1" t="str">
        <f>IFERROR((N484*P484*Q484), "NA")</f>
        <v>NA</v>
      </c>
      <c r="AH484" s="1" t="str">
        <f>IFERROR((AG484*U484*AI484), "NA")</f>
        <v>NA</v>
      </c>
      <c r="AI484">
        <v>1</v>
      </c>
      <c r="AJ484" s="11" t="s">
        <v>31</v>
      </c>
      <c r="AK484">
        <v>2200</v>
      </c>
      <c r="AL484" t="s">
        <v>693</v>
      </c>
      <c r="AM484" t="s">
        <v>530</v>
      </c>
      <c r="AN484" t="s">
        <v>186</v>
      </c>
      <c r="AO484" t="s">
        <v>796</v>
      </c>
      <c r="AP484">
        <v>7.09</v>
      </c>
      <c r="AQ484" t="s">
        <v>33</v>
      </c>
      <c r="AR484" t="s">
        <v>33</v>
      </c>
      <c r="AS484">
        <v>6.5</v>
      </c>
      <c r="AT484">
        <f>AS484-AU484</f>
        <v>3.98</v>
      </c>
      <c r="AU484" s="6">
        <v>2.52</v>
      </c>
      <c r="AV484" t="b">
        <v>1</v>
      </c>
      <c r="AW484" t="s">
        <v>626</v>
      </c>
      <c r="AX484" t="s">
        <v>627</v>
      </c>
      <c r="AY484" t="s">
        <v>625</v>
      </c>
      <c r="AZ484" t="s">
        <v>33</v>
      </c>
      <c r="BA484" s="18" t="s">
        <v>800</v>
      </c>
      <c r="BB484" s="3" t="b">
        <v>0</v>
      </c>
      <c r="BC484" t="s">
        <v>81</v>
      </c>
      <c r="BD484">
        <f>AVERAGE(14, 16)</f>
        <v>15</v>
      </c>
      <c r="BE484" t="s">
        <v>80</v>
      </c>
      <c r="BF484">
        <v>48</v>
      </c>
      <c r="BG484" t="s">
        <v>568</v>
      </c>
      <c r="BH484" t="s">
        <v>31</v>
      </c>
      <c r="BI484" t="s">
        <v>31</v>
      </c>
      <c r="BJ484">
        <f t="shared" si="246"/>
        <v>2.52</v>
      </c>
      <c r="BK484" s="3">
        <f t="shared" si="237"/>
        <v>0.40140054078154408</v>
      </c>
      <c r="BL484">
        <v>2</v>
      </c>
      <c r="BM484" s="3">
        <f t="shared" si="247"/>
        <v>2.6646419755561257</v>
      </c>
      <c r="BN484" t="s">
        <v>33</v>
      </c>
      <c r="BO484" s="3">
        <f t="shared" si="238"/>
        <v>462</v>
      </c>
      <c r="BP484" t="s">
        <v>33</v>
      </c>
      <c r="BQ484" t="s">
        <v>33</v>
      </c>
      <c r="BR484" t="s">
        <v>33</v>
      </c>
      <c r="BS484" t="s">
        <v>33</v>
      </c>
      <c r="BT484" t="s">
        <v>31</v>
      </c>
      <c r="BU484" s="15" t="s">
        <v>217</v>
      </c>
      <c r="BV484">
        <v>2012</v>
      </c>
      <c r="BW484" t="s">
        <v>660</v>
      </c>
      <c r="BX484" t="s">
        <v>78</v>
      </c>
      <c r="BY484" s="13" t="s">
        <v>681</v>
      </c>
      <c r="CA484" t="str">
        <f t="shared" si="239"/>
        <v>low acid</v>
      </c>
    </row>
    <row r="485" spans="1:79">
      <c r="A485" t="s">
        <v>592</v>
      </c>
      <c r="B485" t="s">
        <v>566</v>
      </c>
      <c r="C485" t="s">
        <v>563</v>
      </c>
      <c r="D485" t="s">
        <v>607</v>
      </c>
      <c r="E485" t="s">
        <v>77</v>
      </c>
      <c r="F485" t="s">
        <v>32</v>
      </c>
      <c r="G485" t="s">
        <v>33</v>
      </c>
      <c r="H485">
        <v>35</v>
      </c>
      <c r="I485" t="b">
        <v>0</v>
      </c>
      <c r="J485">
        <v>30000</v>
      </c>
      <c r="K485">
        <v>200</v>
      </c>
      <c r="L485">
        <v>35</v>
      </c>
      <c r="M485" s="4">
        <v>1</v>
      </c>
      <c r="N485" t="e">
        <f>(#REF!*Y485)/(T485*X485*O485)</f>
        <v>#REF!</v>
      </c>
      <c r="O485">
        <v>3</v>
      </c>
      <c r="P485" t="s">
        <v>33</v>
      </c>
      <c r="Q485" s="1">
        <f t="shared" si="248"/>
        <v>24.633333333333336</v>
      </c>
      <c r="R485" t="s">
        <v>183</v>
      </c>
      <c r="S485" t="s">
        <v>33</v>
      </c>
      <c r="T485">
        <v>1</v>
      </c>
      <c r="U485">
        <v>2.5</v>
      </c>
      <c r="V485" t="s">
        <v>33</v>
      </c>
      <c r="W485">
        <v>0.50249999999999995</v>
      </c>
      <c r="X485">
        <f>W485</f>
        <v>0.50249999999999995</v>
      </c>
      <c r="Y485" t="s">
        <v>33</v>
      </c>
      <c r="Z485" s="3">
        <f t="shared" si="253"/>
        <v>2.0399188092016234E-2</v>
      </c>
      <c r="AA485" t="s">
        <v>33</v>
      </c>
      <c r="AB485">
        <f>IFERROR(((X485*M485)/Z485), "NA")</f>
        <v>24.633333333333336</v>
      </c>
      <c r="AC485" s="1" t="str">
        <f t="shared" si="254"/>
        <v>NA</v>
      </c>
      <c r="AE485" s="3">
        <f t="shared" si="255"/>
        <v>90.527500000000003</v>
      </c>
      <c r="AF485">
        <v>73.900000000000006</v>
      </c>
      <c r="AG485" s="1" t="str">
        <f>IFERROR((N485*P485*Q485), "NA")</f>
        <v>NA</v>
      </c>
      <c r="AH485" s="1" t="str">
        <f>IFERROR((AG485*U485*AI485), "NA")</f>
        <v>NA</v>
      </c>
      <c r="AI485" s="1">
        <v>1</v>
      </c>
      <c r="AJ485" s="11" t="s">
        <v>31</v>
      </c>
      <c r="AK485">
        <v>1000</v>
      </c>
      <c r="AL485" t="s">
        <v>614</v>
      </c>
      <c r="AM485" s="3" t="s">
        <v>103</v>
      </c>
      <c r="AN485" t="s">
        <v>130</v>
      </c>
      <c r="AO485" t="s">
        <v>795</v>
      </c>
      <c r="AP485">
        <v>7</v>
      </c>
      <c r="AQ485" t="s">
        <v>33</v>
      </c>
      <c r="AR485" t="s">
        <v>33</v>
      </c>
      <c r="AS485">
        <v>8</v>
      </c>
      <c r="AT485">
        <f>AS485-AU485</f>
        <v>3.9800000000000004</v>
      </c>
      <c r="AU485" s="6">
        <v>4.0199999999999996</v>
      </c>
      <c r="AV485" t="b">
        <v>1</v>
      </c>
      <c r="AW485" t="s">
        <v>626</v>
      </c>
      <c r="AX485" t="s">
        <v>627</v>
      </c>
      <c r="AY485" t="s">
        <v>633</v>
      </c>
      <c r="AZ485" t="s">
        <v>33</v>
      </c>
      <c r="BA485" s="18" t="s">
        <v>800</v>
      </c>
      <c r="BB485" s="3" t="b">
        <v>0</v>
      </c>
      <c r="BC485" t="s">
        <v>81</v>
      </c>
      <c r="BD485">
        <v>24</v>
      </c>
      <c r="BE485" t="s">
        <v>80</v>
      </c>
      <c r="BF485">
        <v>48</v>
      </c>
      <c r="BG485" t="s">
        <v>569</v>
      </c>
      <c r="BH485" t="s">
        <v>31</v>
      </c>
      <c r="BI485" t="s">
        <v>31</v>
      </c>
      <c r="BJ485">
        <f t="shared" si="246"/>
        <v>4.0199999999999996</v>
      </c>
      <c r="BK485" s="3">
        <f t="shared" si="237"/>
        <v>0.60422605308446997</v>
      </c>
      <c r="BL485">
        <v>2</v>
      </c>
      <c r="BM485" s="3">
        <f t="shared" si="247"/>
        <v>1.352554474010907</v>
      </c>
      <c r="BN485" t="s">
        <v>33</v>
      </c>
      <c r="BO485" s="3">
        <f t="shared" si="238"/>
        <v>22.519278606965177</v>
      </c>
      <c r="BP485" t="s">
        <v>33</v>
      </c>
      <c r="BQ485" t="s">
        <v>33</v>
      </c>
      <c r="BR485" t="s">
        <v>33</v>
      </c>
      <c r="BS485" t="s">
        <v>33</v>
      </c>
      <c r="BT485" t="s">
        <v>31</v>
      </c>
      <c r="BU485" s="15" t="s">
        <v>255</v>
      </c>
      <c r="BV485">
        <v>2010</v>
      </c>
      <c r="BW485" t="s">
        <v>659</v>
      </c>
      <c r="BX485" t="s">
        <v>78</v>
      </c>
      <c r="BY485" s="13" t="s">
        <v>680</v>
      </c>
      <c r="CA485" t="str">
        <f t="shared" si="239"/>
        <v>low acid</v>
      </c>
    </row>
    <row r="486" spans="1:79">
      <c r="A486" t="s">
        <v>592</v>
      </c>
      <c r="B486" t="s">
        <v>566</v>
      </c>
      <c r="C486" t="s">
        <v>563</v>
      </c>
      <c r="D486" t="s">
        <v>607</v>
      </c>
      <c r="E486" t="s">
        <v>77</v>
      </c>
      <c r="F486" t="s">
        <v>32</v>
      </c>
      <c r="G486" t="s">
        <v>33</v>
      </c>
      <c r="H486">
        <v>35</v>
      </c>
      <c r="I486" t="b">
        <v>0</v>
      </c>
      <c r="J486">
        <v>30000</v>
      </c>
      <c r="K486">
        <v>200</v>
      </c>
      <c r="L486">
        <v>35</v>
      </c>
      <c r="M486" s="4">
        <v>1</v>
      </c>
      <c r="N486" t="e">
        <f>(#REF!*Y486)/(T486*X486*O486)</f>
        <v>#REF!</v>
      </c>
      <c r="O486">
        <v>3</v>
      </c>
      <c r="P486" t="s">
        <v>33</v>
      </c>
      <c r="Q486" s="1">
        <f t="shared" si="248"/>
        <v>50.533333333333331</v>
      </c>
      <c r="R486" t="s">
        <v>183</v>
      </c>
      <c r="S486" t="s">
        <v>33</v>
      </c>
      <c r="T486">
        <v>1</v>
      </c>
      <c r="U486">
        <v>2.5</v>
      </c>
      <c r="V486" t="s">
        <v>33</v>
      </c>
      <c r="W486">
        <v>0.50249999999999995</v>
      </c>
      <c r="X486">
        <f>W486</f>
        <v>0.50249999999999995</v>
      </c>
      <c r="Y486" t="s">
        <v>33</v>
      </c>
      <c r="Z486" s="3">
        <f t="shared" si="253"/>
        <v>9.9439313984168859E-3</v>
      </c>
      <c r="AA486" t="s">
        <v>33</v>
      </c>
      <c r="AB486">
        <f>IFERROR(((X486*M486)/Z486), "NA")</f>
        <v>50.533333333333331</v>
      </c>
      <c r="AC486" s="1" t="str">
        <f t="shared" si="254"/>
        <v>NA</v>
      </c>
      <c r="AE486" s="3">
        <f t="shared" si="255"/>
        <v>185.70999999999998</v>
      </c>
      <c r="AF486">
        <v>151.6</v>
      </c>
      <c r="AG486" s="1" t="str">
        <f>IFERROR((N486*P486*Q486), "NA")</f>
        <v>NA</v>
      </c>
      <c r="AH486" s="1" t="str">
        <f>IFERROR((AG486*U486*AI486), "NA")</f>
        <v>NA</v>
      </c>
      <c r="AI486" s="1">
        <v>1</v>
      </c>
      <c r="AJ486" s="11" t="s">
        <v>31</v>
      </c>
      <c r="AK486">
        <v>1000</v>
      </c>
      <c r="AL486" t="s">
        <v>614</v>
      </c>
      <c r="AM486" s="3" t="s">
        <v>103</v>
      </c>
      <c r="AN486" t="s">
        <v>130</v>
      </c>
      <c r="AO486" t="s">
        <v>795</v>
      </c>
      <c r="AP486">
        <v>7</v>
      </c>
      <c r="AQ486" t="s">
        <v>33</v>
      </c>
      <c r="AR486" t="s">
        <v>33</v>
      </c>
      <c r="AS486">
        <v>8</v>
      </c>
      <c r="AT486">
        <f>AS486-AU486</f>
        <v>3.9800000000000004</v>
      </c>
      <c r="AU486" s="6">
        <v>4.0199999999999996</v>
      </c>
      <c r="AV486" t="b">
        <v>1</v>
      </c>
      <c r="AW486" t="s">
        <v>626</v>
      </c>
      <c r="AX486" t="s">
        <v>627</v>
      </c>
      <c r="AY486" t="s">
        <v>633</v>
      </c>
      <c r="AZ486" t="s">
        <v>33</v>
      </c>
      <c r="BA486" s="18" t="s">
        <v>800</v>
      </c>
      <c r="BB486" s="3" t="b">
        <v>0</v>
      </c>
      <c r="BC486" t="s">
        <v>81</v>
      </c>
      <c r="BD486">
        <v>24</v>
      </c>
      <c r="BE486" t="s">
        <v>80</v>
      </c>
      <c r="BF486">
        <v>48</v>
      </c>
      <c r="BG486" t="s">
        <v>569</v>
      </c>
      <c r="BH486" t="s">
        <v>31</v>
      </c>
      <c r="BI486" t="s">
        <v>31</v>
      </c>
      <c r="BJ486">
        <f t="shared" si="246"/>
        <v>4.0199999999999996</v>
      </c>
      <c r="BK486" s="3">
        <f t="shared" si="237"/>
        <v>0.60422605308446997</v>
      </c>
      <c r="BL486">
        <v>2</v>
      </c>
      <c r="BM486" s="3">
        <f t="shared" si="247"/>
        <v>1.6646092369121159</v>
      </c>
      <c r="BN486" t="s">
        <v>33</v>
      </c>
      <c r="BO486" s="3">
        <f t="shared" si="238"/>
        <v>46.196517412935322</v>
      </c>
      <c r="BP486" t="s">
        <v>33</v>
      </c>
      <c r="BQ486" t="s">
        <v>33</v>
      </c>
      <c r="BR486" t="s">
        <v>33</v>
      </c>
      <c r="BS486" t="s">
        <v>33</v>
      </c>
      <c r="BT486" t="s">
        <v>31</v>
      </c>
      <c r="BU486" s="15" t="s">
        <v>255</v>
      </c>
      <c r="BV486">
        <v>2010</v>
      </c>
      <c r="BW486" t="s">
        <v>659</v>
      </c>
      <c r="BX486" t="s">
        <v>78</v>
      </c>
      <c r="BY486" s="13" t="s">
        <v>680</v>
      </c>
      <c r="CA486" t="str">
        <f t="shared" si="239"/>
        <v>low acid</v>
      </c>
    </row>
    <row r="487" spans="1:79">
      <c r="A487" t="s">
        <v>722</v>
      </c>
      <c r="B487" t="s">
        <v>566</v>
      </c>
      <c r="C487" t="s">
        <v>563</v>
      </c>
      <c r="D487" t="s">
        <v>699</v>
      </c>
      <c r="E487" t="s">
        <v>77</v>
      </c>
      <c r="F487" t="s">
        <v>32</v>
      </c>
      <c r="G487">
        <v>20</v>
      </c>
      <c r="H487">
        <v>64</v>
      </c>
      <c r="I487" t="b">
        <v>1</v>
      </c>
      <c r="J487" t="s">
        <v>33</v>
      </c>
      <c r="K487" t="s">
        <v>33</v>
      </c>
      <c r="L487">
        <v>20</v>
      </c>
      <c r="M487" s="4">
        <v>64</v>
      </c>
      <c r="N487" s="3">
        <f>IFERROR(AF487/((T487*X487/Y487)*O487*AI487),"NA")</f>
        <v>63.657407407407391</v>
      </c>
      <c r="O487">
        <v>5</v>
      </c>
      <c r="P487">
        <v>0.43</v>
      </c>
      <c r="Q487" s="8">
        <f>IFERROR(X487/Y487, "NA")</f>
        <v>0.43200000000000011</v>
      </c>
      <c r="R487" t="s">
        <v>183</v>
      </c>
      <c r="S487" t="s">
        <v>612</v>
      </c>
      <c r="T487" s="11">
        <v>1</v>
      </c>
      <c r="U487">
        <v>4</v>
      </c>
      <c r="V487" t="s">
        <v>33</v>
      </c>
      <c r="W487">
        <f>0.4*3*0.5</f>
        <v>0.60000000000000009</v>
      </c>
      <c r="X487" s="9">
        <f>W487</f>
        <v>0.60000000000000009</v>
      </c>
      <c r="Y487" s="6">
        <f>5000/3600</f>
        <v>1.3888888888888888</v>
      </c>
      <c r="Z487" s="3">
        <f t="shared" si="253"/>
        <v>1.3963636363636365</v>
      </c>
      <c r="AA487" t="s">
        <v>33</v>
      </c>
      <c r="AB487" s="4">
        <f>IFERROR(((X487*M487)/Y487), "NA")</f>
        <v>27.648000000000007</v>
      </c>
      <c r="AC487" s="4">
        <f t="shared" si="254"/>
        <v>27.52</v>
      </c>
      <c r="AD487" s="4">
        <f>AB487*T487*AI487</f>
        <v>27.648000000000007</v>
      </c>
      <c r="AE487" s="3">
        <f t="shared" si="255"/>
        <v>110.59200000000003</v>
      </c>
      <c r="AF487">
        <v>137.5</v>
      </c>
      <c r="AG487" s="4">
        <f>IFERROR((M487*O487*P487), "NA")</f>
        <v>137.6</v>
      </c>
      <c r="AH487" s="4">
        <f>IFERROR((AG487*T487*AI487), "NA")</f>
        <v>137.6</v>
      </c>
      <c r="AI487">
        <v>1</v>
      </c>
      <c r="AJ487" s="11" t="s">
        <v>31</v>
      </c>
      <c r="AK487">
        <v>2000</v>
      </c>
      <c r="AL487" t="s">
        <v>784</v>
      </c>
      <c r="AM487" t="s">
        <v>103</v>
      </c>
      <c r="AN487" t="s">
        <v>130</v>
      </c>
      <c r="AO487" t="s">
        <v>795</v>
      </c>
      <c r="AP487">
        <v>7</v>
      </c>
      <c r="AQ487" t="s">
        <v>33</v>
      </c>
      <c r="AR487" t="s">
        <v>33</v>
      </c>
      <c r="AS487" s="6">
        <f>LOG(AVERAGE(10^8, 10^9))</f>
        <v>8.7403626894942441</v>
      </c>
      <c r="AT487" s="3">
        <f>IFERROR(AS487-AU487,"NA")</f>
        <v>3.987362689494244</v>
      </c>
      <c r="AU487" s="6">
        <v>4.7530000000000001</v>
      </c>
      <c r="AV487" t="b">
        <v>1</v>
      </c>
      <c r="AW487" t="s">
        <v>123</v>
      </c>
      <c r="AX487" t="s">
        <v>88</v>
      </c>
      <c r="AY487" t="s">
        <v>725</v>
      </c>
      <c r="AZ487" t="s">
        <v>33</v>
      </c>
      <c r="BA487" s="18" t="s">
        <v>579</v>
      </c>
      <c r="BB487" s="3" t="b">
        <v>1</v>
      </c>
      <c r="BC487" t="s">
        <v>81</v>
      </c>
      <c r="BD487">
        <v>24</v>
      </c>
      <c r="BE487" t="s">
        <v>80</v>
      </c>
      <c r="BF487">
        <v>48</v>
      </c>
      <c r="BG487" t="s">
        <v>395</v>
      </c>
      <c r="BH487" t="s">
        <v>31</v>
      </c>
      <c r="BI487" t="s">
        <v>31</v>
      </c>
      <c r="BJ487" s="3">
        <f t="shared" si="246"/>
        <v>4.7530000000000001</v>
      </c>
      <c r="BK487" s="3">
        <f t="shared" si="237"/>
        <v>0.6769678142947585</v>
      </c>
      <c r="BL487">
        <v>2</v>
      </c>
      <c r="BM487" s="3">
        <f t="shared" si="247"/>
        <v>1.3667558978320031</v>
      </c>
      <c r="BN487" t="s">
        <v>33</v>
      </c>
      <c r="BO487" s="3">
        <f t="shared" si="238"/>
        <v>23.267830843677682</v>
      </c>
      <c r="BP487" t="s">
        <v>33</v>
      </c>
      <c r="BQ487" t="s">
        <v>33</v>
      </c>
      <c r="BR487" t="s">
        <v>33</v>
      </c>
      <c r="BS487" t="s">
        <v>33</v>
      </c>
      <c r="BT487" t="s">
        <v>32</v>
      </c>
      <c r="BU487" t="s">
        <v>709</v>
      </c>
      <c r="BV487">
        <v>2024</v>
      </c>
      <c r="BW487" t="s">
        <v>710</v>
      </c>
      <c r="BX487" t="s">
        <v>78</v>
      </c>
      <c r="BY487" t="s">
        <v>711</v>
      </c>
      <c r="CA487" t="str">
        <f t="shared" si="239"/>
        <v>low acid</v>
      </c>
    </row>
    <row r="488" spans="1:79">
      <c r="A488" t="s">
        <v>584</v>
      </c>
      <c r="B488" t="s">
        <v>566</v>
      </c>
      <c r="C488" t="s">
        <v>563</v>
      </c>
      <c r="D488" t="s">
        <v>607</v>
      </c>
      <c r="E488" t="s">
        <v>77</v>
      </c>
      <c r="F488" t="s">
        <v>33</v>
      </c>
      <c r="G488">
        <v>20</v>
      </c>
      <c r="H488">
        <v>35</v>
      </c>
      <c r="I488" t="b">
        <v>0</v>
      </c>
      <c r="J488">
        <v>1000</v>
      </c>
      <c r="K488">
        <v>200</v>
      </c>
      <c r="L488">
        <v>20</v>
      </c>
      <c r="M488" s="4">
        <v>1</v>
      </c>
      <c r="N488" t="e">
        <f>(#REF!*Y488)/(T488*X488*O488)</f>
        <v>#REF!</v>
      </c>
      <c r="O488">
        <v>3</v>
      </c>
      <c r="P488" t="s">
        <v>33</v>
      </c>
      <c r="Q488" s="1">
        <f t="shared" ref="Q488:Q531" si="256">IFERROR(X488/Z488, "NA")</f>
        <v>166.66666666666666</v>
      </c>
      <c r="R488" t="s">
        <v>183</v>
      </c>
      <c r="S488" t="s">
        <v>33</v>
      </c>
      <c r="T488">
        <v>1</v>
      </c>
      <c r="U488">
        <v>2.5</v>
      </c>
      <c r="V488" t="s">
        <v>33</v>
      </c>
      <c r="W488">
        <v>0.50249999999999995</v>
      </c>
      <c r="X488">
        <f>W488</f>
        <v>0.50249999999999995</v>
      </c>
      <c r="Y488" t="s">
        <v>33</v>
      </c>
      <c r="Z488" s="3">
        <f t="shared" si="253"/>
        <v>3.0149999999999999E-3</v>
      </c>
      <c r="AA488" t="s">
        <v>33</v>
      </c>
      <c r="AB488">
        <f t="shared" ref="AB488:AB509" si="257">IFERROR(((X488*M488)/Z488), "NA")</f>
        <v>166.66666666666666</v>
      </c>
      <c r="AC488" s="1" t="str">
        <f t="shared" si="254"/>
        <v>NA</v>
      </c>
      <c r="AE488" s="3">
        <f t="shared" si="255"/>
        <v>199.99999999999997</v>
      </c>
      <c r="AF488">
        <v>500</v>
      </c>
      <c r="AG488" s="1" t="str">
        <f>IFERROR((N488*P488*Q488), "NA")</f>
        <v>NA</v>
      </c>
      <c r="AH488" s="1" t="str">
        <f>IFERROR((AG488*U488*AI488), "NA")</f>
        <v>NA</v>
      </c>
      <c r="AI488" s="1">
        <v>1</v>
      </c>
      <c r="AJ488" s="11" t="s">
        <v>31</v>
      </c>
      <c r="AK488">
        <v>1000</v>
      </c>
      <c r="AL488" t="s">
        <v>614</v>
      </c>
      <c r="AM488" s="3" t="s">
        <v>103</v>
      </c>
      <c r="AN488" t="s">
        <v>305</v>
      </c>
      <c r="AO488" t="s">
        <v>790</v>
      </c>
      <c r="AP488">
        <v>3.5</v>
      </c>
      <c r="AQ488" t="s">
        <v>33</v>
      </c>
      <c r="AR488" t="s">
        <v>33</v>
      </c>
      <c r="AS488">
        <v>8</v>
      </c>
      <c r="AT488">
        <f>AS488-AU488</f>
        <v>3.99</v>
      </c>
      <c r="AU488" s="6">
        <v>4.01</v>
      </c>
      <c r="AV488" t="b">
        <v>1</v>
      </c>
      <c r="AW488" t="s">
        <v>617</v>
      </c>
      <c r="AX488" t="s">
        <v>33</v>
      </c>
      <c r="AY488" t="s">
        <v>623</v>
      </c>
      <c r="AZ488" t="s">
        <v>621</v>
      </c>
      <c r="BA488" s="18" t="s">
        <v>802</v>
      </c>
      <c r="BB488" s="3" t="b">
        <v>0</v>
      </c>
      <c r="BC488" t="s">
        <v>81</v>
      </c>
      <c r="BD488">
        <v>18</v>
      </c>
      <c r="BE488" t="s">
        <v>80</v>
      </c>
      <c r="BF488">
        <v>24</v>
      </c>
      <c r="BG488" t="s">
        <v>642</v>
      </c>
      <c r="BH488" t="s">
        <v>32</v>
      </c>
      <c r="BI488" t="s">
        <v>31</v>
      </c>
      <c r="BJ488">
        <f t="shared" si="246"/>
        <v>4.01</v>
      </c>
      <c r="BK488" s="3">
        <f t="shared" si="237"/>
        <v>0.60314437262018228</v>
      </c>
      <c r="BL488">
        <v>2</v>
      </c>
      <c r="BM488" s="3">
        <f t="shared" si="247"/>
        <v>1.6978856230437989</v>
      </c>
      <c r="BN488" t="s">
        <v>33</v>
      </c>
      <c r="BO488" s="3">
        <f t="shared" si="238"/>
        <v>49.875311720698249</v>
      </c>
      <c r="BP488" t="s">
        <v>33</v>
      </c>
      <c r="BQ488" t="s">
        <v>33</v>
      </c>
      <c r="BR488" t="s">
        <v>33</v>
      </c>
      <c r="BS488" t="s">
        <v>33</v>
      </c>
      <c r="BT488" t="s">
        <v>31</v>
      </c>
      <c r="BU488" t="s">
        <v>255</v>
      </c>
      <c r="BV488">
        <v>2010</v>
      </c>
      <c r="BW488" t="s">
        <v>651</v>
      </c>
      <c r="BX488" t="s">
        <v>78</v>
      </c>
      <c r="BY488" s="13" t="s">
        <v>674</v>
      </c>
      <c r="CA488" t="str">
        <f t="shared" si="239"/>
        <v>high acid</v>
      </c>
    </row>
    <row r="489" spans="1:79">
      <c r="A489" t="s">
        <v>588</v>
      </c>
      <c r="B489" t="s">
        <v>565</v>
      </c>
      <c r="C489" t="s">
        <v>563</v>
      </c>
      <c r="D489" t="s">
        <v>608</v>
      </c>
      <c r="E489" t="s">
        <v>77</v>
      </c>
      <c r="F489" t="s">
        <v>32</v>
      </c>
      <c r="G489" t="s">
        <v>33</v>
      </c>
      <c r="H489">
        <v>40</v>
      </c>
      <c r="I489" t="b">
        <v>0</v>
      </c>
      <c r="J489" t="s">
        <v>33</v>
      </c>
      <c r="K489" t="s">
        <v>33</v>
      </c>
      <c r="L489">
        <v>35</v>
      </c>
      <c r="M489" s="4">
        <v>250</v>
      </c>
      <c r="N489" t="e">
        <f>(#REF!*Y489)/(T489*X489*O489)</f>
        <v>#REF!</v>
      </c>
      <c r="O489">
        <v>3.7</v>
      </c>
      <c r="P489" t="s">
        <v>33</v>
      </c>
      <c r="Q489" s="1">
        <f t="shared" si="256"/>
        <v>8.1081081081081072E-2</v>
      </c>
      <c r="R489" t="s">
        <v>183</v>
      </c>
      <c r="S489" t="s">
        <v>613</v>
      </c>
      <c r="T489">
        <v>6</v>
      </c>
      <c r="U489">
        <v>1.9</v>
      </c>
      <c r="V489">
        <v>2.2999999999999998</v>
      </c>
      <c r="W489" t="s">
        <v>33</v>
      </c>
      <c r="X489">
        <f>IFERROR(((PI())*(((V489*10^-1)/2)^2)*(U489*10^-1)), "NA")</f>
        <v>7.8940369403077502E-3</v>
      </c>
      <c r="Y489">
        <v>1</v>
      </c>
      <c r="Z489" s="3">
        <f t="shared" si="253"/>
        <v>9.7359788930462265E-2</v>
      </c>
      <c r="AA489" t="s">
        <v>33</v>
      </c>
      <c r="AB489">
        <f t="shared" si="257"/>
        <v>20.27027027027027</v>
      </c>
      <c r="AC489" s="1" t="str">
        <f t="shared" si="254"/>
        <v>NA</v>
      </c>
      <c r="AE489" s="3">
        <f t="shared" si="255"/>
        <v>2645.9999999999995</v>
      </c>
      <c r="AF489">
        <v>450</v>
      </c>
      <c r="AG489" s="1" t="str">
        <f>IFERROR((N489*P489*Q489), "NA")</f>
        <v>NA</v>
      </c>
      <c r="AH489" s="1" t="str">
        <f>IFERROR((AG489*U489*AI489), "NA")</f>
        <v>NA</v>
      </c>
      <c r="AI489" s="1">
        <v>1</v>
      </c>
      <c r="AJ489" s="11" t="s">
        <v>31</v>
      </c>
      <c r="AK489">
        <v>4800</v>
      </c>
      <c r="AL489" t="s">
        <v>156</v>
      </c>
      <c r="AM489" t="s">
        <v>157</v>
      </c>
      <c r="AN489" t="s">
        <v>186</v>
      </c>
      <c r="AO489" t="s">
        <v>792</v>
      </c>
      <c r="AP489">
        <v>6.53</v>
      </c>
      <c r="AQ489" t="s">
        <v>33</v>
      </c>
      <c r="AR489" t="s">
        <v>33</v>
      </c>
      <c r="AS489">
        <v>6.5</v>
      </c>
      <c r="AT489">
        <v>4</v>
      </c>
      <c r="AU489" s="6">
        <f>AS489-AT489</f>
        <v>2.5</v>
      </c>
      <c r="AV489" t="b">
        <v>1</v>
      </c>
      <c r="AW489" t="s">
        <v>626</v>
      </c>
      <c r="AX489" t="s">
        <v>627</v>
      </c>
      <c r="AY489" t="s">
        <v>625</v>
      </c>
      <c r="AZ489" t="s">
        <v>33</v>
      </c>
      <c r="BA489" s="18" t="s">
        <v>800</v>
      </c>
      <c r="BB489" s="3" t="b">
        <v>0</v>
      </c>
      <c r="BC489" t="s">
        <v>81</v>
      </c>
      <c r="BD489">
        <v>12</v>
      </c>
      <c r="BE489" t="s">
        <v>80</v>
      </c>
      <c r="BF489">
        <v>48</v>
      </c>
      <c r="BG489" t="s">
        <v>568</v>
      </c>
      <c r="BH489" t="s">
        <v>31</v>
      </c>
      <c r="BI489" t="s">
        <v>31</v>
      </c>
      <c r="BJ489">
        <f t="shared" si="246"/>
        <v>2.5</v>
      </c>
      <c r="BK489" s="3">
        <f t="shared" si="237"/>
        <v>0.3979400086720376</v>
      </c>
      <c r="BL489">
        <v>2</v>
      </c>
      <c r="BM489" s="3">
        <f t="shared" si="247"/>
        <v>3.0246498311794445</v>
      </c>
      <c r="BN489" t="s">
        <v>33</v>
      </c>
      <c r="BO489" s="3">
        <f t="shared" si="238"/>
        <v>1058.3999999999999</v>
      </c>
      <c r="BP489" t="s">
        <v>33</v>
      </c>
      <c r="BQ489" t="s">
        <v>33</v>
      </c>
      <c r="BR489" t="s">
        <v>33</v>
      </c>
      <c r="BS489" t="s">
        <v>33</v>
      </c>
      <c r="BT489" t="s">
        <v>31</v>
      </c>
      <c r="BU489" s="13" t="s">
        <v>163</v>
      </c>
      <c r="BV489">
        <v>2004</v>
      </c>
      <c r="BW489" t="s">
        <v>654</v>
      </c>
      <c r="BX489" t="s">
        <v>78</v>
      </c>
      <c r="BY489" s="13" t="s">
        <v>677</v>
      </c>
      <c r="CA489" t="str">
        <f t="shared" si="239"/>
        <v>low acid</v>
      </c>
    </row>
    <row r="490" spans="1:79">
      <c r="A490" t="s">
        <v>527</v>
      </c>
      <c r="B490" t="s">
        <v>565</v>
      </c>
      <c r="C490" t="s">
        <v>564</v>
      </c>
      <c r="D490" t="s">
        <v>215</v>
      </c>
      <c r="E490" t="s">
        <v>77</v>
      </c>
      <c r="F490" t="s">
        <v>32</v>
      </c>
      <c r="G490">
        <v>22.7</v>
      </c>
      <c r="H490">
        <v>46</v>
      </c>
      <c r="I490" t="b">
        <v>0</v>
      </c>
      <c r="J490" t="s">
        <v>33</v>
      </c>
      <c r="K490" t="s">
        <v>33</v>
      </c>
      <c r="L490">
        <v>25</v>
      </c>
      <c r="M490" s="4">
        <v>155</v>
      </c>
      <c r="N490" s="3">
        <f>IFERROR(AF490/((T490*X490/Y490)*O490*AI490),"NA")</f>
        <v>308.51573583967405</v>
      </c>
      <c r="O490">
        <v>2</v>
      </c>
      <c r="P490" t="s">
        <v>33</v>
      </c>
      <c r="Q490" s="8">
        <f t="shared" si="256"/>
        <v>4.3548387096774194E-2</v>
      </c>
      <c r="R490" t="s">
        <v>183</v>
      </c>
      <c r="S490" t="s">
        <v>612</v>
      </c>
      <c r="T490" s="11">
        <v>2</v>
      </c>
      <c r="U490">
        <v>6.5</v>
      </c>
      <c r="V490">
        <v>5</v>
      </c>
      <c r="W490" t="s">
        <v>33</v>
      </c>
      <c r="X490" s="8">
        <f>IFERROR(((PI())*(((V490*10^-1)/2)^2)*(U490*10^-1)), "NA")</f>
        <v>0.12762720155208535</v>
      </c>
      <c r="Y490" s="6">
        <f>350/60</f>
        <v>5.833333333333333</v>
      </c>
      <c r="Z490" s="3">
        <f t="shared" si="253"/>
        <v>2.9306987023071449</v>
      </c>
      <c r="AA490">
        <f>14/2</f>
        <v>7</v>
      </c>
      <c r="AB490" s="6">
        <f t="shared" si="257"/>
        <v>6.75</v>
      </c>
      <c r="AC490" t="str">
        <f t="shared" si="254"/>
        <v>NA</v>
      </c>
      <c r="AD490" s="4">
        <f>IFERROR(AB490*T490*AI490, "NA")</f>
        <v>13.5</v>
      </c>
      <c r="AE490" s="3">
        <f t="shared" si="255"/>
        <v>65.8125</v>
      </c>
      <c r="AF490">
        <v>27</v>
      </c>
      <c r="AG490" t="str">
        <f>IFERROR((M490*O490*P490), "NA")</f>
        <v>NA</v>
      </c>
      <c r="AH490" t="str">
        <f>IFERROR((AG490*T490*AI490), "NA")</f>
        <v>NA</v>
      </c>
      <c r="AI490" s="11">
        <v>1</v>
      </c>
      <c r="AJ490" t="s">
        <v>31</v>
      </c>
      <c r="AK490">
        <v>3900</v>
      </c>
      <c r="AL490" t="s">
        <v>528</v>
      </c>
      <c r="AM490" s="3" t="s">
        <v>86</v>
      </c>
      <c r="AN490" t="s">
        <v>205</v>
      </c>
      <c r="AO490" t="s">
        <v>789</v>
      </c>
      <c r="AP490">
        <v>3.4</v>
      </c>
      <c r="AQ490" t="s">
        <v>33</v>
      </c>
      <c r="AR490">
        <v>3750</v>
      </c>
      <c r="AS490" s="6">
        <f>LOG(10^6)</f>
        <v>6</v>
      </c>
      <c r="AT490" s="3">
        <f>IFERROR(AS490-AU490,"NA")</f>
        <v>4.0049999999999999</v>
      </c>
      <c r="AU490" s="6">
        <f>(2.02+1.97)/2</f>
        <v>1.9950000000000001</v>
      </c>
      <c r="AV490" t="b">
        <v>1</v>
      </c>
      <c r="AW490" t="s">
        <v>29</v>
      </c>
      <c r="AX490" t="s">
        <v>30</v>
      </c>
      <c r="AY490" t="s">
        <v>33</v>
      </c>
      <c r="AZ490" t="s">
        <v>134</v>
      </c>
      <c r="BA490" s="18" t="s">
        <v>798</v>
      </c>
      <c r="BB490" s="3" t="b">
        <v>0</v>
      </c>
      <c r="BC490" t="s">
        <v>81</v>
      </c>
      <c r="BD490">
        <v>18</v>
      </c>
      <c r="BE490" t="s">
        <v>80</v>
      </c>
      <c r="BF490" s="11">
        <v>24</v>
      </c>
      <c r="BG490" t="s">
        <v>87</v>
      </c>
      <c r="BH490" t="s">
        <v>31</v>
      </c>
      <c r="BI490" t="s">
        <v>31</v>
      </c>
      <c r="BJ490" s="3">
        <f t="shared" si="246"/>
        <v>1.9950000000000001</v>
      </c>
      <c r="BK490" s="3">
        <f t="shared" si="237"/>
        <v>0.29994290002276708</v>
      </c>
      <c r="BL490">
        <v>2</v>
      </c>
      <c r="BM490" s="3">
        <f t="shared" si="247"/>
        <v>1.5183654885067948</v>
      </c>
      <c r="BN490" t="s">
        <v>33</v>
      </c>
      <c r="BO490" s="3">
        <f t="shared" si="238"/>
        <v>32.988721804511279</v>
      </c>
      <c r="BP490" t="s">
        <v>33</v>
      </c>
      <c r="BQ490" t="s">
        <v>33</v>
      </c>
      <c r="BR490" t="s">
        <v>33</v>
      </c>
      <c r="BS490" t="s">
        <v>33</v>
      </c>
      <c r="BT490" t="s">
        <v>32</v>
      </c>
      <c r="BU490" t="s">
        <v>34</v>
      </c>
      <c r="BV490">
        <v>2019</v>
      </c>
      <c r="BW490" t="s">
        <v>35</v>
      </c>
      <c r="BX490" t="s">
        <v>78</v>
      </c>
      <c r="BY490" t="s">
        <v>33</v>
      </c>
      <c r="BZ490" t="s">
        <v>33</v>
      </c>
      <c r="CA490" t="str">
        <f t="shared" si="239"/>
        <v>high acid</v>
      </c>
    </row>
    <row r="491" spans="1:79">
      <c r="A491" t="s">
        <v>260</v>
      </c>
      <c r="B491" t="s">
        <v>565</v>
      </c>
      <c r="C491" t="s">
        <v>563</v>
      </c>
      <c r="D491" t="s">
        <v>118</v>
      </c>
      <c r="E491" t="s">
        <v>77</v>
      </c>
      <c r="F491" t="s">
        <v>32</v>
      </c>
      <c r="G491">
        <v>5</v>
      </c>
      <c r="H491">
        <v>40</v>
      </c>
      <c r="I491" t="b">
        <v>0</v>
      </c>
      <c r="J491" t="s">
        <v>33</v>
      </c>
      <c r="K491" t="s">
        <v>33</v>
      </c>
      <c r="L491">
        <v>35</v>
      </c>
      <c r="M491" s="4">
        <v>100</v>
      </c>
      <c r="N491" s="3">
        <f>IFERROR(AF491/((T491*X491/Y491)*O491*AI491),"NA")</f>
        <v>5903.0038247230323</v>
      </c>
      <c r="O491">
        <v>4</v>
      </c>
      <c r="P491" t="s">
        <v>33</v>
      </c>
      <c r="Q491" s="8">
        <f t="shared" si="256"/>
        <v>0.39062499999999994</v>
      </c>
      <c r="R491" t="s">
        <v>183</v>
      </c>
      <c r="S491" t="s">
        <v>613</v>
      </c>
      <c r="T491" s="11">
        <v>8</v>
      </c>
      <c r="U491">
        <v>2.92</v>
      </c>
      <c r="V491">
        <v>2.2999999999999998</v>
      </c>
      <c r="W491">
        <v>1.21E-2</v>
      </c>
      <c r="X491" s="8">
        <f>IFERROR(((PI())*(((V491*10^-1)/2)^2)*(U491*10^-1)), "NA")</f>
        <v>1.2131888350367701E-2</v>
      </c>
      <c r="Y491" s="6">
        <f>110/60</f>
        <v>1.8333333333333333</v>
      </c>
      <c r="Z491" s="3">
        <f t="shared" si="253"/>
        <v>3.1057634176941316E-2</v>
      </c>
      <c r="AA491" t="s">
        <v>33</v>
      </c>
      <c r="AB491" s="6">
        <f t="shared" si="257"/>
        <v>39.0625</v>
      </c>
      <c r="AC491" t="str">
        <f t="shared" si="254"/>
        <v>NA</v>
      </c>
      <c r="AD491" s="4">
        <f>AB491*T491*AI491</f>
        <v>312.5</v>
      </c>
      <c r="AE491" s="3">
        <f t="shared" si="255"/>
        <v>8268.7499999999982</v>
      </c>
      <c r="AF491">
        <v>1250</v>
      </c>
      <c r="AG491" t="str">
        <f>IFERROR((M491*O491*P491), "NA")</f>
        <v>NA</v>
      </c>
      <c r="AH491" t="str">
        <f>IFERROR((AG491*T491*AI491), "NA")</f>
        <v>NA</v>
      </c>
      <c r="AI491">
        <v>1</v>
      </c>
      <c r="AJ491" t="s">
        <v>31</v>
      </c>
      <c r="AK491">
        <v>5400</v>
      </c>
      <c r="AL491" t="s">
        <v>238</v>
      </c>
      <c r="AM491" t="s">
        <v>86</v>
      </c>
      <c r="AN491" t="s">
        <v>205</v>
      </c>
      <c r="AO491" t="s">
        <v>789</v>
      </c>
      <c r="AP491">
        <v>3.44</v>
      </c>
      <c r="AQ491" t="s">
        <v>33</v>
      </c>
      <c r="AR491" t="s">
        <v>33</v>
      </c>
      <c r="AS491" s="6">
        <f>LOG((10^7+10^8)/2)</f>
        <v>7.7403626894942441</v>
      </c>
      <c r="AT491" s="3">
        <f>IFERROR(AS491-AU491,"NA")</f>
        <v>4.0083626894942439</v>
      </c>
      <c r="AU491" s="6">
        <v>3.7320000000000002</v>
      </c>
      <c r="AV491" t="b">
        <v>1</v>
      </c>
      <c r="AW491" t="s">
        <v>29</v>
      </c>
      <c r="AX491" t="s">
        <v>30</v>
      </c>
      <c r="AY491" t="s">
        <v>33</v>
      </c>
      <c r="AZ491" t="s">
        <v>134</v>
      </c>
      <c r="BA491" s="18" t="s">
        <v>798</v>
      </c>
      <c r="BB491" t="b">
        <v>0</v>
      </c>
      <c r="BC491" t="s">
        <v>81</v>
      </c>
      <c r="BD491">
        <v>15</v>
      </c>
      <c r="BE491" t="s">
        <v>80</v>
      </c>
      <c r="BF491" s="11">
        <v>24</v>
      </c>
      <c r="BG491" t="s">
        <v>262</v>
      </c>
      <c r="BH491" t="s">
        <v>31</v>
      </c>
      <c r="BI491" t="s">
        <v>31</v>
      </c>
      <c r="BJ491" s="3">
        <f t="shared" si="246"/>
        <v>3.7320000000000002</v>
      </c>
      <c r="BK491" s="3">
        <f t="shared" si="237"/>
        <v>0.57194163507446238</v>
      </c>
      <c r="BL491">
        <v>2</v>
      </c>
      <c r="BM491" s="3">
        <f t="shared" si="247"/>
        <v>3.3454982264571136</v>
      </c>
      <c r="BN491" t="s">
        <v>33</v>
      </c>
      <c r="BO491" s="3">
        <f t="shared" si="238"/>
        <v>2215.6350482315106</v>
      </c>
      <c r="BP491" t="s">
        <v>33</v>
      </c>
      <c r="BQ491" t="s">
        <v>33</v>
      </c>
      <c r="BR491" t="s">
        <v>33</v>
      </c>
      <c r="BS491" t="s">
        <v>33</v>
      </c>
      <c r="BT491" t="s">
        <v>31</v>
      </c>
      <c r="BU491" t="s">
        <v>219</v>
      </c>
      <c r="BV491">
        <v>2008</v>
      </c>
      <c r="BW491" s="2" t="s">
        <v>257</v>
      </c>
      <c r="BX491" t="s">
        <v>78</v>
      </c>
      <c r="BY491" t="s">
        <v>33</v>
      </c>
      <c r="BZ491" t="s">
        <v>33</v>
      </c>
      <c r="CA491" t="str">
        <f t="shared" si="239"/>
        <v>high acid</v>
      </c>
    </row>
    <row r="492" spans="1:79">
      <c r="A492" t="s">
        <v>600</v>
      </c>
      <c r="B492" t="s">
        <v>566</v>
      </c>
      <c r="C492" t="s">
        <v>563</v>
      </c>
      <c r="D492" t="s">
        <v>33</v>
      </c>
      <c r="E492" t="s">
        <v>77</v>
      </c>
      <c r="F492" t="s">
        <v>33</v>
      </c>
      <c r="G492" t="s">
        <v>33</v>
      </c>
      <c r="H492">
        <v>35</v>
      </c>
      <c r="I492" t="b">
        <v>0</v>
      </c>
      <c r="J492" t="s">
        <v>33</v>
      </c>
      <c r="K492" t="s">
        <v>33</v>
      </c>
      <c r="L492">
        <v>25</v>
      </c>
      <c r="M492" s="4">
        <v>1</v>
      </c>
      <c r="N492" t="e">
        <f>(#REF!*Y492)/(T492*X492*O492)</f>
        <v>#REF!</v>
      </c>
      <c r="O492">
        <v>2</v>
      </c>
      <c r="P492" t="s">
        <v>33</v>
      </c>
      <c r="Q492" s="1">
        <f t="shared" si="256"/>
        <v>200.00000000000003</v>
      </c>
      <c r="R492" t="s">
        <v>183</v>
      </c>
      <c r="S492" t="s">
        <v>33</v>
      </c>
      <c r="T492">
        <v>1</v>
      </c>
      <c r="U492">
        <v>2.5</v>
      </c>
      <c r="V492" t="s">
        <v>33</v>
      </c>
      <c r="W492">
        <v>0.50249999999999995</v>
      </c>
      <c r="X492">
        <f>W492</f>
        <v>0.50249999999999995</v>
      </c>
      <c r="Y492" t="s">
        <v>33</v>
      </c>
      <c r="Z492" s="3">
        <f t="shared" si="253"/>
        <v>2.5124999999999995E-3</v>
      </c>
      <c r="AA492" t="s">
        <v>33</v>
      </c>
      <c r="AB492">
        <f t="shared" si="257"/>
        <v>200.00000000000003</v>
      </c>
      <c r="AC492" s="1" t="str">
        <f t="shared" si="254"/>
        <v>NA</v>
      </c>
      <c r="AE492" s="3">
        <f t="shared" si="255"/>
        <v>500.00000000000006</v>
      </c>
      <c r="AF492">
        <v>400</v>
      </c>
      <c r="AG492" s="1" t="str">
        <f t="shared" ref="AG492:AG500" si="258">IFERROR((N492*P492*Q492), "NA")</f>
        <v>NA</v>
      </c>
      <c r="AH492" s="1" t="str">
        <f t="shared" ref="AH492:AH500" si="259">IFERROR((AG492*U492*AI492), "NA")</f>
        <v>NA</v>
      </c>
      <c r="AI492" s="1">
        <v>1</v>
      </c>
      <c r="AJ492" s="11" t="s">
        <v>31</v>
      </c>
      <c r="AK492">
        <v>2000</v>
      </c>
      <c r="AL492" t="s">
        <v>784</v>
      </c>
      <c r="AM492" s="3" t="s">
        <v>103</v>
      </c>
      <c r="AN492" t="s">
        <v>130</v>
      </c>
      <c r="AO492" t="s">
        <v>795</v>
      </c>
      <c r="AP492">
        <v>7</v>
      </c>
      <c r="AQ492" t="s">
        <v>33</v>
      </c>
      <c r="AR492" t="s">
        <v>33</v>
      </c>
      <c r="AS492">
        <v>8</v>
      </c>
      <c r="AT492">
        <f>AS492-AU492</f>
        <v>4.01</v>
      </c>
      <c r="AU492" s="6">
        <v>3.99</v>
      </c>
      <c r="AV492" t="b">
        <v>1</v>
      </c>
      <c r="AW492" t="s">
        <v>626</v>
      </c>
      <c r="AX492" t="s">
        <v>627</v>
      </c>
      <c r="AY492" t="s">
        <v>640</v>
      </c>
      <c r="AZ492" t="s">
        <v>33</v>
      </c>
      <c r="BA492" s="18" t="s">
        <v>800</v>
      </c>
      <c r="BB492" s="3" t="b">
        <v>0</v>
      </c>
      <c r="BC492" t="s">
        <v>81</v>
      </c>
      <c r="BD492">
        <f>AVERAGE(24,30)</f>
        <v>27</v>
      </c>
      <c r="BE492" t="s">
        <v>80</v>
      </c>
      <c r="BF492">
        <v>24</v>
      </c>
      <c r="BG492" t="s">
        <v>568</v>
      </c>
      <c r="BH492" t="s">
        <v>31</v>
      </c>
      <c r="BI492" t="s">
        <v>31</v>
      </c>
      <c r="BJ492" s="3">
        <f t="shared" si="246"/>
        <v>3.99</v>
      </c>
      <c r="BK492" s="3">
        <f t="shared" si="237"/>
        <v>0.60097289568674828</v>
      </c>
      <c r="BL492">
        <v>2</v>
      </c>
      <c r="BM492" s="3">
        <f t="shared" si="247"/>
        <v>2.0979971086492708</v>
      </c>
      <c r="BN492" t="s">
        <v>33</v>
      </c>
      <c r="BO492" s="3">
        <f t="shared" si="238"/>
        <v>125.31328320802005</v>
      </c>
      <c r="BP492" t="s">
        <v>33</v>
      </c>
      <c r="BQ492" t="s">
        <v>33</v>
      </c>
      <c r="BR492" t="s">
        <v>33</v>
      </c>
      <c r="BS492" t="s">
        <v>33</v>
      </c>
      <c r="BT492" t="s">
        <v>31</v>
      </c>
      <c r="BU492" t="s">
        <v>666</v>
      </c>
      <c r="BV492" s="14">
        <v>2006</v>
      </c>
      <c r="BW492" t="s">
        <v>667</v>
      </c>
      <c r="BX492" t="s">
        <v>78</v>
      </c>
      <c r="BY492" s="13" t="s">
        <v>688</v>
      </c>
      <c r="CA492" t="str">
        <f t="shared" si="239"/>
        <v>low acid</v>
      </c>
    </row>
    <row r="493" spans="1:79">
      <c r="A493" t="s">
        <v>589</v>
      </c>
      <c r="B493" t="s">
        <v>566</v>
      </c>
      <c r="C493" t="s">
        <v>563</v>
      </c>
      <c r="D493" t="s">
        <v>33</v>
      </c>
      <c r="E493" t="s">
        <v>77</v>
      </c>
      <c r="F493" t="s">
        <v>33</v>
      </c>
      <c r="G493" t="s">
        <v>33</v>
      </c>
      <c r="H493">
        <v>35</v>
      </c>
      <c r="I493" t="b">
        <v>0</v>
      </c>
      <c r="J493" t="s">
        <v>33</v>
      </c>
      <c r="K493" t="s">
        <v>33</v>
      </c>
      <c r="L493">
        <v>22</v>
      </c>
      <c r="M493" s="4">
        <v>1</v>
      </c>
      <c r="N493" t="e">
        <f>(#REF!*Y493)/(T493*X493*O493)</f>
        <v>#REF!</v>
      </c>
      <c r="O493">
        <v>2</v>
      </c>
      <c r="P493" t="s">
        <v>33</v>
      </c>
      <c r="Q493" s="1">
        <f t="shared" si="256"/>
        <v>395.5</v>
      </c>
      <c r="R493" t="s">
        <v>183</v>
      </c>
      <c r="S493" t="s">
        <v>613</v>
      </c>
      <c r="T493">
        <v>1</v>
      </c>
      <c r="U493">
        <v>2.5</v>
      </c>
      <c r="V493" t="s">
        <v>33</v>
      </c>
      <c r="W493">
        <v>0.50249999999999995</v>
      </c>
      <c r="X493">
        <f>W493</f>
        <v>0.50249999999999995</v>
      </c>
      <c r="Y493" t="s">
        <v>33</v>
      </c>
      <c r="Z493" s="3">
        <f t="shared" si="253"/>
        <v>1.2705436156763589E-3</v>
      </c>
      <c r="AA493" t="s">
        <v>33</v>
      </c>
      <c r="AB493">
        <f t="shared" si="257"/>
        <v>395.5</v>
      </c>
      <c r="AC493" s="1" t="str">
        <f t="shared" si="254"/>
        <v>NA</v>
      </c>
      <c r="AE493" s="3">
        <f t="shared" si="255"/>
        <v>765.68799999999999</v>
      </c>
      <c r="AF493">
        <v>791</v>
      </c>
      <c r="AG493" s="1" t="str">
        <f t="shared" si="258"/>
        <v>NA</v>
      </c>
      <c r="AH493" s="1" t="str">
        <f t="shared" si="259"/>
        <v>NA</v>
      </c>
      <c r="AI493" s="1">
        <v>1</v>
      </c>
      <c r="AJ493" s="11" t="s">
        <v>31</v>
      </c>
      <c r="AK493">
        <v>2000</v>
      </c>
      <c r="AL493" t="s">
        <v>616</v>
      </c>
      <c r="AM493" s="3" t="s">
        <v>103</v>
      </c>
      <c r="AN493" t="s">
        <v>130</v>
      </c>
      <c r="AO493" t="s">
        <v>795</v>
      </c>
      <c r="AP493">
        <v>7</v>
      </c>
      <c r="AQ493" t="s">
        <v>33</v>
      </c>
      <c r="AR493" t="s">
        <v>33</v>
      </c>
      <c r="AS493">
        <v>9</v>
      </c>
      <c r="AT493">
        <f>AS493-AU493</f>
        <v>4.01</v>
      </c>
      <c r="AU493" s="6">
        <v>4.99</v>
      </c>
      <c r="AV493" t="b">
        <v>1</v>
      </c>
      <c r="AW493" t="s">
        <v>617</v>
      </c>
      <c r="AX493" t="s">
        <v>33</v>
      </c>
      <c r="AY493" t="s">
        <v>628</v>
      </c>
      <c r="AZ493" t="s">
        <v>619</v>
      </c>
      <c r="BA493" s="18" t="s">
        <v>802</v>
      </c>
      <c r="BB493" s="3" t="b">
        <v>0</v>
      </c>
      <c r="BC493" t="s">
        <v>81</v>
      </c>
      <c r="BD493">
        <v>24</v>
      </c>
      <c r="BE493" t="s">
        <v>80</v>
      </c>
      <c r="BF493">
        <v>24</v>
      </c>
      <c r="BG493" t="s">
        <v>644</v>
      </c>
      <c r="BH493" t="s">
        <v>31</v>
      </c>
      <c r="BI493" t="s">
        <v>31</v>
      </c>
      <c r="BJ493">
        <f t="shared" si="246"/>
        <v>4.99</v>
      </c>
      <c r="BK493" s="3">
        <f t="shared" si="237"/>
        <v>0.69810054562338997</v>
      </c>
      <c r="BL493">
        <v>2</v>
      </c>
      <c r="BM493" s="3">
        <f t="shared" si="247"/>
        <v>2.1859512951826803</v>
      </c>
      <c r="BN493" t="s">
        <v>33</v>
      </c>
      <c r="BO493" s="3">
        <f t="shared" si="238"/>
        <v>153.4444889779559</v>
      </c>
      <c r="BP493" t="s">
        <v>33</v>
      </c>
      <c r="BQ493" t="s">
        <v>33</v>
      </c>
      <c r="BR493" t="s">
        <v>33</v>
      </c>
      <c r="BS493" t="s">
        <v>33</v>
      </c>
      <c r="BT493" t="s">
        <v>31</v>
      </c>
      <c r="BU493" s="15" t="s">
        <v>655</v>
      </c>
      <c r="BV493">
        <v>2003</v>
      </c>
      <c r="BW493" t="s">
        <v>656</v>
      </c>
      <c r="BX493" t="s">
        <v>78</v>
      </c>
      <c r="BY493" s="13" t="s">
        <v>677</v>
      </c>
      <c r="CA493" t="str">
        <f t="shared" si="239"/>
        <v>low acid</v>
      </c>
    </row>
    <row r="494" spans="1:79">
      <c r="A494" t="s">
        <v>588</v>
      </c>
      <c r="B494" t="s">
        <v>565</v>
      </c>
      <c r="C494" t="s">
        <v>563</v>
      </c>
      <c r="D494" t="s">
        <v>608</v>
      </c>
      <c r="E494" t="s">
        <v>77</v>
      </c>
      <c r="F494" t="s">
        <v>32</v>
      </c>
      <c r="G494" t="s">
        <v>33</v>
      </c>
      <c r="H494">
        <v>40</v>
      </c>
      <c r="I494" t="b">
        <v>0</v>
      </c>
      <c r="J494" t="s">
        <v>33</v>
      </c>
      <c r="K494" t="s">
        <v>33</v>
      </c>
      <c r="L494">
        <v>35</v>
      </c>
      <c r="M494" s="4">
        <v>250</v>
      </c>
      <c r="N494" t="e">
        <f>(#REF!*Y494)/(T494*X494*O494)</f>
        <v>#REF!</v>
      </c>
      <c r="O494">
        <v>3.7</v>
      </c>
      <c r="P494" t="s">
        <v>33</v>
      </c>
      <c r="Q494" s="1">
        <f t="shared" si="256"/>
        <v>8.1081081081081072E-2</v>
      </c>
      <c r="R494" t="s">
        <v>183</v>
      </c>
      <c r="S494" t="s">
        <v>613</v>
      </c>
      <c r="T494">
        <v>6</v>
      </c>
      <c r="U494">
        <v>1.9</v>
      </c>
      <c r="V494">
        <v>2.2999999999999998</v>
      </c>
      <c r="W494" t="s">
        <v>33</v>
      </c>
      <c r="X494">
        <f>IFERROR(((PI())*(((V494*10^-1)/2)^2)*(U494*10^-1)), "NA")</f>
        <v>7.8940369403077502E-3</v>
      </c>
      <c r="Y494">
        <v>1</v>
      </c>
      <c r="Z494" s="3">
        <f t="shared" si="253"/>
        <v>9.7359788930462265E-2</v>
      </c>
      <c r="AA494" t="s">
        <v>33</v>
      </c>
      <c r="AB494">
        <f t="shared" si="257"/>
        <v>20.27027027027027</v>
      </c>
      <c r="AC494" s="1" t="str">
        <f t="shared" si="254"/>
        <v>NA</v>
      </c>
      <c r="AE494" s="3">
        <f t="shared" si="255"/>
        <v>2645.9999999999995</v>
      </c>
      <c r="AF494">
        <v>450</v>
      </c>
      <c r="AG494" s="1" t="str">
        <f t="shared" si="258"/>
        <v>NA</v>
      </c>
      <c r="AH494" s="1" t="str">
        <f t="shared" si="259"/>
        <v>NA</v>
      </c>
      <c r="AI494" s="1">
        <v>1</v>
      </c>
      <c r="AJ494" s="11" t="s">
        <v>31</v>
      </c>
      <c r="AK494">
        <v>4800</v>
      </c>
      <c r="AL494" t="s">
        <v>156</v>
      </c>
      <c r="AM494" t="s">
        <v>157</v>
      </c>
      <c r="AN494" t="s">
        <v>186</v>
      </c>
      <c r="AO494" t="s">
        <v>792</v>
      </c>
      <c r="AP494">
        <v>6.53</v>
      </c>
      <c r="AQ494" t="s">
        <v>33</v>
      </c>
      <c r="AR494" t="s">
        <v>33</v>
      </c>
      <c r="AS494">
        <v>6.5</v>
      </c>
      <c r="AT494">
        <v>4.0199999999999996</v>
      </c>
      <c r="AU494" s="6">
        <f>AS494-AT494</f>
        <v>2.4800000000000004</v>
      </c>
      <c r="AV494" t="b">
        <v>1</v>
      </c>
      <c r="AW494" t="s">
        <v>626</v>
      </c>
      <c r="AX494" t="s">
        <v>627</v>
      </c>
      <c r="AY494" t="s">
        <v>625</v>
      </c>
      <c r="AZ494" t="s">
        <v>33</v>
      </c>
      <c r="BA494" s="18" t="s">
        <v>800</v>
      </c>
      <c r="BB494" s="3" t="b">
        <v>0</v>
      </c>
      <c r="BC494" t="s">
        <v>81</v>
      </c>
      <c r="BD494">
        <v>12</v>
      </c>
      <c r="BE494" t="s">
        <v>80</v>
      </c>
      <c r="BF494">
        <v>48</v>
      </c>
      <c r="BG494" t="s">
        <v>568</v>
      </c>
      <c r="BH494" t="s">
        <v>31</v>
      </c>
      <c r="BI494" t="s">
        <v>31</v>
      </c>
      <c r="BJ494">
        <f t="shared" si="246"/>
        <v>2.4800000000000004</v>
      </c>
      <c r="BK494" s="3">
        <f t="shared" si="237"/>
        <v>0.39445168082621634</v>
      </c>
      <c r="BL494">
        <v>2</v>
      </c>
      <c r="BM494" s="3">
        <f t="shared" si="247"/>
        <v>3.0281381590252656</v>
      </c>
      <c r="BN494" t="s">
        <v>33</v>
      </c>
      <c r="BO494" s="3">
        <f t="shared" si="238"/>
        <v>1066.9354838709673</v>
      </c>
      <c r="BP494" t="s">
        <v>33</v>
      </c>
      <c r="BQ494" t="s">
        <v>33</v>
      </c>
      <c r="BR494" t="s">
        <v>33</v>
      </c>
      <c r="BS494" t="s">
        <v>33</v>
      </c>
      <c r="BT494" t="s">
        <v>31</v>
      </c>
      <c r="BU494" s="13" t="s">
        <v>163</v>
      </c>
      <c r="BV494">
        <v>2004</v>
      </c>
      <c r="BW494" t="s">
        <v>654</v>
      </c>
      <c r="BX494" t="s">
        <v>78</v>
      </c>
      <c r="BY494" s="13" t="s">
        <v>677</v>
      </c>
      <c r="CA494" t="str">
        <f t="shared" si="239"/>
        <v>low acid</v>
      </c>
    </row>
    <row r="495" spans="1:79">
      <c r="A495" t="s">
        <v>590</v>
      </c>
      <c r="B495" t="s">
        <v>565</v>
      </c>
      <c r="C495" t="s">
        <v>564</v>
      </c>
      <c r="D495" t="s">
        <v>609</v>
      </c>
      <c r="E495" t="s">
        <v>77</v>
      </c>
      <c r="F495" t="s">
        <v>32</v>
      </c>
      <c r="G495">
        <v>40</v>
      </c>
      <c r="H495">
        <v>49</v>
      </c>
      <c r="I495" t="b">
        <v>0</v>
      </c>
      <c r="J495" t="s">
        <v>33</v>
      </c>
      <c r="K495" t="s">
        <v>33</v>
      </c>
      <c r="L495">
        <v>21</v>
      </c>
      <c r="M495" s="4">
        <v>120</v>
      </c>
      <c r="N495" t="e">
        <f>(#REF!*Y495)/(T495*X495*O495)</f>
        <v>#REF!</v>
      </c>
      <c r="O495">
        <v>3</v>
      </c>
      <c r="P495" t="s">
        <v>33</v>
      </c>
      <c r="Q495" s="1">
        <f t="shared" si="256"/>
        <v>0.19076388888888887</v>
      </c>
      <c r="R495" t="s">
        <v>183</v>
      </c>
      <c r="S495" t="s">
        <v>612</v>
      </c>
      <c r="T495">
        <v>4</v>
      </c>
      <c r="U495">
        <v>3</v>
      </c>
      <c r="V495">
        <v>2.6</v>
      </c>
      <c r="W495">
        <v>1.5900000000000001E-2</v>
      </c>
      <c r="X495">
        <f>IFERROR(((PI())*(((V495*10^-1)/2)^2)*(U495*10^-1)), "NA")</f>
        <v>1.5927874753700257E-2</v>
      </c>
      <c r="Y495">
        <v>8.3333299999999999E-2</v>
      </c>
      <c r="Z495" s="3">
        <f t="shared" si="253"/>
        <v>8.3495229870143323E-2</v>
      </c>
      <c r="AA495" t="s">
        <v>33</v>
      </c>
      <c r="AB495">
        <f t="shared" si="257"/>
        <v>22.891666666666666</v>
      </c>
      <c r="AC495" s="1" t="str">
        <f t="shared" si="254"/>
        <v>NA</v>
      </c>
      <c r="AE495" s="3">
        <f t="shared" si="255"/>
        <v>139.31410499999998</v>
      </c>
      <c r="AF495">
        <v>274.7</v>
      </c>
      <c r="AG495" s="1" t="str">
        <f t="shared" si="258"/>
        <v>NA</v>
      </c>
      <c r="AH495" s="1" t="str">
        <f t="shared" si="259"/>
        <v>NA</v>
      </c>
      <c r="AI495" s="1">
        <v>1</v>
      </c>
      <c r="AJ495" s="11" t="s">
        <v>31</v>
      </c>
      <c r="AK495">
        <v>1150</v>
      </c>
      <c r="AL495" t="s">
        <v>551</v>
      </c>
      <c r="AM495" t="s">
        <v>86</v>
      </c>
      <c r="AN495" t="s">
        <v>186</v>
      </c>
      <c r="AO495" t="s">
        <v>794</v>
      </c>
      <c r="AP495">
        <v>5.92</v>
      </c>
      <c r="AQ495" t="s">
        <v>33</v>
      </c>
      <c r="AR495" t="s">
        <v>33</v>
      </c>
      <c r="AS495">
        <v>6</v>
      </c>
      <c r="AT495">
        <f>AS495-AU495</f>
        <v>4.0199999999999996</v>
      </c>
      <c r="AU495" s="6">
        <v>1.98</v>
      </c>
      <c r="AV495" t="b">
        <v>1</v>
      </c>
      <c r="AW495" t="s">
        <v>626</v>
      </c>
      <c r="AX495" t="s">
        <v>627</v>
      </c>
      <c r="AY495" t="s">
        <v>631</v>
      </c>
      <c r="AZ495" t="s">
        <v>33</v>
      </c>
      <c r="BA495" s="18" t="s">
        <v>800</v>
      </c>
      <c r="BB495" s="3" t="b">
        <v>0</v>
      </c>
      <c r="BC495" t="s">
        <v>81</v>
      </c>
      <c r="BD495">
        <v>20</v>
      </c>
      <c r="BE495" t="s">
        <v>80</v>
      </c>
      <c r="BF495">
        <v>20</v>
      </c>
      <c r="BG495" t="s">
        <v>695</v>
      </c>
      <c r="BH495" t="s">
        <v>32</v>
      </c>
      <c r="BI495" t="s">
        <v>31</v>
      </c>
      <c r="BJ495">
        <f t="shared" si="246"/>
        <v>1.98</v>
      </c>
      <c r="BK495" s="3">
        <f t="shared" si="237"/>
        <v>0.2966651902615311</v>
      </c>
      <c r="BL495">
        <v>2</v>
      </c>
      <c r="BM495" s="3">
        <f t="shared" si="247"/>
        <v>1.8473298989804809</v>
      </c>
      <c r="BN495" t="s">
        <v>33</v>
      </c>
      <c r="BO495" s="3">
        <f t="shared" si="238"/>
        <v>70.360659090909081</v>
      </c>
      <c r="BP495" t="s">
        <v>33</v>
      </c>
      <c r="BQ495" t="s">
        <v>33</v>
      </c>
      <c r="BR495" t="s">
        <v>33</v>
      </c>
      <c r="BS495" t="s">
        <v>33</v>
      </c>
      <c r="BT495" t="s">
        <v>32</v>
      </c>
      <c r="BU495" s="15" t="s">
        <v>207</v>
      </c>
      <c r="BV495">
        <v>2014</v>
      </c>
      <c r="BW495" t="s">
        <v>242</v>
      </c>
      <c r="BX495" t="s">
        <v>78</v>
      </c>
      <c r="BY495" s="13" t="s">
        <v>678</v>
      </c>
      <c r="CA495" t="str">
        <f t="shared" si="239"/>
        <v>low acid</v>
      </c>
    </row>
    <row r="496" spans="1:79">
      <c r="A496" t="s">
        <v>596</v>
      </c>
      <c r="B496" t="s">
        <v>565</v>
      </c>
      <c r="C496" t="s">
        <v>563</v>
      </c>
      <c r="D496" t="s">
        <v>610</v>
      </c>
      <c r="E496" t="s">
        <v>77</v>
      </c>
      <c r="F496" t="s">
        <v>33</v>
      </c>
      <c r="G496">
        <v>20</v>
      </c>
      <c r="H496" t="s">
        <v>33</v>
      </c>
      <c r="I496" t="b">
        <v>0</v>
      </c>
      <c r="J496">
        <v>12000</v>
      </c>
      <c r="K496" t="s">
        <v>33</v>
      </c>
      <c r="L496">
        <v>30</v>
      </c>
      <c r="M496" s="4">
        <v>31.831088090218493</v>
      </c>
      <c r="N496" t="e">
        <f>(#REF!*Y496)/(T496*X496*O496)</f>
        <v>#REF!</v>
      </c>
      <c r="O496">
        <v>5</v>
      </c>
      <c r="P496" t="s">
        <v>33</v>
      </c>
      <c r="Q496" s="1">
        <f t="shared" si="256"/>
        <v>0.4712374254215147</v>
      </c>
      <c r="R496" t="s">
        <v>183</v>
      </c>
      <c r="S496" t="s">
        <v>613</v>
      </c>
      <c r="T496">
        <v>1</v>
      </c>
      <c r="U496">
        <v>4</v>
      </c>
      <c r="V496">
        <v>4</v>
      </c>
      <c r="W496" t="s">
        <v>33</v>
      </c>
      <c r="X496">
        <f>IFERROR(((PI())*(((V496*10^-1)/2)^2)*(U496*10^-1)), "NA")</f>
        <v>5.02654824574367E-2</v>
      </c>
      <c r="Y496">
        <v>0.106667</v>
      </c>
      <c r="Z496" s="3">
        <f t="shared" si="253"/>
        <v>0.10666699999999998</v>
      </c>
      <c r="AA496" t="s">
        <v>33</v>
      </c>
      <c r="AB496">
        <f t="shared" si="257"/>
        <v>15.000000000000002</v>
      </c>
      <c r="AC496" s="1" t="str">
        <f t="shared" si="254"/>
        <v>NA</v>
      </c>
      <c r="AE496" s="3">
        <f t="shared" si="255"/>
        <v>101.25000000000001</v>
      </c>
      <c r="AF496">
        <v>75</v>
      </c>
      <c r="AG496" s="1" t="str">
        <f t="shared" si="258"/>
        <v>NA</v>
      </c>
      <c r="AH496" s="1" t="str">
        <f t="shared" si="259"/>
        <v>NA</v>
      </c>
      <c r="AI496" s="1">
        <v>1</v>
      </c>
      <c r="AJ496" s="11" t="s">
        <v>31</v>
      </c>
      <c r="AK496">
        <v>1500</v>
      </c>
      <c r="AL496" t="s">
        <v>149</v>
      </c>
      <c r="AM496" t="s">
        <v>86</v>
      </c>
      <c r="AN496" t="s">
        <v>205</v>
      </c>
      <c r="AO496" t="s">
        <v>789</v>
      </c>
      <c r="AP496" t="s">
        <v>33</v>
      </c>
      <c r="AQ496" t="s">
        <v>33</v>
      </c>
      <c r="AR496" t="s">
        <v>33</v>
      </c>
      <c r="AS496">
        <f>AVERAGE(6,8)</f>
        <v>7</v>
      </c>
      <c r="AT496">
        <f>AS496-AU496</f>
        <v>4.0199999999999996</v>
      </c>
      <c r="AU496" s="6">
        <v>2.98</v>
      </c>
      <c r="AV496" t="b">
        <v>1</v>
      </c>
      <c r="AW496" t="s">
        <v>626</v>
      </c>
      <c r="AX496" t="s">
        <v>627</v>
      </c>
      <c r="AY496" t="s">
        <v>634</v>
      </c>
      <c r="AZ496" t="s">
        <v>33</v>
      </c>
      <c r="BA496" s="18" t="s">
        <v>800</v>
      </c>
      <c r="BB496" s="3" t="b">
        <v>0</v>
      </c>
      <c r="BC496" t="s">
        <v>81</v>
      </c>
      <c r="BD496">
        <v>18</v>
      </c>
      <c r="BE496" t="s">
        <v>80</v>
      </c>
      <c r="BF496">
        <v>24</v>
      </c>
      <c r="BG496" t="s">
        <v>644</v>
      </c>
      <c r="BH496" t="s">
        <v>31</v>
      </c>
      <c r="BI496" t="s">
        <v>31</v>
      </c>
      <c r="BJ496">
        <f t="shared" si="246"/>
        <v>2.98</v>
      </c>
      <c r="BK496" s="3">
        <f t="shared" si="237"/>
        <v>0.47421626407625522</v>
      </c>
      <c r="BL496">
        <v>2</v>
      </c>
      <c r="BM496" s="3">
        <f t="shared" si="247"/>
        <v>1.5311787678104509</v>
      </c>
      <c r="BN496" t="s">
        <v>33</v>
      </c>
      <c r="BO496" s="3">
        <f t="shared" si="238"/>
        <v>33.976510067114098</v>
      </c>
      <c r="BP496" t="s">
        <v>33</v>
      </c>
      <c r="BQ496" t="s">
        <v>33</v>
      </c>
      <c r="BR496" t="s">
        <v>33</v>
      </c>
      <c r="BS496" t="s">
        <v>33</v>
      </c>
      <c r="BT496" t="s">
        <v>32</v>
      </c>
      <c r="BU496" t="s">
        <v>661</v>
      </c>
      <c r="BV496">
        <v>2013</v>
      </c>
      <c r="BW496" t="s">
        <v>662</v>
      </c>
      <c r="BX496" s="13" t="s">
        <v>663</v>
      </c>
      <c r="BY496" s="13" t="s">
        <v>684</v>
      </c>
      <c r="CA496" t="str">
        <f t="shared" si="239"/>
        <v>high acid</v>
      </c>
    </row>
    <row r="497" spans="1:79">
      <c r="A497" t="s">
        <v>596</v>
      </c>
      <c r="B497" t="s">
        <v>565</v>
      </c>
      <c r="C497" t="s">
        <v>563</v>
      </c>
      <c r="D497" t="s">
        <v>610</v>
      </c>
      <c r="E497" t="s">
        <v>77</v>
      </c>
      <c r="F497" t="s">
        <v>33</v>
      </c>
      <c r="G497">
        <v>20</v>
      </c>
      <c r="H497" t="s">
        <v>33</v>
      </c>
      <c r="I497" t="b">
        <v>0</v>
      </c>
      <c r="J497">
        <v>10000</v>
      </c>
      <c r="K497" t="s">
        <v>33</v>
      </c>
      <c r="L497">
        <v>25</v>
      </c>
      <c r="M497" s="4">
        <v>31.831088090218493</v>
      </c>
      <c r="N497" t="e">
        <f>(#REF!*Y497)/(T497*X497*O497)</f>
        <v>#REF!</v>
      </c>
      <c r="O497">
        <v>5</v>
      </c>
      <c r="P497" t="s">
        <v>33</v>
      </c>
      <c r="Q497" s="1">
        <f t="shared" si="256"/>
        <v>0.4712374254215147</v>
      </c>
      <c r="R497" t="s">
        <v>183</v>
      </c>
      <c r="S497" t="s">
        <v>613</v>
      </c>
      <c r="T497">
        <v>1</v>
      </c>
      <c r="U497">
        <v>4</v>
      </c>
      <c r="V497">
        <v>4</v>
      </c>
      <c r="W497" t="s">
        <v>33</v>
      </c>
      <c r="X497">
        <f>IFERROR(((PI())*(((V497*10^-1)/2)^2)*(U497*10^-1)), "NA")</f>
        <v>5.02654824574367E-2</v>
      </c>
      <c r="Y497">
        <v>0.106667</v>
      </c>
      <c r="Z497" s="3">
        <f t="shared" si="253"/>
        <v>0.10666699999999998</v>
      </c>
      <c r="AA497" t="s">
        <v>33</v>
      </c>
      <c r="AB497">
        <f t="shared" si="257"/>
        <v>15.000000000000002</v>
      </c>
      <c r="AC497" s="1" t="str">
        <f t="shared" si="254"/>
        <v>NA</v>
      </c>
      <c r="AE497" s="3">
        <f t="shared" si="255"/>
        <v>70.3125</v>
      </c>
      <c r="AF497">
        <v>75</v>
      </c>
      <c r="AG497" s="1" t="str">
        <f t="shared" si="258"/>
        <v>NA</v>
      </c>
      <c r="AH497" s="1" t="str">
        <f t="shared" si="259"/>
        <v>NA</v>
      </c>
      <c r="AI497" s="1">
        <v>1</v>
      </c>
      <c r="AJ497" s="11" t="s">
        <v>31</v>
      </c>
      <c r="AK497">
        <v>1500</v>
      </c>
      <c r="AL497" t="s">
        <v>149</v>
      </c>
      <c r="AM497" t="s">
        <v>86</v>
      </c>
      <c r="AN497" t="s">
        <v>205</v>
      </c>
      <c r="AO497" t="s">
        <v>789</v>
      </c>
      <c r="AP497" t="s">
        <v>33</v>
      </c>
      <c r="AQ497" t="s">
        <v>33</v>
      </c>
      <c r="AR497" t="s">
        <v>33</v>
      </c>
      <c r="AS497">
        <f>AVERAGE(6,8)</f>
        <v>7</v>
      </c>
      <c r="AT497">
        <f>AS497-AU497</f>
        <v>4.0199999999999996</v>
      </c>
      <c r="AU497" s="6">
        <v>2.98</v>
      </c>
      <c r="AV497" t="b">
        <v>1</v>
      </c>
      <c r="AW497" t="s">
        <v>626</v>
      </c>
      <c r="AX497" t="s">
        <v>627</v>
      </c>
      <c r="AY497" t="s">
        <v>634</v>
      </c>
      <c r="AZ497" t="s">
        <v>33</v>
      </c>
      <c r="BA497" s="18" t="s">
        <v>800</v>
      </c>
      <c r="BB497" s="3" t="b">
        <v>0</v>
      </c>
      <c r="BC497" t="s">
        <v>81</v>
      </c>
      <c r="BD497">
        <v>18</v>
      </c>
      <c r="BE497" t="s">
        <v>80</v>
      </c>
      <c r="BF497">
        <v>24</v>
      </c>
      <c r="BG497" t="s">
        <v>644</v>
      </c>
      <c r="BH497" t="s">
        <v>31</v>
      </c>
      <c r="BI497" t="s">
        <v>31</v>
      </c>
      <c r="BJ497">
        <f t="shared" si="246"/>
        <v>2.98</v>
      </c>
      <c r="BK497" s="3">
        <f t="shared" si="237"/>
        <v>0.47421626407625522</v>
      </c>
      <c r="BL497">
        <v>2</v>
      </c>
      <c r="BM497" s="3">
        <f t="shared" ref="BM497:BM506" si="260">IFERROR(LOG(BO497),"NA")</f>
        <v>1.3728162757152014</v>
      </c>
      <c r="BN497" t="s">
        <v>33</v>
      </c>
      <c r="BO497" s="3">
        <f t="shared" si="238"/>
        <v>23.594798657718123</v>
      </c>
      <c r="BP497" t="s">
        <v>33</v>
      </c>
      <c r="BQ497" t="s">
        <v>33</v>
      </c>
      <c r="BR497" t="s">
        <v>33</v>
      </c>
      <c r="BS497" t="s">
        <v>33</v>
      </c>
      <c r="BT497" t="s">
        <v>32</v>
      </c>
      <c r="BU497" t="s">
        <v>661</v>
      </c>
      <c r="BV497">
        <v>2013</v>
      </c>
      <c r="BW497" t="s">
        <v>662</v>
      </c>
      <c r="BX497" s="13" t="s">
        <v>663</v>
      </c>
      <c r="BY497" s="13" t="s">
        <v>684</v>
      </c>
      <c r="CA497" t="str">
        <f t="shared" si="239"/>
        <v>high acid</v>
      </c>
    </row>
    <row r="498" spans="1:79">
      <c r="A498" t="s">
        <v>599</v>
      </c>
      <c r="B498" t="s">
        <v>565</v>
      </c>
      <c r="C498" t="s">
        <v>563</v>
      </c>
      <c r="D498" t="s">
        <v>118</v>
      </c>
      <c r="E498" t="s">
        <v>77</v>
      </c>
      <c r="F498" t="s">
        <v>32</v>
      </c>
      <c r="G498" t="s">
        <v>33</v>
      </c>
      <c r="H498" t="s">
        <v>33</v>
      </c>
      <c r="I498" t="b">
        <v>0</v>
      </c>
      <c r="J498" t="s">
        <v>33</v>
      </c>
      <c r="K498" t="s">
        <v>33</v>
      </c>
      <c r="L498">
        <v>17</v>
      </c>
      <c r="M498" s="4">
        <v>500</v>
      </c>
      <c r="N498" t="e">
        <f>(#REF!*Y498)/(T498*X498*O498)</f>
        <v>#REF!</v>
      </c>
      <c r="O498">
        <v>3</v>
      </c>
      <c r="P498" t="s">
        <v>33</v>
      </c>
      <c r="Q498" s="1">
        <f t="shared" si="256"/>
        <v>2.3333333333333331E-2</v>
      </c>
      <c r="R498" t="s">
        <v>183</v>
      </c>
      <c r="S498" t="s">
        <v>613</v>
      </c>
      <c r="T498">
        <v>6</v>
      </c>
      <c r="U498">
        <v>2.2999999999999998</v>
      </c>
      <c r="V498">
        <v>2.9</v>
      </c>
      <c r="W498">
        <v>0.36420000000000002</v>
      </c>
      <c r="X498">
        <f>IFERROR(((PI())*(((V498*10^-1)/2)^2)*(U498*10^-1)), "NA")</f>
        <v>1.519195667459684E-2</v>
      </c>
      <c r="Y498">
        <v>0.83333299999999999</v>
      </c>
      <c r="Z498" s="3">
        <f t="shared" si="253"/>
        <v>0.6510838574827218</v>
      </c>
      <c r="AA498" t="s">
        <v>33</v>
      </c>
      <c r="AB498">
        <f t="shared" si="257"/>
        <v>11.666666666666666</v>
      </c>
      <c r="AC498" s="1" t="str">
        <f t="shared" si="254"/>
        <v>NA</v>
      </c>
      <c r="AE498" s="3">
        <f t="shared" si="255"/>
        <v>220.91159999999994</v>
      </c>
      <c r="AF498">
        <v>210</v>
      </c>
      <c r="AG498" s="1" t="str">
        <f t="shared" si="258"/>
        <v>NA</v>
      </c>
      <c r="AH498" s="1" t="str">
        <f t="shared" si="259"/>
        <v>NA</v>
      </c>
      <c r="AI498" s="1">
        <v>1</v>
      </c>
      <c r="AJ498" s="11" t="s">
        <v>31</v>
      </c>
      <c r="AK498">
        <f>3.64*10^3</f>
        <v>3640</v>
      </c>
      <c r="AL498" t="s">
        <v>145</v>
      </c>
      <c r="AM498" t="s">
        <v>86</v>
      </c>
      <c r="AN498" t="s">
        <v>205</v>
      </c>
      <c r="AO498" t="s">
        <v>789</v>
      </c>
      <c r="AP498">
        <v>3.19</v>
      </c>
      <c r="AQ498" t="s">
        <v>33</v>
      </c>
      <c r="AR498" t="s">
        <v>33</v>
      </c>
      <c r="AS498">
        <v>7.15</v>
      </c>
      <c r="AT498">
        <v>4.0199999999999996</v>
      </c>
      <c r="AU498" s="6">
        <f>AS498-AT498</f>
        <v>3.1300000000000008</v>
      </c>
      <c r="AV498" t="b">
        <v>1</v>
      </c>
      <c r="AW498" t="s">
        <v>626</v>
      </c>
      <c r="AX498" t="s">
        <v>627</v>
      </c>
      <c r="AY498">
        <v>95047</v>
      </c>
      <c r="AZ498" t="s">
        <v>33</v>
      </c>
      <c r="BA498" s="18" t="s">
        <v>800</v>
      </c>
      <c r="BB498" s="3" t="b">
        <v>0</v>
      </c>
      <c r="BC498" t="s">
        <v>81</v>
      </c>
      <c r="BD498">
        <f>AVERAGE(24,48)</f>
        <v>36</v>
      </c>
      <c r="BE498" t="s">
        <v>80</v>
      </c>
      <c r="BF498">
        <v>48</v>
      </c>
      <c r="BG498" t="s">
        <v>647</v>
      </c>
      <c r="BH498" t="s">
        <v>31</v>
      </c>
      <c r="BI498" t="s">
        <v>31</v>
      </c>
      <c r="BJ498" s="3">
        <f t="shared" si="246"/>
        <v>3.1300000000000008</v>
      </c>
      <c r="BK498" s="3">
        <f t="shared" si="237"/>
        <v>0.49554433754644861</v>
      </c>
      <c r="BL498">
        <v>2</v>
      </c>
      <c r="BM498" s="3">
        <f t="shared" si="260"/>
        <v>1.8486741835930744</v>
      </c>
      <c r="BN498" t="s">
        <v>33</v>
      </c>
      <c r="BO498" s="3">
        <f t="shared" si="238"/>
        <v>70.578785942491976</v>
      </c>
      <c r="BP498" t="s">
        <v>33</v>
      </c>
      <c r="BQ498" t="s">
        <v>33</v>
      </c>
      <c r="BR498" t="s">
        <v>33</v>
      </c>
      <c r="BS498" t="s">
        <v>33</v>
      </c>
      <c r="BT498" t="s">
        <v>31</v>
      </c>
      <c r="BU498" s="13" t="s">
        <v>135</v>
      </c>
      <c r="BV498" s="14">
        <v>2010</v>
      </c>
      <c r="BW498" s="13" t="s">
        <v>140</v>
      </c>
      <c r="BX498" t="s">
        <v>78</v>
      </c>
      <c r="BY498" s="13" t="s">
        <v>687</v>
      </c>
      <c r="CA498" t="str">
        <f t="shared" si="239"/>
        <v>high acid</v>
      </c>
    </row>
    <row r="499" spans="1:79">
      <c r="A499" t="s">
        <v>584</v>
      </c>
      <c r="B499" t="s">
        <v>566</v>
      </c>
      <c r="C499" t="s">
        <v>563</v>
      </c>
      <c r="D499" t="s">
        <v>607</v>
      </c>
      <c r="E499" t="s">
        <v>77</v>
      </c>
      <c r="F499" t="s">
        <v>33</v>
      </c>
      <c r="G499">
        <v>20</v>
      </c>
      <c r="H499">
        <v>35</v>
      </c>
      <c r="I499" t="b">
        <v>0</v>
      </c>
      <c r="J499">
        <v>1000</v>
      </c>
      <c r="K499">
        <v>200</v>
      </c>
      <c r="L499">
        <v>25</v>
      </c>
      <c r="M499" s="4">
        <v>1</v>
      </c>
      <c r="N499" t="e">
        <f>(#REF!*Y499)/(T499*X499*O499)</f>
        <v>#REF!</v>
      </c>
      <c r="O499">
        <v>3</v>
      </c>
      <c r="P499" t="s">
        <v>33</v>
      </c>
      <c r="Q499" s="1">
        <f t="shared" si="256"/>
        <v>50.000000000000007</v>
      </c>
      <c r="R499" t="s">
        <v>183</v>
      </c>
      <c r="S499" t="s">
        <v>33</v>
      </c>
      <c r="T499">
        <v>1</v>
      </c>
      <c r="U499">
        <v>2.5</v>
      </c>
      <c r="V499" t="s">
        <v>33</v>
      </c>
      <c r="W499">
        <v>0.50249999999999995</v>
      </c>
      <c r="X499">
        <f>W499</f>
        <v>0.50249999999999995</v>
      </c>
      <c r="Y499" t="s">
        <v>33</v>
      </c>
      <c r="Z499" s="3">
        <f t="shared" si="253"/>
        <v>1.0049999999999998E-2</v>
      </c>
      <c r="AA499" t="s">
        <v>33</v>
      </c>
      <c r="AB499">
        <f t="shared" si="257"/>
        <v>50.000000000000007</v>
      </c>
      <c r="AC499" s="1" t="str">
        <f t="shared" si="254"/>
        <v>NA</v>
      </c>
      <c r="AE499" s="3">
        <f t="shared" si="255"/>
        <v>93.750000000000014</v>
      </c>
      <c r="AF499">
        <v>150</v>
      </c>
      <c r="AG499" s="1" t="str">
        <f t="shared" si="258"/>
        <v>NA</v>
      </c>
      <c r="AH499" s="1" t="str">
        <f t="shared" si="259"/>
        <v>NA</v>
      </c>
      <c r="AI499" s="1">
        <v>1</v>
      </c>
      <c r="AJ499" s="11" t="s">
        <v>31</v>
      </c>
      <c r="AK499">
        <v>1000</v>
      </c>
      <c r="AL499" t="s">
        <v>614</v>
      </c>
      <c r="AM499" s="3" t="s">
        <v>103</v>
      </c>
      <c r="AN499" t="s">
        <v>305</v>
      </c>
      <c r="AO499" t="s">
        <v>790</v>
      </c>
      <c r="AP499">
        <v>3.5</v>
      </c>
      <c r="AQ499" t="s">
        <v>33</v>
      </c>
      <c r="AR499" t="s">
        <v>33</v>
      </c>
      <c r="AS499">
        <v>8</v>
      </c>
      <c r="AT499">
        <f>AS499-AU499</f>
        <v>4.0199999999999996</v>
      </c>
      <c r="AU499" s="6">
        <v>3.98</v>
      </c>
      <c r="AV499" t="b">
        <v>1</v>
      </c>
      <c r="AW499" t="s">
        <v>617</v>
      </c>
      <c r="AX499" t="s">
        <v>33</v>
      </c>
      <c r="AY499" t="s">
        <v>623</v>
      </c>
      <c r="AZ499" t="s">
        <v>621</v>
      </c>
      <c r="BA499" s="18" t="s">
        <v>802</v>
      </c>
      <c r="BB499" s="3" t="b">
        <v>0</v>
      </c>
      <c r="BC499" t="s">
        <v>81</v>
      </c>
      <c r="BD499">
        <v>18</v>
      </c>
      <c r="BE499" t="s">
        <v>80</v>
      </c>
      <c r="BF499">
        <v>24</v>
      </c>
      <c r="BG499" t="s">
        <v>642</v>
      </c>
      <c r="BH499" t="s">
        <v>32</v>
      </c>
      <c r="BI499" t="s">
        <v>31</v>
      </c>
      <c r="BJ499">
        <f t="shared" si="246"/>
        <v>3.98</v>
      </c>
      <c r="BK499" s="3">
        <f t="shared" si="237"/>
        <v>0.59988307207368785</v>
      </c>
      <c r="BL499">
        <v>2</v>
      </c>
      <c r="BM499" s="3">
        <f t="shared" si="260"/>
        <v>1.3720882043260687</v>
      </c>
      <c r="BN499" t="s">
        <v>33</v>
      </c>
      <c r="BO499" s="3">
        <f t="shared" si="238"/>
        <v>23.55527638190955</v>
      </c>
      <c r="BP499" t="s">
        <v>33</v>
      </c>
      <c r="BQ499" t="s">
        <v>33</v>
      </c>
      <c r="BR499" t="s">
        <v>33</v>
      </c>
      <c r="BS499" t="s">
        <v>33</v>
      </c>
      <c r="BT499" t="s">
        <v>31</v>
      </c>
      <c r="BU499" t="s">
        <v>255</v>
      </c>
      <c r="BV499">
        <v>2010</v>
      </c>
      <c r="BW499" t="s">
        <v>651</v>
      </c>
      <c r="BX499" t="s">
        <v>78</v>
      </c>
      <c r="BY499" s="13" t="s">
        <v>674</v>
      </c>
      <c r="CA499" t="str">
        <f t="shared" si="239"/>
        <v>high acid</v>
      </c>
    </row>
    <row r="500" spans="1:79">
      <c r="A500" t="s">
        <v>589</v>
      </c>
      <c r="B500" t="s">
        <v>566</v>
      </c>
      <c r="C500" t="s">
        <v>563</v>
      </c>
      <c r="D500" t="s">
        <v>33</v>
      </c>
      <c r="E500" t="s">
        <v>77</v>
      </c>
      <c r="F500" t="s">
        <v>33</v>
      </c>
      <c r="G500" t="s">
        <v>33</v>
      </c>
      <c r="H500">
        <v>35</v>
      </c>
      <c r="I500" t="b">
        <v>0</v>
      </c>
      <c r="J500" t="s">
        <v>33</v>
      </c>
      <c r="K500" t="s">
        <v>33</v>
      </c>
      <c r="L500">
        <v>25</v>
      </c>
      <c r="M500" s="4">
        <v>1</v>
      </c>
      <c r="N500" t="e">
        <f>(#REF!*Y500)/(T500*X500*O500)</f>
        <v>#REF!</v>
      </c>
      <c r="O500">
        <v>2</v>
      </c>
      <c r="P500" t="s">
        <v>33</v>
      </c>
      <c r="Q500" s="1">
        <f t="shared" si="256"/>
        <v>197</v>
      </c>
      <c r="R500" t="s">
        <v>183</v>
      </c>
      <c r="S500" t="s">
        <v>613</v>
      </c>
      <c r="T500">
        <v>1</v>
      </c>
      <c r="U500">
        <v>2.5</v>
      </c>
      <c r="V500" t="s">
        <v>33</v>
      </c>
      <c r="W500">
        <v>0.50249999999999995</v>
      </c>
      <c r="X500">
        <f>W500</f>
        <v>0.50249999999999995</v>
      </c>
      <c r="Y500" t="s">
        <v>33</v>
      </c>
      <c r="Z500" s="3">
        <f t="shared" si="253"/>
        <v>2.5507614213197967E-3</v>
      </c>
      <c r="AA500" t="s">
        <v>33</v>
      </c>
      <c r="AB500">
        <f t="shared" si="257"/>
        <v>197</v>
      </c>
      <c r="AC500" s="1" t="str">
        <f t="shared" si="254"/>
        <v>NA</v>
      </c>
      <c r="AE500" s="3">
        <f t="shared" si="255"/>
        <v>492.5</v>
      </c>
      <c r="AF500">
        <v>394</v>
      </c>
      <c r="AG500" s="1" t="str">
        <f t="shared" si="258"/>
        <v>NA</v>
      </c>
      <c r="AH500" s="1" t="str">
        <f t="shared" si="259"/>
        <v>NA</v>
      </c>
      <c r="AI500" s="1">
        <v>1</v>
      </c>
      <c r="AJ500" s="11" t="s">
        <v>31</v>
      </c>
      <c r="AK500">
        <v>2000</v>
      </c>
      <c r="AL500" t="s">
        <v>616</v>
      </c>
      <c r="AM500" s="3" t="s">
        <v>103</v>
      </c>
      <c r="AN500" t="s">
        <v>130</v>
      </c>
      <c r="AO500" t="s">
        <v>795</v>
      </c>
      <c r="AP500">
        <v>7</v>
      </c>
      <c r="AQ500" t="s">
        <v>33</v>
      </c>
      <c r="AR500" t="s">
        <v>33</v>
      </c>
      <c r="AS500">
        <v>9</v>
      </c>
      <c r="AT500">
        <f>AS500-AU500</f>
        <v>4.0199999999999996</v>
      </c>
      <c r="AU500" s="6">
        <v>4.9800000000000004</v>
      </c>
      <c r="AV500" t="b">
        <v>1</v>
      </c>
      <c r="AW500" t="s">
        <v>617</v>
      </c>
      <c r="AX500" t="s">
        <v>33</v>
      </c>
      <c r="AY500" t="s">
        <v>628</v>
      </c>
      <c r="AZ500" t="s">
        <v>619</v>
      </c>
      <c r="BA500" s="18" t="s">
        <v>802</v>
      </c>
      <c r="BB500" s="3" t="b">
        <v>0</v>
      </c>
      <c r="BC500" t="s">
        <v>81</v>
      </c>
      <c r="BD500">
        <v>24</v>
      </c>
      <c r="BE500" t="s">
        <v>80</v>
      </c>
      <c r="BF500">
        <v>24</v>
      </c>
      <c r="BG500" t="s">
        <v>644</v>
      </c>
      <c r="BH500" t="s">
        <v>31</v>
      </c>
      <c r="BI500" t="s">
        <v>31</v>
      </c>
      <c r="BJ500">
        <f t="shared" si="246"/>
        <v>4.9800000000000004</v>
      </c>
      <c r="BK500" s="3">
        <f t="shared" si="237"/>
        <v>0.6972293427597176</v>
      </c>
      <c r="BL500">
        <v>2</v>
      </c>
      <c r="BM500" s="3">
        <f t="shared" si="260"/>
        <v>1.995176892073913</v>
      </c>
      <c r="BN500" t="s">
        <v>33</v>
      </c>
      <c r="BO500" s="3">
        <f t="shared" si="238"/>
        <v>98.895582329317264</v>
      </c>
      <c r="BP500" t="s">
        <v>33</v>
      </c>
      <c r="BQ500" t="s">
        <v>33</v>
      </c>
      <c r="BR500" t="s">
        <v>33</v>
      </c>
      <c r="BS500" t="s">
        <v>33</v>
      </c>
      <c r="BT500" t="s">
        <v>31</v>
      </c>
      <c r="BU500" s="15" t="s">
        <v>655</v>
      </c>
      <c r="BV500">
        <v>2003</v>
      </c>
      <c r="BW500" t="s">
        <v>656</v>
      </c>
      <c r="BX500" t="s">
        <v>78</v>
      </c>
      <c r="BY500" s="13" t="s">
        <v>677</v>
      </c>
      <c r="CA500" t="str">
        <f t="shared" si="239"/>
        <v>low acid</v>
      </c>
    </row>
    <row r="501" spans="1:79">
      <c r="A501" t="s">
        <v>237</v>
      </c>
      <c r="B501" t="s">
        <v>565</v>
      </c>
      <c r="C501" t="s">
        <v>563</v>
      </c>
      <c r="D501" t="s">
        <v>118</v>
      </c>
      <c r="E501" t="s">
        <v>77</v>
      </c>
      <c r="F501" t="s">
        <v>32</v>
      </c>
      <c r="G501">
        <v>4</v>
      </c>
      <c r="H501">
        <v>32.5</v>
      </c>
      <c r="I501" t="b">
        <v>0</v>
      </c>
      <c r="J501" t="s">
        <v>33</v>
      </c>
      <c r="K501" t="s">
        <v>33</v>
      </c>
      <c r="L501">
        <v>35</v>
      </c>
      <c r="M501" s="4">
        <v>200</v>
      </c>
      <c r="N501" s="3">
        <f>IFERROR(AF501/((T501*X501/Y501)*O501*AI501),"NA")</f>
        <v>1545.5137286547574</v>
      </c>
      <c r="O501">
        <v>4</v>
      </c>
      <c r="P501" t="s">
        <v>33</v>
      </c>
      <c r="Q501" s="9">
        <f t="shared" si="256"/>
        <v>9.3749999999999986E-2</v>
      </c>
      <c r="R501" t="s">
        <v>183</v>
      </c>
      <c r="S501" t="s">
        <v>612</v>
      </c>
      <c r="T501" s="11">
        <v>8</v>
      </c>
      <c r="U501">
        <v>2.92</v>
      </c>
      <c r="V501">
        <v>2.2999999999999998</v>
      </c>
      <c r="W501">
        <v>1.2E-2</v>
      </c>
      <c r="X501" s="8">
        <f>IFERROR(((PI())*(((V501*10^-1)/2)^2)*(U501*10^-1)), "NA")</f>
        <v>1.2131888350367701E-2</v>
      </c>
      <c r="Y501" s="6">
        <f>60/60</f>
        <v>1</v>
      </c>
      <c r="Z501" s="3">
        <f t="shared" si="253"/>
        <v>0.12940680907058882</v>
      </c>
      <c r="AA501" t="s">
        <v>33</v>
      </c>
      <c r="AB501" s="6">
        <f t="shared" si="257"/>
        <v>18.749999999999996</v>
      </c>
      <c r="AC501" t="str">
        <f t="shared" si="254"/>
        <v>NA</v>
      </c>
      <c r="AD501" s="4">
        <f>AB501*T501*AI501</f>
        <v>149.99999999999997</v>
      </c>
      <c r="AE501" s="3">
        <f t="shared" si="255"/>
        <v>3116.3999999999992</v>
      </c>
      <c r="AF501">
        <v>600</v>
      </c>
      <c r="AG501" t="str">
        <f>IFERROR((M501*O501*P501), "NA")</f>
        <v>NA</v>
      </c>
      <c r="AH501" t="str">
        <f>IFERROR((AG501*T501*AI501), "NA")</f>
        <v>NA</v>
      </c>
      <c r="AI501">
        <v>1</v>
      </c>
      <c r="AJ501" t="s">
        <v>31</v>
      </c>
      <c r="AK501">
        <v>4240</v>
      </c>
      <c r="AL501" t="s">
        <v>238</v>
      </c>
      <c r="AM501" t="s">
        <v>86</v>
      </c>
      <c r="AN501" t="s">
        <v>205</v>
      </c>
      <c r="AO501" t="s">
        <v>789</v>
      </c>
      <c r="AP501">
        <v>3.56</v>
      </c>
      <c r="AQ501" t="s">
        <v>33</v>
      </c>
      <c r="AR501" t="s">
        <v>33</v>
      </c>
      <c r="AS501">
        <f>LOG(10^8)</f>
        <v>8</v>
      </c>
      <c r="AT501" s="3">
        <f>IFERROR(AS501-AU501,"NA")</f>
        <v>4.0209999999999999</v>
      </c>
      <c r="AU501" s="6">
        <v>3.9790000000000001</v>
      </c>
      <c r="AV501" t="b">
        <v>1</v>
      </c>
      <c r="AW501" t="s">
        <v>172</v>
      </c>
      <c r="AX501" t="s">
        <v>173</v>
      </c>
      <c r="AY501" t="s">
        <v>239</v>
      </c>
      <c r="AZ501" t="s">
        <v>33</v>
      </c>
      <c r="BA501" s="18" t="s">
        <v>799</v>
      </c>
      <c r="BB501" t="b">
        <v>0</v>
      </c>
      <c r="BC501" t="s">
        <v>81</v>
      </c>
      <c r="BD501">
        <v>48</v>
      </c>
      <c r="BE501" t="s">
        <v>80</v>
      </c>
      <c r="BF501" s="11">
        <v>120</v>
      </c>
      <c r="BG501" t="s">
        <v>571</v>
      </c>
      <c r="BH501" t="s">
        <v>31</v>
      </c>
      <c r="BI501" t="s">
        <v>31</v>
      </c>
      <c r="BJ501" s="3">
        <f t="shared" si="246"/>
        <v>3.9790000000000001</v>
      </c>
      <c r="BK501" s="3">
        <f t="shared" si="237"/>
        <v>0.59977393914638832</v>
      </c>
      <c r="BL501">
        <v>2</v>
      </c>
      <c r="BM501" s="3">
        <f t="shared" si="260"/>
        <v>2.8938792565305391</v>
      </c>
      <c r="BN501" t="s">
        <v>33</v>
      </c>
      <c r="BO501" s="3">
        <f t="shared" si="238"/>
        <v>783.21186227695375</v>
      </c>
      <c r="BP501" t="s">
        <v>33</v>
      </c>
      <c r="BQ501" t="s">
        <v>33</v>
      </c>
      <c r="BR501" t="s">
        <v>33</v>
      </c>
      <c r="BS501" t="s">
        <v>33</v>
      </c>
      <c r="BT501" t="s">
        <v>31</v>
      </c>
      <c r="BU501" t="s">
        <v>240</v>
      </c>
      <c r="BV501">
        <v>2004</v>
      </c>
      <c r="BW501" t="s">
        <v>241</v>
      </c>
      <c r="BX501" t="s">
        <v>78</v>
      </c>
      <c r="BY501" t="s">
        <v>33</v>
      </c>
      <c r="BZ501" t="s">
        <v>33</v>
      </c>
      <c r="CA501" t="str">
        <f t="shared" si="239"/>
        <v>high acid</v>
      </c>
    </row>
    <row r="502" spans="1:79">
      <c r="A502" t="s">
        <v>535</v>
      </c>
      <c r="B502" t="s">
        <v>565</v>
      </c>
      <c r="C502" t="s">
        <v>564</v>
      </c>
      <c r="D502" t="s">
        <v>243</v>
      </c>
      <c r="E502" t="s">
        <v>77</v>
      </c>
      <c r="F502" t="s">
        <v>32</v>
      </c>
      <c r="G502">
        <v>40</v>
      </c>
      <c r="H502">
        <v>43</v>
      </c>
      <c r="I502" t="b">
        <v>0</v>
      </c>
      <c r="J502" t="s">
        <v>33</v>
      </c>
      <c r="K502" t="s">
        <v>33</v>
      </c>
      <c r="L502">
        <v>15</v>
      </c>
      <c r="M502" s="4">
        <v>120</v>
      </c>
      <c r="N502" s="3">
        <f>IFERROR(AF502/((T502*X502/Y502)*O502*AI502),"NA")</f>
        <v>150.41764016738955</v>
      </c>
      <c r="O502">
        <v>3</v>
      </c>
      <c r="P502" t="s">
        <v>33</v>
      </c>
      <c r="Q502" s="9">
        <f t="shared" si="256"/>
        <v>4.7916666666666663E-2</v>
      </c>
      <c r="R502" t="s">
        <v>183</v>
      </c>
      <c r="S502" t="s">
        <v>612</v>
      </c>
      <c r="T502" s="11">
        <v>4</v>
      </c>
      <c r="U502">
        <v>3</v>
      </c>
      <c r="V502">
        <v>2.6</v>
      </c>
      <c r="W502">
        <v>1.5900000000000001E-2</v>
      </c>
      <c r="X502" s="8">
        <f>IFERROR(((PI())*(((V502*10^-1)/2)^2)*(U502*10^-1)), "NA")</f>
        <v>1.5927874753700257E-2</v>
      </c>
      <c r="Y502" s="6">
        <f>25/60</f>
        <v>0.41666666666666669</v>
      </c>
      <c r="Z502" s="3">
        <f t="shared" si="253"/>
        <v>0.332407820946788</v>
      </c>
      <c r="AA502" t="s">
        <v>33</v>
      </c>
      <c r="AB502" s="6">
        <f t="shared" si="257"/>
        <v>5.7499999999999991</v>
      </c>
      <c r="AC502" t="str">
        <f t="shared" si="254"/>
        <v>NA</v>
      </c>
      <c r="AD502" s="4">
        <f>IFERROR(AB502*T502*AI502, "NA")</f>
        <v>22.999999999999996</v>
      </c>
      <c r="AE502" s="3">
        <f t="shared" si="255"/>
        <v>14.282999999999998</v>
      </c>
      <c r="AF502">
        <v>69</v>
      </c>
      <c r="AG502" t="str">
        <f>IFERROR((M502*O502*P502), "NA")</f>
        <v>NA</v>
      </c>
      <c r="AH502" t="str">
        <f>IFERROR((AG502*T502*AI502), "NA")</f>
        <v>NA</v>
      </c>
      <c r="AI502" s="11">
        <v>1</v>
      </c>
      <c r="AJ502" t="s">
        <v>31</v>
      </c>
      <c r="AK502">
        <v>920</v>
      </c>
      <c r="AL502" t="s">
        <v>551</v>
      </c>
      <c r="AM502" t="s">
        <v>86</v>
      </c>
      <c r="AN502" t="s">
        <v>186</v>
      </c>
      <c r="AO502" t="s">
        <v>794</v>
      </c>
      <c r="AP502">
        <v>5.92</v>
      </c>
      <c r="AQ502" t="s">
        <v>33</v>
      </c>
      <c r="AR502" t="s">
        <v>33</v>
      </c>
      <c r="AS502" s="6">
        <f>LOG(1.1*10^7)</f>
        <v>7.0413926851582254</v>
      </c>
      <c r="AT502" s="3">
        <f>IFERROR(AS502-AU502,"NA")</f>
        <v>4.0213926851582258</v>
      </c>
      <c r="AU502" s="6">
        <v>3.02</v>
      </c>
      <c r="AV502" t="b">
        <v>1</v>
      </c>
      <c r="AW502" t="s">
        <v>172</v>
      </c>
      <c r="AX502" t="s">
        <v>173</v>
      </c>
      <c r="AY502" t="s">
        <v>246</v>
      </c>
      <c r="AZ502" t="s">
        <v>33</v>
      </c>
      <c r="BA502" s="18" t="s">
        <v>799</v>
      </c>
      <c r="BB502" t="b">
        <v>0</v>
      </c>
      <c r="BC502" t="s">
        <v>81</v>
      </c>
      <c r="BD502">
        <v>72</v>
      </c>
      <c r="BE502" t="s">
        <v>80</v>
      </c>
      <c r="BF502" s="11">
        <v>72</v>
      </c>
      <c r="BG502" t="s">
        <v>522</v>
      </c>
      <c r="BH502" t="s">
        <v>31</v>
      </c>
      <c r="BI502" t="s">
        <v>31</v>
      </c>
      <c r="BJ502" s="3">
        <f t="shared" si="246"/>
        <v>3.02</v>
      </c>
      <c r="BK502" s="3">
        <f t="shared" si="237"/>
        <v>0.48000694295715063</v>
      </c>
      <c r="BL502">
        <v>2</v>
      </c>
      <c r="BM502" s="3">
        <f t="shared" si="260"/>
        <v>0.6748124932370223</v>
      </c>
      <c r="BN502" t="s">
        <v>33</v>
      </c>
      <c r="BO502" s="3">
        <f t="shared" si="238"/>
        <v>4.7294701986754957</v>
      </c>
      <c r="BP502" t="s">
        <v>33</v>
      </c>
      <c r="BQ502" t="s">
        <v>33</v>
      </c>
      <c r="BR502" t="s">
        <v>33</v>
      </c>
      <c r="BS502" t="s">
        <v>33</v>
      </c>
      <c r="BT502" t="s">
        <v>32</v>
      </c>
      <c r="BU502" t="s">
        <v>207</v>
      </c>
      <c r="BV502">
        <v>2014</v>
      </c>
      <c r="BW502" s="2" t="s">
        <v>242</v>
      </c>
      <c r="BX502" t="s">
        <v>78</v>
      </c>
      <c r="BY502" t="s">
        <v>33</v>
      </c>
      <c r="BZ502" t="s">
        <v>33</v>
      </c>
      <c r="CA502" t="str">
        <f t="shared" si="239"/>
        <v>low acid</v>
      </c>
    </row>
    <row r="503" spans="1:79">
      <c r="A503" t="s">
        <v>258</v>
      </c>
      <c r="B503" t="s">
        <v>565</v>
      </c>
      <c r="C503" t="s">
        <v>563</v>
      </c>
      <c r="D503" t="s">
        <v>118</v>
      </c>
      <c r="E503" t="s">
        <v>77</v>
      </c>
      <c r="F503" t="s">
        <v>32</v>
      </c>
      <c r="G503">
        <v>5</v>
      </c>
      <c r="H503">
        <v>40</v>
      </c>
      <c r="I503" t="b">
        <v>0</v>
      </c>
      <c r="J503" t="s">
        <v>33</v>
      </c>
      <c r="K503" t="s">
        <v>33</v>
      </c>
      <c r="L503">
        <v>35</v>
      </c>
      <c r="M503" s="4">
        <v>250</v>
      </c>
      <c r="N503" s="3">
        <f>IFERROR(AF503/((T503*X503/Y503)*O503*AI503),"NA")</f>
        <v>9444.8061195568516</v>
      </c>
      <c r="O503">
        <v>4</v>
      </c>
      <c r="P503" t="s">
        <v>33</v>
      </c>
      <c r="Q503">
        <f t="shared" si="256"/>
        <v>0.25</v>
      </c>
      <c r="R503" t="s">
        <v>183</v>
      </c>
      <c r="S503" t="s">
        <v>613</v>
      </c>
      <c r="T503" s="11">
        <v>8</v>
      </c>
      <c r="U503">
        <v>2.92</v>
      </c>
      <c r="V503">
        <v>2.2999999999999998</v>
      </c>
      <c r="W503">
        <v>1.21E-2</v>
      </c>
      <c r="X503" s="8">
        <f>IFERROR(((PI())*(((V503*10^-1)/2)^2)*(U503*10^-1)), "NA")</f>
        <v>1.2131888350367701E-2</v>
      </c>
      <c r="Y503" s="6">
        <f>110/60</f>
        <v>1.8333333333333333</v>
      </c>
      <c r="Z503" s="3">
        <f t="shared" si="253"/>
        <v>4.8527553401470802E-2</v>
      </c>
      <c r="AA503" t="s">
        <v>33</v>
      </c>
      <c r="AB503" s="6">
        <f t="shared" si="257"/>
        <v>62.5</v>
      </c>
      <c r="AC503" t="str">
        <f t="shared" si="254"/>
        <v>NA</v>
      </c>
      <c r="AD503" s="4">
        <f>AB503*T503*AI503</f>
        <v>500</v>
      </c>
      <c r="AE503" s="3">
        <f t="shared" si="255"/>
        <v>5341</v>
      </c>
      <c r="AF503">
        <v>2000</v>
      </c>
      <c r="AG503" t="str">
        <f>IFERROR((M503*O503*P503), "NA")</f>
        <v>NA</v>
      </c>
      <c r="AH503" t="str">
        <f>IFERROR((AG503*T503*AI503), "NA")</f>
        <v>NA</v>
      </c>
      <c r="AI503">
        <v>1</v>
      </c>
      <c r="AJ503" t="s">
        <v>31</v>
      </c>
      <c r="AK503">
        <v>2180</v>
      </c>
      <c r="AL503" t="s">
        <v>149</v>
      </c>
      <c r="AM503" t="s">
        <v>86</v>
      </c>
      <c r="AN503" t="s">
        <v>205</v>
      </c>
      <c r="AO503" t="s">
        <v>789</v>
      </c>
      <c r="AP503">
        <v>4.46</v>
      </c>
      <c r="AQ503" t="s">
        <v>33</v>
      </c>
      <c r="AR503" t="s">
        <v>33</v>
      </c>
      <c r="AS503" s="6">
        <f>LOG((10^7+10^8)/2)</f>
        <v>7.7403626894942441</v>
      </c>
      <c r="AT503" s="3">
        <f>IFERROR(AS503-AU503,"NA")</f>
        <v>4.0333626894942443</v>
      </c>
      <c r="AU503" s="6">
        <v>3.7069999999999999</v>
      </c>
      <c r="AV503" t="b">
        <v>1</v>
      </c>
      <c r="AW503" t="s">
        <v>29</v>
      </c>
      <c r="AX503" t="s">
        <v>30</v>
      </c>
      <c r="AY503" t="s">
        <v>33</v>
      </c>
      <c r="AZ503" t="s">
        <v>134</v>
      </c>
      <c r="BA503" s="18" t="s">
        <v>798</v>
      </c>
      <c r="BB503" t="b">
        <v>0</v>
      </c>
      <c r="BC503" t="s">
        <v>81</v>
      </c>
      <c r="BD503">
        <v>15</v>
      </c>
      <c r="BE503" t="s">
        <v>80</v>
      </c>
      <c r="BF503" s="11">
        <v>24</v>
      </c>
      <c r="BG503" t="s">
        <v>262</v>
      </c>
      <c r="BH503" t="s">
        <v>31</v>
      </c>
      <c r="BI503" t="s">
        <v>31</v>
      </c>
      <c r="BJ503" s="3">
        <f t="shared" si="246"/>
        <v>3.7069999999999999</v>
      </c>
      <c r="BK503" s="3">
        <f t="shared" si="237"/>
        <v>0.56902258602956368</v>
      </c>
      <c r="BL503">
        <v>2</v>
      </c>
      <c r="BM503" s="3">
        <f t="shared" si="260"/>
        <v>3.1585999919395737</v>
      </c>
      <c r="BN503" t="s">
        <v>33</v>
      </c>
      <c r="BO503" s="3">
        <f t="shared" si="238"/>
        <v>1440.7876989479364</v>
      </c>
      <c r="BP503" t="s">
        <v>33</v>
      </c>
      <c r="BQ503" t="s">
        <v>33</v>
      </c>
      <c r="BR503" t="s">
        <v>33</v>
      </c>
      <c r="BS503" t="s">
        <v>33</v>
      </c>
      <c r="BT503" t="s">
        <v>31</v>
      </c>
      <c r="BU503" t="s">
        <v>219</v>
      </c>
      <c r="BV503">
        <v>2008</v>
      </c>
      <c r="BW503" s="2" t="s">
        <v>257</v>
      </c>
      <c r="BX503" t="s">
        <v>78</v>
      </c>
      <c r="BY503" t="s">
        <v>33</v>
      </c>
      <c r="BZ503" t="s">
        <v>33</v>
      </c>
      <c r="CA503" t="str">
        <f t="shared" si="239"/>
        <v>high acid</v>
      </c>
    </row>
    <row r="504" spans="1:79">
      <c r="A504" t="s">
        <v>584</v>
      </c>
      <c r="B504" t="s">
        <v>566</v>
      </c>
      <c r="C504" t="s">
        <v>563</v>
      </c>
      <c r="D504" t="s">
        <v>607</v>
      </c>
      <c r="E504" t="s">
        <v>77</v>
      </c>
      <c r="F504" t="s">
        <v>33</v>
      </c>
      <c r="G504">
        <v>20</v>
      </c>
      <c r="H504">
        <v>35</v>
      </c>
      <c r="I504" t="b">
        <v>0</v>
      </c>
      <c r="J504">
        <v>1000</v>
      </c>
      <c r="K504">
        <v>200</v>
      </c>
      <c r="L504">
        <v>25</v>
      </c>
      <c r="M504" s="4">
        <v>1</v>
      </c>
      <c r="N504" t="e">
        <f>(#REF!*Y504)/(T504*X504*O504)</f>
        <v>#REF!</v>
      </c>
      <c r="O504">
        <v>3</v>
      </c>
      <c r="P504" t="s">
        <v>33</v>
      </c>
      <c r="Q504" s="1">
        <f t="shared" si="256"/>
        <v>100.00000000000001</v>
      </c>
      <c r="R504" t="s">
        <v>183</v>
      </c>
      <c r="S504" t="s">
        <v>33</v>
      </c>
      <c r="T504">
        <v>1</v>
      </c>
      <c r="U504">
        <v>2.5</v>
      </c>
      <c r="V504" t="s">
        <v>33</v>
      </c>
      <c r="W504">
        <v>0.50249999999999995</v>
      </c>
      <c r="X504">
        <f>W504</f>
        <v>0.50249999999999995</v>
      </c>
      <c r="Y504" t="s">
        <v>33</v>
      </c>
      <c r="Z504" s="3">
        <f t="shared" si="253"/>
        <v>5.0249999999999991E-3</v>
      </c>
      <c r="AA504" t="s">
        <v>33</v>
      </c>
      <c r="AB504">
        <f t="shared" si="257"/>
        <v>100.00000000000001</v>
      </c>
      <c r="AC504" s="1" t="str">
        <f t="shared" si="254"/>
        <v>NA</v>
      </c>
      <c r="AE504" s="3">
        <f t="shared" si="255"/>
        <v>187.50000000000003</v>
      </c>
      <c r="AF504">
        <v>300</v>
      </c>
      <c r="AG504" s="1" t="str">
        <f>IFERROR((N504*P504*Q504), "NA")</f>
        <v>NA</v>
      </c>
      <c r="AH504" s="1" t="str">
        <f>IFERROR((AG504*U504*AI504), "NA")</f>
        <v>NA</v>
      </c>
      <c r="AI504" s="1">
        <v>1</v>
      </c>
      <c r="AJ504" s="11" t="s">
        <v>31</v>
      </c>
      <c r="AK504">
        <v>1000</v>
      </c>
      <c r="AL504" t="s">
        <v>614</v>
      </c>
      <c r="AM504" s="3" t="s">
        <v>103</v>
      </c>
      <c r="AN504" t="s">
        <v>305</v>
      </c>
      <c r="AO504" t="s">
        <v>790</v>
      </c>
      <c r="AP504">
        <v>4.5</v>
      </c>
      <c r="AQ504" t="s">
        <v>33</v>
      </c>
      <c r="AR504" t="s">
        <v>33</v>
      </c>
      <c r="AS504">
        <v>8</v>
      </c>
      <c r="AT504">
        <f>AS504-AU504</f>
        <v>4.04</v>
      </c>
      <c r="AU504" s="6">
        <v>3.96</v>
      </c>
      <c r="AV504" t="b">
        <v>1</v>
      </c>
      <c r="AW504" t="s">
        <v>617</v>
      </c>
      <c r="AX504" t="s">
        <v>33</v>
      </c>
      <c r="AY504" t="s">
        <v>623</v>
      </c>
      <c r="AZ504" t="s">
        <v>621</v>
      </c>
      <c r="BA504" s="18" t="s">
        <v>802</v>
      </c>
      <c r="BB504" s="3" t="b">
        <v>0</v>
      </c>
      <c r="BC504" t="s">
        <v>81</v>
      </c>
      <c r="BD504">
        <v>18</v>
      </c>
      <c r="BE504" t="s">
        <v>80</v>
      </c>
      <c r="BF504">
        <v>24</v>
      </c>
      <c r="BG504" t="s">
        <v>569</v>
      </c>
      <c r="BH504" t="s">
        <v>31</v>
      </c>
      <c r="BI504" t="s">
        <v>31</v>
      </c>
      <c r="BJ504">
        <f t="shared" si="246"/>
        <v>3.96</v>
      </c>
      <c r="BK504" s="3">
        <f t="shared" si="237"/>
        <v>0.5976951859255123</v>
      </c>
      <c r="BL504">
        <v>2</v>
      </c>
      <c r="BM504" s="3">
        <f t="shared" si="260"/>
        <v>1.6753060861382254</v>
      </c>
      <c r="BN504" t="s">
        <v>33</v>
      </c>
      <c r="BO504" s="3">
        <f t="shared" si="238"/>
        <v>47.348484848484858</v>
      </c>
      <c r="BP504" t="s">
        <v>33</v>
      </c>
      <c r="BQ504" t="s">
        <v>33</v>
      </c>
      <c r="BR504" t="s">
        <v>33</v>
      </c>
      <c r="BS504" t="s">
        <v>33</v>
      </c>
      <c r="BT504" t="s">
        <v>31</v>
      </c>
      <c r="BU504" t="s">
        <v>255</v>
      </c>
      <c r="BV504">
        <v>2010</v>
      </c>
      <c r="BW504" t="s">
        <v>651</v>
      </c>
      <c r="BX504" t="s">
        <v>78</v>
      </c>
      <c r="BY504" s="13" t="s">
        <v>674</v>
      </c>
      <c r="CA504" t="str">
        <f t="shared" si="239"/>
        <v>high acid</v>
      </c>
    </row>
    <row r="505" spans="1:79">
      <c r="A505" t="s">
        <v>532</v>
      </c>
      <c r="B505" t="s">
        <v>565</v>
      </c>
      <c r="C505" t="s">
        <v>564</v>
      </c>
      <c r="D505" t="s">
        <v>209</v>
      </c>
      <c r="E505" t="s">
        <v>77</v>
      </c>
      <c r="F505" t="s">
        <v>32</v>
      </c>
      <c r="G505">
        <v>30</v>
      </c>
      <c r="H505">
        <v>38.200000000000003</v>
      </c>
      <c r="I505" t="b">
        <v>0</v>
      </c>
      <c r="J505" t="s">
        <v>33</v>
      </c>
      <c r="K505" t="s">
        <v>33</v>
      </c>
      <c r="L505">
        <v>12</v>
      </c>
      <c r="M505" s="4">
        <v>120</v>
      </c>
      <c r="N505" s="3">
        <f>IFERROR(AF505/((T505*X505/Y505)*O505*AI505),"NA")</f>
        <v>99.406440458448728</v>
      </c>
      <c r="O505">
        <v>3</v>
      </c>
      <c r="P505" t="s">
        <v>33</v>
      </c>
      <c r="Q505" s="9">
        <f t="shared" si="256"/>
        <v>0.10416666666666666</v>
      </c>
      <c r="R505" t="s">
        <v>183</v>
      </c>
      <c r="S505" t="s">
        <v>612</v>
      </c>
      <c r="T505" s="11">
        <v>4</v>
      </c>
      <c r="U505">
        <v>3</v>
      </c>
      <c r="V505">
        <v>2.6</v>
      </c>
      <c r="W505" t="s">
        <v>33</v>
      </c>
      <c r="X505" s="8">
        <f>IFERROR(((PI())*(((V505*10^-1)/2)^2)*(U505*10^-1)), "NA")</f>
        <v>1.5927874753700257E-2</v>
      </c>
      <c r="Y505" s="6">
        <f>7.6/60</f>
        <v>0.12666666666666665</v>
      </c>
      <c r="Z505" s="3">
        <f t="shared" si="253"/>
        <v>0.15290759763552247</v>
      </c>
      <c r="AA505" t="s">
        <v>33</v>
      </c>
      <c r="AB505" s="6">
        <f t="shared" si="257"/>
        <v>12.5</v>
      </c>
      <c r="AC505" t="str">
        <f t="shared" si="254"/>
        <v>NA</v>
      </c>
      <c r="AD505" s="4">
        <f>IFERROR(AB505*T505*AI505, "NA")</f>
        <v>50</v>
      </c>
      <c r="AE505" s="3">
        <f t="shared" si="255"/>
        <v>21.167999999999996</v>
      </c>
      <c r="AF505">
        <v>150</v>
      </c>
      <c r="AG505" t="str">
        <f>IFERROR((M505*O505*P505), "NA")</f>
        <v>NA</v>
      </c>
      <c r="AH505" t="str">
        <f>IFERROR((AG505*T505*AI505), "NA")</f>
        <v>NA</v>
      </c>
      <c r="AI505" s="11">
        <v>1</v>
      </c>
      <c r="AJ505" t="s">
        <v>31</v>
      </c>
      <c r="AK505">
        <v>980</v>
      </c>
      <c r="AL505" t="s">
        <v>551</v>
      </c>
      <c r="AM505" t="s">
        <v>86</v>
      </c>
      <c r="AN505" t="s">
        <v>186</v>
      </c>
      <c r="AO505" t="s">
        <v>794</v>
      </c>
      <c r="AP505">
        <v>5.98</v>
      </c>
      <c r="AQ505" t="s">
        <v>33</v>
      </c>
      <c r="AR505" t="s">
        <v>33</v>
      </c>
      <c r="AS505" s="6">
        <v>6.5</v>
      </c>
      <c r="AT505" s="3">
        <f>IFERROR(AS505-AU505,"NA")</f>
        <v>4.0419999999999998</v>
      </c>
      <c r="AU505" s="6">
        <v>2.4580000000000002</v>
      </c>
      <c r="AV505" t="b">
        <v>1</v>
      </c>
      <c r="AW505" t="s">
        <v>172</v>
      </c>
      <c r="AX505" t="s">
        <v>173</v>
      </c>
      <c r="AY505" t="s">
        <v>246</v>
      </c>
      <c r="AZ505" t="s">
        <v>33</v>
      </c>
      <c r="BA505" s="18" t="s">
        <v>799</v>
      </c>
      <c r="BB505" t="b">
        <v>0</v>
      </c>
      <c r="BC505" t="s">
        <v>81</v>
      </c>
      <c r="BD505">
        <v>72</v>
      </c>
      <c r="BE505" t="s">
        <v>80</v>
      </c>
      <c r="BF505" s="11">
        <v>72</v>
      </c>
      <c r="BG505" t="s">
        <v>522</v>
      </c>
      <c r="BH505" t="s">
        <v>31</v>
      </c>
      <c r="BI505" t="s">
        <v>31</v>
      </c>
      <c r="BJ505" s="3">
        <f t="shared" si="246"/>
        <v>2.4580000000000002</v>
      </c>
      <c r="BK505" s="3">
        <f t="shared" si="237"/>
        <v>0.3905818785504353</v>
      </c>
      <c r="BL505">
        <v>2</v>
      </c>
      <c r="BM505" s="3">
        <f t="shared" si="260"/>
        <v>0.93509794829299031</v>
      </c>
      <c r="BN505" t="s">
        <v>33</v>
      </c>
      <c r="BO505" s="3">
        <f t="shared" si="238"/>
        <v>8.6118795768917789</v>
      </c>
      <c r="BP505" t="s">
        <v>33</v>
      </c>
      <c r="BQ505" t="s">
        <v>33</v>
      </c>
      <c r="BR505" t="s">
        <v>33</v>
      </c>
      <c r="BS505" t="s">
        <v>33</v>
      </c>
      <c r="BT505" t="s">
        <v>32</v>
      </c>
      <c r="BU505" t="s">
        <v>207</v>
      </c>
      <c r="BV505">
        <v>2014</v>
      </c>
      <c r="BW505" t="s">
        <v>208</v>
      </c>
      <c r="BX505" t="s">
        <v>78</v>
      </c>
      <c r="BY505" t="s">
        <v>33</v>
      </c>
      <c r="BZ505" t="s">
        <v>33</v>
      </c>
      <c r="CA505" t="str">
        <f t="shared" si="239"/>
        <v>low acid</v>
      </c>
    </row>
    <row r="506" spans="1:79">
      <c r="A506" t="s">
        <v>391</v>
      </c>
      <c r="B506" t="s">
        <v>565</v>
      </c>
      <c r="C506" t="s">
        <v>563</v>
      </c>
      <c r="D506" t="s">
        <v>118</v>
      </c>
      <c r="E506" t="s">
        <v>77</v>
      </c>
      <c r="F506" t="s">
        <v>32</v>
      </c>
      <c r="G506">
        <v>25</v>
      </c>
      <c r="H506">
        <v>36</v>
      </c>
      <c r="I506" t="b">
        <v>0</v>
      </c>
      <c r="J506" t="s">
        <v>33</v>
      </c>
      <c r="K506" t="s">
        <v>33</v>
      </c>
      <c r="L506">
        <v>30</v>
      </c>
      <c r="M506" s="4">
        <v>200</v>
      </c>
      <c r="N506" s="3" t="str">
        <f>IFERROR(AF506/((T506*X506/Y506)*O506*AI506),"NA")</f>
        <v>NA</v>
      </c>
      <c r="O506">
        <v>4</v>
      </c>
      <c r="P506" t="s">
        <v>33</v>
      </c>
      <c r="Q506" s="8">
        <f t="shared" si="256"/>
        <v>9.3750000000000014E-2</v>
      </c>
      <c r="R506" t="s">
        <v>183</v>
      </c>
      <c r="S506" t="s">
        <v>612</v>
      </c>
      <c r="T506" s="11">
        <v>8</v>
      </c>
      <c r="U506">
        <v>2.9</v>
      </c>
      <c r="V506">
        <v>2.2999999999999998</v>
      </c>
      <c r="W506">
        <v>1.2E-2</v>
      </c>
      <c r="X506" s="8">
        <f>IFERROR(((PI())*(((V506*10^-1)/2)^2)*(U506*10^-1)), "NA")</f>
        <v>1.204879322468025E-2</v>
      </c>
      <c r="Y506" t="s">
        <v>33</v>
      </c>
      <c r="Z506" s="3">
        <f t="shared" si="253"/>
        <v>0.12852046106325599</v>
      </c>
      <c r="AA506" t="s">
        <v>33</v>
      </c>
      <c r="AB506" s="6">
        <f t="shared" si="257"/>
        <v>18.75</v>
      </c>
      <c r="AC506" t="str">
        <f t="shared" si="254"/>
        <v>NA</v>
      </c>
      <c r="AD506" s="4">
        <f>AB506*T506*AI506</f>
        <v>150</v>
      </c>
      <c r="AE506" s="3">
        <f t="shared" si="255"/>
        <v>2289.6</v>
      </c>
      <c r="AF506">
        <v>600</v>
      </c>
      <c r="AG506" t="str">
        <f>IFERROR((M506*O506*P506), "NA")</f>
        <v>NA</v>
      </c>
      <c r="AH506" t="str">
        <f>IFERROR((AG506*T506*AI506), "NA")</f>
        <v>NA</v>
      </c>
      <c r="AI506">
        <v>1</v>
      </c>
      <c r="AJ506" t="s">
        <v>31</v>
      </c>
      <c r="AK506">
        <v>4240</v>
      </c>
      <c r="AL506" t="s">
        <v>238</v>
      </c>
      <c r="AM506" t="s">
        <v>86</v>
      </c>
      <c r="AN506" t="s">
        <v>205</v>
      </c>
      <c r="AO506" t="s">
        <v>789</v>
      </c>
      <c r="AP506">
        <v>3.56</v>
      </c>
      <c r="AQ506" t="s">
        <v>33</v>
      </c>
      <c r="AR506" t="s">
        <v>33</v>
      </c>
      <c r="AS506" s="6">
        <f>LOG(10^8)</f>
        <v>8</v>
      </c>
      <c r="AT506" s="3">
        <f>IFERROR(AS506-AU506,"NA")</f>
        <v>4.0449999999999999</v>
      </c>
      <c r="AU506" s="6">
        <v>3.9550000000000001</v>
      </c>
      <c r="AV506" t="b">
        <v>1</v>
      </c>
      <c r="AW506" t="s">
        <v>123</v>
      </c>
      <c r="AX506" t="s">
        <v>393</v>
      </c>
      <c r="AY506" t="s">
        <v>394</v>
      </c>
      <c r="AZ506" t="s">
        <v>33</v>
      </c>
      <c r="BA506" s="18" t="s">
        <v>579</v>
      </c>
      <c r="BB506" t="b">
        <v>1</v>
      </c>
      <c r="BC506" t="s">
        <v>81</v>
      </c>
      <c r="BD506">
        <v>72</v>
      </c>
      <c r="BE506" t="s">
        <v>80</v>
      </c>
      <c r="BF506" s="11">
        <v>72</v>
      </c>
      <c r="BG506" t="s">
        <v>395</v>
      </c>
      <c r="BH506" t="s">
        <v>31</v>
      </c>
      <c r="BI506" t="s">
        <v>31</v>
      </c>
      <c r="BJ506" s="3">
        <f t="shared" si="246"/>
        <v>3.9550000000000001</v>
      </c>
      <c r="BK506" s="3">
        <f t="shared" si="237"/>
        <v>0.59714648783369539</v>
      </c>
      <c r="BL506">
        <v>2</v>
      </c>
      <c r="BM506" s="3">
        <f t="shared" si="260"/>
        <v>2.7626131285820059</v>
      </c>
      <c r="BN506" t="s">
        <v>33</v>
      </c>
      <c r="BO506" s="3">
        <f t="shared" si="238"/>
        <v>578.91276864728184</v>
      </c>
      <c r="BP506" t="s">
        <v>33</v>
      </c>
      <c r="BQ506" t="s">
        <v>33</v>
      </c>
      <c r="BR506" t="s">
        <v>33</v>
      </c>
      <c r="BS506" t="s">
        <v>33</v>
      </c>
      <c r="BT506" t="s">
        <v>31</v>
      </c>
      <c r="BU506" t="s">
        <v>240</v>
      </c>
      <c r="BV506">
        <v>2005</v>
      </c>
      <c r="BW506" t="s">
        <v>396</v>
      </c>
      <c r="BX506" t="s">
        <v>78</v>
      </c>
      <c r="BY506" t="s">
        <v>33</v>
      </c>
      <c r="BZ506" t="s">
        <v>33</v>
      </c>
      <c r="CA506" t="str">
        <f t="shared" si="239"/>
        <v>high acid</v>
      </c>
    </row>
    <row r="507" spans="1:79">
      <c r="A507" t="s">
        <v>133</v>
      </c>
      <c r="B507" t="s">
        <v>565</v>
      </c>
      <c r="C507" t="s">
        <v>563</v>
      </c>
      <c r="D507" t="s">
        <v>118</v>
      </c>
      <c r="E507" t="s">
        <v>77</v>
      </c>
      <c r="F507" t="s">
        <v>32</v>
      </c>
      <c r="G507">
        <v>23</v>
      </c>
      <c r="H507">
        <v>56</v>
      </c>
      <c r="I507" t="b">
        <v>0</v>
      </c>
      <c r="J507" t="s">
        <v>33</v>
      </c>
      <c r="K507" t="s">
        <v>33</v>
      </c>
      <c r="L507">
        <v>25</v>
      </c>
      <c r="M507" s="4">
        <v>1000</v>
      </c>
      <c r="N507" s="3">
        <f>IFERROR(AF507/((T507*X507/Y507)*O507*AI507),"NA")</f>
        <v>995.95036417586573</v>
      </c>
      <c r="O507">
        <v>3</v>
      </c>
      <c r="P507" t="s">
        <v>33</v>
      </c>
      <c r="Q507" s="8">
        <f t="shared" si="256"/>
        <v>1.2E-2</v>
      </c>
      <c r="R507" t="s">
        <v>183</v>
      </c>
      <c r="S507" t="s">
        <v>613</v>
      </c>
      <c r="T507" s="11">
        <v>4</v>
      </c>
      <c r="U507">
        <v>2.9</v>
      </c>
      <c r="V507">
        <v>2.2999999999999998</v>
      </c>
      <c r="W507" t="s">
        <v>33</v>
      </c>
      <c r="X507" s="8">
        <f>IFERROR(((PI())*(((V507*10^-1)/2)^2)*(U507*10^-1)), "NA")</f>
        <v>1.204879322468025E-2</v>
      </c>
      <c r="Y507">
        <v>1</v>
      </c>
      <c r="Z507" s="9">
        <f t="shared" si="253"/>
        <v>1.0040661020566874</v>
      </c>
      <c r="AA507" t="s">
        <v>33</v>
      </c>
      <c r="AB507" s="6">
        <f t="shared" si="257"/>
        <v>12.000000000000002</v>
      </c>
      <c r="AC507" t="str">
        <f t="shared" si="254"/>
        <v>NA</v>
      </c>
      <c r="AD507" s="4">
        <f>IFERROR(AB507*T507*AI507, "NA")</f>
        <v>48.000000000000007</v>
      </c>
      <c r="AE507">
        <f t="shared" si="255"/>
        <v>189</v>
      </c>
      <c r="AF507">
        <v>144</v>
      </c>
      <c r="AG507" t="str">
        <f>IFERROR((M507*O507*P507), "NA")</f>
        <v>NA</v>
      </c>
      <c r="AH507" t="str">
        <f>IFERROR((AG507*T507*AI507), "NA")</f>
        <v>NA</v>
      </c>
      <c r="AI507" s="11">
        <v>1</v>
      </c>
      <c r="AJ507" t="s">
        <v>31</v>
      </c>
      <c r="AK507">
        <v>2100</v>
      </c>
      <c r="AL507" t="s">
        <v>114</v>
      </c>
      <c r="AM507" t="s">
        <v>103</v>
      </c>
      <c r="AN507" t="s">
        <v>130</v>
      </c>
      <c r="AO507" t="s">
        <v>795</v>
      </c>
      <c r="AP507">
        <v>7</v>
      </c>
      <c r="AQ507" t="s">
        <v>33</v>
      </c>
      <c r="AR507" t="s">
        <v>33</v>
      </c>
      <c r="AS507" s="3">
        <v>8</v>
      </c>
      <c r="AT507" s="3">
        <f>IFERROR(AS507-AU507,"NA")</f>
        <v>4.0449999999999999</v>
      </c>
      <c r="AU507" s="6">
        <v>3.9550000000000001</v>
      </c>
      <c r="AV507" t="b">
        <v>1</v>
      </c>
      <c r="AW507" t="s">
        <v>123</v>
      </c>
      <c r="AX507" t="s">
        <v>125</v>
      </c>
      <c r="AY507" t="s">
        <v>127</v>
      </c>
      <c r="AZ507" t="s">
        <v>33</v>
      </c>
      <c r="BA507" s="18" t="s">
        <v>579</v>
      </c>
      <c r="BB507" t="b">
        <v>1</v>
      </c>
      <c r="BC507" t="s">
        <v>81</v>
      </c>
      <c r="BD507">
        <v>18</v>
      </c>
      <c r="BE507" t="s">
        <v>80</v>
      </c>
      <c r="BF507" t="s">
        <v>33</v>
      </c>
      <c r="BG507" t="s">
        <v>395</v>
      </c>
      <c r="BH507" t="s">
        <v>31</v>
      </c>
      <c r="BI507" t="s">
        <v>31</v>
      </c>
      <c r="BJ507" s="3">
        <f t="shared" si="246"/>
        <v>3.9550000000000001</v>
      </c>
      <c r="BK507" s="3">
        <f t="shared" si="237"/>
        <v>0.59714648783369539</v>
      </c>
      <c r="BL507">
        <v>2</v>
      </c>
      <c r="BM507" s="3">
        <f>LOG(BO507)</f>
        <v>1.6793153163395489</v>
      </c>
      <c r="BN507" t="s">
        <v>33</v>
      </c>
      <c r="BO507" s="3">
        <f t="shared" si="238"/>
        <v>47.787610619469028</v>
      </c>
      <c r="BP507" t="s">
        <v>33</v>
      </c>
      <c r="BQ507" t="s">
        <v>33</v>
      </c>
      <c r="BR507" t="s">
        <v>33</v>
      </c>
      <c r="BS507" t="s">
        <v>33</v>
      </c>
      <c r="BT507" t="s">
        <v>32</v>
      </c>
      <c r="BU507" t="s">
        <v>116</v>
      </c>
      <c r="BV507">
        <v>2015</v>
      </c>
      <c r="BW507" t="s">
        <v>91</v>
      </c>
      <c r="BX507" t="s">
        <v>78</v>
      </c>
      <c r="BY507" t="s">
        <v>33</v>
      </c>
      <c r="BZ507" t="s">
        <v>33</v>
      </c>
      <c r="CA507" t="str">
        <f t="shared" si="239"/>
        <v>low acid</v>
      </c>
    </row>
    <row r="508" spans="1:79">
      <c r="A508" t="s">
        <v>588</v>
      </c>
      <c r="B508" t="s">
        <v>565</v>
      </c>
      <c r="C508" t="s">
        <v>563</v>
      </c>
      <c r="D508" t="s">
        <v>608</v>
      </c>
      <c r="E508" t="s">
        <v>77</v>
      </c>
      <c r="F508" t="s">
        <v>32</v>
      </c>
      <c r="G508" t="s">
        <v>33</v>
      </c>
      <c r="H508">
        <v>40</v>
      </c>
      <c r="I508" t="b">
        <v>0</v>
      </c>
      <c r="J508" t="s">
        <v>33</v>
      </c>
      <c r="K508" t="s">
        <v>33</v>
      </c>
      <c r="L508">
        <v>35</v>
      </c>
      <c r="M508" s="4">
        <v>250</v>
      </c>
      <c r="N508" t="e">
        <f>(#REF!*Y508)/(T508*X508*O508)</f>
        <v>#REF!</v>
      </c>
      <c r="O508">
        <v>3.7</v>
      </c>
      <c r="P508" t="s">
        <v>33</v>
      </c>
      <c r="Q508" s="1">
        <f t="shared" si="256"/>
        <v>8.1081081081081072E-2</v>
      </c>
      <c r="R508" t="s">
        <v>183</v>
      </c>
      <c r="S508" t="s">
        <v>613</v>
      </c>
      <c r="T508">
        <v>6</v>
      </c>
      <c r="U508">
        <v>1.9</v>
      </c>
      <c r="V508">
        <v>2.2999999999999998</v>
      </c>
      <c r="W508" t="s">
        <v>33</v>
      </c>
      <c r="X508">
        <f>IFERROR(((PI())*(((V508*10^-1)/2)^2)*(U508*10^-1)), "NA")</f>
        <v>7.8940369403077502E-3</v>
      </c>
      <c r="Y508">
        <v>1</v>
      </c>
      <c r="Z508" s="3">
        <f t="shared" si="253"/>
        <v>9.7359788930462265E-2</v>
      </c>
      <c r="AA508" t="s">
        <v>33</v>
      </c>
      <c r="AB508">
        <f t="shared" si="257"/>
        <v>20.27027027027027</v>
      </c>
      <c r="AC508" s="1" t="str">
        <f t="shared" si="254"/>
        <v>NA</v>
      </c>
      <c r="AE508" s="3">
        <f t="shared" si="255"/>
        <v>2645.9999999999995</v>
      </c>
      <c r="AF508">
        <v>450</v>
      </c>
      <c r="AG508" s="1" t="str">
        <f>IFERROR((N508*P508*Q508), "NA")</f>
        <v>NA</v>
      </c>
      <c r="AH508" s="1" t="str">
        <f>IFERROR((AG508*U508*AI508), "NA")</f>
        <v>NA</v>
      </c>
      <c r="AI508" s="1">
        <v>1</v>
      </c>
      <c r="AJ508" s="11" t="s">
        <v>31</v>
      </c>
      <c r="AK508">
        <v>4800</v>
      </c>
      <c r="AL508" t="s">
        <v>156</v>
      </c>
      <c r="AM508" t="s">
        <v>157</v>
      </c>
      <c r="AN508" t="s">
        <v>186</v>
      </c>
      <c r="AO508" t="s">
        <v>792</v>
      </c>
      <c r="AP508">
        <v>6.53</v>
      </c>
      <c r="AQ508" t="s">
        <v>33</v>
      </c>
      <c r="AR508" t="s">
        <v>33</v>
      </c>
      <c r="AS508">
        <v>6.5</v>
      </c>
      <c r="AT508">
        <v>4.05</v>
      </c>
      <c r="AU508" s="6">
        <f>AS508-AT508</f>
        <v>2.4500000000000002</v>
      </c>
      <c r="AV508" t="b">
        <v>1</v>
      </c>
      <c r="AW508" t="s">
        <v>626</v>
      </c>
      <c r="AX508" t="s">
        <v>627</v>
      </c>
      <c r="AY508" t="s">
        <v>625</v>
      </c>
      <c r="AZ508" t="s">
        <v>33</v>
      </c>
      <c r="BA508" s="18" t="s">
        <v>800</v>
      </c>
      <c r="BB508" s="3" t="b">
        <v>0</v>
      </c>
      <c r="BC508" t="s">
        <v>81</v>
      </c>
      <c r="BD508">
        <v>12</v>
      </c>
      <c r="BE508" t="s">
        <v>80</v>
      </c>
      <c r="BF508">
        <v>48</v>
      </c>
      <c r="BG508" t="s">
        <v>568</v>
      </c>
      <c r="BH508" t="s">
        <v>31</v>
      </c>
      <c r="BI508" t="s">
        <v>31</v>
      </c>
      <c r="BJ508">
        <f t="shared" si="246"/>
        <v>2.4500000000000002</v>
      </c>
      <c r="BK508" s="3">
        <f t="shared" si="237"/>
        <v>0.38916608436453248</v>
      </c>
      <c r="BL508">
        <v>2</v>
      </c>
      <c r="BM508" s="3">
        <f t="shared" ref="BM508:BM523" si="261">IFERROR(LOG(BO508),"NA")</f>
        <v>3.0334237554869494</v>
      </c>
      <c r="BN508" t="s">
        <v>33</v>
      </c>
      <c r="BO508" s="3">
        <f t="shared" si="238"/>
        <v>1079.9999999999998</v>
      </c>
      <c r="BP508" t="s">
        <v>33</v>
      </c>
      <c r="BQ508" t="s">
        <v>33</v>
      </c>
      <c r="BR508" t="s">
        <v>33</v>
      </c>
      <c r="BS508" t="s">
        <v>33</v>
      </c>
      <c r="BT508" t="s">
        <v>31</v>
      </c>
      <c r="BU508" s="13" t="s">
        <v>163</v>
      </c>
      <c r="BV508">
        <v>2004</v>
      </c>
      <c r="BW508" t="s">
        <v>654</v>
      </c>
      <c r="BX508" t="s">
        <v>78</v>
      </c>
      <c r="BY508" s="13" t="s">
        <v>677</v>
      </c>
      <c r="CA508" t="str">
        <f t="shared" si="239"/>
        <v>low acid</v>
      </c>
    </row>
    <row r="509" spans="1:79">
      <c r="A509" t="s">
        <v>597</v>
      </c>
      <c r="B509" t="s">
        <v>565</v>
      </c>
      <c r="C509" t="s">
        <v>563</v>
      </c>
      <c r="D509" t="s">
        <v>33</v>
      </c>
      <c r="E509" t="s">
        <v>77</v>
      </c>
      <c r="F509" t="s">
        <v>33</v>
      </c>
      <c r="G509">
        <v>20</v>
      </c>
      <c r="H509">
        <v>35</v>
      </c>
      <c r="I509" t="b">
        <v>0</v>
      </c>
      <c r="J509" t="s">
        <v>33</v>
      </c>
      <c r="K509" t="s">
        <v>33</v>
      </c>
      <c r="L509">
        <v>22</v>
      </c>
      <c r="M509" s="4">
        <v>1</v>
      </c>
      <c r="N509" t="e">
        <f>(#REF!*Y509)/(T509*X509*O509)</f>
        <v>#REF!</v>
      </c>
      <c r="O509">
        <v>2</v>
      </c>
      <c r="P509" t="s">
        <v>33</v>
      </c>
      <c r="Q509" s="1">
        <f t="shared" si="256"/>
        <v>698.8</v>
      </c>
      <c r="R509" t="s">
        <v>183</v>
      </c>
      <c r="S509" t="s">
        <v>33</v>
      </c>
      <c r="T509">
        <v>1</v>
      </c>
      <c r="U509">
        <v>2.5</v>
      </c>
      <c r="V509" t="s">
        <v>33</v>
      </c>
      <c r="W509">
        <v>0.50249999999999995</v>
      </c>
      <c r="X509">
        <f>W509</f>
        <v>0.50249999999999995</v>
      </c>
      <c r="Y509" t="s">
        <v>33</v>
      </c>
      <c r="Z509" s="3">
        <f t="shared" si="253"/>
        <v>7.190898683457355E-4</v>
      </c>
      <c r="AA509" t="s">
        <v>33</v>
      </c>
      <c r="AB509">
        <f t="shared" si="257"/>
        <v>698.8</v>
      </c>
      <c r="AC509" s="1" t="str">
        <f t="shared" si="254"/>
        <v>NA</v>
      </c>
      <c r="AE509" s="3">
        <f t="shared" si="255"/>
        <v>1352.8767999999998</v>
      </c>
      <c r="AF509">
        <v>1397.6</v>
      </c>
      <c r="AG509" s="1" t="str">
        <f>IFERROR((N509*P509*Q509), "NA")</f>
        <v>NA</v>
      </c>
      <c r="AH509" s="1" t="str">
        <f>IFERROR((AG509*U509*AI509), "NA")</f>
        <v>NA</v>
      </c>
      <c r="AI509" s="1">
        <v>1</v>
      </c>
      <c r="AJ509" s="11" t="s">
        <v>31</v>
      </c>
      <c r="AK509">
        <v>2000</v>
      </c>
      <c r="AL509" t="s">
        <v>784</v>
      </c>
      <c r="AM509" s="3" t="s">
        <v>103</v>
      </c>
      <c r="AN509" t="s">
        <v>130</v>
      </c>
      <c r="AO509" t="s">
        <v>795</v>
      </c>
      <c r="AP509">
        <v>7</v>
      </c>
      <c r="AQ509" t="s">
        <v>33</v>
      </c>
      <c r="AR509" t="s">
        <v>33</v>
      </c>
      <c r="AS509">
        <v>9</v>
      </c>
      <c r="AT509">
        <f>AS509-AU509</f>
        <v>4.05</v>
      </c>
      <c r="AU509" s="6">
        <v>4.95</v>
      </c>
      <c r="AV509" t="b">
        <v>1</v>
      </c>
      <c r="AW509" t="s">
        <v>617</v>
      </c>
      <c r="AX509" t="s">
        <v>635</v>
      </c>
      <c r="AY509" t="s">
        <v>636</v>
      </c>
      <c r="AZ509" t="s">
        <v>33</v>
      </c>
      <c r="BA509" s="18" t="s">
        <v>802</v>
      </c>
      <c r="BB509" s="3" t="b">
        <v>0</v>
      </c>
      <c r="BC509" t="s">
        <v>81</v>
      </c>
      <c r="BD509">
        <v>24</v>
      </c>
      <c r="BE509" t="s">
        <v>80</v>
      </c>
      <c r="BF509">
        <v>24</v>
      </c>
      <c r="BG509" t="s">
        <v>644</v>
      </c>
      <c r="BH509" t="s">
        <v>31</v>
      </c>
      <c r="BI509" t="s">
        <v>31</v>
      </c>
      <c r="BJ509">
        <f t="shared" si="246"/>
        <v>4.95</v>
      </c>
      <c r="BK509" s="3">
        <f t="shared" si="237"/>
        <v>0.69460519893356876</v>
      </c>
      <c r="BL509">
        <v>2</v>
      </c>
      <c r="BM509" s="3">
        <f t="shared" si="261"/>
        <v>2.4366530503496993</v>
      </c>
      <c r="BN509" t="s">
        <v>33</v>
      </c>
      <c r="BO509" s="3">
        <f t="shared" si="238"/>
        <v>273.30844444444438</v>
      </c>
      <c r="BP509" t="s">
        <v>33</v>
      </c>
      <c r="BQ509" t="s">
        <v>33</v>
      </c>
      <c r="BR509" t="s">
        <v>33</v>
      </c>
      <c r="BS509" t="s">
        <v>33</v>
      </c>
      <c r="BT509" t="s">
        <v>31</v>
      </c>
      <c r="BU509" t="s">
        <v>664</v>
      </c>
      <c r="BV509">
        <v>2000</v>
      </c>
      <c r="BW509" t="s">
        <v>665</v>
      </c>
      <c r="BX509" t="s">
        <v>78</v>
      </c>
      <c r="BY509" s="13" t="s">
        <v>685</v>
      </c>
      <c r="CA509" t="str">
        <f t="shared" si="239"/>
        <v>low acid</v>
      </c>
    </row>
    <row r="510" spans="1:79">
      <c r="A510" t="s">
        <v>538</v>
      </c>
      <c r="B510" t="s">
        <v>565</v>
      </c>
      <c r="C510" t="s">
        <v>563</v>
      </c>
      <c r="D510" t="s">
        <v>118</v>
      </c>
      <c r="E510" t="s">
        <v>77</v>
      </c>
      <c r="F510" t="s">
        <v>32</v>
      </c>
      <c r="G510">
        <v>20</v>
      </c>
      <c r="H510">
        <v>55</v>
      </c>
      <c r="I510" t="b">
        <v>0</v>
      </c>
      <c r="J510" t="s">
        <v>33</v>
      </c>
      <c r="K510" t="s">
        <v>33</v>
      </c>
      <c r="L510">
        <v>15</v>
      </c>
      <c r="M510" s="4" t="s">
        <v>33</v>
      </c>
      <c r="N510" s="3">
        <f t="shared" ref="N510:N517" si="262">IFERROR(AF510/((T510*X510/Y510)*O510*AI510),"NA")</f>
        <v>432.63600385417294</v>
      </c>
      <c r="O510">
        <v>2.5</v>
      </c>
      <c r="P510" t="s">
        <v>33</v>
      </c>
      <c r="Q510" s="8">
        <f t="shared" si="256"/>
        <v>1.2173435913211428E-2</v>
      </c>
      <c r="R510" t="s">
        <v>183</v>
      </c>
      <c r="S510" t="s">
        <v>613</v>
      </c>
      <c r="T510" s="11">
        <v>6</v>
      </c>
      <c r="U510">
        <v>2.93</v>
      </c>
      <c r="V510">
        <v>2.2999999999999998</v>
      </c>
      <c r="W510" t="s">
        <v>33</v>
      </c>
      <c r="X510" s="8">
        <f t="shared" ref="X510:X526" si="263">IFERROR(((PI())*(((V510*10^-1)/2)^2)*(U510*10^-1)), "NA")</f>
        <v>1.2173435913211428E-2</v>
      </c>
      <c r="Y510">
        <f>60/60</f>
        <v>1</v>
      </c>
      <c r="Z510" s="3">
        <f>IFERROR(X510*N510*O510*T510*AI510/AF510, "NA")</f>
        <v>1</v>
      </c>
      <c r="AA510" t="s">
        <v>33</v>
      </c>
      <c r="AB510" s="6">
        <f>IFERROR(((X510*N510)/Y510), "NA")</f>
        <v>5.2666666666666666</v>
      </c>
      <c r="AC510" t="str">
        <f t="shared" si="254"/>
        <v>NA</v>
      </c>
      <c r="AD510" s="4">
        <f>IFERROR(AB510*T510*AI510, "NA")</f>
        <v>31.6</v>
      </c>
      <c r="AE510" s="3">
        <f>IFERROR(((L510^2)*N510*O510*AK510*10^-6*Q510*T510*AI510), "NA")</f>
        <v>51.725249999999988</v>
      </c>
      <c r="AF510">
        <v>79</v>
      </c>
      <c r="AG510" t="str">
        <f t="shared" ref="AG510:AG517" si="264">IFERROR((M510*O510*P510), "NA")</f>
        <v>NA</v>
      </c>
      <c r="AH510" t="str">
        <f t="shared" ref="AH510:AH517" si="265">IFERROR((AG510*T510*AI510), "NA")</f>
        <v>NA</v>
      </c>
      <c r="AI510" s="11">
        <v>1</v>
      </c>
      <c r="AJ510" t="s">
        <v>31</v>
      </c>
      <c r="AK510">
        <v>2910</v>
      </c>
      <c r="AL510" t="s">
        <v>543</v>
      </c>
      <c r="AM510" t="s">
        <v>86</v>
      </c>
      <c r="AN510" t="s">
        <v>205</v>
      </c>
      <c r="AO510" t="s">
        <v>789</v>
      </c>
      <c r="AP510">
        <v>4.05</v>
      </c>
      <c r="AQ510" t="s">
        <v>33</v>
      </c>
      <c r="AR510" t="s">
        <v>33</v>
      </c>
      <c r="AS510">
        <f>LOG(10^6)</f>
        <v>6</v>
      </c>
      <c r="AT510" s="3">
        <f t="shared" ref="AT510:AT517" si="266">IFERROR(AS510-AU510,"NA")</f>
        <v>4.0579999999999998</v>
      </c>
      <c r="AU510" s="6">
        <v>1.9419999999999999</v>
      </c>
      <c r="AV510" t="b">
        <v>1</v>
      </c>
      <c r="AW510" t="s">
        <v>29</v>
      </c>
      <c r="AX510" t="s">
        <v>30</v>
      </c>
      <c r="AY510" t="s">
        <v>216</v>
      </c>
      <c r="AZ510" t="s">
        <v>33</v>
      </c>
      <c r="BA510" s="18" t="s">
        <v>798</v>
      </c>
      <c r="BB510" t="b">
        <v>0</v>
      </c>
      <c r="BC510" t="s">
        <v>81</v>
      </c>
      <c r="BD510">
        <v>4</v>
      </c>
      <c r="BE510" t="s">
        <v>159</v>
      </c>
      <c r="BF510" s="11">
        <v>24</v>
      </c>
      <c r="BG510" t="s">
        <v>572</v>
      </c>
      <c r="BH510" t="s">
        <v>31</v>
      </c>
      <c r="BI510" t="s">
        <v>31</v>
      </c>
      <c r="BJ510" s="3">
        <f t="shared" si="246"/>
        <v>1.9419999999999999</v>
      </c>
      <c r="BK510" s="3">
        <f t="shared" ref="BK510:BK571" si="267">LOG10(BJ510)</f>
        <v>0.28824922557198607</v>
      </c>
      <c r="BL510">
        <v>2</v>
      </c>
      <c r="BM510" s="3">
        <f t="shared" si="261"/>
        <v>1.425453372815725</v>
      </c>
      <c r="BN510" t="s">
        <v>33</v>
      </c>
      <c r="BO510" s="3">
        <f t="shared" si="238"/>
        <v>26.635041194644693</v>
      </c>
      <c r="BP510" t="s">
        <v>33</v>
      </c>
      <c r="BQ510" t="s">
        <v>33</v>
      </c>
      <c r="BR510" t="s">
        <v>33</v>
      </c>
      <c r="BS510" t="s">
        <v>33</v>
      </c>
      <c r="BT510" t="s">
        <v>31</v>
      </c>
      <c r="BU510" t="s">
        <v>274</v>
      </c>
      <c r="BV510">
        <v>2006</v>
      </c>
      <c r="BW510" t="s">
        <v>275</v>
      </c>
      <c r="BX510" t="s">
        <v>78</v>
      </c>
      <c r="BY510" t="s">
        <v>277</v>
      </c>
      <c r="BZ510" t="s">
        <v>33</v>
      </c>
      <c r="CA510" t="str">
        <f t="shared" si="239"/>
        <v>high acid</v>
      </c>
    </row>
    <row r="511" spans="1:79">
      <c r="A511" t="s">
        <v>409</v>
      </c>
      <c r="B511" t="s">
        <v>565</v>
      </c>
      <c r="C511" t="s">
        <v>563</v>
      </c>
      <c r="D511" t="s">
        <v>118</v>
      </c>
      <c r="E511" t="s">
        <v>77</v>
      </c>
      <c r="F511" t="s">
        <v>32</v>
      </c>
      <c r="G511">
        <v>22</v>
      </c>
      <c r="H511">
        <v>35</v>
      </c>
      <c r="I511" t="b">
        <v>0</v>
      </c>
      <c r="J511" t="s">
        <v>33</v>
      </c>
      <c r="K511" t="s">
        <v>33</v>
      </c>
      <c r="L511">
        <v>20</v>
      </c>
      <c r="M511" s="4">
        <v>1000</v>
      </c>
      <c r="N511" s="3">
        <f t="shared" si="262"/>
        <v>1000.1191061872564</v>
      </c>
      <c r="O511">
        <v>3</v>
      </c>
      <c r="P511" t="s">
        <v>33</v>
      </c>
      <c r="Q511" s="8">
        <f t="shared" si="256"/>
        <v>1.2133333333333333E-2</v>
      </c>
      <c r="R511" t="s">
        <v>183</v>
      </c>
      <c r="S511" t="s">
        <v>613</v>
      </c>
      <c r="T511" s="11">
        <v>4</v>
      </c>
      <c r="U511">
        <v>2.92</v>
      </c>
      <c r="V511">
        <v>2.2999999999999998</v>
      </c>
      <c r="W511" t="s">
        <v>33</v>
      </c>
      <c r="X511" s="9">
        <f t="shared" si="263"/>
        <v>1.2131888350367701E-2</v>
      </c>
      <c r="Y511" s="6">
        <f>1</f>
        <v>1</v>
      </c>
      <c r="Z511" s="3">
        <f t="shared" ref="Z511:Z524" si="268">IFERROR(X511*M511*O511*T511*AI511/AF511, "NA")</f>
        <v>0.99988090799733798</v>
      </c>
      <c r="AA511" t="s">
        <v>33</v>
      </c>
      <c r="AB511" s="6">
        <f>IFERROR(((X511*M511)/Y511), "NA")</f>
        <v>12.131888350367701</v>
      </c>
      <c r="AC511" t="str">
        <f t="shared" si="254"/>
        <v>NA</v>
      </c>
      <c r="AD511" s="4">
        <f>IFERROR(AB511*T511*AI511, "NA")</f>
        <v>48.527553401470804</v>
      </c>
      <c r="AE511" s="3">
        <f t="shared" ref="AE511:AE524" si="269">IFERROR(((L511^2)*M511*O511*AK511*10^-6*Q511*T511*AI511), "NA")</f>
        <v>116.47999999999999</v>
      </c>
      <c r="AF511">
        <v>145.6</v>
      </c>
      <c r="AG511" t="str">
        <f t="shared" si="264"/>
        <v>NA</v>
      </c>
      <c r="AH511" t="str">
        <f t="shared" si="265"/>
        <v>NA</v>
      </c>
      <c r="AI511" s="11">
        <v>1</v>
      </c>
      <c r="AJ511" t="s">
        <v>31</v>
      </c>
      <c r="AK511">
        <v>2000</v>
      </c>
      <c r="AL511" t="s">
        <v>114</v>
      </c>
      <c r="AM511" t="s">
        <v>103</v>
      </c>
      <c r="AN511" t="s">
        <v>130</v>
      </c>
      <c r="AO511" t="s">
        <v>795</v>
      </c>
      <c r="AP511" t="s">
        <v>33</v>
      </c>
      <c r="AQ511" t="s">
        <v>33</v>
      </c>
      <c r="AR511" t="s">
        <v>33</v>
      </c>
      <c r="AS511" s="3">
        <f>LOG(10^7)</f>
        <v>7</v>
      </c>
      <c r="AT511" s="3">
        <f t="shared" si="266"/>
        <v>4.0600000000000005</v>
      </c>
      <c r="AU511" s="6">
        <v>2.94</v>
      </c>
      <c r="AV511" t="b">
        <v>1</v>
      </c>
      <c r="AW511" t="s">
        <v>29</v>
      </c>
      <c r="AX511" t="s">
        <v>30</v>
      </c>
      <c r="AY511" t="s">
        <v>411</v>
      </c>
      <c r="AZ511" t="s">
        <v>134</v>
      </c>
      <c r="BA511" s="18" t="s">
        <v>798</v>
      </c>
      <c r="BB511" t="b">
        <v>0</v>
      </c>
      <c r="BC511" t="s">
        <v>81</v>
      </c>
      <c r="BD511">
        <v>12</v>
      </c>
      <c r="BE511" t="s">
        <v>80</v>
      </c>
      <c r="BF511" s="11">
        <v>24</v>
      </c>
      <c r="BG511" t="s">
        <v>569</v>
      </c>
      <c r="BH511" t="s">
        <v>31</v>
      </c>
      <c r="BI511" t="s">
        <v>31</v>
      </c>
      <c r="BJ511" s="3">
        <f t="shared" si="246"/>
        <v>2.94</v>
      </c>
      <c r="BK511" s="3">
        <f t="shared" si="267"/>
        <v>0.46834733041215726</v>
      </c>
      <c r="BL511">
        <v>2</v>
      </c>
      <c r="BM511" s="3">
        <f t="shared" si="261"/>
        <v>1.5979040315568047</v>
      </c>
      <c r="BN511" t="s">
        <v>33</v>
      </c>
      <c r="BO511" s="3">
        <f t="shared" si="238"/>
        <v>39.619047619047613</v>
      </c>
      <c r="BP511" t="s">
        <v>33</v>
      </c>
      <c r="BQ511" t="s">
        <v>33</v>
      </c>
      <c r="BR511" t="s">
        <v>33</v>
      </c>
      <c r="BS511" t="s">
        <v>33</v>
      </c>
      <c r="BT511" t="s">
        <v>32</v>
      </c>
      <c r="BU511" t="s">
        <v>412</v>
      </c>
      <c r="BV511">
        <v>2002</v>
      </c>
      <c r="BW511" t="s">
        <v>403</v>
      </c>
      <c r="BX511" t="s">
        <v>78</v>
      </c>
      <c r="BY511" t="s">
        <v>33</v>
      </c>
      <c r="BZ511" t="s">
        <v>33</v>
      </c>
      <c r="CA511" t="str">
        <f t="shared" si="239"/>
        <v>low acid</v>
      </c>
    </row>
    <row r="512" spans="1:79">
      <c r="A512" t="s">
        <v>332</v>
      </c>
      <c r="B512" t="s">
        <v>565</v>
      </c>
      <c r="C512" t="s">
        <v>563</v>
      </c>
      <c r="D512" t="s">
        <v>118</v>
      </c>
      <c r="E512" t="s">
        <v>77</v>
      </c>
      <c r="F512" t="s">
        <v>32</v>
      </c>
      <c r="G512">
        <v>15</v>
      </c>
      <c r="H512">
        <v>30.4</v>
      </c>
      <c r="I512" t="b">
        <v>0</v>
      </c>
      <c r="J512" t="s">
        <v>33</v>
      </c>
      <c r="K512" t="s">
        <v>33</v>
      </c>
      <c r="L512">
        <v>27.5</v>
      </c>
      <c r="M512" s="4">
        <v>600</v>
      </c>
      <c r="N512" s="3">
        <f t="shared" si="262"/>
        <v>3454.7028257350348</v>
      </c>
      <c r="O512">
        <v>5</v>
      </c>
      <c r="P512" t="s">
        <v>33</v>
      </c>
      <c r="Q512" s="8">
        <f t="shared" si="256"/>
        <v>2.0833333333333332E-2</v>
      </c>
      <c r="R512" t="s">
        <v>183</v>
      </c>
      <c r="S512" t="s">
        <v>613</v>
      </c>
      <c r="T512" s="11">
        <v>8</v>
      </c>
      <c r="U512">
        <v>2.9</v>
      </c>
      <c r="V512">
        <v>2.2999999999999998</v>
      </c>
      <c r="W512">
        <v>1.2E-2</v>
      </c>
      <c r="X512" s="8">
        <f t="shared" si="263"/>
        <v>1.204879322468025E-2</v>
      </c>
      <c r="Y512">
        <v>3.33</v>
      </c>
      <c r="Z512" s="3">
        <f t="shared" si="268"/>
        <v>0.57834207478465205</v>
      </c>
      <c r="AA512" t="s">
        <v>33</v>
      </c>
      <c r="AB512" s="6">
        <f>IFERROR(((X512*M512)/Z512), "NA")</f>
        <v>12.5</v>
      </c>
      <c r="AC512" t="str">
        <f t="shared" si="254"/>
        <v>NA</v>
      </c>
      <c r="AD512" s="4">
        <f t="shared" ref="AD512:AD517" si="270">AB512*T512*AI512</f>
        <v>100</v>
      </c>
      <c r="AE512" s="3">
        <f t="shared" si="269"/>
        <v>794.0625</v>
      </c>
      <c r="AF512">
        <v>500</v>
      </c>
      <c r="AG512" t="str">
        <f t="shared" si="264"/>
        <v>NA</v>
      </c>
      <c r="AH512" t="str">
        <f t="shared" si="265"/>
        <v>NA</v>
      </c>
      <c r="AI512">
        <v>1</v>
      </c>
      <c r="AJ512" t="s">
        <v>31</v>
      </c>
      <c r="AK512">
        <v>2100</v>
      </c>
      <c r="AL512" t="s">
        <v>551</v>
      </c>
      <c r="AM512" t="s">
        <v>86</v>
      </c>
      <c r="AN512" t="s">
        <v>205</v>
      </c>
      <c r="AO512" t="s">
        <v>789</v>
      </c>
      <c r="AP512">
        <v>3.79</v>
      </c>
      <c r="AQ512">
        <v>1060</v>
      </c>
      <c r="AR512" t="s">
        <v>33</v>
      </c>
      <c r="AS512" s="6">
        <f>LOG((10^6+10^7)/2)</f>
        <v>6.7403626894942441</v>
      </c>
      <c r="AT512" s="3">
        <f t="shared" si="266"/>
        <v>4.0603626894942444</v>
      </c>
      <c r="AU512" s="6">
        <v>2.68</v>
      </c>
      <c r="AV512" t="b">
        <v>1</v>
      </c>
      <c r="AW512" t="s">
        <v>172</v>
      </c>
      <c r="AX512" t="s">
        <v>173</v>
      </c>
      <c r="AY512" t="s">
        <v>333</v>
      </c>
      <c r="AZ512" t="s">
        <v>33</v>
      </c>
      <c r="BA512" s="18" t="s">
        <v>799</v>
      </c>
      <c r="BB512" t="b">
        <v>0</v>
      </c>
      <c r="BC512" t="s">
        <v>81</v>
      </c>
      <c r="BD512">
        <v>72</v>
      </c>
      <c r="BE512" t="s">
        <v>80</v>
      </c>
      <c r="BF512" s="11">
        <v>168</v>
      </c>
      <c r="BG512" t="s">
        <v>334</v>
      </c>
      <c r="BH512" t="s">
        <v>31</v>
      </c>
      <c r="BI512" t="s">
        <v>31</v>
      </c>
      <c r="BJ512" s="3">
        <f t="shared" si="246"/>
        <v>2.68</v>
      </c>
      <c r="BK512" s="3">
        <f t="shared" si="267"/>
        <v>0.42813479402878885</v>
      </c>
      <c r="BL512">
        <v>2</v>
      </c>
      <c r="BM512" s="3">
        <f t="shared" si="261"/>
        <v>2.4717198927016746</v>
      </c>
      <c r="BN512" t="s">
        <v>33</v>
      </c>
      <c r="BO512" s="3">
        <f t="shared" si="238"/>
        <v>296.2919776119403</v>
      </c>
      <c r="BP512" t="s">
        <v>33</v>
      </c>
      <c r="BQ512" t="s">
        <v>33</v>
      </c>
      <c r="BR512" t="s">
        <v>33</v>
      </c>
      <c r="BS512" t="s">
        <v>33</v>
      </c>
      <c r="BT512" t="s">
        <v>31</v>
      </c>
      <c r="BU512" t="s">
        <v>330</v>
      </c>
      <c r="BV512">
        <v>2009</v>
      </c>
      <c r="BW512" t="s">
        <v>331</v>
      </c>
      <c r="BX512" t="s">
        <v>78</v>
      </c>
      <c r="BY512" t="s">
        <v>33</v>
      </c>
      <c r="BZ512" t="s">
        <v>33</v>
      </c>
      <c r="CA512" t="str">
        <f t="shared" si="239"/>
        <v>high acid</v>
      </c>
    </row>
    <row r="513" spans="1:79">
      <c r="A513" t="s">
        <v>332</v>
      </c>
      <c r="B513" t="s">
        <v>565</v>
      </c>
      <c r="C513" t="s">
        <v>563</v>
      </c>
      <c r="D513" t="s">
        <v>118</v>
      </c>
      <c r="E513" t="s">
        <v>77</v>
      </c>
      <c r="F513" t="s">
        <v>32</v>
      </c>
      <c r="G513">
        <v>15</v>
      </c>
      <c r="H513">
        <v>30.4</v>
      </c>
      <c r="I513" t="b">
        <v>0</v>
      </c>
      <c r="J513" t="s">
        <v>33</v>
      </c>
      <c r="K513" t="s">
        <v>33</v>
      </c>
      <c r="L513">
        <v>27.5</v>
      </c>
      <c r="M513" s="4">
        <v>200</v>
      </c>
      <c r="N513" s="3">
        <f t="shared" si="262"/>
        <v>3454.7028257350348</v>
      </c>
      <c r="O513">
        <v>5</v>
      </c>
      <c r="P513" t="s">
        <v>33</v>
      </c>
      <c r="Q513" s="8">
        <f t="shared" si="256"/>
        <v>6.2500000000000014E-2</v>
      </c>
      <c r="R513" t="s">
        <v>183</v>
      </c>
      <c r="S513" t="s">
        <v>613</v>
      </c>
      <c r="T513" s="11">
        <v>8</v>
      </c>
      <c r="U513">
        <v>2.9</v>
      </c>
      <c r="V513">
        <v>2.2999999999999998</v>
      </c>
      <c r="W513">
        <v>1.2E-2</v>
      </c>
      <c r="X513" s="8">
        <f t="shared" si="263"/>
        <v>1.204879322468025E-2</v>
      </c>
      <c r="Y513">
        <v>3.33</v>
      </c>
      <c r="Z513" s="3">
        <f t="shared" si="268"/>
        <v>0.19278069159488398</v>
      </c>
      <c r="AA513" t="s">
        <v>33</v>
      </c>
      <c r="AB513" s="6">
        <f>IFERROR(((X513*M513)/Z513), "NA")</f>
        <v>12.500000000000002</v>
      </c>
      <c r="AC513" t="str">
        <f t="shared" si="254"/>
        <v>NA</v>
      </c>
      <c r="AD513" s="4">
        <f t="shared" si="270"/>
        <v>100.00000000000001</v>
      </c>
      <c r="AE513" s="3">
        <f t="shared" si="269"/>
        <v>794.06250000000023</v>
      </c>
      <c r="AF513">
        <v>500</v>
      </c>
      <c r="AG513" t="str">
        <f t="shared" si="264"/>
        <v>NA</v>
      </c>
      <c r="AH513" t="str">
        <f t="shared" si="265"/>
        <v>NA</v>
      </c>
      <c r="AI513">
        <v>1</v>
      </c>
      <c r="AJ513" t="s">
        <v>31</v>
      </c>
      <c r="AK513">
        <v>2100</v>
      </c>
      <c r="AL513" t="s">
        <v>551</v>
      </c>
      <c r="AM513" t="s">
        <v>86</v>
      </c>
      <c r="AN513" t="s">
        <v>205</v>
      </c>
      <c r="AO513" t="s">
        <v>789</v>
      </c>
      <c r="AP513">
        <v>3.79</v>
      </c>
      <c r="AQ513">
        <v>1060</v>
      </c>
      <c r="AR513" t="s">
        <v>33</v>
      </c>
      <c r="AS513" s="6">
        <f>LOG((10^6+10^7)/2)</f>
        <v>6.7403626894942441</v>
      </c>
      <c r="AT513" s="3">
        <f t="shared" si="266"/>
        <v>4.0603626894942444</v>
      </c>
      <c r="AU513" s="6">
        <v>2.68</v>
      </c>
      <c r="AV513" t="b">
        <v>1</v>
      </c>
      <c r="AW513" t="s">
        <v>172</v>
      </c>
      <c r="AX513" t="s">
        <v>173</v>
      </c>
      <c r="AY513" t="s">
        <v>333</v>
      </c>
      <c r="AZ513" t="s">
        <v>33</v>
      </c>
      <c r="BA513" s="18" t="s">
        <v>799</v>
      </c>
      <c r="BB513" t="b">
        <v>0</v>
      </c>
      <c r="BC513" t="s">
        <v>81</v>
      </c>
      <c r="BD513">
        <v>72</v>
      </c>
      <c r="BE513" t="s">
        <v>80</v>
      </c>
      <c r="BF513" s="11">
        <v>168</v>
      </c>
      <c r="BG513" t="s">
        <v>334</v>
      </c>
      <c r="BH513" t="s">
        <v>31</v>
      </c>
      <c r="BI513" t="s">
        <v>31</v>
      </c>
      <c r="BJ513" s="3">
        <f t="shared" si="246"/>
        <v>2.68</v>
      </c>
      <c r="BK513" s="3">
        <f t="shared" si="267"/>
        <v>0.42813479402878885</v>
      </c>
      <c r="BL513">
        <v>2</v>
      </c>
      <c r="BM513" s="3">
        <f t="shared" si="261"/>
        <v>2.4717198927016746</v>
      </c>
      <c r="BN513" t="s">
        <v>33</v>
      </c>
      <c r="BO513" s="3">
        <f t="shared" si="238"/>
        <v>296.29197761194035</v>
      </c>
      <c r="BP513" t="s">
        <v>33</v>
      </c>
      <c r="BQ513" t="s">
        <v>33</v>
      </c>
      <c r="BR513" t="s">
        <v>33</v>
      </c>
      <c r="BS513" t="s">
        <v>33</v>
      </c>
      <c r="BT513" t="s">
        <v>31</v>
      </c>
      <c r="BU513" t="s">
        <v>330</v>
      </c>
      <c r="BV513">
        <v>2009</v>
      </c>
      <c r="BW513" t="s">
        <v>331</v>
      </c>
      <c r="BX513" t="s">
        <v>78</v>
      </c>
      <c r="BY513" t="s">
        <v>33</v>
      </c>
      <c r="BZ513" t="s">
        <v>33</v>
      </c>
      <c r="CA513" t="str">
        <f t="shared" si="239"/>
        <v>high acid</v>
      </c>
    </row>
    <row r="514" spans="1:79">
      <c r="A514" t="s">
        <v>770</v>
      </c>
      <c r="B514" t="s">
        <v>565</v>
      </c>
      <c r="C514" t="s">
        <v>563</v>
      </c>
      <c r="D514" t="s">
        <v>118</v>
      </c>
      <c r="E514" t="s">
        <v>77</v>
      </c>
      <c r="F514" t="s">
        <v>32</v>
      </c>
      <c r="G514">
        <v>20</v>
      </c>
      <c r="H514" t="s">
        <v>33</v>
      </c>
      <c r="I514" t="b">
        <v>0</v>
      </c>
      <c r="J514" t="s">
        <v>33</v>
      </c>
      <c r="K514" t="s">
        <v>33</v>
      </c>
      <c r="L514">
        <v>30</v>
      </c>
      <c r="M514" s="4">
        <v>500</v>
      </c>
      <c r="N514" s="3">
        <f t="shared" si="262"/>
        <v>2000.2382123745128</v>
      </c>
      <c r="O514">
        <v>3</v>
      </c>
      <c r="P514" s="8">
        <f>Q514</f>
        <v>5.5999999999999994E-2</v>
      </c>
      <c r="Q514" s="8">
        <f t="shared" si="256"/>
        <v>5.5999999999999994E-2</v>
      </c>
      <c r="R514" t="s">
        <v>183</v>
      </c>
      <c r="S514" t="s">
        <v>613</v>
      </c>
      <c r="T514" s="11">
        <v>6</v>
      </c>
      <c r="U514">
        <v>2.92</v>
      </c>
      <c r="V514">
        <v>2.2999999999999998</v>
      </c>
      <c r="W514" s="16">
        <f>X514</f>
        <v>1.2131888350367701E-2</v>
      </c>
      <c r="X514" s="16">
        <f t="shared" si="263"/>
        <v>1.2131888350367701E-2</v>
      </c>
      <c r="Y514" s="6">
        <f>52/60</f>
        <v>0.8666666666666667</v>
      </c>
      <c r="Z514" s="3">
        <f t="shared" si="268"/>
        <v>0.21664086339942323</v>
      </c>
      <c r="AA514" t="s">
        <v>33</v>
      </c>
      <c r="AB514" s="4">
        <f>IFERROR(((X514*M514)/Y514), "NA")</f>
        <v>6.9991663559813659</v>
      </c>
      <c r="AC514" s="4">
        <f t="shared" si="254"/>
        <v>27.999999999999996</v>
      </c>
      <c r="AD514" s="4">
        <f t="shared" si="270"/>
        <v>41.994998135888196</v>
      </c>
      <c r="AE514" s="3">
        <f t="shared" si="269"/>
        <v>1247.3999999999999</v>
      </c>
      <c r="AF514">
        <v>504</v>
      </c>
      <c r="AG514" s="4">
        <f t="shared" si="264"/>
        <v>83.999999999999986</v>
      </c>
      <c r="AH514" s="4">
        <f t="shared" si="265"/>
        <v>503.99999999999989</v>
      </c>
      <c r="AI514">
        <v>1</v>
      </c>
      <c r="AJ514" s="11" t="s">
        <v>31</v>
      </c>
      <c r="AK514">
        <v>2750</v>
      </c>
      <c r="AL514" t="s">
        <v>149</v>
      </c>
      <c r="AM514" t="s">
        <v>86</v>
      </c>
      <c r="AN514" t="s">
        <v>205</v>
      </c>
      <c r="AO514" t="s">
        <v>789</v>
      </c>
      <c r="AP514">
        <v>3.67</v>
      </c>
      <c r="AQ514" t="s">
        <v>33</v>
      </c>
      <c r="AR514" t="s">
        <v>33</v>
      </c>
      <c r="AS514">
        <v>6.7469999999999999</v>
      </c>
      <c r="AT514" s="3">
        <f t="shared" si="266"/>
        <v>4.0650000000000004</v>
      </c>
      <c r="AU514" s="6">
        <f>AS514-4.065</f>
        <v>2.6819999999999995</v>
      </c>
      <c r="AV514" t="b">
        <v>1</v>
      </c>
      <c r="AW514" t="s">
        <v>29</v>
      </c>
      <c r="AX514" t="s">
        <v>30</v>
      </c>
      <c r="AY514" t="s">
        <v>773</v>
      </c>
      <c r="AZ514" t="s">
        <v>134</v>
      </c>
      <c r="BA514" s="18" t="s">
        <v>798</v>
      </c>
      <c r="BB514" s="3" t="b">
        <v>0</v>
      </c>
      <c r="BC514" t="s">
        <v>81</v>
      </c>
      <c r="BD514">
        <v>24</v>
      </c>
      <c r="BE514" t="s">
        <v>80</v>
      </c>
      <c r="BF514">
        <v>36</v>
      </c>
      <c r="BG514" t="s">
        <v>774</v>
      </c>
      <c r="BH514" t="s">
        <v>32</v>
      </c>
      <c r="BI514" t="s">
        <v>31</v>
      </c>
      <c r="BJ514" s="3">
        <f t="shared" si="246"/>
        <v>2.6819999999999995</v>
      </c>
      <c r="BK514" s="3">
        <f t="shared" si="267"/>
        <v>0.42845877351558004</v>
      </c>
      <c r="BL514">
        <v>2</v>
      </c>
      <c r="BM514" s="3">
        <f t="shared" si="261"/>
        <v>2.6675469661995326</v>
      </c>
      <c r="BN514" t="s">
        <v>33</v>
      </c>
      <c r="BO514" s="3">
        <f t="shared" ref="BO514:BO577" si="271">IFERROR((AE514/BJ514),"NA")</f>
        <v>465.10067114093965</v>
      </c>
      <c r="BP514" t="s">
        <v>33</v>
      </c>
      <c r="BQ514" t="s">
        <v>33</v>
      </c>
      <c r="BR514" t="s">
        <v>33</v>
      </c>
      <c r="BS514" t="s">
        <v>33</v>
      </c>
      <c r="BT514" t="s">
        <v>31</v>
      </c>
      <c r="BU514" t="s">
        <v>163</v>
      </c>
      <c r="BV514">
        <v>2023</v>
      </c>
      <c r="BW514" t="s">
        <v>776</v>
      </c>
      <c r="BX514" t="s">
        <v>78</v>
      </c>
      <c r="BY514" t="s">
        <v>772</v>
      </c>
      <c r="CA514" t="str">
        <f t="shared" si="239"/>
        <v>high acid</v>
      </c>
    </row>
    <row r="515" spans="1:79">
      <c r="A515" t="s">
        <v>155</v>
      </c>
      <c r="B515" t="s">
        <v>565</v>
      </c>
      <c r="C515" t="s">
        <v>563</v>
      </c>
      <c r="D515" t="s">
        <v>118</v>
      </c>
      <c r="E515" t="s">
        <v>77</v>
      </c>
      <c r="F515" t="s">
        <v>32</v>
      </c>
      <c r="G515">
        <v>7</v>
      </c>
      <c r="H515">
        <v>30</v>
      </c>
      <c r="I515" t="b">
        <v>1</v>
      </c>
      <c r="J515">
        <v>7000</v>
      </c>
      <c r="K515" t="s">
        <v>33</v>
      </c>
      <c r="L515">
        <v>24</v>
      </c>
      <c r="M515" s="4">
        <v>700</v>
      </c>
      <c r="N515" s="3">
        <f t="shared" si="262"/>
        <v>400.83412820094338</v>
      </c>
      <c r="O515">
        <v>2.8</v>
      </c>
      <c r="P515" t="s">
        <v>33</v>
      </c>
      <c r="Q515" s="8">
        <f t="shared" si="256"/>
        <v>1.1989795918367347E-2</v>
      </c>
      <c r="R515" t="s">
        <v>183</v>
      </c>
      <c r="S515" t="s">
        <v>613</v>
      </c>
      <c r="T515" s="11">
        <v>6</v>
      </c>
      <c r="U515">
        <v>3.17</v>
      </c>
      <c r="V515">
        <v>2.9</v>
      </c>
      <c r="W515" t="s">
        <v>33</v>
      </c>
      <c r="X515" s="8">
        <f t="shared" si="263"/>
        <v>2.0938479416726951E-2</v>
      </c>
      <c r="Y515" s="6">
        <v>1</v>
      </c>
      <c r="Z515" s="3">
        <f t="shared" si="268"/>
        <v>1.7463582832674394</v>
      </c>
      <c r="AA515" t="s">
        <v>33</v>
      </c>
      <c r="AB515" s="6">
        <f t="shared" ref="AB515:AB524" si="272">IFERROR(((X515*M515)/Z515), "NA")</f>
        <v>8.3928571428571423</v>
      </c>
      <c r="AC515" t="str">
        <f t="shared" si="254"/>
        <v>NA</v>
      </c>
      <c r="AD515" s="4">
        <f t="shared" si="270"/>
        <v>50.357142857142854</v>
      </c>
      <c r="AE515" s="3">
        <f t="shared" si="269"/>
        <v>503.53919999999994</v>
      </c>
      <c r="AF515">
        <v>141</v>
      </c>
      <c r="AG515" t="str">
        <f t="shared" si="264"/>
        <v>NA</v>
      </c>
      <c r="AH515" t="str">
        <f t="shared" si="265"/>
        <v>NA</v>
      </c>
      <c r="AI515">
        <v>1</v>
      </c>
      <c r="AJ515" t="s">
        <v>31</v>
      </c>
      <c r="AK515">
        <v>6200</v>
      </c>
      <c r="AL515" t="s">
        <v>156</v>
      </c>
      <c r="AM515" t="s">
        <v>157</v>
      </c>
      <c r="AN515" t="s">
        <v>186</v>
      </c>
      <c r="AO515" t="s">
        <v>792</v>
      </c>
      <c r="AP515">
        <v>6.7</v>
      </c>
      <c r="AQ515" t="s">
        <v>33</v>
      </c>
      <c r="AR515" t="s">
        <v>33</v>
      </c>
      <c r="AS515" s="3">
        <v>6.0380000000000003</v>
      </c>
      <c r="AT515" s="3">
        <f t="shared" si="266"/>
        <v>4.0680000000000005</v>
      </c>
      <c r="AU515" s="6">
        <v>1.97</v>
      </c>
      <c r="AV515" t="b">
        <v>1</v>
      </c>
      <c r="AW515" t="s">
        <v>29</v>
      </c>
      <c r="AX515" t="s">
        <v>30</v>
      </c>
      <c r="AY515" t="s">
        <v>33</v>
      </c>
      <c r="AZ515" t="s">
        <v>134</v>
      </c>
      <c r="BA515" s="18" t="s">
        <v>798</v>
      </c>
      <c r="BB515" t="b">
        <v>0</v>
      </c>
      <c r="BC515" t="s">
        <v>81</v>
      </c>
      <c r="BD515">
        <v>12</v>
      </c>
      <c r="BE515" t="s">
        <v>159</v>
      </c>
      <c r="BF515" s="11">
        <v>48</v>
      </c>
      <c r="BG515" t="s">
        <v>158</v>
      </c>
      <c r="BH515" t="s">
        <v>31</v>
      </c>
      <c r="BI515" t="s">
        <v>31</v>
      </c>
      <c r="BJ515" s="3">
        <f t="shared" si="246"/>
        <v>1.97</v>
      </c>
      <c r="BK515" s="3">
        <f t="shared" si="267"/>
        <v>0.2944662261615929</v>
      </c>
      <c r="BL515">
        <v>2</v>
      </c>
      <c r="BM515" s="3">
        <f t="shared" si="261"/>
        <v>2.407567059415253</v>
      </c>
      <c r="BN515" t="s">
        <v>33</v>
      </c>
      <c r="BO515" s="3">
        <f t="shared" si="271"/>
        <v>255.60365482233499</v>
      </c>
      <c r="BP515" t="s">
        <v>33</v>
      </c>
      <c r="BQ515" t="s">
        <v>33</v>
      </c>
      <c r="BR515" t="s">
        <v>33</v>
      </c>
      <c r="BS515" t="s">
        <v>33</v>
      </c>
      <c r="BT515" t="s">
        <v>31</v>
      </c>
      <c r="BU515" t="s">
        <v>160</v>
      </c>
      <c r="BV515">
        <v>2004</v>
      </c>
      <c r="BW515" s="1" t="s">
        <v>161</v>
      </c>
      <c r="BX515" t="s">
        <v>78</v>
      </c>
      <c r="BY515" t="s">
        <v>33</v>
      </c>
      <c r="BZ515" t="s">
        <v>33</v>
      </c>
      <c r="CA515" t="str">
        <f t="shared" ref="CA515:CA578" si="273">IF(OR(AN515="low acidic liquid medium", AN515="low acidic food product"), "low acid",
    IF(OR(AN515="high acidic food product", AN515="high acidic liquid medium"), "high acid", "NA"))</f>
        <v>low acid</v>
      </c>
    </row>
    <row r="516" spans="1:79">
      <c r="A516" t="s">
        <v>220</v>
      </c>
      <c r="B516" t="s">
        <v>565</v>
      </c>
      <c r="C516" t="s">
        <v>563</v>
      </c>
      <c r="D516" t="s">
        <v>118</v>
      </c>
      <c r="E516" t="s">
        <v>77</v>
      </c>
      <c r="F516" t="s">
        <v>32</v>
      </c>
      <c r="G516">
        <v>5</v>
      </c>
      <c r="H516">
        <v>39.1</v>
      </c>
      <c r="I516" t="b">
        <v>0</v>
      </c>
      <c r="J516" t="s">
        <v>33</v>
      </c>
      <c r="K516" t="s">
        <v>33</v>
      </c>
      <c r="L516">
        <v>35</v>
      </c>
      <c r="M516" s="4">
        <v>250</v>
      </c>
      <c r="N516" s="3">
        <f t="shared" si="262"/>
        <v>8586.1873814153205</v>
      </c>
      <c r="O516">
        <v>4</v>
      </c>
      <c r="P516" t="s">
        <v>33</v>
      </c>
      <c r="Q516">
        <f t="shared" si="256"/>
        <v>0.25</v>
      </c>
      <c r="R516" t="s">
        <v>183</v>
      </c>
      <c r="S516" t="s">
        <v>613</v>
      </c>
      <c r="T516" s="11">
        <v>8</v>
      </c>
      <c r="U516">
        <v>2.92</v>
      </c>
      <c r="V516">
        <v>2.2999999999999998</v>
      </c>
      <c r="W516">
        <v>1.21E-2</v>
      </c>
      <c r="X516" s="8">
        <f t="shared" si="263"/>
        <v>1.2131888350367701E-2</v>
      </c>
      <c r="Y516" s="6">
        <f>100/60</f>
        <v>1.6666666666666667</v>
      </c>
      <c r="Z516" s="3">
        <f t="shared" si="268"/>
        <v>4.8527553401470802E-2</v>
      </c>
      <c r="AA516" t="s">
        <v>33</v>
      </c>
      <c r="AB516" s="6">
        <f t="shared" si="272"/>
        <v>62.5</v>
      </c>
      <c r="AC516" t="str">
        <f t="shared" si="254"/>
        <v>NA</v>
      </c>
      <c r="AD516" s="4">
        <f t="shared" si="270"/>
        <v>500</v>
      </c>
      <c r="AE516" s="3">
        <f t="shared" si="269"/>
        <v>12813.5</v>
      </c>
      <c r="AF516">
        <v>2000</v>
      </c>
      <c r="AG516" t="str">
        <f t="shared" si="264"/>
        <v>NA</v>
      </c>
      <c r="AH516" t="str">
        <f t="shared" si="265"/>
        <v>NA</v>
      </c>
      <c r="AI516">
        <v>1</v>
      </c>
      <c r="AJ516" t="s">
        <v>31</v>
      </c>
      <c r="AK516">
        <v>5230</v>
      </c>
      <c r="AL516" t="s">
        <v>542</v>
      </c>
      <c r="AM516" t="s">
        <v>86</v>
      </c>
      <c r="AN516" t="s">
        <v>186</v>
      </c>
      <c r="AO516" t="s">
        <v>794</v>
      </c>
      <c r="AP516">
        <v>5.82</v>
      </c>
      <c r="AQ516" t="s">
        <v>33</v>
      </c>
      <c r="AR516" t="s">
        <v>33</v>
      </c>
      <c r="AS516" s="6">
        <f>LOG((10^7+10^8)/2)</f>
        <v>7.7403626894942441</v>
      </c>
      <c r="AT516" s="3">
        <f t="shared" si="266"/>
        <v>4.0693626894942447</v>
      </c>
      <c r="AU516" s="6">
        <v>3.6709999999999998</v>
      </c>
      <c r="AV516" t="b">
        <v>1</v>
      </c>
      <c r="AW516" t="s">
        <v>29</v>
      </c>
      <c r="AX516" t="s">
        <v>30</v>
      </c>
      <c r="AY516" s="10">
        <v>1107</v>
      </c>
      <c r="AZ516" t="s">
        <v>33</v>
      </c>
      <c r="BA516" s="18" t="s">
        <v>798</v>
      </c>
      <c r="BB516" t="b">
        <v>0</v>
      </c>
      <c r="BC516" t="s">
        <v>81</v>
      </c>
      <c r="BD516">
        <f>(16+14)/2</f>
        <v>15</v>
      </c>
      <c r="BE516" t="s">
        <v>80</v>
      </c>
      <c r="BF516" t="s">
        <v>33</v>
      </c>
      <c r="BG516" t="s">
        <v>222</v>
      </c>
      <c r="BH516" t="s">
        <v>31</v>
      </c>
      <c r="BI516" t="s">
        <v>31</v>
      </c>
      <c r="BJ516" s="3">
        <f t="shared" si="246"/>
        <v>3.6709999999999998</v>
      </c>
      <c r="BK516" s="3">
        <f t="shared" si="267"/>
        <v>0.56478438450398671</v>
      </c>
      <c r="BL516">
        <v>2</v>
      </c>
      <c r="BM516" s="3">
        <f t="shared" si="261"/>
        <v>3.5428833887278199</v>
      </c>
      <c r="BN516" t="s">
        <v>33</v>
      </c>
      <c r="BO516" s="3">
        <f t="shared" si="271"/>
        <v>3490.4658131299375</v>
      </c>
      <c r="BP516" t="s">
        <v>33</v>
      </c>
      <c r="BQ516" t="s">
        <v>33</v>
      </c>
      <c r="BR516" t="s">
        <v>33</v>
      </c>
      <c r="BS516" t="s">
        <v>33</v>
      </c>
      <c r="BT516" t="s">
        <v>31</v>
      </c>
      <c r="BU516" t="s">
        <v>219</v>
      </c>
      <c r="BV516">
        <v>2007</v>
      </c>
      <c r="BW516" t="s">
        <v>218</v>
      </c>
      <c r="BX516" t="s">
        <v>78</v>
      </c>
      <c r="BY516" t="s">
        <v>33</v>
      </c>
      <c r="BZ516" t="s">
        <v>33</v>
      </c>
      <c r="CA516" t="str">
        <f t="shared" si="273"/>
        <v>low acid</v>
      </c>
    </row>
    <row r="517" spans="1:79">
      <c r="A517" t="s">
        <v>220</v>
      </c>
      <c r="B517" t="s">
        <v>565</v>
      </c>
      <c r="C517" t="s">
        <v>563</v>
      </c>
      <c r="D517" t="s">
        <v>118</v>
      </c>
      <c r="E517" t="s">
        <v>77</v>
      </c>
      <c r="F517" t="s">
        <v>32</v>
      </c>
      <c r="G517">
        <v>5</v>
      </c>
      <c r="H517">
        <v>39.1</v>
      </c>
      <c r="I517" t="b">
        <v>0</v>
      </c>
      <c r="J517" t="s">
        <v>33</v>
      </c>
      <c r="K517" t="s">
        <v>33</v>
      </c>
      <c r="L517">
        <v>35</v>
      </c>
      <c r="M517" s="4">
        <v>175</v>
      </c>
      <c r="N517" s="3">
        <f t="shared" si="262"/>
        <v>5366.3671133845755</v>
      </c>
      <c r="O517">
        <v>4</v>
      </c>
      <c r="P517" t="s">
        <v>33</v>
      </c>
      <c r="Q517" s="8">
        <f t="shared" si="256"/>
        <v>0.22321428571428573</v>
      </c>
      <c r="R517" t="s">
        <v>183</v>
      </c>
      <c r="S517" t="s">
        <v>613</v>
      </c>
      <c r="T517" s="11">
        <v>8</v>
      </c>
      <c r="U517">
        <v>2.92</v>
      </c>
      <c r="V517">
        <v>2.2999999999999998</v>
      </c>
      <c r="W517">
        <v>1.21E-2</v>
      </c>
      <c r="X517" s="8">
        <f t="shared" si="263"/>
        <v>1.2131888350367701E-2</v>
      </c>
      <c r="Y517" s="6">
        <f>100/60</f>
        <v>1.6666666666666667</v>
      </c>
      <c r="Z517" s="3">
        <f t="shared" si="268"/>
        <v>5.4350859809647295E-2</v>
      </c>
      <c r="AA517" t="s">
        <v>33</v>
      </c>
      <c r="AB517" s="6">
        <f t="shared" si="272"/>
        <v>39.0625</v>
      </c>
      <c r="AC517" t="str">
        <f t="shared" si="254"/>
        <v>NA</v>
      </c>
      <c r="AD517" s="4">
        <f t="shared" si="270"/>
        <v>312.5</v>
      </c>
      <c r="AE517" s="3">
        <f t="shared" si="269"/>
        <v>8008.4374999999991</v>
      </c>
      <c r="AF517">
        <v>1250</v>
      </c>
      <c r="AG517" t="str">
        <f t="shared" si="264"/>
        <v>NA</v>
      </c>
      <c r="AH517" t="str">
        <f t="shared" si="265"/>
        <v>NA</v>
      </c>
      <c r="AI517">
        <v>1</v>
      </c>
      <c r="AJ517" t="s">
        <v>31</v>
      </c>
      <c r="AK517">
        <v>5230</v>
      </c>
      <c r="AL517" t="s">
        <v>542</v>
      </c>
      <c r="AM517" t="s">
        <v>86</v>
      </c>
      <c r="AN517" t="s">
        <v>186</v>
      </c>
      <c r="AO517" t="s">
        <v>794</v>
      </c>
      <c r="AP517">
        <v>5.82</v>
      </c>
      <c r="AQ517" t="s">
        <v>33</v>
      </c>
      <c r="AR517" t="s">
        <v>33</v>
      </c>
      <c r="AS517" s="6">
        <f>LOG((10^7+10^8)/2)</f>
        <v>7.7403626894942441</v>
      </c>
      <c r="AT517" s="3">
        <f t="shared" si="266"/>
        <v>4.0693626894942447</v>
      </c>
      <c r="AU517" s="6">
        <v>3.6709999999999998</v>
      </c>
      <c r="AV517" t="b">
        <v>1</v>
      </c>
      <c r="AW517" t="s">
        <v>29</v>
      </c>
      <c r="AX517" t="s">
        <v>30</v>
      </c>
      <c r="AY517" s="10">
        <v>1107</v>
      </c>
      <c r="AZ517" t="s">
        <v>33</v>
      </c>
      <c r="BA517" s="18" t="s">
        <v>798</v>
      </c>
      <c r="BB517" t="b">
        <v>0</v>
      </c>
      <c r="BC517" t="s">
        <v>81</v>
      </c>
      <c r="BD517">
        <f>(16+14)/2</f>
        <v>15</v>
      </c>
      <c r="BE517" t="s">
        <v>80</v>
      </c>
      <c r="BF517" t="s">
        <v>33</v>
      </c>
      <c r="BG517" t="s">
        <v>222</v>
      </c>
      <c r="BH517" t="s">
        <v>31</v>
      </c>
      <c r="BI517" t="s">
        <v>31</v>
      </c>
      <c r="BJ517" s="3">
        <f t="shared" si="246"/>
        <v>3.6709999999999998</v>
      </c>
      <c r="BK517" s="3">
        <f t="shared" si="267"/>
        <v>0.56478438450398671</v>
      </c>
      <c r="BL517">
        <v>2</v>
      </c>
      <c r="BM517" s="3">
        <f t="shared" si="261"/>
        <v>3.3387634060718949</v>
      </c>
      <c r="BN517" t="s">
        <v>33</v>
      </c>
      <c r="BO517" s="3">
        <f t="shared" si="271"/>
        <v>2181.5411332062108</v>
      </c>
      <c r="BP517" t="s">
        <v>33</v>
      </c>
      <c r="BQ517" t="s">
        <v>33</v>
      </c>
      <c r="BR517" t="s">
        <v>33</v>
      </c>
      <c r="BS517" t="s">
        <v>33</v>
      </c>
      <c r="BT517" t="s">
        <v>31</v>
      </c>
      <c r="BU517" t="s">
        <v>219</v>
      </c>
      <c r="BV517">
        <v>2007</v>
      </c>
      <c r="BW517" t="s">
        <v>218</v>
      </c>
      <c r="BX517" t="s">
        <v>78</v>
      </c>
      <c r="BY517" t="s">
        <v>33</v>
      </c>
      <c r="BZ517" t="s">
        <v>33</v>
      </c>
      <c r="CA517" t="str">
        <f t="shared" si="273"/>
        <v>low acid</v>
      </c>
    </row>
    <row r="518" spans="1:79">
      <c r="A518" t="s">
        <v>590</v>
      </c>
      <c r="B518" t="s">
        <v>565</v>
      </c>
      <c r="C518" t="s">
        <v>564</v>
      </c>
      <c r="D518" t="s">
        <v>609</v>
      </c>
      <c r="E518" t="s">
        <v>77</v>
      </c>
      <c r="F518" t="s">
        <v>32</v>
      </c>
      <c r="G518">
        <v>40</v>
      </c>
      <c r="H518">
        <v>49</v>
      </c>
      <c r="I518" t="b">
        <v>0</v>
      </c>
      <c r="J518" t="s">
        <v>33</v>
      </c>
      <c r="K518" t="s">
        <v>33</v>
      </c>
      <c r="L518">
        <v>27</v>
      </c>
      <c r="M518" s="4">
        <v>120</v>
      </c>
      <c r="N518" t="e">
        <f>(#REF!*Y518)/(T518*X518*O518)</f>
        <v>#REF!</v>
      </c>
      <c r="O518">
        <v>3</v>
      </c>
      <c r="P518" t="s">
        <v>33</v>
      </c>
      <c r="Q518" s="1">
        <f t="shared" si="256"/>
        <v>4.715277777777778E-2</v>
      </c>
      <c r="R518" t="s">
        <v>183</v>
      </c>
      <c r="S518" t="s">
        <v>612</v>
      </c>
      <c r="T518">
        <v>4</v>
      </c>
      <c r="U518">
        <v>3</v>
      </c>
      <c r="V518">
        <v>2.6</v>
      </c>
      <c r="W518">
        <v>1.5900000000000001E-2</v>
      </c>
      <c r="X518">
        <f t="shared" si="263"/>
        <v>1.5927874753700257E-2</v>
      </c>
      <c r="Y518">
        <v>8.3333299999999999E-2</v>
      </c>
      <c r="Z518" s="3">
        <f t="shared" si="268"/>
        <v>0.33779292555711882</v>
      </c>
      <c r="AA518" t="s">
        <v>33</v>
      </c>
      <c r="AB518">
        <f t="shared" si="272"/>
        <v>5.6583333333333341</v>
      </c>
      <c r="AC518" s="1" t="str">
        <f t="shared" si="254"/>
        <v>NA</v>
      </c>
      <c r="AE518" s="3">
        <f t="shared" si="269"/>
        <v>56.923964999999995</v>
      </c>
      <c r="AF518">
        <v>67.900000000000006</v>
      </c>
      <c r="AG518" s="1" t="str">
        <f>IFERROR((N518*P518*Q518), "NA")</f>
        <v>NA</v>
      </c>
      <c r="AH518" s="1" t="str">
        <f>IFERROR((AG518*U518*AI518), "NA")</f>
        <v>NA</v>
      </c>
      <c r="AI518" s="1">
        <v>1</v>
      </c>
      <c r="AJ518" s="11" t="s">
        <v>31</v>
      </c>
      <c r="AK518">
        <v>1150</v>
      </c>
      <c r="AL518" t="s">
        <v>551</v>
      </c>
      <c r="AM518" t="s">
        <v>86</v>
      </c>
      <c r="AN518" t="s">
        <v>186</v>
      </c>
      <c r="AO518" t="s">
        <v>794</v>
      </c>
      <c r="AP518">
        <v>5.92</v>
      </c>
      <c r="AQ518" t="s">
        <v>33</v>
      </c>
      <c r="AR518" t="s">
        <v>33</v>
      </c>
      <c r="AS518">
        <v>6</v>
      </c>
      <c r="AT518">
        <f>AS518-AU518</f>
        <v>4.07</v>
      </c>
      <c r="AU518" s="6">
        <v>1.93</v>
      </c>
      <c r="AV518" t="b">
        <v>1</v>
      </c>
      <c r="AW518" t="s">
        <v>626</v>
      </c>
      <c r="AX518" t="s">
        <v>627</v>
      </c>
      <c r="AY518" t="s">
        <v>631</v>
      </c>
      <c r="AZ518" t="s">
        <v>33</v>
      </c>
      <c r="BA518" s="18" t="s">
        <v>800</v>
      </c>
      <c r="BB518" s="3" t="b">
        <v>0</v>
      </c>
      <c r="BC518" t="s">
        <v>81</v>
      </c>
      <c r="BD518">
        <v>20</v>
      </c>
      <c r="BE518" t="s">
        <v>80</v>
      </c>
      <c r="BF518">
        <v>20</v>
      </c>
      <c r="BG518" t="s">
        <v>695</v>
      </c>
      <c r="BH518" t="s">
        <v>32</v>
      </c>
      <c r="BI518" t="s">
        <v>31</v>
      </c>
      <c r="BJ518">
        <f t="shared" si="246"/>
        <v>1.93</v>
      </c>
      <c r="BK518" s="3">
        <f t="shared" si="267"/>
        <v>0.28555730900777376</v>
      </c>
      <c r="BL518">
        <v>2</v>
      </c>
      <c r="BM518" s="3">
        <f t="shared" si="261"/>
        <v>1.4697378339443141</v>
      </c>
      <c r="BN518" t="s">
        <v>33</v>
      </c>
      <c r="BO518" s="3">
        <f t="shared" si="271"/>
        <v>29.494282383419687</v>
      </c>
      <c r="BP518" t="s">
        <v>33</v>
      </c>
      <c r="BQ518" t="s">
        <v>33</v>
      </c>
      <c r="BR518" t="s">
        <v>33</v>
      </c>
      <c r="BS518" t="s">
        <v>33</v>
      </c>
      <c r="BT518" t="s">
        <v>32</v>
      </c>
      <c r="BU518" s="15" t="s">
        <v>207</v>
      </c>
      <c r="BV518">
        <v>2014</v>
      </c>
      <c r="BW518" t="s">
        <v>242</v>
      </c>
      <c r="BX518" t="s">
        <v>78</v>
      </c>
      <c r="BY518" s="13" t="s">
        <v>678</v>
      </c>
      <c r="CA518" t="str">
        <f t="shared" si="273"/>
        <v>low acid</v>
      </c>
    </row>
    <row r="519" spans="1:79">
      <c r="A519" t="s">
        <v>602</v>
      </c>
      <c r="B519" t="s">
        <v>565</v>
      </c>
      <c r="C519" t="s">
        <v>563</v>
      </c>
      <c r="D519" t="s">
        <v>118</v>
      </c>
      <c r="E519" t="s">
        <v>77</v>
      </c>
      <c r="F519" t="s">
        <v>33</v>
      </c>
      <c r="G519">
        <v>35</v>
      </c>
      <c r="H519">
        <v>18</v>
      </c>
      <c r="I519" t="b">
        <v>1</v>
      </c>
      <c r="J519">
        <v>4981</v>
      </c>
      <c r="K519">
        <v>5.8</v>
      </c>
      <c r="L519">
        <v>17</v>
      </c>
      <c r="M519" s="4">
        <v>500</v>
      </c>
      <c r="N519" t="e">
        <f>(#REF!*Y519)/(T519*X519*O519)</f>
        <v>#REF!</v>
      </c>
      <c r="O519">
        <v>3</v>
      </c>
      <c r="P519" t="s">
        <v>33</v>
      </c>
      <c r="Q519" s="1">
        <f t="shared" si="256"/>
        <v>1.2044444444444444E-2</v>
      </c>
      <c r="R519" t="s">
        <v>183</v>
      </c>
      <c r="S519" t="s">
        <v>613</v>
      </c>
      <c r="T519">
        <v>6</v>
      </c>
      <c r="U519">
        <v>2.92</v>
      </c>
      <c r="V519">
        <v>2.2999999999999998</v>
      </c>
      <c r="W519" t="s">
        <v>33</v>
      </c>
      <c r="X519">
        <f t="shared" si="263"/>
        <v>1.2131888350367701E-2</v>
      </c>
      <c r="Y519">
        <v>1</v>
      </c>
      <c r="Z519" s="3">
        <f t="shared" si="268"/>
        <v>1.0072601028903072</v>
      </c>
      <c r="AA519" t="s">
        <v>33</v>
      </c>
      <c r="AB519">
        <f t="shared" si="272"/>
        <v>6.022222222222223</v>
      </c>
      <c r="AC519" s="1" t="str">
        <f t="shared" si="254"/>
        <v>NA</v>
      </c>
      <c r="AE519" s="3">
        <f t="shared" si="269"/>
        <v>162.27696799999998</v>
      </c>
      <c r="AF519">
        <v>108.4</v>
      </c>
      <c r="AG519" s="1" t="str">
        <f>IFERROR((N519*P519*Q519), "NA")</f>
        <v>NA</v>
      </c>
      <c r="AH519" s="1" t="str">
        <f>IFERROR((O519*Q519*R519), "NA")</f>
        <v>NA</v>
      </c>
      <c r="AI519" s="1">
        <v>1</v>
      </c>
      <c r="AJ519" s="11" t="s">
        <v>31</v>
      </c>
      <c r="AK519">
        <v>5180</v>
      </c>
      <c r="AL519" t="s">
        <v>265</v>
      </c>
      <c r="AM519" t="s">
        <v>86</v>
      </c>
      <c r="AN519" t="s">
        <v>205</v>
      </c>
      <c r="AO519" t="s">
        <v>789</v>
      </c>
      <c r="AP519">
        <v>3.27</v>
      </c>
      <c r="AQ519" t="s">
        <v>33</v>
      </c>
      <c r="AR519" t="s">
        <v>33</v>
      </c>
      <c r="AS519">
        <v>6.5</v>
      </c>
      <c r="AT519">
        <v>4.07</v>
      </c>
      <c r="AU519" s="6">
        <f>AS519-AT519</f>
        <v>2.4299999999999997</v>
      </c>
      <c r="AV519" t="b">
        <v>1</v>
      </c>
      <c r="AW519" t="s">
        <v>626</v>
      </c>
      <c r="AX519" t="s">
        <v>627</v>
      </c>
      <c r="AY519">
        <v>95047</v>
      </c>
      <c r="AZ519" t="s">
        <v>33</v>
      </c>
      <c r="BA519" s="18" t="s">
        <v>800</v>
      </c>
      <c r="BB519" s="3" t="b">
        <v>0</v>
      </c>
      <c r="BC519" t="s">
        <v>81</v>
      </c>
      <c r="BD519">
        <v>24</v>
      </c>
      <c r="BE519" t="s">
        <v>80</v>
      </c>
      <c r="BF519">
        <v>48</v>
      </c>
      <c r="BG519" t="s">
        <v>697</v>
      </c>
      <c r="BH519" t="s">
        <v>32</v>
      </c>
      <c r="BI519" t="s">
        <v>31</v>
      </c>
      <c r="BJ519" s="3">
        <f t="shared" si="246"/>
        <v>2.4299999999999997</v>
      </c>
      <c r="BK519" s="3">
        <f t="shared" si="267"/>
        <v>0.38560627359831212</v>
      </c>
      <c r="BL519">
        <v>2</v>
      </c>
      <c r="BM519" s="3">
        <f t="shared" si="261"/>
        <v>1.8246506111058369</v>
      </c>
      <c r="BN519" t="s">
        <v>33</v>
      </c>
      <c r="BO519" s="3">
        <f t="shared" si="271"/>
        <v>66.780645267489717</v>
      </c>
      <c r="BP519" t="s">
        <v>33</v>
      </c>
      <c r="BQ519" t="s">
        <v>33</v>
      </c>
      <c r="BR519" t="s">
        <v>33</v>
      </c>
      <c r="BS519" t="s">
        <v>33</v>
      </c>
      <c r="BT519" t="s">
        <v>31</v>
      </c>
      <c r="BU519" s="13" t="s">
        <v>163</v>
      </c>
      <c r="BV519" s="14">
        <v>2017</v>
      </c>
      <c r="BW519" t="s">
        <v>266</v>
      </c>
      <c r="BX519" t="s">
        <v>78</v>
      </c>
      <c r="BY519" s="13" t="s">
        <v>690</v>
      </c>
      <c r="CA519" t="str">
        <f t="shared" si="273"/>
        <v>high acid</v>
      </c>
    </row>
    <row r="520" spans="1:79">
      <c r="A520" t="s">
        <v>580</v>
      </c>
      <c r="B520" t="s">
        <v>565</v>
      </c>
      <c r="C520" t="s">
        <v>563</v>
      </c>
      <c r="D520" t="s">
        <v>118</v>
      </c>
      <c r="E520" t="s">
        <v>77</v>
      </c>
      <c r="F520" t="s">
        <v>32</v>
      </c>
      <c r="G520">
        <v>22</v>
      </c>
      <c r="H520">
        <v>40</v>
      </c>
      <c r="I520" t="b">
        <v>0</v>
      </c>
      <c r="J520">
        <v>10220</v>
      </c>
      <c r="K520">
        <v>59.68</v>
      </c>
      <c r="L520">
        <v>35</v>
      </c>
      <c r="M520" s="4">
        <v>175</v>
      </c>
      <c r="N520" t="e">
        <f>(#REF!*Y520)/(T520*X520*O520)</f>
        <v>#REF!</v>
      </c>
      <c r="O520">
        <v>4</v>
      </c>
      <c r="P520">
        <f>AVERAGE(0.0066, 0.0091)</f>
        <v>7.8499999999999993E-3</v>
      </c>
      <c r="Q520" s="1">
        <f t="shared" si="256"/>
        <v>0.35714285714285715</v>
      </c>
      <c r="R520" t="s">
        <v>183</v>
      </c>
      <c r="S520" t="s">
        <v>613</v>
      </c>
      <c r="T520">
        <v>8</v>
      </c>
      <c r="U520">
        <v>2.92</v>
      </c>
      <c r="V520">
        <v>2.2999999999999998</v>
      </c>
      <c r="W520">
        <v>1.21E-2</v>
      </c>
      <c r="X520">
        <f t="shared" si="263"/>
        <v>1.2131888350367701E-2</v>
      </c>
      <c r="Y520">
        <v>1.3333299999999999</v>
      </c>
      <c r="Z520" s="3">
        <f t="shared" si="268"/>
        <v>3.3969287381029563E-2</v>
      </c>
      <c r="AA520" t="s">
        <v>33</v>
      </c>
      <c r="AB520">
        <f t="shared" si="272"/>
        <v>62.499999999999993</v>
      </c>
      <c r="AC520" s="1">
        <f t="shared" si="254"/>
        <v>1.3737499999999998</v>
      </c>
      <c r="AE520" s="3">
        <f t="shared" si="269"/>
        <v>12568.499999999998</v>
      </c>
      <c r="AF520">
        <v>2000</v>
      </c>
      <c r="AG520" s="1" t="str">
        <f>IFERROR((N520*P520*Q520), "NA")</f>
        <v>NA</v>
      </c>
      <c r="AH520" s="1" t="str">
        <f>IFERROR((AG520*U520*AI520), "NA")</f>
        <v>NA</v>
      </c>
      <c r="AI520" s="1">
        <v>1</v>
      </c>
      <c r="AJ520" s="11" t="s">
        <v>31</v>
      </c>
      <c r="AK520">
        <v>5130</v>
      </c>
      <c r="AL520" t="s">
        <v>547</v>
      </c>
      <c r="AM520" t="s">
        <v>86</v>
      </c>
      <c r="AN520" t="s">
        <v>205</v>
      </c>
      <c r="AO520" t="s">
        <v>789</v>
      </c>
      <c r="AP520">
        <v>3.16</v>
      </c>
      <c r="AQ520" t="s">
        <v>33</v>
      </c>
      <c r="AR520" t="s">
        <v>33</v>
      </c>
      <c r="AS520">
        <v>7.5</v>
      </c>
      <c r="AT520">
        <f>AS520-AU520</f>
        <v>4.07</v>
      </c>
      <c r="AU520" s="6">
        <v>3.43</v>
      </c>
      <c r="AV520" t="b">
        <v>1</v>
      </c>
      <c r="AW520" t="s">
        <v>617</v>
      </c>
      <c r="AX520" t="s">
        <v>33</v>
      </c>
      <c r="AY520" t="s">
        <v>33</v>
      </c>
      <c r="AZ520" t="s">
        <v>619</v>
      </c>
      <c r="BA520" s="18" t="s">
        <v>802</v>
      </c>
      <c r="BB520" s="3" t="b">
        <v>0</v>
      </c>
      <c r="BC520" t="s">
        <v>81</v>
      </c>
      <c r="BD520">
        <v>15</v>
      </c>
      <c r="BE520" t="s">
        <v>80</v>
      </c>
      <c r="BF520">
        <v>24</v>
      </c>
      <c r="BG520" t="s">
        <v>697</v>
      </c>
      <c r="BH520" t="s">
        <v>32</v>
      </c>
      <c r="BI520" t="s">
        <v>31</v>
      </c>
      <c r="BJ520">
        <f t="shared" si="246"/>
        <v>3.43</v>
      </c>
      <c r="BK520" s="3">
        <f t="shared" si="267"/>
        <v>0.53529412004277055</v>
      </c>
      <c r="BL520">
        <v>2</v>
      </c>
      <c r="BM520" s="3">
        <f t="shared" si="261"/>
        <v>3.563989329433578</v>
      </c>
      <c r="BN520" t="s">
        <v>33</v>
      </c>
      <c r="BO520" s="3">
        <f t="shared" si="271"/>
        <v>3664.2857142857138</v>
      </c>
      <c r="BP520" t="s">
        <v>33</v>
      </c>
      <c r="BQ520" t="s">
        <v>33</v>
      </c>
      <c r="BR520" t="s">
        <v>33</v>
      </c>
      <c r="BS520" t="s">
        <v>33</v>
      </c>
      <c r="BT520" t="s">
        <v>31</v>
      </c>
      <c r="BU520" t="s">
        <v>219</v>
      </c>
      <c r="BV520" s="14">
        <v>2008</v>
      </c>
      <c r="BW520" t="s">
        <v>257</v>
      </c>
      <c r="BX520" t="s">
        <v>78</v>
      </c>
      <c r="BY520" s="13" t="s">
        <v>670</v>
      </c>
      <c r="CA520" t="str">
        <f t="shared" si="273"/>
        <v>high acid</v>
      </c>
    </row>
    <row r="521" spans="1:79">
      <c r="A521" t="s">
        <v>326</v>
      </c>
      <c r="B521" t="s">
        <v>565</v>
      </c>
      <c r="C521" t="s">
        <v>563</v>
      </c>
      <c r="D521" t="s">
        <v>118</v>
      </c>
      <c r="E521" t="s">
        <v>77</v>
      </c>
      <c r="F521" t="s">
        <v>32</v>
      </c>
      <c r="G521">
        <v>15</v>
      </c>
      <c r="H521">
        <v>30.4</v>
      </c>
      <c r="I521" t="b">
        <v>0</v>
      </c>
      <c r="J521" t="s">
        <v>33</v>
      </c>
      <c r="K521" t="s">
        <v>33</v>
      </c>
      <c r="L521">
        <v>27.5</v>
      </c>
      <c r="M521" s="4">
        <v>200</v>
      </c>
      <c r="N521" s="3">
        <f>IFERROR(AF521/((T521*X521/Y521)*O521*AI521),"NA")</f>
        <v>3454.7028257350348</v>
      </c>
      <c r="O521">
        <v>5</v>
      </c>
      <c r="P521" t="s">
        <v>33</v>
      </c>
      <c r="Q521" s="8">
        <f t="shared" si="256"/>
        <v>6.2500000000000014E-2</v>
      </c>
      <c r="R521" t="s">
        <v>183</v>
      </c>
      <c r="S521" t="s">
        <v>613</v>
      </c>
      <c r="T521" s="11">
        <v>8</v>
      </c>
      <c r="U521">
        <v>2.9</v>
      </c>
      <c r="V521">
        <v>2.2999999999999998</v>
      </c>
      <c r="W521">
        <v>1.2E-2</v>
      </c>
      <c r="X521" s="8">
        <f t="shared" si="263"/>
        <v>1.204879322468025E-2</v>
      </c>
      <c r="Y521">
        <v>3.33</v>
      </c>
      <c r="Z521" s="3">
        <f t="shared" si="268"/>
        <v>0.19278069159488398</v>
      </c>
      <c r="AA521" t="s">
        <v>33</v>
      </c>
      <c r="AB521" s="6">
        <f t="shared" si="272"/>
        <v>12.500000000000002</v>
      </c>
      <c r="AC521" t="str">
        <f t="shared" si="254"/>
        <v>NA</v>
      </c>
      <c r="AD521" s="4">
        <f>AB521*T521*AI521</f>
        <v>100.00000000000001</v>
      </c>
      <c r="AE521" s="3">
        <f t="shared" si="269"/>
        <v>794.06250000000023</v>
      </c>
      <c r="AF521">
        <v>500</v>
      </c>
      <c r="AG521" t="str">
        <f>IFERROR((M521*O521*P521), "NA")</f>
        <v>NA</v>
      </c>
      <c r="AH521" t="str">
        <f>IFERROR((AG521*T521*AI521), "NA")</f>
        <v>NA</v>
      </c>
      <c r="AI521">
        <v>1</v>
      </c>
      <c r="AJ521" t="s">
        <v>31</v>
      </c>
      <c r="AK521">
        <v>2100</v>
      </c>
      <c r="AL521" t="s">
        <v>551</v>
      </c>
      <c r="AM521" t="s">
        <v>86</v>
      </c>
      <c r="AN521" t="s">
        <v>205</v>
      </c>
      <c r="AO521" t="s">
        <v>789</v>
      </c>
      <c r="AP521">
        <v>3.79</v>
      </c>
      <c r="AQ521">
        <v>1060</v>
      </c>
      <c r="AR521" t="s">
        <v>33</v>
      </c>
      <c r="AS521" s="6">
        <f>LOG((10^6+10^7)/2)</f>
        <v>6.7403626894942441</v>
      </c>
      <c r="AT521" s="3">
        <f>IFERROR(AS521-AU521,"NA")</f>
        <v>4.0703626894942442</v>
      </c>
      <c r="AU521" s="6">
        <v>2.67</v>
      </c>
      <c r="AV521" t="b">
        <v>1</v>
      </c>
      <c r="AW521" t="s">
        <v>123</v>
      </c>
      <c r="AX521" t="s">
        <v>327</v>
      </c>
      <c r="AY521" t="s">
        <v>328</v>
      </c>
      <c r="AZ521" t="s">
        <v>33</v>
      </c>
      <c r="BA521" s="18" t="s">
        <v>579</v>
      </c>
      <c r="BB521" t="b">
        <v>1</v>
      </c>
      <c r="BC521" t="s">
        <v>81</v>
      </c>
      <c r="BD521">
        <v>144</v>
      </c>
      <c r="BE521" t="s">
        <v>80</v>
      </c>
      <c r="BF521" s="11">
        <v>120</v>
      </c>
      <c r="BG521" t="s">
        <v>329</v>
      </c>
      <c r="BH521" t="s">
        <v>31</v>
      </c>
      <c r="BI521" t="s">
        <v>31</v>
      </c>
      <c r="BJ521" s="3">
        <f t="shared" si="246"/>
        <v>2.67</v>
      </c>
      <c r="BK521" s="3">
        <f t="shared" si="267"/>
        <v>0.42651126136457523</v>
      </c>
      <c r="BL521">
        <v>2</v>
      </c>
      <c r="BM521" s="3">
        <f t="shared" si="261"/>
        <v>2.4733434253658881</v>
      </c>
      <c r="BN521" t="s">
        <v>33</v>
      </c>
      <c r="BO521" s="3">
        <f t="shared" si="271"/>
        <v>297.4016853932585</v>
      </c>
      <c r="BP521" t="s">
        <v>33</v>
      </c>
      <c r="BQ521" t="s">
        <v>33</v>
      </c>
      <c r="BR521" t="s">
        <v>33</v>
      </c>
      <c r="BS521" t="s">
        <v>33</v>
      </c>
      <c r="BT521" t="s">
        <v>31</v>
      </c>
      <c r="BU521" t="s">
        <v>330</v>
      </c>
      <c r="BV521">
        <v>2009</v>
      </c>
      <c r="BW521" t="s">
        <v>331</v>
      </c>
      <c r="BX521" t="s">
        <v>78</v>
      </c>
      <c r="BY521" t="s">
        <v>33</v>
      </c>
      <c r="BZ521" t="s">
        <v>335</v>
      </c>
      <c r="CA521" t="str">
        <f t="shared" si="273"/>
        <v>high acid</v>
      </c>
    </row>
    <row r="522" spans="1:79">
      <c r="A522" t="s">
        <v>354</v>
      </c>
      <c r="B522" t="s">
        <v>565</v>
      </c>
      <c r="C522" t="s">
        <v>563</v>
      </c>
      <c r="D522" t="s">
        <v>118</v>
      </c>
      <c r="E522" t="s">
        <v>77</v>
      </c>
      <c r="F522" t="s">
        <v>32</v>
      </c>
      <c r="G522">
        <v>20</v>
      </c>
      <c r="H522">
        <v>38</v>
      </c>
      <c r="I522" t="b">
        <v>0</v>
      </c>
      <c r="J522" t="s">
        <v>33</v>
      </c>
      <c r="K522" t="s">
        <v>33</v>
      </c>
      <c r="L522">
        <v>28</v>
      </c>
      <c r="M522" s="4">
        <v>800</v>
      </c>
      <c r="N522" s="3">
        <f>IFERROR(AF522/((T522*X522/Y522)*O522*AI522),"NA")</f>
        <v>798.65912581555494</v>
      </c>
      <c r="O522">
        <v>4</v>
      </c>
      <c r="P522">
        <v>1.4999999999999999E-2</v>
      </c>
      <c r="Q522" s="8">
        <f t="shared" si="256"/>
        <v>8.6458333333333352E-3</v>
      </c>
      <c r="R522" t="s">
        <v>183</v>
      </c>
      <c r="S522" t="s">
        <v>613</v>
      </c>
      <c r="T522" s="11">
        <v>6</v>
      </c>
      <c r="U522">
        <v>2.92</v>
      </c>
      <c r="V522">
        <v>2.38</v>
      </c>
      <c r="W522" t="s">
        <v>33</v>
      </c>
      <c r="X522" s="8">
        <f t="shared" si="263"/>
        <v>1.2990523321705635E-2</v>
      </c>
      <c r="Y522">
        <v>1.5</v>
      </c>
      <c r="Z522" s="3">
        <f t="shared" si="268"/>
        <v>1.5025183601008925</v>
      </c>
      <c r="AA522" t="s">
        <v>33</v>
      </c>
      <c r="AB522" s="6">
        <f t="shared" si="272"/>
        <v>6.916666666666667</v>
      </c>
      <c r="AC522">
        <f t="shared" si="254"/>
        <v>12</v>
      </c>
      <c r="AD522" s="4">
        <f>AB522*T522*AI522</f>
        <v>41.5</v>
      </c>
      <c r="AE522" s="3">
        <f t="shared" si="269"/>
        <v>338.37440000000009</v>
      </c>
      <c r="AF522" s="3">
        <v>166</v>
      </c>
      <c r="AG522">
        <f>IFERROR((M522*O522*P522), "NA")</f>
        <v>48</v>
      </c>
      <c r="AH522">
        <f>IFERROR((AG522*T522*AI522), "NA")</f>
        <v>288</v>
      </c>
      <c r="AI522">
        <v>1</v>
      </c>
      <c r="AJ522" t="s">
        <v>31</v>
      </c>
      <c r="AK522">
        <v>2600</v>
      </c>
      <c r="AL522" t="s">
        <v>351</v>
      </c>
      <c r="AM522" t="s">
        <v>86</v>
      </c>
      <c r="AN522" t="s">
        <v>205</v>
      </c>
      <c r="AO522" t="s">
        <v>789</v>
      </c>
      <c r="AP522">
        <v>3.7</v>
      </c>
      <c r="AQ522" t="s">
        <v>33</v>
      </c>
      <c r="AR522" t="s">
        <v>33</v>
      </c>
      <c r="AS522" s="6">
        <v>6.5</v>
      </c>
      <c r="AT522" s="3">
        <f>IFERROR(AS522-AU522,"NA")</f>
        <v>4.0730000000000004</v>
      </c>
      <c r="AU522" s="6">
        <v>2.427</v>
      </c>
      <c r="AV522" t="b">
        <v>1</v>
      </c>
      <c r="AW522" t="s">
        <v>29</v>
      </c>
      <c r="AX522" t="s">
        <v>30</v>
      </c>
      <c r="AY522" t="s">
        <v>33</v>
      </c>
      <c r="AZ522" t="s">
        <v>134</v>
      </c>
      <c r="BA522" s="18" t="s">
        <v>798</v>
      </c>
      <c r="BB522" t="b">
        <v>0</v>
      </c>
      <c r="BC522" t="s">
        <v>81</v>
      </c>
      <c r="BD522">
        <v>12</v>
      </c>
      <c r="BE522" t="s">
        <v>80</v>
      </c>
      <c r="BF522" s="11">
        <v>24</v>
      </c>
      <c r="BG522" t="s">
        <v>352</v>
      </c>
      <c r="BH522" t="s">
        <v>31</v>
      </c>
      <c r="BI522" t="s">
        <v>31</v>
      </c>
      <c r="BJ522" s="3">
        <f t="shared" ref="BJ522:BJ583" si="274">AU522</f>
        <v>2.427</v>
      </c>
      <c r="BK522" s="3">
        <f t="shared" si="267"/>
        <v>0.38506977633193473</v>
      </c>
      <c r="BL522">
        <v>2</v>
      </c>
      <c r="BM522" s="3">
        <f t="shared" si="261"/>
        <v>2.1443277223633768</v>
      </c>
      <c r="BN522" t="s">
        <v>33</v>
      </c>
      <c r="BO522" s="3">
        <f t="shared" si="271"/>
        <v>139.42084878450765</v>
      </c>
      <c r="BP522" t="s">
        <v>33</v>
      </c>
      <c r="BQ522" t="s">
        <v>33</v>
      </c>
      <c r="BR522" t="s">
        <v>33</v>
      </c>
      <c r="BS522" t="s">
        <v>33</v>
      </c>
      <c r="BT522" t="s">
        <v>31</v>
      </c>
      <c r="BU522" t="s">
        <v>163</v>
      </c>
      <c r="BV522">
        <v>2000</v>
      </c>
      <c r="BW522" t="s">
        <v>353</v>
      </c>
      <c r="BX522" t="s">
        <v>78</v>
      </c>
      <c r="BY522" t="s">
        <v>33</v>
      </c>
      <c r="BZ522" t="s">
        <v>529</v>
      </c>
      <c r="CA522" t="str">
        <f t="shared" si="273"/>
        <v>high acid</v>
      </c>
    </row>
    <row r="523" spans="1:79">
      <c r="A523" t="s">
        <v>223</v>
      </c>
      <c r="B523" t="s">
        <v>565</v>
      </c>
      <c r="C523" t="s">
        <v>563</v>
      </c>
      <c r="D523" t="s">
        <v>118</v>
      </c>
      <c r="E523" t="s">
        <v>77</v>
      </c>
      <c r="F523" t="s">
        <v>32</v>
      </c>
      <c r="G523">
        <v>5</v>
      </c>
      <c r="H523">
        <v>39.1</v>
      </c>
      <c r="I523" t="b">
        <v>0</v>
      </c>
      <c r="J523" t="s">
        <v>33</v>
      </c>
      <c r="K523" t="s">
        <v>33</v>
      </c>
      <c r="L523">
        <v>35</v>
      </c>
      <c r="M523" s="4">
        <v>250</v>
      </c>
      <c r="N523" s="3">
        <f>IFERROR(AF523/((T523*X523/Y523)*O523*AI523),"NA")</f>
        <v>8586.1873814153205</v>
      </c>
      <c r="O523">
        <v>4</v>
      </c>
      <c r="P523" t="s">
        <v>33</v>
      </c>
      <c r="Q523">
        <f t="shared" si="256"/>
        <v>0.25</v>
      </c>
      <c r="R523" t="s">
        <v>183</v>
      </c>
      <c r="S523" t="s">
        <v>613</v>
      </c>
      <c r="T523" s="11">
        <v>8</v>
      </c>
      <c r="U523">
        <v>2.92</v>
      </c>
      <c r="V523">
        <v>2.2999999999999998</v>
      </c>
      <c r="W523">
        <v>1.21E-2</v>
      </c>
      <c r="X523" s="8">
        <f t="shared" si="263"/>
        <v>1.2131888350367701E-2</v>
      </c>
      <c r="Y523" s="6">
        <f>100/60</f>
        <v>1.6666666666666667</v>
      </c>
      <c r="Z523" s="3">
        <f t="shared" si="268"/>
        <v>4.8527553401470802E-2</v>
      </c>
      <c r="AA523" t="s">
        <v>33</v>
      </c>
      <c r="AB523" s="6">
        <f t="shared" si="272"/>
        <v>62.5</v>
      </c>
      <c r="AC523" t="str">
        <f t="shared" si="254"/>
        <v>NA</v>
      </c>
      <c r="AD523" s="4">
        <f>AB523*T523*AI523</f>
        <v>500</v>
      </c>
      <c r="AE523" s="3">
        <f t="shared" si="269"/>
        <v>12813.5</v>
      </c>
      <c r="AF523">
        <v>2000</v>
      </c>
      <c r="AG523" t="str">
        <f>IFERROR((M523*O523*P523), "NA")</f>
        <v>NA</v>
      </c>
      <c r="AH523" t="str">
        <f>IFERROR((AG523*T523*AI523), "NA")</f>
        <v>NA</v>
      </c>
      <c r="AI523">
        <v>1</v>
      </c>
      <c r="AJ523" t="s">
        <v>31</v>
      </c>
      <c r="AK523">
        <v>5230</v>
      </c>
      <c r="AL523" t="s">
        <v>542</v>
      </c>
      <c r="AM523" t="s">
        <v>86</v>
      </c>
      <c r="AN523" t="s">
        <v>186</v>
      </c>
      <c r="AO523" t="s">
        <v>794</v>
      </c>
      <c r="AP523">
        <v>5.82</v>
      </c>
      <c r="AQ523" t="s">
        <v>33</v>
      </c>
      <c r="AR523" t="s">
        <v>33</v>
      </c>
      <c r="AS523" s="6">
        <f>LOG((10^7+10^8)/2)</f>
        <v>7.7403626894942441</v>
      </c>
      <c r="AT523" s="3">
        <f>IFERROR(AS523-AU523,"NA")</f>
        <v>4.088362689494244</v>
      </c>
      <c r="AU523" s="6">
        <v>3.6520000000000001</v>
      </c>
      <c r="AV523" t="b">
        <v>1</v>
      </c>
      <c r="AW523" t="s">
        <v>92</v>
      </c>
      <c r="AX523" t="s">
        <v>93</v>
      </c>
      <c r="AY523" s="10">
        <v>1131</v>
      </c>
      <c r="AZ523" t="s">
        <v>33</v>
      </c>
      <c r="BA523" s="18" t="s">
        <v>801</v>
      </c>
      <c r="BB523" t="b">
        <v>0</v>
      </c>
      <c r="BC523" t="s">
        <v>81</v>
      </c>
      <c r="BD523">
        <f>(16+14)/2</f>
        <v>15</v>
      </c>
      <c r="BE523" t="s">
        <v>80</v>
      </c>
      <c r="BF523" t="s">
        <v>33</v>
      </c>
      <c r="BG523" t="s">
        <v>573</v>
      </c>
      <c r="BH523" t="s">
        <v>31</v>
      </c>
      <c r="BI523" t="s">
        <v>31</v>
      </c>
      <c r="BJ523" s="3">
        <f t="shared" si="274"/>
        <v>3.6520000000000001</v>
      </c>
      <c r="BK523" s="3">
        <f t="shared" si="267"/>
        <v>0.56253076886226139</v>
      </c>
      <c r="BL523">
        <v>2</v>
      </c>
      <c r="BM523" s="3">
        <f t="shared" si="261"/>
        <v>3.5451370043695456</v>
      </c>
      <c r="BN523" t="s">
        <v>33</v>
      </c>
      <c r="BO523" s="3">
        <f t="shared" si="271"/>
        <v>3508.6254107338445</v>
      </c>
      <c r="BP523" t="s">
        <v>33</v>
      </c>
      <c r="BQ523" t="s">
        <v>33</v>
      </c>
      <c r="BR523" t="s">
        <v>33</v>
      </c>
      <c r="BS523" t="s">
        <v>33</v>
      </c>
      <c r="BT523" t="s">
        <v>31</v>
      </c>
      <c r="BU523" t="s">
        <v>219</v>
      </c>
      <c r="BV523">
        <v>2007</v>
      </c>
      <c r="BW523" t="s">
        <v>218</v>
      </c>
      <c r="BX523" t="s">
        <v>78</v>
      </c>
      <c r="BY523" t="s">
        <v>33</v>
      </c>
      <c r="BZ523" t="s">
        <v>33</v>
      </c>
      <c r="CA523" t="str">
        <f t="shared" si="273"/>
        <v>low acid</v>
      </c>
    </row>
    <row r="524" spans="1:79">
      <c r="A524" t="s">
        <v>89</v>
      </c>
      <c r="B524" t="s">
        <v>565</v>
      </c>
      <c r="C524" t="s">
        <v>563</v>
      </c>
      <c r="D524" t="s">
        <v>118</v>
      </c>
      <c r="E524" t="s">
        <v>77</v>
      </c>
      <c r="F524" t="s">
        <v>32</v>
      </c>
      <c r="G524">
        <v>40</v>
      </c>
      <c r="H524">
        <f>(42+47)/2</f>
        <v>44.5</v>
      </c>
      <c r="I524" t="b">
        <v>0</v>
      </c>
      <c r="J524" t="s">
        <v>33</v>
      </c>
      <c r="K524" t="s">
        <v>33</v>
      </c>
      <c r="L524">
        <v>26</v>
      </c>
      <c r="M524" s="4">
        <v>548</v>
      </c>
      <c r="N524" s="3">
        <f>IFERROR(AF524/((T524*X524/Y524)*O524*AI524),"NA")</f>
        <v>553.30575787548105</v>
      </c>
      <c r="O524">
        <v>2.5</v>
      </c>
      <c r="P524" t="s">
        <v>33</v>
      </c>
      <c r="Q524" s="8">
        <f t="shared" si="256"/>
        <v>6.0827250608272501E-3</v>
      </c>
      <c r="R524" t="s">
        <v>183</v>
      </c>
      <c r="S524" t="s">
        <v>612</v>
      </c>
      <c r="T524" s="11">
        <v>6</v>
      </c>
      <c r="U524">
        <v>2.9</v>
      </c>
      <c r="V524">
        <v>2.2999999999999998</v>
      </c>
      <c r="W524" t="s">
        <v>33</v>
      </c>
      <c r="X524" s="8">
        <f t="shared" si="263"/>
        <v>1.204879322468025E-2</v>
      </c>
      <c r="Y524">
        <f>120/60</f>
        <v>2</v>
      </c>
      <c r="Z524" s="9">
        <f t="shared" si="268"/>
        <v>1.9808216061374333</v>
      </c>
      <c r="AA524">
        <v>3.3</v>
      </c>
      <c r="AB524" s="6">
        <f t="shared" si="272"/>
        <v>3.333333333333333</v>
      </c>
      <c r="AC524" t="str">
        <f t="shared" si="254"/>
        <v>NA</v>
      </c>
      <c r="AD524" s="4">
        <f>IFERROR(AB524*T524*AI524, "NA")</f>
        <v>20</v>
      </c>
      <c r="AE524">
        <f t="shared" si="269"/>
        <v>72.669999999999987</v>
      </c>
      <c r="AF524">
        <v>50</v>
      </c>
      <c r="AG524" t="str">
        <f>IFERROR((M524*O524*P524), "NA")</f>
        <v>NA</v>
      </c>
      <c r="AH524" t="str">
        <f>IFERROR((AG524*T524*AI524), "NA")</f>
        <v>NA</v>
      </c>
      <c r="AI524" s="11">
        <v>1</v>
      </c>
      <c r="AJ524" t="s">
        <v>31</v>
      </c>
      <c r="AK524">
        <v>2150</v>
      </c>
      <c r="AL524" t="s">
        <v>238</v>
      </c>
      <c r="AM524" t="s">
        <v>86</v>
      </c>
      <c r="AN524" t="s">
        <v>205</v>
      </c>
      <c r="AO524" t="s">
        <v>789</v>
      </c>
      <c r="AP524">
        <v>4.16</v>
      </c>
      <c r="AQ524" t="s">
        <v>33</v>
      </c>
      <c r="AR524" t="s">
        <v>33</v>
      </c>
      <c r="AS524" s="3">
        <f>LOG(3.8*10^6)</f>
        <v>6.5797835966168101</v>
      </c>
      <c r="AT524" s="3">
        <f>IFERROR(AS524-AU524,"NA")</f>
        <v>4.0897835966168099</v>
      </c>
      <c r="AU524" s="6">
        <v>2.4900000000000002</v>
      </c>
      <c r="AV524" t="b">
        <v>1</v>
      </c>
      <c r="AW524" t="s">
        <v>123</v>
      </c>
      <c r="AX524" t="s">
        <v>88</v>
      </c>
      <c r="AY524" t="s">
        <v>518</v>
      </c>
      <c r="AZ524" t="s">
        <v>33</v>
      </c>
      <c r="BA524" s="18" t="s">
        <v>579</v>
      </c>
      <c r="BB524" t="b">
        <v>1</v>
      </c>
      <c r="BC524" t="s">
        <v>81</v>
      </c>
      <c r="BD524">
        <v>24</v>
      </c>
      <c r="BE524" t="s">
        <v>80</v>
      </c>
      <c r="BF524" s="11">
        <v>72</v>
      </c>
      <c r="BG524" t="s">
        <v>395</v>
      </c>
      <c r="BH524" t="s">
        <v>31</v>
      </c>
      <c r="BI524" t="s">
        <v>31</v>
      </c>
      <c r="BJ524">
        <f t="shared" si="274"/>
        <v>2.4900000000000002</v>
      </c>
      <c r="BK524" s="3">
        <f t="shared" si="267"/>
        <v>0.3961993470957364</v>
      </c>
      <c r="BL524">
        <v>2</v>
      </c>
      <c r="BM524" s="3">
        <f>LOG(BO524)</f>
        <v>1.4651558130975235</v>
      </c>
      <c r="BN524" t="s">
        <v>33</v>
      </c>
      <c r="BO524" s="3">
        <f t="shared" si="271"/>
        <v>29.184738955823285</v>
      </c>
      <c r="BP524" t="s">
        <v>33</v>
      </c>
      <c r="BQ524" t="s">
        <v>33</v>
      </c>
      <c r="BR524" t="s">
        <v>33</v>
      </c>
      <c r="BS524" t="s">
        <v>33</v>
      </c>
      <c r="BT524" t="s">
        <v>32</v>
      </c>
      <c r="BU524" t="s">
        <v>84</v>
      </c>
      <c r="BV524">
        <v>2013</v>
      </c>
      <c r="BW524" t="s">
        <v>83</v>
      </c>
      <c r="BX524" t="s">
        <v>78</v>
      </c>
      <c r="BY524" t="s">
        <v>33</v>
      </c>
      <c r="BZ524" t="s">
        <v>33</v>
      </c>
      <c r="CA524" t="str">
        <f t="shared" si="273"/>
        <v>high acid</v>
      </c>
    </row>
    <row r="525" spans="1:79">
      <c r="A525" t="s">
        <v>453</v>
      </c>
      <c r="B525" t="s">
        <v>565</v>
      </c>
      <c r="C525" t="s">
        <v>563</v>
      </c>
      <c r="D525" t="s">
        <v>182</v>
      </c>
      <c r="E525" t="s">
        <v>77</v>
      </c>
      <c r="F525" t="s">
        <v>32</v>
      </c>
      <c r="G525">
        <v>18</v>
      </c>
      <c r="H525">
        <v>49</v>
      </c>
      <c r="I525" t="b">
        <v>1</v>
      </c>
      <c r="J525" t="s">
        <v>33</v>
      </c>
      <c r="K525" t="s">
        <v>33</v>
      </c>
      <c r="L525">
        <v>33</v>
      </c>
      <c r="M525" s="4" t="s">
        <v>33</v>
      </c>
      <c r="N525" s="3">
        <f>IFERROR(AF525/((T525*X525/Y525)*O525*AI525),"NA")</f>
        <v>281.42752925843115</v>
      </c>
      <c r="O525">
        <v>8</v>
      </c>
      <c r="P525">
        <f>0.047/2</f>
        <v>2.35E-2</v>
      </c>
      <c r="Q525" s="8">
        <f t="shared" si="256"/>
        <v>2.3318614270936313E-2</v>
      </c>
      <c r="R525" t="s">
        <v>183</v>
      </c>
      <c r="S525" t="s">
        <v>613</v>
      </c>
      <c r="T525" s="11">
        <v>2</v>
      </c>
      <c r="U525">
        <v>5.6</v>
      </c>
      <c r="V525">
        <v>4.5</v>
      </c>
      <c r="W525" t="s">
        <v>33</v>
      </c>
      <c r="X525" s="9">
        <f t="shared" si="263"/>
        <v>8.9064151729270638E-2</v>
      </c>
      <c r="Y525" s="6">
        <f>13750/3600</f>
        <v>3.8194444444444446</v>
      </c>
      <c r="Z525" s="3">
        <f>IFERROR(X525*N525*O525*T525*AI525/AF525, "NA")</f>
        <v>3.8194444444444442</v>
      </c>
      <c r="AA525" t="s">
        <v>33</v>
      </c>
      <c r="AB525" s="4">
        <f>IFERROR(((X525*N525)/Y525), "NA")</f>
        <v>6.5624999999999991</v>
      </c>
      <c r="AC525" s="4">
        <f>IFERROR(N525*P525,"NA")</f>
        <v>6.6135469375731324</v>
      </c>
      <c r="AD525" s="4">
        <f>AB525*T525*AI525</f>
        <v>13.124999999999998</v>
      </c>
      <c r="AE525" s="3">
        <f>IFERROR(((L525^2)*N525*O525*AK525*10^-6*Q525*T525*AI525), "NA")</f>
        <v>262.99349999999998</v>
      </c>
      <c r="AF525">
        <v>105</v>
      </c>
      <c r="AG525" s="4">
        <f>IFERROR((N525*O525*P525), "NA")</f>
        <v>52.908375500585059</v>
      </c>
      <c r="AH525" s="4">
        <f>IFERROR((AG525*T525*AI525), "NA")</f>
        <v>105.81675100117012</v>
      </c>
      <c r="AI525" s="11">
        <v>1</v>
      </c>
      <c r="AJ525" t="s">
        <v>31</v>
      </c>
      <c r="AK525">
        <v>2300</v>
      </c>
      <c r="AL525" t="s">
        <v>805</v>
      </c>
      <c r="AM525" t="s">
        <v>515</v>
      </c>
      <c r="AN525" t="s">
        <v>205</v>
      </c>
      <c r="AO525" t="s">
        <v>788</v>
      </c>
      <c r="AP525">
        <v>3.68</v>
      </c>
      <c r="AQ525" t="s">
        <v>33</v>
      </c>
      <c r="AR525" t="s">
        <v>33</v>
      </c>
      <c r="AS525">
        <f>LOG(10^8)</f>
        <v>8</v>
      </c>
      <c r="AT525" s="3">
        <f>IFERROR(AS525-AU525,"NA")</f>
        <v>4.09</v>
      </c>
      <c r="AU525" s="6">
        <v>3.91</v>
      </c>
      <c r="AV525" t="b">
        <v>1</v>
      </c>
      <c r="AW525" t="s">
        <v>123</v>
      </c>
      <c r="AX525" t="s">
        <v>88</v>
      </c>
      <c r="AY525" t="s">
        <v>468</v>
      </c>
      <c r="AZ525" t="s">
        <v>33</v>
      </c>
      <c r="BA525" s="18" t="s">
        <v>579</v>
      </c>
      <c r="BB525" t="b">
        <v>1</v>
      </c>
      <c r="BC525" t="s">
        <v>81</v>
      </c>
      <c r="BD525" t="s">
        <v>33</v>
      </c>
      <c r="BE525" t="s">
        <v>80</v>
      </c>
      <c r="BF525" t="s">
        <v>33</v>
      </c>
      <c r="BG525" t="s">
        <v>395</v>
      </c>
      <c r="BH525" t="s">
        <v>31</v>
      </c>
      <c r="BI525" t="s">
        <v>31</v>
      </c>
      <c r="BJ525" s="3">
        <f t="shared" si="274"/>
        <v>3.91</v>
      </c>
      <c r="BK525" s="3">
        <f t="shared" si="267"/>
        <v>0.59217675739586684</v>
      </c>
      <c r="BL525">
        <v>2</v>
      </c>
      <c r="BM525" s="3">
        <f t="shared" ref="BM525:BM545" si="275">IFERROR(LOG(BO525),"NA")</f>
        <v>1.827768257447439</v>
      </c>
      <c r="BN525" t="s">
        <v>33</v>
      </c>
      <c r="BO525" s="3">
        <f t="shared" si="271"/>
        <v>67.261764705882342</v>
      </c>
      <c r="BP525" t="s">
        <v>33</v>
      </c>
      <c r="BQ525" t="s">
        <v>33</v>
      </c>
      <c r="BR525" t="s">
        <v>33</v>
      </c>
      <c r="BS525" t="s">
        <v>33</v>
      </c>
      <c r="BT525" t="s">
        <v>32</v>
      </c>
      <c r="BU525" t="s">
        <v>484</v>
      </c>
      <c r="BV525">
        <v>2015</v>
      </c>
      <c r="BW525" t="s">
        <v>485</v>
      </c>
      <c r="BX525" t="s">
        <v>78</v>
      </c>
      <c r="BY525" t="s">
        <v>486</v>
      </c>
      <c r="CA525" t="str">
        <f t="shared" si="273"/>
        <v>high acid</v>
      </c>
    </row>
    <row r="526" spans="1:79">
      <c r="A526" t="s">
        <v>581</v>
      </c>
      <c r="B526" t="s">
        <v>565</v>
      </c>
      <c r="C526" t="s">
        <v>563</v>
      </c>
      <c r="D526" t="s">
        <v>118</v>
      </c>
      <c r="E526" t="s">
        <v>77</v>
      </c>
      <c r="F526" t="s">
        <v>32</v>
      </c>
      <c r="G526">
        <v>5</v>
      </c>
      <c r="H526">
        <v>30.3</v>
      </c>
      <c r="I526" t="b">
        <v>0</v>
      </c>
      <c r="J526" t="s">
        <v>33</v>
      </c>
      <c r="K526" t="s">
        <v>33</v>
      </c>
      <c r="L526">
        <v>35</v>
      </c>
      <c r="M526" s="4">
        <v>100</v>
      </c>
      <c r="N526" t="e">
        <f>(#REF!*Y526)/(T526*X526*O526)</f>
        <v>#REF!</v>
      </c>
      <c r="O526">
        <v>4</v>
      </c>
      <c r="P526" t="s">
        <v>33</v>
      </c>
      <c r="Q526" s="1">
        <f t="shared" si="256"/>
        <v>0.625</v>
      </c>
      <c r="R526" t="s">
        <v>183</v>
      </c>
      <c r="S526" t="s">
        <v>613</v>
      </c>
      <c r="T526">
        <v>8</v>
      </c>
      <c r="U526">
        <v>2.92</v>
      </c>
      <c r="V526">
        <v>2.2999999999999998</v>
      </c>
      <c r="W526">
        <v>1.21E-2</v>
      </c>
      <c r="X526">
        <f t="shared" si="263"/>
        <v>1.2131888350367701E-2</v>
      </c>
      <c r="Y526">
        <v>1.6666700000000001</v>
      </c>
      <c r="Z526" s="3">
        <f t="shared" ref="Z526:Z534" si="276">IFERROR(X526*M526*O526*T526*AI526/AF526, "NA")</f>
        <v>1.941102136058832E-2</v>
      </c>
      <c r="AA526" t="s">
        <v>33</v>
      </c>
      <c r="AB526">
        <f>IFERROR(((X526*M526)/Z526), "NA")</f>
        <v>62.500000000000007</v>
      </c>
      <c r="AC526" s="1" t="str">
        <f t="shared" ref="AC526:AC556" si="277">IFERROR(M526*P526,"NA")</f>
        <v>NA</v>
      </c>
      <c r="AE526" s="3">
        <f t="shared" ref="AE526:AE534" si="278">IFERROR(((L526^2)*M526*O526*AK526*10^-6*Q526*T526*AI526), "NA")</f>
        <v>8967</v>
      </c>
      <c r="AF526">
        <v>2000</v>
      </c>
      <c r="AG526" s="1" t="str">
        <f>IFERROR((N526*P526*Q526), "NA")</f>
        <v>NA</v>
      </c>
      <c r="AH526" s="1" t="str">
        <f>IFERROR((AG526*U526*AI526), "NA")</f>
        <v>NA</v>
      </c>
      <c r="AI526" s="1">
        <v>1</v>
      </c>
      <c r="AJ526" s="11" t="s">
        <v>31</v>
      </c>
      <c r="AK526">
        <v>3660</v>
      </c>
      <c r="AL526" t="s">
        <v>541</v>
      </c>
      <c r="AM526" t="s">
        <v>86</v>
      </c>
      <c r="AN526" t="s">
        <v>186</v>
      </c>
      <c r="AO526" t="s">
        <v>794</v>
      </c>
      <c r="AP526">
        <v>5.46</v>
      </c>
      <c r="AQ526" t="s">
        <v>33</v>
      </c>
      <c r="AR526" t="s">
        <v>33</v>
      </c>
      <c r="AS526">
        <v>7.5</v>
      </c>
      <c r="AT526">
        <f>AS526-AU526</f>
        <v>4.09</v>
      </c>
      <c r="AU526" s="6">
        <v>3.41</v>
      </c>
      <c r="AV526" t="b">
        <v>1</v>
      </c>
      <c r="AW526" t="s">
        <v>617</v>
      </c>
      <c r="AX526" t="s">
        <v>618</v>
      </c>
      <c r="AY526" t="s">
        <v>33</v>
      </c>
      <c r="AZ526" t="s">
        <v>619</v>
      </c>
      <c r="BA526" s="18" t="s">
        <v>802</v>
      </c>
      <c r="BB526" s="3" t="b">
        <v>0</v>
      </c>
      <c r="BC526" t="s">
        <v>81</v>
      </c>
      <c r="BD526">
        <v>15</v>
      </c>
      <c r="BE526" t="s">
        <v>80</v>
      </c>
      <c r="BF526">
        <v>15</v>
      </c>
      <c r="BG526" t="s">
        <v>697</v>
      </c>
      <c r="BH526" t="s">
        <v>32</v>
      </c>
      <c r="BI526" t="s">
        <v>31</v>
      </c>
      <c r="BJ526">
        <f t="shared" si="274"/>
        <v>3.41</v>
      </c>
      <c r="BK526" s="3">
        <f t="shared" si="267"/>
        <v>0.53275437899249778</v>
      </c>
      <c r="BL526">
        <v>2</v>
      </c>
      <c r="BM526" s="3">
        <f t="shared" si="275"/>
        <v>3.4198927907664456</v>
      </c>
      <c r="BN526" t="s">
        <v>33</v>
      </c>
      <c r="BO526" s="3">
        <f t="shared" si="271"/>
        <v>2629.6187683284456</v>
      </c>
      <c r="BP526" t="s">
        <v>33</v>
      </c>
      <c r="BQ526" t="s">
        <v>33</v>
      </c>
      <c r="BR526" t="s">
        <v>33</v>
      </c>
      <c r="BS526" t="s">
        <v>33</v>
      </c>
      <c r="BT526" t="s">
        <v>31</v>
      </c>
      <c r="BU526" t="s">
        <v>219</v>
      </c>
      <c r="BV526" s="14">
        <v>2007</v>
      </c>
      <c r="BW526" s="2" t="s">
        <v>648</v>
      </c>
      <c r="BX526" t="s">
        <v>78</v>
      </c>
      <c r="BY526" s="13" t="s">
        <v>671</v>
      </c>
      <c r="CA526" t="str">
        <f t="shared" si="273"/>
        <v>low acid</v>
      </c>
    </row>
    <row r="527" spans="1:79">
      <c r="A527" t="s">
        <v>584</v>
      </c>
      <c r="B527" t="s">
        <v>566</v>
      </c>
      <c r="C527" t="s">
        <v>563</v>
      </c>
      <c r="D527" t="s">
        <v>607</v>
      </c>
      <c r="E527" t="s">
        <v>77</v>
      </c>
      <c r="F527" t="s">
        <v>33</v>
      </c>
      <c r="G527">
        <v>20</v>
      </c>
      <c r="H527">
        <v>35</v>
      </c>
      <c r="I527" t="b">
        <v>0</v>
      </c>
      <c r="J527">
        <v>1000</v>
      </c>
      <c r="K527">
        <v>200</v>
      </c>
      <c r="L527">
        <v>25</v>
      </c>
      <c r="M527" s="4">
        <v>1</v>
      </c>
      <c r="N527" t="e">
        <f>(#REF!*Y527)/(T527*X527*O527)</f>
        <v>#REF!</v>
      </c>
      <c r="O527">
        <v>3</v>
      </c>
      <c r="P527" t="s">
        <v>33</v>
      </c>
      <c r="Q527" s="1">
        <f t="shared" si="256"/>
        <v>100.00000000000001</v>
      </c>
      <c r="R527" t="s">
        <v>183</v>
      </c>
      <c r="S527" t="s">
        <v>33</v>
      </c>
      <c r="T527">
        <v>1</v>
      </c>
      <c r="U527">
        <v>2.5</v>
      </c>
      <c r="V527" t="s">
        <v>33</v>
      </c>
      <c r="W527">
        <v>0.50249999999999995</v>
      </c>
      <c r="X527">
        <f>W527</f>
        <v>0.50249999999999995</v>
      </c>
      <c r="Y527" t="s">
        <v>33</v>
      </c>
      <c r="Z527" s="3">
        <f t="shared" si="276"/>
        <v>5.0249999999999991E-3</v>
      </c>
      <c r="AA527" t="s">
        <v>33</v>
      </c>
      <c r="AB527">
        <f>IFERROR(((X527*M527)/Z527), "NA")</f>
        <v>100.00000000000001</v>
      </c>
      <c r="AC527" s="1" t="str">
        <f t="shared" si="277"/>
        <v>NA</v>
      </c>
      <c r="AE527" s="3">
        <f t="shared" si="278"/>
        <v>187.50000000000003</v>
      </c>
      <c r="AF527">
        <v>300</v>
      </c>
      <c r="AG527" s="1" t="str">
        <f>IFERROR((N527*P527*Q527), "NA")</f>
        <v>NA</v>
      </c>
      <c r="AH527" s="1" t="str">
        <f>IFERROR((AG527*U527*AI527), "NA")</f>
        <v>NA</v>
      </c>
      <c r="AI527" s="1">
        <v>1</v>
      </c>
      <c r="AJ527" s="11" t="s">
        <v>31</v>
      </c>
      <c r="AK527">
        <v>1000</v>
      </c>
      <c r="AL527" t="s">
        <v>614</v>
      </c>
      <c r="AM527" s="3" t="s">
        <v>103</v>
      </c>
      <c r="AN527" t="s">
        <v>305</v>
      </c>
      <c r="AO527" t="s">
        <v>790</v>
      </c>
      <c r="AP527">
        <v>4.5</v>
      </c>
      <c r="AQ527" t="s">
        <v>33</v>
      </c>
      <c r="AR527" t="s">
        <v>33</v>
      </c>
      <c r="AS527">
        <v>8</v>
      </c>
      <c r="AT527">
        <f>AS527-AU527</f>
        <v>4.09</v>
      </c>
      <c r="AU527" s="6">
        <v>3.91</v>
      </c>
      <c r="AV527" t="b">
        <v>1</v>
      </c>
      <c r="AW527" t="s">
        <v>617</v>
      </c>
      <c r="AX527" t="s">
        <v>33</v>
      </c>
      <c r="AY527" t="s">
        <v>623</v>
      </c>
      <c r="AZ527" t="s">
        <v>621</v>
      </c>
      <c r="BA527" s="18" t="s">
        <v>802</v>
      </c>
      <c r="BB527" s="3" t="b">
        <v>0</v>
      </c>
      <c r="BC527" t="s">
        <v>81</v>
      </c>
      <c r="BD527">
        <v>18</v>
      </c>
      <c r="BE527" t="s">
        <v>80</v>
      </c>
      <c r="BF527">
        <v>24</v>
      </c>
      <c r="BG527" t="s">
        <v>642</v>
      </c>
      <c r="BH527" t="s">
        <v>32</v>
      </c>
      <c r="BI527" t="s">
        <v>31</v>
      </c>
      <c r="BJ527">
        <f t="shared" si="274"/>
        <v>3.91</v>
      </c>
      <c r="BK527" s="3">
        <f t="shared" si="267"/>
        <v>0.59217675739586684</v>
      </c>
      <c r="BL527">
        <v>2</v>
      </c>
      <c r="BM527" s="3">
        <f t="shared" si="275"/>
        <v>1.6808245146678709</v>
      </c>
      <c r="BN527" t="s">
        <v>33</v>
      </c>
      <c r="BO527" s="3">
        <f t="shared" si="271"/>
        <v>47.953964194373405</v>
      </c>
      <c r="BP527" t="s">
        <v>33</v>
      </c>
      <c r="BQ527" t="s">
        <v>33</v>
      </c>
      <c r="BR527" t="s">
        <v>33</v>
      </c>
      <c r="BS527" t="s">
        <v>33</v>
      </c>
      <c r="BT527" t="s">
        <v>31</v>
      </c>
      <c r="BU527" t="s">
        <v>255</v>
      </c>
      <c r="BV527">
        <v>2010</v>
      </c>
      <c r="BW527" t="s">
        <v>651</v>
      </c>
      <c r="BX527" t="s">
        <v>78</v>
      </c>
      <c r="BY527" s="13" t="s">
        <v>674</v>
      </c>
      <c r="BZ527" t="s">
        <v>780</v>
      </c>
      <c r="CA527" t="str">
        <f t="shared" si="273"/>
        <v>high acid</v>
      </c>
    </row>
    <row r="528" spans="1:79">
      <c r="A528" t="s">
        <v>592</v>
      </c>
      <c r="B528" t="s">
        <v>566</v>
      </c>
      <c r="C528" t="s">
        <v>563</v>
      </c>
      <c r="D528" t="s">
        <v>607</v>
      </c>
      <c r="E528" t="s">
        <v>77</v>
      </c>
      <c r="F528" t="s">
        <v>32</v>
      </c>
      <c r="G528" t="s">
        <v>33</v>
      </c>
      <c r="H528">
        <v>35</v>
      </c>
      <c r="I528" t="b">
        <v>0</v>
      </c>
      <c r="J528">
        <v>30000</v>
      </c>
      <c r="K528">
        <v>200</v>
      </c>
      <c r="L528">
        <v>25</v>
      </c>
      <c r="M528" s="4">
        <v>1</v>
      </c>
      <c r="N528" t="e">
        <f>(#REF!*Y528)/(T528*X528*O528)</f>
        <v>#REF!</v>
      </c>
      <c r="O528">
        <v>3</v>
      </c>
      <c r="P528" t="s">
        <v>33</v>
      </c>
      <c r="Q528" s="1">
        <f t="shared" si="256"/>
        <v>167.70000000000002</v>
      </c>
      <c r="R528" t="s">
        <v>183</v>
      </c>
      <c r="S528" t="s">
        <v>33</v>
      </c>
      <c r="T528">
        <v>1</v>
      </c>
      <c r="U528">
        <v>2.5</v>
      </c>
      <c r="V528" t="s">
        <v>33</v>
      </c>
      <c r="W528">
        <v>0.50249999999999995</v>
      </c>
      <c r="X528">
        <f>W528</f>
        <v>0.50249999999999995</v>
      </c>
      <c r="Y528" t="s">
        <v>33</v>
      </c>
      <c r="Z528" s="3">
        <f t="shared" si="276"/>
        <v>2.9964221824686937E-3</v>
      </c>
      <c r="AA528" t="s">
        <v>33</v>
      </c>
      <c r="AB528">
        <f>IFERROR(((X528*M528)/Z528), "NA")</f>
        <v>167.70000000000002</v>
      </c>
      <c r="AC528" s="1" t="str">
        <f t="shared" si="277"/>
        <v>NA</v>
      </c>
      <c r="AE528" s="3">
        <f t="shared" si="278"/>
        <v>314.43750000000006</v>
      </c>
      <c r="AF528">
        <v>503.1</v>
      </c>
      <c r="AG528" s="1" t="str">
        <f>IFERROR((N528*P528*Q528), "NA")</f>
        <v>NA</v>
      </c>
      <c r="AH528" s="1" t="str">
        <f>IFERROR((AG528*U528*AI528), "NA")</f>
        <v>NA</v>
      </c>
      <c r="AI528" s="1">
        <v>1</v>
      </c>
      <c r="AJ528" s="11" t="s">
        <v>31</v>
      </c>
      <c r="AK528">
        <v>1000</v>
      </c>
      <c r="AL528" t="s">
        <v>614</v>
      </c>
      <c r="AM528" s="3" t="s">
        <v>103</v>
      </c>
      <c r="AN528" t="s">
        <v>305</v>
      </c>
      <c r="AO528" t="s">
        <v>790</v>
      </c>
      <c r="AP528">
        <v>3.5</v>
      </c>
      <c r="AQ528" t="s">
        <v>33</v>
      </c>
      <c r="AR528" t="s">
        <v>33</v>
      </c>
      <c r="AS528">
        <v>8</v>
      </c>
      <c r="AT528">
        <f>AS528-AU528</f>
        <v>4.0999999999999996</v>
      </c>
      <c r="AU528" s="6">
        <v>3.9</v>
      </c>
      <c r="AV528" t="b">
        <v>1</v>
      </c>
      <c r="AW528" t="s">
        <v>626</v>
      </c>
      <c r="AX528" t="s">
        <v>627</v>
      </c>
      <c r="AY528" t="s">
        <v>633</v>
      </c>
      <c r="AZ528" t="s">
        <v>33</v>
      </c>
      <c r="BA528" s="18" t="s">
        <v>800</v>
      </c>
      <c r="BB528" s="3" t="b">
        <v>0</v>
      </c>
      <c r="BC528" t="s">
        <v>81</v>
      </c>
      <c r="BD528">
        <v>24</v>
      </c>
      <c r="BE528" t="s">
        <v>80</v>
      </c>
      <c r="BF528">
        <v>48</v>
      </c>
      <c r="BG528" t="s">
        <v>569</v>
      </c>
      <c r="BH528" t="s">
        <v>31</v>
      </c>
      <c r="BI528" t="s">
        <v>31</v>
      </c>
      <c r="BJ528">
        <f t="shared" si="274"/>
        <v>3.9</v>
      </c>
      <c r="BK528" s="3">
        <f t="shared" si="267"/>
        <v>0.59106460702649921</v>
      </c>
      <c r="BL528">
        <v>2</v>
      </c>
      <c r="BM528" s="3">
        <f t="shared" si="275"/>
        <v>1.9064697276433242</v>
      </c>
      <c r="BN528" t="s">
        <v>33</v>
      </c>
      <c r="BO528" s="3">
        <f t="shared" si="271"/>
        <v>80.625000000000014</v>
      </c>
      <c r="BP528" t="s">
        <v>33</v>
      </c>
      <c r="BQ528" t="s">
        <v>33</v>
      </c>
      <c r="BR528" t="s">
        <v>33</v>
      </c>
      <c r="BS528" t="s">
        <v>33</v>
      </c>
      <c r="BT528" t="s">
        <v>31</v>
      </c>
      <c r="BU528" s="15" t="s">
        <v>255</v>
      </c>
      <c r="BV528">
        <v>2010</v>
      </c>
      <c r="BW528" t="s">
        <v>659</v>
      </c>
      <c r="BX528" t="s">
        <v>78</v>
      </c>
      <c r="BY528" s="13" t="s">
        <v>680</v>
      </c>
      <c r="CA528" t="str">
        <f t="shared" si="273"/>
        <v>high acid</v>
      </c>
    </row>
    <row r="529" spans="1:79">
      <c r="A529" t="s">
        <v>501</v>
      </c>
      <c r="B529" t="s">
        <v>565</v>
      </c>
      <c r="C529" t="s">
        <v>563</v>
      </c>
      <c r="D529" t="s">
        <v>118</v>
      </c>
      <c r="E529" t="s">
        <v>77</v>
      </c>
      <c r="F529" t="s">
        <v>32</v>
      </c>
      <c r="G529">
        <v>4</v>
      </c>
      <c r="H529">
        <v>40</v>
      </c>
      <c r="I529" t="b">
        <v>0</v>
      </c>
      <c r="J529" t="s">
        <v>33</v>
      </c>
      <c r="K529" t="s">
        <v>33</v>
      </c>
      <c r="L529">
        <v>35</v>
      </c>
      <c r="M529" s="4">
        <v>200</v>
      </c>
      <c r="N529" s="3" t="str">
        <f>IFERROR(AF529/((T529*X529/Y529)*O529*AI529),"NA")</f>
        <v>NA</v>
      </c>
      <c r="O529">
        <v>4</v>
      </c>
      <c r="P529" s="9" t="s">
        <v>33</v>
      </c>
      <c r="Q529" s="8">
        <f t="shared" si="256"/>
        <v>7.8125E-2</v>
      </c>
      <c r="R529" t="s">
        <v>183</v>
      </c>
      <c r="S529" t="s">
        <v>613</v>
      </c>
      <c r="T529" s="11">
        <v>8</v>
      </c>
      <c r="U529">
        <v>2.92</v>
      </c>
      <c r="V529">
        <v>2.2999999999999998</v>
      </c>
      <c r="W529">
        <v>1.21E-2</v>
      </c>
      <c r="X529" s="9">
        <f>IFERROR(((PI())*(((V529*10^-1)/2)^2)*(U529*10^-1)), "NA")</f>
        <v>1.2131888350367701E-2</v>
      </c>
      <c r="Y529" s="6" t="s">
        <v>33</v>
      </c>
      <c r="Z529" s="3">
        <f t="shared" si="276"/>
        <v>0.15528817088470656</v>
      </c>
      <c r="AA529" t="s">
        <v>33</v>
      </c>
      <c r="AB529" s="4" t="str">
        <f>IFERROR(((X529*M529)/Y529), "NA")</f>
        <v>NA</v>
      </c>
      <c r="AC529" s="4" t="str">
        <f t="shared" si="277"/>
        <v>NA</v>
      </c>
      <c r="AD529" s="4" t="e">
        <f>AB529*T529*AI529</f>
        <v>#VALUE!</v>
      </c>
      <c r="AE529" s="3">
        <f t="shared" si="278"/>
        <v>2303</v>
      </c>
      <c r="AF529">
        <v>500</v>
      </c>
      <c r="AG529" s="4" t="str">
        <f>IFERROR((M529*O529*P529), "NA")</f>
        <v>NA</v>
      </c>
      <c r="AH529" s="4" t="str">
        <f>IFERROR((AG529*T529*AI529), "NA")</f>
        <v>NA</v>
      </c>
      <c r="AI529">
        <v>1</v>
      </c>
      <c r="AJ529" t="s">
        <v>31</v>
      </c>
      <c r="AK529">
        <v>3760</v>
      </c>
      <c r="AL529" t="s">
        <v>553</v>
      </c>
      <c r="AM529" t="s">
        <v>86</v>
      </c>
      <c r="AN529" t="s">
        <v>205</v>
      </c>
      <c r="AO529" t="s">
        <v>789</v>
      </c>
      <c r="AP529">
        <v>3.31</v>
      </c>
      <c r="AQ529" t="s">
        <v>33</v>
      </c>
      <c r="AR529" t="s">
        <v>33</v>
      </c>
      <c r="AS529" s="6">
        <f>LOG((10^7+10^8)/2)</f>
        <v>7.7403626894942441</v>
      </c>
      <c r="AT529" s="3">
        <f>IFERROR(AS529-AU529,"NA")</f>
        <v>4.104362689494244</v>
      </c>
      <c r="AU529" s="6">
        <v>3.6360000000000001</v>
      </c>
      <c r="AV529" t="b">
        <v>1</v>
      </c>
      <c r="AW529" t="s">
        <v>92</v>
      </c>
      <c r="AX529" t="s">
        <v>119</v>
      </c>
      <c r="AY529" t="s">
        <v>425</v>
      </c>
      <c r="AZ529" t="s">
        <v>33</v>
      </c>
      <c r="BA529" s="18" t="s">
        <v>801</v>
      </c>
      <c r="BB529" t="b">
        <v>0</v>
      </c>
      <c r="BC529" t="s">
        <v>81</v>
      </c>
      <c r="BD529">
        <v>15</v>
      </c>
      <c r="BE529" t="s">
        <v>80</v>
      </c>
      <c r="BF529" s="11">
        <v>36</v>
      </c>
      <c r="BG529" t="s">
        <v>573</v>
      </c>
      <c r="BH529" t="s">
        <v>31</v>
      </c>
      <c r="BI529" t="s">
        <v>31</v>
      </c>
      <c r="BJ529" s="3">
        <f t="shared" si="274"/>
        <v>3.6360000000000001</v>
      </c>
      <c r="BK529" s="3">
        <f t="shared" si="267"/>
        <v>0.5606238745499299</v>
      </c>
      <c r="BL529">
        <v>2</v>
      </c>
      <c r="BM529" s="3">
        <f t="shared" si="275"/>
        <v>2.8016700634143015</v>
      </c>
      <c r="BN529" t="s">
        <v>33</v>
      </c>
      <c r="BO529" s="3">
        <f t="shared" si="271"/>
        <v>633.38833883388338</v>
      </c>
      <c r="BP529" t="s">
        <v>33</v>
      </c>
      <c r="BQ529" t="s">
        <v>33</v>
      </c>
      <c r="BR529" t="s">
        <v>33</v>
      </c>
      <c r="BS529" t="s">
        <v>33</v>
      </c>
      <c r="BT529" t="s">
        <v>31</v>
      </c>
      <c r="BU529" t="s">
        <v>503</v>
      </c>
      <c r="BV529">
        <v>2011</v>
      </c>
      <c r="BW529" t="s">
        <v>504</v>
      </c>
      <c r="BX529" t="s">
        <v>78</v>
      </c>
      <c r="BY529" t="s">
        <v>33</v>
      </c>
      <c r="BZ529" t="s">
        <v>33</v>
      </c>
      <c r="CA529" t="str">
        <f t="shared" si="273"/>
        <v>high acid</v>
      </c>
    </row>
    <row r="530" spans="1:79">
      <c r="A530" t="s">
        <v>259</v>
      </c>
      <c r="B530" t="s">
        <v>565</v>
      </c>
      <c r="C530" t="s">
        <v>563</v>
      </c>
      <c r="D530" t="s">
        <v>118</v>
      </c>
      <c r="E530" t="s">
        <v>77</v>
      </c>
      <c r="F530" t="s">
        <v>32</v>
      </c>
      <c r="G530">
        <v>5</v>
      </c>
      <c r="H530">
        <v>40</v>
      </c>
      <c r="I530" t="b">
        <v>0</v>
      </c>
      <c r="J530" t="s">
        <v>33</v>
      </c>
      <c r="K530" t="s">
        <v>33</v>
      </c>
      <c r="L530">
        <v>35</v>
      </c>
      <c r="M530" s="4">
        <v>175</v>
      </c>
      <c r="N530" s="3">
        <f>IFERROR(AF530/((T530*X530/Y530)*O530*AI530),"NA")</f>
        <v>5903.0038247230323</v>
      </c>
      <c r="O530">
        <v>4</v>
      </c>
      <c r="P530" t="s">
        <v>33</v>
      </c>
      <c r="Q530" s="8">
        <f t="shared" si="256"/>
        <v>0.22321428571428573</v>
      </c>
      <c r="R530" t="s">
        <v>183</v>
      </c>
      <c r="S530" t="s">
        <v>613</v>
      </c>
      <c r="T530" s="11">
        <v>8</v>
      </c>
      <c r="U530">
        <v>2.92</v>
      </c>
      <c r="V530">
        <v>2.2999999999999998</v>
      </c>
      <c r="W530">
        <v>1.21E-2</v>
      </c>
      <c r="X530" s="8">
        <f>IFERROR(((PI())*(((V530*10^-1)/2)^2)*(U530*10^-1)), "NA")</f>
        <v>1.2131888350367701E-2</v>
      </c>
      <c r="Y530" s="6">
        <f>110/60</f>
        <v>1.8333333333333333</v>
      </c>
      <c r="Z530" s="3">
        <f t="shared" si="276"/>
        <v>5.4350859809647295E-2</v>
      </c>
      <c r="AA530" t="s">
        <v>33</v>
      </c>
      <c r="AB530" s="6">
        <f>IFERROR(((X530*M530)/Z530), "NA")</f>
        <v>39.0625</v>
      </c>
      <c r="AC530" t="str">
        <f t="shared" si="277"/>
        <v>NA</v>
      </c>
      <c r="AD530" s="4">
        <f>AB530*T530*AI530</f>
        <v>312.5</v>
      </c>
      <c r="AE530" s="3">
        <f t="shared" si="278"/>
        <v>4578.4375</v>
      </c>
      <c r="AF530">
        <v>1250</v>
      </c>
      <c r="AG530" t="str">
        <f>IFERROR((M530*O530*P530), "NA")</f>
        <v>NA</v>
      </c>
      <c r="AH530" t="str">
        <f>IFERROR((AG530*T530*AI530), "NA")</f>
        <v>NA</v>
      </c>
      <c r="AI530">
        <v>1</v>
      </c>
      <c r="AJ530" t="s">
        <v>31</v>
      </c>
      <c r="AK530">
        <v>2990</v>
      </c>
      <c r="AL530" t="s">
        <v>544</v>
      </c>
      <c r="AM530" t="s">
        <v>86</v>
      </c>
      <c r="AN530" t="s">
        <v>205</v>
      </c>
      <c r="AO530" t="s">
        <v>789</v>
      </c>
      <c r="AP530">
        <v>4.4000000000000004</v>
      </c>
      <c r="AQ530" t="s">
        <v>33</v>
      </c>
      <c r="AR530" t="s">
        <v>33</v>
      </c>
      <c r="AS530" s="6">
        <f>LOG((10^7+10^8)/2)</f>
        <v>7.7403626894942441</v>
      </c>
      <c r="AT530" s="3">
        <f>IFERROR(AS530-AU530,"NA")</f>
        <v>4.1063626894942438</v>
      </c>
      <c r="AU530" s="6">
        <v>3.6339999999999999</v>
      </c>
      <c r="AV530" t="b">
        <v>1</v>
      </c>
      <c r="AW530" t="s">
        <v>29</v>
      </c>
      <c r="AX530" t="s">
        <v>30</v>
      </c>
      <c r="AY530" t="s">
        <v>33</v>
      </c>
      <c r="AZ530" t="s">
        <v>134</v>
      </c>
      <c r="BA530" s="18" t="s">
        <v>798</v>
      </c>
      <c r="BB530" t="b">
        <v>0</v>
      </c>
      <c r="BC530" t="s">
        <v>81</v>
      </c>
      <c r="BD530">
        <v>15</v>
      </c>
      <c r="BE530" t="s">
        <v>80</v>
      </c>
      <c r="BF530" s="11">
        <v>24</v>
      </c>
      <c r="BG530" t="s">
        <v>262</v>
      </c>
      <c r="BH530" t="s">
        <v>31</v>
      </c>
      <c r="BI530" t="s">
        <v>31</v>
      </c>
      <c r="BJ530" s="3">
        <f t="shared" si="274"/>
        <v>3.6339999999999999</v>
      </c>
      <c r="BK530" s="3">
        <f t="shared" si="267"/>
        <v>0.56038492297201548</v>
      </c>
      <c r="BL530">
        <v>2</v>
      </c>
      <c r="BM530" s="3">
        <f t="shared" si="275"/>
        <v>3.1003323670610219</v>
      </c>
      <c r="BN530" t="s">
        <v>33</v>
      </c>
      <c r="BO530" s="3">
        <f t="shared" si="271"/>
        <v>1259.8892405063291</v>
      </c>
      <c r="BP530" t="s">
        <v>33</v>
      </c>
      <c r="BQ530" t="s">
        <v>33</v>
      </c>
      <c r="BR530" t="s">
        <v>33</v>
      </c>
      <c r="BS530" t="s">
        <v>33</v>
      </c>
      <c r="BT530" t="s">
        <v>31</v>
      </c>
      <c r="BU530" t="s">
        <v>219</v>
      </c>
      <c r="BV530">
        <v>2008</v>
      </c>
      <c r="BW530" s="2" t="s">
        <v>257</v>
      </c>
      <c r="BX530" t="s">
        <v>78</v>
      </c>
      <c r="BY530" t="s">
        <v>33</v>
      </c>
      <c r="BZ530" t="s">
        <v>33</v>
      </c>
      <c r="CA530" t="str">
        <f t="shared" si="273"/>
        <v>high acid</v>
      </c>
    </row>
    <row r="531" spans="1:79">
      <c r="A531" t="s">
        <v>600</v>
      </c>
      <c r="B531" t="s">
        <v>566</v>
      </c>
      <c r="C531" t="s">
        <v>563</v>
      </c>
      <c r="D531" t="s">
        <v>33</v>
      </c>
      <c r="E531" t="s">
        <v>77</v>
      </c>
      <c r="F531" t="s">
        <v>33</v>
      </c>
      <c r="G531" t="s">
        <v>33</v>
      </c>
      <c r="H531">
        <v>35</v>
      </c>
      <c r="I531" t="b">
        <v>0</v>
      </c>
      <c r="J531" t="s">
        <v>33</v>
      </c>
      <c r="K531" t="s">
        <v>33</v>
      </c>
      <c r="L531">
        <v>28</v>
      </c>
      <c r="M531" s="4">
        <v>1</v>
      </c>
      <c r="N531" t="e">
        <f>(#REF!*Y531)/(T531*X531*O531)</f>
        <v>#REF!</v>
      </c>
      <c r="O531">
        <v>2</v>
      </c>
      <c r="P531" t="s">
        <v>33</v>
      </c>
      <c r="Q531" s="1">
        <f t="shared" si="256"/>
        <v>100.00000000000001</v>
      </c>
      <c r="R531" t="s">
        <v>183</v>
      </c>
      <c r="S531" t="s">
        <v>33</v>
      </c>
      <c r="T531">
        <v>1</v>
      </c>
      <c r="U531">
        <v>2.5</v>
      </c>
      <c r="V531" t="s">
        <v>33</v>
      </c>
      <c r="W531">
        <v>0.50249999999999995</v>
      </c>
      <c r="X531">
        <f>W531</f>
        <v>0.50249999999999995</v>
      </c>
      <c r="Y531" t="s">
        <v>33</v>
      </c>
      <c r="Z531" s="3">
        <f t="shared" si="276"/>
        <v>5.0249999999999991E-3</v>
      </c>
      <c r="AA531" t="s">
        <v>33</v>
      </c>
      <c r="AB531">
        <f>IFERROR(((X531*M531)/Z531), "NA")</f>
        <v>100.00000000000001</v>
      </c>
      <c r="AC531" s="1" t="str">
        <f t="shared" si="277"/>
        <v>NA</v>
      </c>
      <c r="AE531" s="3">
        <f t="shared" si="278"/>
        <v>313.60000000000002</v>
      </c>
      <c r="AF531">
        <v>200</v>
      </c>
      <c r="AG531" s="1" t="str">
        <f>IFERROR((N531*P531*Q531), "NA")</f>
        <v>NA</v>
      </c>
      <c r="AH531" s="1" t="str">
        <f>IFERROR((AG531*U531*AI531), "NA")</f>
        <v>NA</v>
      </c>
      <c r="AI531" s="1">
        <v>1</v>
      </c>
      <c r="AJ531" s="11" t="s">
        <v>31</v>
      </c>
      <c r="AK531">
        <v>2000</v>
      </c>
      <c r="AL531" t="s">
        <v>784</v>
      </c>
      <c r="AM531" s="3" t="s">
        <v>103</v>
      </c>
      <c r="AN531" t="s">
        <v>130</v>
      </c>
      <c r="AO531" t="s">
        <v>795</v>
      </c>
      <c r="AP531">
        <v>7</v>
      </c>
      <c r="AQ531" t="s">
        <v>33</v>
      </c>
      <c r="AR531" t="s">
        <v>33</v>
      </c>
      <c r="AS531">
        <v>8</v>
      </c>
      <c r="AT531">
        <f>AS531-AU531</f>
        <v>4.1099999999999994</v>
      </c>
      <c r="AU531" s="6">
        <v>3.89</v>
      </c>
      <c r="AV531" t="b">
        <v>1</v>
      </c>
      <c r="AW531" t="s">
        <v>626</v>
      </c>
      <c r="AX531" t="s">
        <v>627</v>
      </c>
      <c r="AY531" t="s">
        <v>640</v>
      </c>
      <c r="AZ531" t="s">
        <v>33</v>
      </c>
      <c r="BA531" s="18" t="s">
        <v>800</v>
      </c>
      <c r="BB531" s="3" t="b">
        <v>0</v>
      </c>
      <c r="BC531" t="s">
        <v>81</v>
      </c>
      <c r="BD531">
        <f>AVERAGE(24,30)</f>
        <v>27</v>
      </c>
      <c r="BE531" t="s">
        <v>80</v>
      </c>
      <c r="BF531">
        <v>24</v>
      </c>
      <c r="BG531" t="s">
        <v>568</v>
      </c>
      <c r="BH531" t="s">
        <v>31</v>
      </c>
      <c r="BI531" t="s">
        <v>31</v>
      </c>
      <c r="BJ531" s="3">
        <f t="shared" si="274"/>
        <v>3.89</v>
      </c>
      <c r="BK531" s="3">
        <f t="shared" si="267"/>
        <v>0.58994960132570773</v>
      </c>
      <c r="BL531">
        <v>2</v>
      </c>
      <c r="BM531" s="3">
        <f t="shared" si="275"/>
        <v>1.9064264526866932</v>
      </c>
      <c r="BN531" t="s">
        <v>33</v>
      </c>
      <c r="BO531" s="3">
        <f t="shared" si="271"/>
        <v>80.616966580976865</v>
      </c>
      <c r="BP531" t="s">
        <v>33</v>
      </c>
      <c r="BQ531" t="s">
        <v>33</v>
      </c>
      <c r="BR531" t="s">
        <v>33</v>
      </c>
      <c r="BS531" t="s">
        <v>33</v>
      </c>
      <c r="BT531" t="s">
        <v>31</v>
      </c>
      <c r="BU531" t="s">
        <v>666</v>
      </c>
      <c r="BV531" s="14">
        <v>2006</v>
      </c>
      <c r="BW531" t="s">
        <v>667</v>
      </c>
      <c r="BX531" t="s">
        <v>78</v>
      </c>
      <c r="BY531" s="13" t="s">
        <v>688</v>
      </c>
      <c r="CA531" t="str">
        <f t="shared" si="273"/>
        <v>low acid</v>
      </c>
    </row>
    <row r="532" spans="1:79">
      <c r="A532" t="s">
        <v>698</v>
      </c>
      <c r="B532" t="s">
        <v>566</v>
      </c>
      <c r="C532" t="s">
        <v>563</v>
      </c>
      <c r="D532" t="s">
        <v>699</v>
      </c>
      <c r="E532" t="s">
        <v>77</v>
      </c>
      <c r="F532" t="s">
        <v>32</v>
      </c>
      <c r="G532">
        <v>20</v>
      </c>
      <c r="H532">
        <v>64</v>
      </c>
      <c r="I532" t="b">
        <v>1</v>
      </c>
      <c r="J532" t="s">
        <v>33</v>
      </c>
      <c r="K532" t="s">
        <v>33</v>
      </c>
      <c r="L532">
        <v>20</v>
      </c>
      <c r="M532" s="4">
        <v>64</v>
      </c>
      <c r="N532" s="3">
        <f>IFERROR(AF532/((T532*X532/Y532)*O532*AI532),"NA")</f>
        <v>63.657407407407391</v>
      </c>
      <c r="O532">
        <v>5</v>
      </c>
      <c r="P532">
        <v>0.43</v>
      </c>
      <c r="Q532" s="8">
        <f>IFERROR(X532/Y532, "NA")</f>
        <v>0.43200000000000011</v>
      </c>
      <c r="R532" t="s">
        <v>183</v>
      </c>
      <c r="S532" t="s">
        <v>612</v>
      </c>
      <c r="T532" s="11">
        <v>1</v>
      </c>
      <c r="U532">
        <v>4</v>
      </c>
      <c r="V532" t="s">
        <v>33</v>
      </c>
      <c r="W532">
        <f>0.4*3*0.5</f>
        <v>0.60000000000000009</v>
      </c>
      <c r="X532" s="9">
        <f>W532</f>
        <v>0.60000000000000009</v>
      </c>
      <c r="Y532" s="6">
        <f>5000/3600</f>
        <v>1.3888888888888888</v>
      </c>
      <c r="Z532" s="3">
        <f t="shared" si="276"/>
        <v>1.3963636363636365</v>
      </c>
      <c r="AA532" t="s">
        <v>33</v>
      </c>
      <c r="AB532" s="4">
        <f>IFERROR(((X532*M532)/Y532), "NA")</f>
        <v>27.648000000000007</v>
      </c>
      <c r="AC532" s="4">
        <f t="shared" si="277"/>
        <v>27.52</v>
      </c>
      <c r="AD532" s="4">
        <f>AB532*T532*AI532</f>
        <v>27.648000000000007</v>
      </c>
      <c r="AE532" s="3">
        <f t="shared" si="278"/>
        <v>110.59200000000003</v>
      </c>
      <c r="AF532">
        <v>137.5</v>
      </c>
      <c r="AG532" s="4">
        <f>IFERROR((M532*O532*P532), "NA")</f>
        <v>137.6</v>
      </c>
      <c r="AH532" s="4">
        <f>IFERROR((AG532*T532*AI532), "NA")</f>
        <v>137.6</v>
      </c>
      <c r="AI532">
        <v>1</v>
      </c>
      <c r="AJ532" s="11" t="s">
        <v>31</v>
      </c>
      <c r="AK532">
        <v>2000</v>
      </c>
      <c r="AL532" t="s">
        <v>784</v>
      </c>
      <c r="AM532" t="s">
        <v>103</v>
      </c>
      <c r="AN532" t="s">
        <v>130</v>
      </c>
      <c r="AO532" t="s">
        <v>795</v>
      </c>
      <c r="AP532">
        <v>7</v>
      </c>
      <c r="AQ532" t="s">
        <v>33</v>
      </c>
      <c r="AR532" t="s">
        <v>33</v>
      </c>
      <c r="AS532" s="6">
        <f>LOG(AVERAGE(10^8, 10^9))</f>
        <v>8.7403626894942441</v>
      </c>
      <c r="AT532" s="3">
        <f>IFERROR(AS532-AU532,"NA")</f>
        <v>4.1193626894942437</v>
      </c>
      <c r="AU532" s="6">
        <v>4.6210000000000004</v>
      </c>
      <c r="AV532" t="b">
        <v>1</v>
      </c>
      <c r="AW532" t="s">
        <v>29</v>
      </c>
      <c r="AX532" t="s">
        <v>30</v>
      </c>
      <c r="AY532" t="s">
        <v>703</v>
      </c>
      <c r="AZ532" t="s">
        <v>33</v>
      </c>
      <c r="BA532" s="18" t="s">
        <v>798</v>
      </c>
      <c r="BB532" s="3" t="b">
        <v>0</v>
      </c>
      <c r="BC532" t="s">
        <v>81</v>
      </c>
      <c r="BD532">
        <v>24</v>
      </c>
      <c r="BE532" t="s">
        <v>80</v>
      </c>
      <c r="BF532">
        <v>24</v>
      </c>
      <c r="BG532" t="s">
        <v>568</v>
      </c>
      <c r="BH532" t="s">
        <v>31</v>
      </c>
      <c r="BI532" t="s">
        <v>31</v>
      </c>
      <c r="BJ532" s="3">
        <f t="shared" si="274"/>
        <v>4.6210000000000004</v>
      </c>
      <c r="BK532" s="3">
        <f t="shared" si="267"/>
        <v>0.66473596851870498</v>
      </c>
      <c r="BL532">
        <v>2</v>
      </c>
      <c r="BM532" s="3">
        <f t="shared" si="275"/>
        <v>1.3789877436080569</v>
      </c>
      <c r="BN532" t="s">
        <v>33</v>
      </c>
      <c r="BO532" s="3">
        <f t="shared" si="271"/>
        <v>23.932482146721494</v>
      </c>
      <c r="BP532" t="s">
        <v>33</v>
      </c>
      <c r="BQ532" t="s">
        <v>33</v>
      </c>
      <c r="BR532" t="s">
        <v>33</v>
      </c>
      <c r="BS532" t="s">
        <v>33</v>
      </c>
      <c r="BT532" t="s">
        <v>32</v>
      </c>
      <c r="BU532" t="s">
        <v>709</v>
      </c>
      <c r="BV532">
        <v>2024</v>
      </c>
      <c r="BW532" t="s">
        <v>710</v>
      </c>
      <c r="BX532" t="s">
        <v>78</v>
      </c>
      <c r="BY532" t="s">
        <v>711</v>
      </c>
      <c r="CA532" t="str">
        <f t="shared" si="273"/>
        <v>low acid</v>
      </c>
    </row>
    <row r="533" spans="1:79">
      <c r="A533" t="s">
        <v>79</v>
      </c>
      <c r="B533" t="s">
        <v>565</v>
      </c>
      <c r="C533" t="s">
        <v>563</v>
      </c>
      <c r="D533" t="s">
        <v>76</v>
      </c>
      <c r="E533" t="s">
        <v>77</v>
      </c>
      <c r="F533" t="s">
        <v>32</v>
      </c>
      <c r="G533">
        <v>4</v>
      </c>
      <c r="H533">
        <f>30</f>
        <v>30</v>
      </c>
      <c r="I533" t="b">
        <v>0</v>
      </c>
      <c r="J533" t="s">
        <v>33</v>
      </c>
      <c r="K533" t="s">
        <v>33</v>
      </c>
      <c r="L533">
        <v>40</v>
      </c>
      <c r="M533" s="4">
        <v>1000</v>
      </c>
      <c r="N533" s="3">
        <f>IFERROR(AF533/((T533*X533/Y533)*O533*AI533),"NA")</f>
        <v>1497.3326532020833</v>
      </c>
      <c r="O533">
        <v>8</v>
      </c>
      <c r="P533" t="s">
        <v>33</v>
      </c>
      <c r="Q533">
        <f t="shared" ref="Q533:Q539" si="279">IFERROR(X533/Z533, "NA")</f>
        <v>1.6249999999999999E-3</v>
      </c>
      <c r="R533" t="s">
        <v>183</v>
      </c>
      <c r="S533" t="s">
        <v>612</v>
      </c>
      <c r="T533" s="11">
        <v>1</v>
      </c>
      <c r="U533">
        <f>4.7</f>
        <v>4.7</v>
      </c>
      <c r="V533">
        <v>3.5</v>
      </c>
      <c r="W533" t="s">
        <v>33</v>
      </c>
      <c r="X533" s="8">
        <f t="shared" ref="X533:X539" si="280">IFERROR(((PI())*(((V533*10^-1)/2)^2)*(U533*10^-1)), "NA")</f>
        <v>4.5219299257608099E-2</v>
      </c>
      <c r="Y533" s="6">
        <f>2.5*1000/60</f>
        <v>41.666666666666664</v>
      </c>
      <c r="Z533" s="3">
        <f t="shared" si="276"/>
        <v>27.827261081604984</v>
      </c>
      <c r="AA533" t="s">
        <v>33</v>
      </c>
      <c r="AB533" s="6">
        <f>IFERROR(((X533*M533)/Z533), "NA")</f>
        <v>1.625</v>
      </c>
      <c r="AC533" t="str">
        <f t="shared" si="277"/>
        <v>NA</v>
      </c>
      <c r="AD533" s="4">
        <f>IFERROR(AB533*T533*AI533, "NA")</f>
        <v>1.625</v>
      </c>
      <c r="AE533">
        <f t="shared" si="278"/>
        <v>114.39999999999999</v>
      </c>
      <c r="AF533">
        <v>13</v>
      </c>
      <c r="AG533" t="str">
        <f>IFERROR((M533*O533*P533), "NA")</f>
        <v>NA</v>
      </c>
      <c r="AH533" t="str">
        <f>IFERROR((AG533*T533*AI533), "NA")</f>
        <v>NA</v>
      </c>
      <c r="AI533" s="11">
        <v>1</v>
      </c>
      <c r="AJ533" t="s">
        <v>31</v>
      </c>
      <c r="AK533">
        <v>5500</v>
      </c>
      <c r="AL533" t="s">
        <v>540</v>
      </c>
      <c r="AM533" t="s">
        <v>157</v>
      </c>
      <c r="AN533" t="s">
        <v>186</v>
      </c>
      <c r="AO533" t="s">
        <v>792</v>
      </c>
      <c r="AP533" s="3">
        <f>(6.53+6.6)/2</f>
        <v>6.5649999999999995</v>
      </c>
      <c r="AQ533" t="s">
        <v>33</v>
      </c>
      <c r="AR533" t="s">
        <v>33</v>
      </c>
      <c r="AS533">
        <v>8</v>
      </c>
      <c r="AT533" s="3">
        <f>IFERROR(AS533-AU533,"NA")</f>
        <v>4.12</v>
      </c>
      <c r="AU533" s="6">
        <v>3.88</v>
      </c>
      <c r="AV533" t="b">
        <v>1</v>
      </c>
      <c r="AW533" t="s">
        <v>29</v>
      </c>
      <c r="AX533" t="s">
        <v>30</v>
      </c>
      <c r="AY533" t="s">
        <v>216</v>
      </c>
      <c r="AZ533" t="s">
        <v>33</v>
      </c>
      <c r="BA533" s="18" t="s">
        <v>798</v>
      </c>
      <c r="BB533" t="b">
        <v>0</v>
      </c>
      <c r="BC533" t="s">
        <v>81</v>
      </c>
      <c r="BD533">
        <v>24</v>
      </c>
      <c r="BE533" t="s">
        <v>80</v>
      </c>
      <c r="BF533" s="11">
        <v>24</v>
      </c>
      <c r="BG533" t="s">
        <v>572</v>
      </c>
      <c r="BH533" t="s">
        <v>31</v>
      </c>
      <c r="BI533" t="s">
        <v>31</v>
      </c>
      <c r="BJ533" s="3">
        <f t="shared" si="274"/>
        <v>3.88</v>
      </c>
      <c r="BK533" s="3">
        <f t="shared" si="267"/>
        <v>0.58883172559420727</v>
      </c>
      <c r="BL533">
        <v>2</v>
      </c>
      <c r="BM533" s="3">
        <f t="shared" si="275"/>
        <v>1.4695942988627981</v>
      </c>
      <c r="BN533" t="s">
        <v>33</v>
      </c>
      <c r="BO533" s="3">
        <f t="shared" si="271"/>
        <v>29.484536082474225</v>
      </c>
      <c r="BP533" t="s">
        <v>33</v>
      </c>
      <c r="BQ533" t="s">
        <v>33</v>
      </c>
      <c r="BR533" t="s">
        <v>33</v>
      </c>
      <c r="BS533" t="s">
        <v>33</v>
      </c>
      <c r="BT533" t="s">
        <v>32</v>
      </c>
      <c r="BU533" t="s">
        <v>117</v>
      </c>
      <c r="BV533">
        <v>2021</v>
      </c>
      <c r="BW533" s="2" t="s">
        <v>82</v>
      </c>
      <c r="BX533" t="s">
        <v>78</v>
      </c>
      <c r="BY533" t="s">
        <v>90</v>
      </c>
      <c r="CA533" t="str">
        <f t="shared" si="273"/>
        <v>low acid</v>
      </c>
    </row>
    <row r="534" spans="1:79">
      <c r="A534" t="s">
        <v>590</v>
      </c>
      <c r="B534" t="s">
        <v>565</v>
      </c>
      <c r="C534" t="s">
        <v>564</v>
      </c>
      <c r="D534" t="s">
        <v>609</v>
      </c>
      <c r="E534" t="s">
        <v>77</v>
      </c>
      <c r="F534" t="s">
        <v>32</v>
      </c>
      <c r="G534">
        <v>40</v>
      </c>
      <c r="H534">
        <v>49</v>
      </c>
      <c r="I534" t="b">
        <v>0</v>
      </c>
      <c r="J534" t="s">
        <v>33</v>
      </c>
      <c r="K534" t="s">
        <v>33</v>
      </c>
      <c r="L534">
        <v>21</v>
      </c>
      <c r="M534" s="4">
        <v>120</v>
      </c>
      <c r="N534" t="e">
        <f>(#REF!*Y534)/(T534*X534*O534)</f>
        <v>#REF!</v>
      </c>
      <c r="O534">
        <v>3</v>
      </c>
      <c r="P534" t="s">
        <v>33</v>
      </c>
      <c r="Q534" s="1">
        <f t="shared" si="279"/>
        <v>0.12743055555555555</v>
      </c>
      <c r="R534" t="s">
        <v>183</v>
      </c>
      <c r="S534" t="s">
        <v>612</v>
      </c>
      <c r="T534">
        <v>4</v>
      </c>
      <c r="U534">
        <v>3</v>
      </c>
      <c r="V534">
        <v>2.6</v>
      </c>
      <c r="W534">
        <v>1.5900000000000001E-2</v>
      </c>
      <c r="X534">
        <f t="shared" si="280"/>
        <v>1.5927874753700257E-2</v>
      </c>
      <c r="Y534">
        <v>8.3333299999999999E-2</v>
      </c>
      <c r="Z534" s="3">
        <f t="shared" si="276"/>
        <v>0.1249925866230429</v>
      </c>
      <c r="AA534" t="s">
        <v>33</v>
      </c>
      <c r="AB534">
        <f>IFERROR(((X534*M534)/Z534), "NA")</f>
        <v>15.291666666666666</v>
      </c>
      <c r="AC534" s="1" t="str">
        <f t="shared" si="277"/>
        <v>NA</v>
      </c>
      <c r="AE534" s="3">
        <f t="shared" si="278"/>
        <v>93.062024999999991</v>
      </c>
      <c r="AF534">
        <v>183.5</v>
      </c>
      <c r="AG534" s="1" t="str">
        <f>IFERROR((N534*P534*Q534), "NA")</f>
        <v>NA</v>
      </c>
      <c r="AH534" s="1" t="str">
        <f>IFERROR((AG534*U534*AI534), "NA")</f>
        <v>NA</v>
      </c>
      <c r="AI534" s="1">
        <v>1</v>
      </c>
      <c r="AJ534" s="11" t="s">
        <v>31</v>
      </c>
      <c r="AK534">
        <v>1150</v>
      </c>
      <c r="AL534" t="s">
        <v>551</v>
      </c>
      <c r="AM534" t="s">
        <v>86</v>
      </c>
      <c r="AN534" t="s">
        <v>186</v>
      </c>
      <c r="AO534" t="s">
        <v>794</v>
      </c>
      <c r="AP534">
        <v>5.92</v>
      </c>
      <c r="AQ534" t="s">
        <v>33</v>
      </c>
      <c r="AR534" t="s">
        <v>33</v>
      </c>
      <c r="AS534">
        <v>6</v>
      </c>
      <c r="AT534">
        <f>AS534-AU534</f>
        <v>4.12</v>
      </c>
      <c r="AU534" s="6">
        <v>1.88</v>
      </c>
      <c r="AV534" t="b">
        <v>1</v>
      </c>
      <c r="AW534" t="s">
        <v>626</v>
      </c>
      <c r="AX534" t="s">
        <v>627</v>
      </c>
      <c r="AY534" t="s">
        <v>631</v>
      </c>
      <c r="AZ534" t="s">
        <v>33</v>
      </c>
      <c r="BA534" s="18" t="s">
        <v>800</v>
      </c>
      <c r="BB534" s="3" t="b">
        <v>0</v>
      </c>
      <c r="BC534" t="s">
        <v>81</v>
      </c>
      <c r="BD534">
        <v>20</v>
      </c>
      <c r="BE534" t="s">
        <v>80</v>
      </c>
      <c r="BF534">
        <v>20</v>
      </c>
      <c r="BG534" t="s">
        <v>695</v>
      </c>
      <c r="BH534" t="s">
        <v>32</v>
      </c>
      <c r="BI534" t="s">
        <v>31</v>
      </c>
      <c r="BJ534">
        <f t="shared" si="274"/>
        <v>1.88</v>
      </c>
      <c r="BK534" s="3">
        <f t="shared" si="267"/>
        <v>0.27415784926367981</v>
      </c>
      <c r="BL534">
        <v>2</v>
      </c>
      <c r="BM534" s="3">
        <f t="shared" si="275"/>
        <v>1.6946146491458784</v>
      </c>
      <c r="BN534" t="s">
        <v>33</v>
      </c>
      <c r="BO534" s="3">
        <f t="shared" si="271"/>
        <v>49.50107712765957</v>
      </c>
      <c r="BP534" t="s">
        <v>33</v>
      </c>
      <c r="BQ534" t="s">
        <v>33</v>
      </c>
      <c r="BR534" t="s">
        <v>33</v>
      </c>
      <c r="BS534" t="s">
        <v>33</v>
      </c>
      <c r="BT534" t="s">
        <v>32</v>
      </c>
      <c r="BU534" s="15" t="s">
        <v>207</v>
      </c>
      <c r="BV534">
        <v>2014</v>
      </c>
      <c r="BW534" t="s">
        <v>242</v>
      </c>
      <c r="BX534" t="s">
        <v>78</v>
      </c>
      <c r="BY534" s="13" t="s">
        <v>678</v>
      </c>
      <c r="CA534" t="str">
        <f t="shared" si="273"/>
        <v>low acid</v>
      </c>
    </row>
    <row r="535" spans="1:79">
      <c r="A535" t="s">
        <v>538</v>
      </c>
      <c r="B535" t="s">
        <v>565</v>
      </c>
      <c r="C535" t="s">
        <v>563</v>
      </c>
      <c r="D535" t="s">
        <v>118</v>
      </c>
      <c r="E535" t="s">
        <v>77</v>
      </c>
      <c r="F535" t="s">
        <v>32</v>
      </c>
      <c r="G535">
        <v>20</v>
      </c>
      <c r="H535">
        <v>55</v>
      </c>
      <c r="I535" t="b">
        <v>0</v>
      </c>
      <c r="J535" t="s">
        <v>33</v>
      </c>
      <c r="K535" t="s">
        <v>33</v>
      </c>
      <c r="L535">
        <v>25</v>
      </c>
      <c r="M535" s="4" t="s">
        <v>33</v>
      </c>
      <c r="N535" s="3">
        <f>IFERROR(AF535/((T535*X535/Y535)*O535*AI535),"NA")</f>
        <v>213.57979937104741</v>
      </c>
      <c r="O535">
        <v>2.5</v>
      </c>
      <c r="P535" t="s">
        <v>33</v>
      </c>
      <c r="Q535" s="8">
        <f t="shared" si="279"/>
        <v>1.2173435913211428E-2</v>
      </c>
      <c r="R535" t="s">
        <v>183</v>
      </c>
      <c r="S535" t="s">
        <v>613</v>
      </c>
      <c r="T535" s="11">
        <v>6</v>
      </c>
      <c r="U535">
        <v>2.93</v>
      </c>
      <c r="V535">
        <v>2.2999999999999998</v>
      </c>
      <c r="W535" t="s">
        <v>33</v>
      </c>
      <c r="X535" s="8">
        <f t="shared" si="280"/>
        <v>1.2173435913211428E-2</v>
      </c>
      <c r="Y535">
        <f>60/60</f>
        <v>1</v>
      </c>
      <c r="Z535" s="3">
        <f>IFERROR(X535*N535*O535*T535*AI535/AF535, "NA")</f>
        <v>1</v>
      </c>
      <c r="AA535" t="s">
        <v>33</v>
      </c>
      <c r="AB535" s="6">
        <f>IFERROR(((X535*N535)/Y535), "NA")</f>
        <v>2.6</v>
      </c>
      <c r="AC535" t="str">
        <f t="shared" si="277"/>
        <v>NA</v>
      </c>
      <c r="AD535" s="4">
        <f>IFERROR(AB535*T535*AI535, "NA")</f>
        <v>15.600000000000001</v>
      </c>
      <c r="AE535" s="3">
        <f>IFERROR(((L535^2)*N535*O535*AK535*10^-6*Q535*T535*AI535), "NA")</f>
        <v>70.931250000000006</v>
      </c>
      <c r="AF535">
        <v>39</v>
      </c>
      <c r="AG535" t="str">
        <f>IFERROR((M535*O535*P535), "NA")</f>
        <v>NA</v>
      </c>
      <c r="AH535" t="str">
        <f>IFERROR((AG535*T535*AI535), "NA")</f>
        <v>NA</v>
      </c>
      <c r="AI535" s="11">
        <v>1</v>
      </c>
      <c r="AJ535" t="s">
        <v>31</v>
      </c>
      <c r="AK535">
        <v>2910</v>
      </c>
      <c r="AL535" t="s">
        <v>543</v>
      </c>
      <c r="AM535" t="s">
        <v>86</v>
      </c>
      <c r="AN535" t="s">
        <v>205</v>
      </c>
      <c r="AO535" t="s">
        <v>789</v>
      </c>
      <c r="AP535">
        <v>4.05</v>
      </c>
      <c r="AQ535" t="s">
        <v>33</v>
      </c>
      <c r="AR535" t="s">
        <v>33</v>
      </c>
      <c r="AS535">
        <f>LOG(10^6)</f>
        <v>6</v>
      </c>
      <c r="AT535" s="3">
        <f>IFERROR(AS535-AU535,"NA")</f>
        <v>4.12</v>
      </c>
      <c r="AU535" s="6">
        <v>1.88</v>
      </c>
      <c r="AV535" t="b">
        <v>1</v>
      </c>
      <c r="AW535" t="s">
        <v>29</v>
      </c>
      <c r="AX535" t="s">
        <v>30</v>
      </c>
      <c r="AY535" t="s">
        <v>216</v>
      </c>
      <c r="AZ535" t="s">
        <v>33</v>
      </c>
      <c r="BA535" s="18" t="s">
        <v>798</v>
      </c>
      <c r="BB535" t="b">
        <v>0</v>
      </c>
      <c r="BC535" t="s">
        <v>81</v>
      </c>
      <c r="BD535">
        <v>4</v>
      </c>
      <c r="BE535" t="s">
        <v>159</v>
      </c>
      <c r="BF535" s="11">
        <v>24</v>
      </c>
      <c r="BG535" t="s">
        <v>572</v>
      </c>
      <c r="BH535" t="s">
        <v>31</v>
      </c>
      <c r="BI535" t="s">
        <v>31</v>
      </c>
      <c r="BJ535" s="3">
        <f t="shared" si="274"/>
        <v>1.88</v>
      </c>
      <c r="BK535" s="3">
        <f t="shared" si="267"/>
        <v>0.27415784926367981</v>
      </c>
      <c r="BL535">
        <v>2</v>
      </c>
      <c r="BM535" s="3">
        <f t="shared" si="275"/>
        <v>1.5766797640928019</v>
      </c>
      <c r="BN535" t="s">
        <v>33</v>
      </c>
      <c r="BO535" s="3">
        <f t="shared" si="271"/>
        <v>37.729388297872347</v>
      </c>
      <c r="BP535" t="s">
        <v>33</v>
      </c>
      <c r="BQ535" t="s">
        <v>33</v>
      </c>
      <c r="BR535" t="s">
        <v>33</v>
      </c>
      <c r="BS535" t="s">
        <v>33</v>
      </c>
      <c r="BT535" t="s">
        <v>31</v>
      </c>
      <c r="BU535" t="s">
        <v>274</v>
      </c>
      <c r="BV535">
        <v>2006</v>
      </c>
      <c r="BW535" t="s">
        <v>275</v>
      </c>
      <c r="BX535" t="s">
        <v>78</v>
      </c>
      <c r="BY535" t="s">
        <v>277</v>
      </c>
      <c r="BZ535" t="s">
        <v>33</v>
      </c>
      <c r="CA535" t="str">
        <f t="shared" si="273"/>
        <v>high acid</v>
      </c>
    </row>
    <row r="536" spans="1:79">
      <c r="A536" t="s">
        <v>599</v>
      </c>
      <c r="B536" t="s">
        <v>565</v>
      </c>
      <c r="C536" t="s">
        <v>563</v>
      </c>
      <c r="D536" t="s">
        <v>118</v>
      </c>
      <c r="E536" t="s">
        <v>77</v>
      </c>
      <c r="F536" t="s">
        <v>32</v>
      </c>
      <c r="G536" t="s">
        <v>33</v>
      </c>
      <c r="H536" t="s">
        <v>33</v>
      </c>
      <c r="I536" t="b">
        <v>0</v>
      </c>
      <c r="J536" t="s">
        <v>33</v>
      </c>
      <c r="K536" t="s">
        <v>33</v>
      </c>
      <c r="L536">
        <v>23</v>
      </c>
      <c r="M536" s="4">
        <v>500</v>
      </c>
      <c r="N536" t="e">
        <f>(#REF!*Y536)/(T536*X536*O536)</f>
        <v>#REF!</v>
      </c>
      <c r="O536">
        <v>3</v>
      </c>
      <c r="P536" t="s">
        <v>33</v>
      </c>
      <c r="Q536" s="1">
        <f t="shared" si="279"/>
        <v>1.4555555555555554E-2</v>
      </c>
      <c r="R536" t="s">
        <v>183</v>
      </c>
      <c r="S536" t="s">
        <v>613</v>
      </c>
      <c r="T536">
        <v>6</v>
      </c>
      <c r="U536">
        <v>2.2999999999999998</v>
      </c>
      <c r="V536">
        <v>2.9</v>
      </c>
      <c r="W536">
        <v>0.36420000000000002</v>
      </c>
      <c r="X536">
        <f t="shared" si="280"/>
        <v>1.519195667459684E-2</v>
      </c>
      <c r="Y536">
        <v>0.83333299999999999</v>
      </c>
      <c r="Z536" s="3">
        <f t="shared" ref="Z536:Z560" si="281">IFERROR(X536*M536*O536*T536*AI536/AF536, "NA")</f>
        <v>1.0437222142852791</v>
      </c>
      <c r="AA536" t="s">
        <v>33</v>
      </c>
      <c r="AB536">
        <f>IFERROR(((X536*M536)/Z536), "NA")</f>
        <v>7.2777777777777777</v>
      </c>
      <c r="AC536" s="1" t="str">
        <f t="shared" si="277"/>
        <v>NA</v>
      </c>
      <c r="AE536" s="3">
        <f t="shared" ref="AE536:AE560" si="282">IFERROR(((L536^2)*M536*O536*AK536*10^-6*Q536*T536*AI536), "NA")</f>
        <v>252.24835999999993</v>
      </c>
      <c r="AF536">
        <v>131</v>
      </c>
      <c r="AG536" s="1" t="str">
        <f>IFERROR((N536*P536*Q536), "NA")</f>
        <v>NA</v>
      </c>
      <c r="AH536" s="1" t="str">
        <f>IFERROR((AG536*U536*AI536), "NA")</f>
        <v>NA</v>
      </c>
      <c r="AI536" s="1">
        <v>1</v>
      </c>
      <c r="AJ536" s="11" t="s">
        <v>31</v>
      </c>
      <c r="AK536">
        <f>3.64*10^3</f>
        <v>3640</v>
      </c>
      <c r="AL536" t="s">
        <v>145</v>
      </c>
      <c r="AM536" t="s">
        <v>86</v>
      </c>
      <c r="AN536" t="s">
        <v>205</v>
      </c>
      <c r="AO536" t="s">
        <v>789</v>
      </c>
      <c r="AP536">
        <v>3.19</v>
      </c>
      <c r="AQ536" t="s">
        <v>33</v>
      </c>
      <c r="AR536" t="s">
        <v>33</v>
      </c>
      <c r="AS536">
        <v>7.13</v>
      </c>
      <c r="AT536">
        <v>4.12</v>
      </c>
      <c r="AU536" s="6">
        <f>AS536-AT536</f>
        <v>3.01</v>
      </c>
      <c r="AV536" t="b">
        <v>1</v>
      </c>
      <c r="AW536" t="s">
        <v>632</v>
      </c>
      <c r="AX536" t="s">
        <v>639</v>
      </c>
      <c r="AY536" t="s">
        <v>33</v>
      </c>
      <c r="AZ536" t="s">
        <v>33</v>
      </c>
      <c r="BA536" s="18" t="s">
        <v>803</v>
      </c>
      <c r="BB536" s="3" t="b">
        <v>0</v>
      </c>
      <c r="BC536" t="s">
        <v>81</v>
      </c>
      <c r="BD536">
        <f>AVERAGE(24, 48)</f>
        <v>36</v>
      </c>
      <c r="BE536" t="s">
        <v>80</v>
      </c>
      <c r="BF536">
        <v>48</v>
      </c>
      <c r="BG536" t="s">
        <v>647</v>
      </c>
      <c r="BH536" t="s">
        <v>31</v>
      </c>
      <c r="BI536" t="s">
        <v>31</v>
      </c>
      <c r="BJ536" s="3">
        <f t="shared" si="274"/>
        <v>3.01</v>
      </c>
      <c r="BK536" s="3">
        <f t="shared" si="267"/>
        <v>0.47856649559384334</v>
      </c>
      <c r="BL536">
        <v>2</v>
      </c>
      <c r="BM536" s="3">
        <f t="shared" si="275"/>
        <v>1.9232618557461625</v>
      </c>
      <c r="BN536" t="s">
        <v>33</v>
      </c>
      <c r="BO536" s="3">
        <f t="shared" si="271"/>
        <v>83.803441860465099</v>
      </c>
      <c r="BP536" t="s">
        <v>33</v>
      </c>
      <c r="BQ536" t="s">
        <v>33</v>
      </c>
      <c r="BR536" t="s">
        <v>33</v>
      </c>
      <c r="BS536" t="s">
        <v>33</v>
      </c>
      <c r="BT536" t="s">
        <v>31</v>
      </c>
      <c r="BU536" s="13" t="s">
        <v>135</v>
      </c>
      <c r="BV536" s="14">
        <v>2010</v>
      </c>
      <c r="BW536" s="13" t="s">
        <v>140</v>
      </c>
      <c r="BX536" t="s">
        <v>78</v>
      </c>
      <c r="BY536" s="13" t="s">
        <v>687</v>
      </c>
      <c r="CA536" t="str">
        <f t="shared" si="273"/>
        <v>high acid</v>
      </c>
    </row>
    <row r="537" spans="1:79">
      <c r="A537" s="3" t="s">
        <v>249</v>
      </c>
      <c r="B537" t="s">
        <v>566</v>
      </c>
      <c r="C537" t="s">
        <v>563</v>
      </c>
      <c r="D537" s="3" t="s">
        <v>279</v>
      </c>
      <c r="E537" s="3" t="s">
        <v>77</v>
      </c>
      <c r="F537" t="s">
        <v>32</v>
      </c>
      <c r="G537" s="11">
        <v>20</v>
      </c>
      <c r="H537" s="11" t="s">
        <v>33</v>
      </c>
      <c r="I537" s="3" t="b">
        <v>0</v>
      </c>
      <c r="J537" s="3" t="s">
        <v>33</v>
      </c>
      <c r="K537" s="3" t="s">
        <v>33</v>
      </c>
      <c r="L537" s="3">
        <v>35</v>
      </c>
      <c r="M537" s="4">
        <v>1000</v>
      </c>
      <c r="N537" s="3">
        <f>IFERROR(AF537/((T537*X537/Y537)*O537*AI537),"NA")</f>
        <v>1010.5075751866368</v>
      </c>
      <c r="O537" s="3">
        <v>40</v>
      </c>
      <c r="P537" s="3" t="s">
        <v>33</v>
      </c>
      <c r="Q537" s="3">
        <f t="shared" si="279"/>
        <v>3.0000000000000002E-2</v>
      </c>
      <c r="R537" t="s">
        <v>183</v>
      </c>
      <c r="S537" t="s">
        <v>613</v>
      </c>
      <c r="T537" s="11">
        <v>1</v>
      </c>
      <c r="U537" s="3">
        <v>2.8</v>
      </c>
      <c r="V537" s="3">
        <v>3</v>
      </c>
      <c r="W537" s="3">
        <v>0.02</v>
      </c>
      <c r="X537" s="3">
        <f t="shared" si="280"/>
        <v>1.97920337176157E-2</v>
      </c>
      <c r="Y537" s="3">
        <f>40/60</f>
        <v>0.66666666666666663</v>
      </c>
      <c r="Z537" s="3">
        <f t="shared" si="281"/>
        <v>0.6597344572538566</v>
      </c>
      <c r="AA537" s="3" t="s">
        <v>33</v>
      </c>
      <c r="AB537" s="3">
        <f>IFERROR(((X537*M537)/Z537), "NA")</f>
        <v>30</v>
      </c>
      <c r="AC537" s="3" t="str">
        <f t="shared" si="277"/>
        <v>NA</v>
      </c>
      <c r="AD537" s="4">
        <f>AB537*T537*AI537</f>
        <v>30</v>
      </c>
      <c r="AE537" s="3">
        <f t="shared" si="282"/>
        <v>735.00000000000011</v>
      </c>
      <c r="AF537" s="3">
        <v>1200</v>
      </c>
      <c r="AG537" s="3" t="str">
        <f>IFERROR((M537*O537*P537), "NA")</f>
        <v>NA</v>
      </c>
      <c r="AH537" s="3" t="str">
        <f>IFERROR((AG537*T537*AI537), "NA")</f>
        <v>NA</v>
      </c>
      <c r="AI537" s="3">
        <v>1</v>
      </c>
      <c r="AJ537" t="s">
        <v>31</v>
      </c>
      <c r="AK537" s="3">
        <v>500</v>
      </c>
      <c r="AL537" s="3" t="s">
        <v>250</v>
      </c>
      <c r="AM537" s="3" t="s">
        <v>103</v>
      </c>
      <c r="AN537" t="s">
        <v>130</v>
      </c>
      <c r="AO537" t="s">
        <v>795</v>
      </c>
      <c r="AP537" s="3">
        <f>(6.5+6.8)/2</f>
        <v>6.65</v>
      </c>
      <c r="AQ537" s="3" t="s">
        <v>33</v>
      </c>
      <c r="AR537" s="3" t="s">
        <v>33</v>
      </c>
      <c r="AS537" s="3">
        <f>LOG((10^6+10^7)/2)</f>
        <v>6.7403626894942441</v>
      </c>
      <c r="AT537" s="3">
        <f>IFERROR(AS537-AU537,"NA")</f>
        <v>4.1243626894942444</v>
      </c>
      <c r="AU537" s="6">
        <v>2.6160000000000001</v>
      </c>
      <c r="AV537" s="3" t="b">
        <v>1</v>
      </c>
      <c r="AW537" s="3" t="s">
        <v>172</v>
      </c>
      <c r="AX537" s="3" t="s">
        <v>173</v>
      </c>
      <c r="AY537" s="3" t="s">
        <v>251</v>
      </c>
      <c r="AZ537" s="3" t="s">
        <v>33</v>
      </c>
      <c r="BA537" s="18" t="s">
        <v>799</v>
      </c>
      <c r="BB537" s="3" t="b">
        <v>0</v>
      </c>
      <c r="BC537" t="s">
        <v>81</v>
      </c>
      <c r="BD537" s="3">
        <v>0.5</v>
      </c>
      <c r="BE537" s="3" t="s">
        <v>252</v>
      </c>
      <c r="BF537" s="11">
        <v>72</v>
      </c>
      <c r="BG537" s="3" t="s">
        <v>253</v>
      </c>
      <c r="BH537" s="3" t="s">
        <v>32</v>
      </c>
      <c r="BI537" s="3" t="s">
        <v>31</v>
      </c>
      <c r="BJ537" s="3">
        <f t="shared" si="274"/>
        <v>2.6160000000000001</v>
      </c>
      <c r="BK537" s="3">
        <f t="shared" si="267"/>
        <v>0.41763773965222967</v>
      </c>
      <c r="BL537" s="3">
        <v>2</v>
      </c>
      <c r="BM537" s="3">
        <f t="shared" si="275"/>
        <v>2.4486495994319655</v>
      </c>
      <c r="BN537" s="3" t="s">
        <v>33</v>
      </c>
      <c r="BO537" s="3">
        <f t="shared" si="271"/>
        <v>280.9633027522936</v>
      </c>
      <c r="BP537" s="3" t="s">
        <v>33</v>
      </c>
      <c r="BQ537" s="3" t="s">
        <v>33</v>
      </c>
      <c r="BR537" s="3" t="s">
        <v>33</v>
      </c>
      <c r="BS537" s="3" t="s">
        <v>33</v>
      </c>
      <c r="BT537" t="s">
        <v>31</v>
      </c>
      <c r="BU537" s="3" t="s">
        <v>247</v>
      </c>
      <c r="BV537" s="11">
        <v>2015</v>
      </c>
      <c r="BW537" s="12" t="s">
        <v>248</v>
      </c>
      <c r="BX537" t="s">
        <v>78</v>
      </c>
      <c r="BY537" s="3" t="s">
        <v>33</v>
      </c>
      <c r="BZ537" s="3" t="s">
        <v>33</v>
      </c>
      <c r="CA537" t="str">
        <f t="shared" si="273"/>
        <v>low acid</v>
      </c>
    </row>
    <row r="538" spans="1:79">
      <c r="A538" t="s">
        <v>580</v>
      </c>
      <c r="B538" t="s">
        <v>565</v>
      </c>
      <c r="C538" t="s">
        <v>563</v>
      </c>
      <c r="D538" t="s">
        <v>118</v>
      </c>
      <c r="E538" t="s">
        <v>77</v>
      </c>
      <c r="F538" t="s">
        <v>32</v>
      </c>
      <c r="G538">
        <v>22</v>
      </c>
      <c r="H538">
        <v>40</v>
      </c>
      <c r="I538" t="b">
        <v>0</v>
      </c>
      <c r="J538">
        <v>10220</v>
      </c>
      <c r="K538">
        <v>59.68</v>
      </c>
      <c r="L538">
        <v>35</v>
      </c>
      <c r="M538" s="4">
        <v>250</v>
      </c>
      <c r="N538" t="e">
        <f>(#REF!*Y538)/(T538*X538*O538)</f>
        <v>#REF!</v>
      </c>
      <c r="O538">
        <v>4</v>
      </c>
      <c r="P538">
        <f>AVERAGE(0.0066, 0.0091)</f>
        <v>7.8499999999999993E-3</v>
      </c>
      <c r="Q538" s="1">
        <f t="shared" si="279"/>
        <v>0.15625</v>
      </c>
      <c r="R538" t="s">
        <v>183</v>
      </c>
      <c r="S538" t="s">
        <v>613</v>
      </c>
      <c r="T538">
        <v>8</v>
      </c>
      <c r="U538">
        <v>2.92</v>
      </c>
      <c r="V538">
        <v>2.2999999999999998</v>
      </c>
      <c r="W538">
        <v>1.21E-2</v>
      </c>
      <c r="X538">
        <f t="shared" si="280"/>
        <v>1.2131888350367701E-2</v>
      </c>
      <c r="Y538">
        <v>1.3333299999999999</v>
      </c>
      <c r="Z538" s="3">
        <f t="shared" si="281"/>
        <v>7.7644085442353281E-2</v>
      </c>
      <c r="AA538" t="s">
        <v>33</v>
      </c>
      <c r="AB538">
        <f>IFERROR(((X538*M538)/Z538), "NA")</f>
        <v>39.0625</v>
      </c>
      <c r="AC538" s="1">
        <f t="shared" si="277"/>
        <v>1.9624999999999999</v>
      </c>
      <c r="AE538" s="3">
        <f t="shared" si="282"/>
        <v>7855.3125</v>
      </c>
      <c r="AF538">
        <v>1250</v>
      </c>
      <c r="AG538" s="1" t="str">
        <f>IFERROR((N538*P538*Q538), "NA")</f>
        <v>NA</v>
      </c>
      <c r="AH538" s="1" t="str">
        <f>IFERROR((AG538*U538*AI538), "NA")</f>
        <v>NA</v>
      </c>
      <c r="AI538" s="1">
        <v>1</v>
      </c>
      <c r="AJ538" s="11" t="s">
        <v>31</v>
      </c>
      <c r="AK538">
        <v>5130</v>
      </c>
      <c r="AL538" t="s">
        <v>547</v>
      </c>
      <c r="AM538" t="s">
        <v>86</v>
      </c>
      <c r="AN538" t="s">
        <v>205</v>
      </c>
      <c r="AO538" t="s">
        <v>789</v>
      </c>
      <c r="AP538">
        <v>3.16</v>
      </c>
      <c r="AQ538" t="s">
        <v>33</v>
      </c>
      <c r="AR538" t="s">
        <v>33</v>
      </c>
      <c r="AS538">
        <v>7.5</v>
      </c>
      <c r="AT538">
        <f>AS538-AU538</f>
        <v>4.13</v>
      </c>
      <c r="AU538" s="6">
        <v>3.37</v>
      </c>
      <c r="AV538" t="b">
        <v>1</v>
      </c>
      <c r="AW538" t="s">
        <v>617</v>
      </c>
      <c r="AX538" t="s">
        <v>33</v>
      </c>
      <c r="AY538" t="s">
        <v>33</v>
      </c>
      <c r="AZ538" t="s">
        <v>619</v>
      </c>
      <c r="BA538" s="18" t="s">
        <v>802</v>
      </c>
      <c r="BB538" s="3" t="b">
        <v>0</v>
      </c>
      <c r="BC538" t="s">
        <v>81</v>
      </c>
      <c r="BD538">
        <v>15</v>
      </c>
      <c r="BE538" t="s">
        <v>80</v>
      </c>
      <c r="BF538">
        <v>24</v>
      </c>
      <c r="BG538" t="s">
        <v>697</v>
      </c>
      <c r="BH538" t="s">
        <v>32</v>
      </c>
      <c r="BI538" t="s">
        <v>31</v>
      </c>
      <c r="BJ538">
        <f t="shared" si="274"/>
        <v>3.37</v>
      </c>
      <c r="BK538" s="3">
        <f t="shared" si="267"/>
        <v>0.52762990087133865</v>
      </c>
      <c r="BL538">
        <v>2</v>
      </c>
      <c r="BM538" s="3">
        <f t="shared" si="275"/>
        <v>3.3675335659490853</v>
      </c>
      <c r="BN538" t="s">
        <v>33</v>
      </c>
      <c r="BO538" s="3">
        <f t="shared" si="271"/>
        <v>2330.9532640949556</v>
      </c>
      <c r="BP538" t="s">
        <v>33</v>
      </c>
      <c r="BQ538" t="s">
        <v>33</v>
      </c>
      <c r="BR538" t="s">
        <v>33</v>
      </c>
      <c r="BS538" t="s">
        <v>33</v>
      </c>
      <c r="BT538" t="s">
        <v>31</v>
      </c>
      <c r="BU538" t="s">
        <v>219</v>
      </c>
      <c r="BV538" s="14">
        <v>2008</v>
      </c>
      <c r="BW538" t="s">
        <v>257</v>
      </c>
      <c r="BX538" t="s">
        <v>78</v>
      </c>
      <c r="BY538" s="13" t="s">
        <v>670</v>
      </c>
      <c r="CA538" t="str">
        <f t="shared" si="273"/>
        <v>high acid</v>
      </c>
    </row>
    <row r="539" spans="1:79">
      <c r="A539" t="s">
        <v>605</v>
      </c>
      <c r="B539" t="s">
        <v>565</v>
      </c>
      <c r="C539" t="s">
        <v>563</v>
      </c>
      <c r="D539" t="s">
        <v>118</v>
      </c>
      <c r="E539" t="s">
        <v>77</v>
      </c>
      <c r="F539" t="s">
        <v>33</v>
      </c>
      <c r="G539" t="s">
        <v>33</v>
      </c>
      <c r="H539" t="s">
        <v>33</v>
      </c>
      <c r="I539" t="b">
        <v>0</v>
      </c>
      <c r="J539" t="s">
        <v>33</v>
      </c>
      <c r="K539" t="s">
        <v>33</v>
      </c>
      <c r="L539">
        <v>17</v>
      </c>
      <c r="M539" s="4">
        <v>500</v>
      </c>
      <c r="N539" t="e">
        <f>(#REF!*Y539)/(T539*X539*O539)</f>
        <v>#REF!</v>
      </c>
      <c r="O539">
        <v>3</v>
      </c>
      <c r="P539" t="s">
        <v>33</v>
      </c>
      <c r="Q539" s="1">
        <f t="shared" si="279"/>
        <v>1.7444444444444443E-2</v>
      </c>
      <c r="R539" t="s">
        <v>183</v>
      </c>
      <c r="S539" t="s">
        <v>613</v>
      </c>
      <c r="T539">
        <v>6</v>
      </c>
      <c r="U539">
        <v>2.9</v>
      </c>
      <c r="V539">
        <v>2.2999999999999998</v>
      </c>
      <c r="W539" t="s">
        <v>33</v>
      </c>
      <c r="X539">
        <f t="shared" si="280"/>
        <v>1.204879322468025E-2</v>
      </c>
      <c r="Y539">
        <v>0.83333299999999999</v>
      </c>
      <c r="Z539" s="3">
        <f t="shared" si="281"/>
        <v>0.69069515300714812</v>
      </c>
      <c r="AA539" t="s">
        <v>33</v>
      </c>
      <c r="AB539">
        <f>IFERROR(((X539*M539)/Z539), "NA")</f>
        <v>8.7222222222222232</v>
      </c>
      <c r="AC539" s="1" t="str">
        <f t="shared" si="277"/>
        <v>NA</v>
      </c>
      <c r="AE539" s="3">
        <f t="shared" si="282"/>
        <v>53.086409999999987</v>
      </c>
      <c r="AF539">
        <v>157</v>
      </c>
      <c r="AG539" s="1" t="str">
        <f>IFERROR((N539*P539*Q539), "NA")</f>
        <v>NA</v>
      </c>
      <c r="AH539" s="1" t="str">
        <f>IFERROR((AG539*U539*AI539), "NA")</f>
        <v>NA</v>
      </c>
      <c r="AI539" s="1">
        <v>1</v>
      </c>
      <c r="AJ539" s="11" t="s">
        <v>31</v>
      </c>
      <c r="AK539">
        <f>1.17*10^3</f>
        <v>1170</v>
      </c>
      <c r="AL539" t="s">
        <v>138</v>
      </c>
      <c r="AM539" t="s">
        <v>86</v>
      </c>
      <c r="AN539" t="s">
        <v>205</v>
      </c>
      <c r="AO539" t="s">
        <v>789</v>
      </c>
      <c r="AP539">
        <v>3.85</v>
      </c>
      <c r="AQ539" t="s">
        <v>33</v>
      </c>
      <c r="AR539" t="s">
        <v>33</v>
      </c>
      <c r="AS539">
        <v>7.78</v>
      </c>
      <c r="AT539">
        <v>4.13</v>
      </c>
      <c r="AU539" s="6">
        <f>AS539-AT539</f>
        <v>3.6500000000000004</v>
      </c>
      <c r="AV539" t="b">
        <v>1</v>
      </c>
      <c r="AW539" t="s">
        <v>632</v>
      </c>
      <c r="AX539" t="s">
        <v>639</v>
      </c>
      <c r="AY539" t="s">
        <v>33</v>
      </c>
      <c r="AZ539" t="s">
        <v>33</v>
      </c>
      <c r="BA539" s="18" t="s">
        <v>803</v>
      </c>
      <c r="BB539" s="3" t="b">
        <v>0</v>
      </c>
      <c r="BC539" t="s">
        <v>81</v>
      </c>
      <c r="BD539">
        <f>AVERAGE(24,48)</f>
        <v>36</v>
      </c>
      <c r="BE539" t="s">
        <v>80</v>
      </c>
      <c r="BF539">
        <v>48</v>
      </c>
      <c r="BG539" t="s">
        <v>647</v>
      </c>
      <c r="BH539" t="s">
        <v>31</v>
      </c>
      <c r="BI539" t="s">
        <v>31</v>
      </c>
      <c r="BJ539" s="3">
        <f t="shared" si="274"/>
        <v>3.6500000000000004</v>
      </c>
      <c r="BK539" s="3">
        <f t="shared" si="267"/>
        <v>0.56229286445647475</v>
      </c>
      <c r="BL539">
        <v>2</v>
      </c>
      <c r="BM539" s="3">
        <f t="shared" si="275"/>
        <v>1.1626904924554684</v>
      </c>
      <c r="BN539" t="s">
        <v>33</v>
      </c>
      <c r="BO539" s="3">
        <f t="shared" si="271"/>
        <v>14.544221917808214</v>
      </c>
      <c r="BP539" t="s">
        <v>33</v>
      </c>
      <c r="BQ539" t="s">
        <v>33</v>
      </c>
      <c r="BR539" t="s">
        <v>33</v>
      </c>
      <c r="BS539" t="s">
        <v>33</v>
      </c>
      <c r="BT539" t="s">
        <v>31</v>
      </c>
      <c r="BU539" s="13" t="s">
        <v>135</v>
      </c>
      <c r="BV539" s="14">
        <v>2009</v>
      </c>
      <c r="BW539" s="13" t="s">
        <v>136</v>
      </c>
      <c r="BX539" t="s">
        <v>78</v>
      </c>
      <c r="BY539" s="13" t="s">
        <v>692</v>
      </c>
      <c r="CA539" t="str">
        <f t="shared" si="273"/>
        <v>high acid</v>
      </c>
    </row>
    <row r="540" spans="1:79">
      <c r="A540" t="s">
        <v>722</v>
      </c>
      <c r="B540" t="s">
        <v>566</v>
      </c>
      <c r="C540" t="s">
        <v>563</v>
      </c>
      <c r="D540" t="s">
        <v>699</v>
      </c>
      <c r="E540" t="s">
        <v>77</v>
      </c>
      <c r="F540" t="s">
        <v>32</v>
      </c>
      <c r="G540">
        <v>20</v>
      </c>
      <c r="H540">
        <v>64</v>
      </c>
      <c r="I540" t="b">
        <v>1</v>
      </c>
      <c r="J540" t="s">
        <v>33</v>
      </c>
      <c r="K540" t="s">
        <v>33</v>
      </c>
      <c r="L540">
        <v>20</v>
      </c>
      <c r="M540" s="4">
        <v>64</v>
      </c>
      <c r="N540" s="3">
        <f>IFERROR(AF540/((T540*X540/Y540)*O540*AI540),"NA")</f>
        <v>63.657407407407391</v>
      </c>
      <c r="O540">
        <v>5</v>
      </c>
      <c r="P540">
        <v>0.43</v>
      </c>
      <c r="Q540" s="8">
        <f>IFERROR(X540/Y540, "NA")</f>
        <v>0.43200000000000011</v>
      </c>
      <c r="R540" t="s">
        <v>183</v>
      </c>
      <c r="S540" t="s">
        <v>612</v>
      </c>
      <c r="T540" s="11">
        <v>1</v>
      </c>
      <c r="U540">
        <v>4</v>
      </c>
      <c r="V540" t="s">
        <v>33</v>
      </c>
      <c r="W540">
        <f>0.4*3*0.5</f>
        <v>0.60000000000000009</v>
      </c>
      <c r="X540" s="9">
        <f>W540</f>
        <v>0.60000000000000009</v>
      </c>
      <c r="Y540" s="6">
        <f>5000/3600</f>
        <v>1.3888888888888888</v>
      </c>
      <c r="Z540" s="3">
        <f t="shared" si="281"/>
        <v>1.3963636363636365</v>
      </c>
      <c r="AA540" t="s">
        <v>33</v>
      </c>
      <c r="AB540" s="4">
        <f>IFERROR(((X540*M540)/Y540), "NA")</f>
        <v>27.648000000000007</v>
      </c>
      <c r="AC540" s="4">
        <f t="shared" si="277"/>
        <v>27.52</v>
      </c>
      <c r="AD540" s="4">
        <f>AB540*T540*AI540</f>
        <v>27.648000000000007</v>
      </c>
      <c r="AE540" s="3">
        <f t="shared" si="282"/>
        <v>110.59200000000003</v>
      </c>
      <c r="AF540">
        <v>137.5</v>
      </c>
      <c r="AG540" s="4">
        <f>IFERROR((M540*O540*P540), "NA")</f>
        <v>137.6</v>
      </c>
      <c r="AH540" s="4">
        <f>IFERROR((AG540*T540*AI540), "NA")</f>
        <v>137.6</v>
      </c>
      <c r="AI540">
        <v>1</v>
      </c>
      <c r="AJ540" s="11" t="s">
        <v>31</v>
      </c>
      <c r="AK540">
        <v>2000</v>
      </c>
      <c r="AL540" t="s">
        <v>784</v>
      </c>
      <c r="AM540" t="s">
        <v>103</v>
      </c>
      <c r="AN540" t="s">
        <v>130</v>
      </c>
      <c r="AO540" t="s">
        <v>795</v>
      </c>
      <c r="AP540">
        <v>7</v>
      </c>
      <c r="AQ540" t="s">
        <v>33</v>
      </c>
      <c r="AR540" t="s">
        <v>33</v>
      </c>
      <c r="AS540" s="6">
        <f>LOG(AVERAGE(10^8, 10^9))</f>
        <v>8.7403626894942441</v>
      </c>
      <c r="AT540" s="3">
        <f>IFERROR(AS540-AU540,"NA")</f>
        <v>4.1323626894942445</v>
      </c>
      <c r="AU540" s="6">
        <v>4.6079999999999997</v>
      </c>
      <c r="AV540" t="b">
        <v>1</v>
      </c>
      <c r="AW540" t="s">
        <v>123</v>
      </c>
      <c r="AX540" t="s">
        <v>88</v>
      </c>
      <c r="AY540" t="s">
        <v>726</v>
      </c>
      <c r="AZ540" t="s">
        <v>33</v>
      </c>
      <c r="BA540" s="18" t="s">
        <v>579</v>
      </c>
      <c r="BB540" s="3" t="b">
        <v>1</v>
      </c>
      <c r="BC540" t="s">
        <v>81</v>
      </c>
      <c r="BD540">
        <v>24</v>
      </c>
      <c r="BE540" t="s">
        <v>80</v>
      </c>
      <c r="BF540">
        <v>48</v>
      </c>
      <c r="BG540" t="s">
        <v>395</v>
      </c>
      <c r="BH540" t="s">
        <v>31</v>
      </c>
      <c r="BI540" t="s">
        <v>31</v>
      </c>
      <c r="BJ540" s="3">
        <f t="shared" si="274"/>
        <v>4.6079999999999997</v>
      </c>
      <c r="BK540" s="3">
        <f t="shared" si="267"/>
        <v>0.6635124704151556</v>
      </c>
      <c r="BL540">
        <v>2</v>
      </c>
      <c r="BM540" s="3">
        <f t="shared" si="275"/>
        <v>1.3802112417116061</v>
      </c>
      <c r="BN540" t="s">
        <v>33</v>
      </c>
      <c r="BO540" s="3">
        <f t="shared" si="271"/>
        <v>24.000000000000007</v>
      </c>
      <c r="BP540" t="s">
        <v>33</v>
      </c>
      <c r="BQ540" t="s">
        <v>33</v>
      </c>
      <c r="BR540" t="s">
        <v>33</v>
      </c>
      <c r="BS540" t="s">
        <v>33</v>
      </c>
      <c r="BT540" t="s">
        <v>32</v>
      </c>
      <c r="BU540" t="s">
        <v>709</v>
      </c>
      <c r="BV540">
        <v>2024</v>
      </c>
      <c r="BW540" t="s">
        <v>710</v>
      </c>
      <c r="BX540" t="s">
        <v>78</v>
      </c>
      <c r="BY540" t="s">
        <v>711</v>
      </c>
      <c r="CA540" t="str">
        <f t="shared" si="273"/>
        <v>low acid</v>
      </c>
    </row>
    <row r="541" spans="1:79">
      <c r="A541" t="s">
        <v>584</v>
      </c>
      <c r="B541" t="s">
        <v>566</v>
      </c>
      <c r="C541" t="s">
        <v>563</v>
      </c>
      <c r="D541" t="s">
        <v>607</v>
      </c>
      <c r="E541" t="s">
        <v>77</v>
      </c>
      <c r="F541" t="s">
        <v>33</v>
      </c>
      <c r="G541">
        <v>20</v>
      </c>
      <c r="H541">
        <v>35</v>
      </c>
      <c r="I541" t="b">
        <v>0</v>
      </c>
      <c r="J541">
        <v>1000</v>
      </c>
      <c r="K541">
        <v>200</v>
      </c>
      <c r="L541">
        <v>25</v>
      </c>
      <c r="M541" s="4">
        <v>1</v>
      </c>
      <c r="N541" t="e">
        <f>(#REF!*Y541)/(T541*X541*O541)</f>
        <v>#REF!</v>
      </c>
      <c r="O541">
        <v>3</v>
      </c>
      <c r="P541" t="s">
        <v>33</v>
      </c>
      <c r="Q541" s="1">
        <f t="shared" ref="Q541:Q546" si="283">IFERROR(X541/Z541, "NA")</f>
        <v>166.66666666666666</v>
      </c>
      <c r="R541" t="s">
        <v>183</v>
      </c>
      <c r="S541" t="s">
        <v>33</v>
      </c>
      <c r="T541">
        <v>1</v>
      </c>
      <c r="U541">
        <v>2.5</v>
      </c>
      <c r="V541" t="s">
        <v>33</v>
      </c>
      <c r="W541">
        <v>0.50249999999999995</v>
      </c>
      <c r="X541">
        <f>W541</f>
        <v>0.50249999999999995</v>
      </c>
      <c r="Y541" t="s">
        <v>33</v>
      </c>
      <c r="Z541" s="3">
        <f t="shared" si="281"/>
        <v>3.0149999999999999E-3</v>
      </c>
      <c r="AA541" t="s">
        <v>33</v>
      </c>
      <c r="AB541">
        <f>IFERROR(((X541*M541)/Z541), "NA")</f>
        <v>166.66666666666666</v>
      </c>
      <c r="AC541" s="1" t="str">
        <f t="shared" si="277"/>
        <v>NA</v>
      </c>
      <c r="AE541" s="3">
        <f t="shared" si="282"/>
        <v>312.5</v>
      </c>
      <c r="AF541">
        <v>500</v>
      </c>
      <c r="AG541" s="1" t="str">
        <f>IFERROR((N541*P541*Q541), "NA")</f>
        <v>NA</v>
      </c>
      <c r="AH541" s="1" t="str">
        <f>IFERROR((AG541*U541*AI541), "NA")</f>
        <v>NA</v>
      </c>
      <c r="AI541" s="1">
        <v>1</v>
      </c>
      <c r="AJ541" s="11" t="s">
        <v>31</v>
      </c>
      <c r="AK541">
        <v>1000</v>
      </c>
      <c r="AL541" t="s">
        <v>614</v>
      </c>
      <c r="AM541" s="3" t="s">
        <v>103</v>
      </c>
      <c r="AN541" t="s">
        <v>130</v>
      </c>
      <c r="AO541" t="s">
        <v>795</v>
      </c>
      <c r="AP541">
        <v>7</v>
      </c>
      <c r="AQ541" t="s">
        <v>33</v>
      </c>
      <c r="AR541" t="s">
        <v>33</v>
      </c>
      <c r="AS541">
        <v>8</v>
      </c>
      <c r="AT541">
        <f>AS541-AU541</f>
        <v>4.1400000000000006</v>
      </c>
      <c r="AU541" s="6">
        <v>3.86</v>
      </c>
      <c r="AV541" t="b">
        <v>1</v>
      </c>
      <c r="AW541" t="s">
        <v>617</v>
      </c>
      <c r="AX541" t="s">
        <v>33</v>
      </c>
      <c r="AY541" t="s">
        <v>623</v>
      </c>
      <c r="AZ541" t="s">
        <v>621</v>
      </c>
      <c r="BA541" s="18" t="s">
        <v>802</v>
      </c>
      <c r="BB541" s="3" t="b">
        <v>0</v>
      </c>
      <c r="BC541" t="s">
        <v>81</v>
      </c>
      <c r="BD541">
        <v>18</v>
      </c>
      <c r="BE541" t="s">
        <v>80</v>
      </c>
      <c r="BF541">
        <v>24</v>
      </c>
      <c r="BG541" t="s">
        <v>642</v>
      </c>
      <c r="BH541" t="s">
        <v>32</v>
      </c>
      <c r="BI541" t="s">
        <v>31</v>
      </c>
      <c r="BJ541">
        <f t="shared" si="274"/>
        <v>3.86</v>
      </c>
      <c r="BK541" s="3">
        <f t="shared" si="267"/>
        <v>0.58658730467175491</v>
      </c>
      <c r="BL541">
        <v>2</v>
      </c>
      <c r="BM541" s="3">
        <f t="shared" si="275"/>
        <v>1.908262717008339</v>
      </c>
      <c r="BN541" t="s">
        <v>33</v>
      </c>
      <c r="BO541" s="3">
        <f t="shared" si="271"/>
        <v>80.958549222797927</v>
      </c>
      <c r="BP541" t="s">
        <v>33</v>
      </c>
      <c r="BQ541" t="s">
        <v>33</v>
      </c>
      <c r="BR541" t="s">
        <v>33</v>
      </c>
      <c r="BS541" t="s">
        <v>33</v>
      </c>
      <c r="BT541" t="s">
        <v>31</v>
      </c>
      <c r="BU541" t="s">
        <v>255</v>
      </c>
      <c r="BV541">
        <v>2010</v>
      </c>
      <c r="BW541" t="s">
        <v>651</v>
      </c>
      <c r="BX541" t="s">
        <v>78</v>
      </c>
      <c r="BY541" s="13" t="s">
        <v>674</v>
      </c>
      <c r="CA541" t="str">
        <f t="shared" si="273"/>
        <v>low acid</v>
      </c>
    </row>
    <row r="542" spans="1:79">
      <c r="A542" t="s">
        <v>431</v>
      </c>
      <c r="B542" t="s">
        <v>565</v>
      </c>
      <c r="C542" t="s">
        <v>563</v>
      </c>
      <c r="D542" t="s">
        <v>118</v>
      </c>
      <c r="E542" t="s">
        <v>77</v>
      </c>
      <c r="F542" t="s">
        <v>32</v>
      </c>
      <c r="G542">
        <v>20</v>
      </c>
      <c r="H542">
        <v>25</v>
      </c>
      <c r="I542" t="b">
        <v>0</v>
      </c>
      <c r="J542" t="s">
        <v>33</v>
      </c>
      <c r="K542" t="s">
        <v>33</v>
      </c>
      <c r="L542">
        <v>38.4</v>
      </c>
      <c r="M542" s="4">
        <v>667</v>
      </c>
      <c r="N542" s="3" t="str">
        <f>IFERROR(AF542/((T542*X542/Y542)*O542*AI542),"NA")</f>
        <v>NA</v>
      </c>
      <c r="O542">
        <v>2</v>
      </c>
      <c r="P542" t="s">
        <v>33</v>
      </c>
      <c r="Q542" s="8">
        <f t="shared" si="283"/>
        <v>4.9975012493753126E-3</v>
      </c>
      <c r="R542" t="s">
        <v>183</v>
      </c>
      <c r="S542" t="s">
        <v>613</v>
      </c>
      <c r="T542" s="11">
        <v>6</v>
      </c>
      <c r="U542">
        <v>2.92</v>
      </c>
      <c r="V542">
        <v>2.2999999999999998</v>
      </c>
      <c r="W542" t="s">
        <v>33</v>
      </c>
      <c r="X542" s="9">
        <f>IFERROR(((PI())*(((V542*10^-1)/2)^2)*(U542*10^-1)), "NA")</f>
        <v>1.2131888350367701E-2</v>
      </c>
      <c r="Y542" s="6" t="s">
        <v>33</v>
      </c>
      <c r="Z542" s="3">
        <f t="shared" si="281"/>
        <v>2.4275908589085766</v>
      </c>
      <c r="AA542" t="s">
        <v>33</v>
      </c>
      <c r="AB542" s="6" t="str">
        <f>IFERROR(((X542*M542)/Y542), "NA")</f>
        <v>NA</v>
      </c>
      <c r="AC542" t="str">
        <f t="shared" si="277"/>
        <v>NA</v>
      </c>
      <c r="AD542" s="4" t="str">
        <f>IFERROR(AB542*T542*AI542, "NA")</f>
        <v>NA</v>
      </c>
      <c r="AE542" s="3">
        <f t="shared" si="282"/>
        <v>58.982400000000005</v>
      </c>
      <c r="AF542">
        <v>40</v>
      </c>
      <c r="AG542" t="str">
        <f>IFERROR((M542*O542*P542), "NA")</f>
        <v>NA</v>
      </c>
      <c r="AH542" t="str">
        <f>IFERROR((AG542*T542*AI542), "NA")</f>
        <v>NA</v>
      </c>
      <c r="AI542" s="11">
        <v>1</v>
      </c>
      <c r="AJ542" t="s">
        <v>31</v>
      </c>
      <c r="AK542">
        <v>1000</v>
      </c>
      <c r="AL542" t="s">
        <v>430</v>
      </c>
      <c r="AM542" t="s">
        <v>530</v>
      </c>
      <c r="AN542" t="s">
        <v>186</v>
      </c>
      <c r="AO542" t="s">
        <v>796</v>
      </c>
      <c r="AP542" s="4">
        <v>6</v>
      </c>
      <c r="AQ542" t="s">
        <v>33</v>
      </c>
      <c r="AR542" t="s">
        <v>33</v>
      </c>
      <c r="AS542" s="3">
        <f>LOG((10^6+10^7)/2)</f>
        <v>6.7403626894942441</v>
      </c>
      <c r="AT542" s="3">
        <f>IFERROR(AS542-AU542,"NA")</f>
        <v>4.1493626894942439</v>
      </c>
      <c r="AU542" s="6">
        <v>2.5910000000000002</v>
      </c>
      <c r="AV542" t="b">
        <v>1</v>
      </c>
      <c r="AW542" t="s">
        <v>29</v>
      </c>
      <c r="AX542" t="s">
        <v>30</v>
      </c>
      <c r="AY542" t="s">
        <v>216</v>
      </c>
      <c r="AZ542" t="s">
        <v>33</v>
      </c>
      <c r="BA542" s="18" t="s">
        <v>798</v>
      </c>
      <c r="BB542" s="3" t="b">
        <v>0</v>
      </c>
      <c r="BC542" t="s">
        <v>81</v>
      </c>
      <c r="BD542">
        <v>15</v>
      </c>
      <c r="BE542" t="s">
        <v>80</v>
      </c>
      <c r="BF542" s="11">
        <v>240</v>
      </c>
      <c r="BG542" t="s">
        <v>139</v>
      </c>
      <c r="BH542" t="s">
        <v>31</v>
      </c>
      <c r="BI542" t="s">
        <v>31</v>
      </c>
      <c r="BJ542" s="3">
        <f t="shared" si="274"/>
        <v>2.5910000000000002</v>
      </c>
      <c r="BK542" s="3">
        <f t="shared" si="267"/>
        <v>0.41346741298582484</v>
      </c>
      <c r="BL542">
        <v>2</v>
      </c>
      <c r="BM542" s="3">
        <f t="shared" si="275"/>
        <v>1.3572550270771992</v>
      </c>
      <c r="BN542" t="s">
        <v>33</v>
      </c>
      <c r="BO542" s="3">
        <f t="shared" si="271"/>
        <v>22.764338093400234</v>
      </c>
      <c r="BP542" t="s">
        <v>33</v>
      </c>
      <c r="BQ542" t="s">
        <v>33</v>
      </c>
      <c r="BR542" t="s">
        <v>33</v>
      </c>
      <c r="BS542" t="s">
        <v>33</v>
      </c>
      <c r="BT542" t="s">
        <v>32</v>
      </c>
      <c r="BU542" t="s">
        <v>344</v>
      </c>
      <c r="BV542">
        <v>2008</v>
      </c>
      <c r="BW542" t="s">
        <v>432</v>
      </c>
      <c r="BX542" t="s">
        <v>78</v>
      </c>
      <c r="BY542" t="s">
        <v>33</v>
      </c>
      <c r="BZ542" t="s">
        <v>33</v>
      </c>
      <c r="CA542" t="str">
        <f t="shared" si="273"/>
        <v>low acid</v>
      </c>
    </row>
    <row r="543" spans="1:79">
      <c r="A543" t="s">
        <v>588</v>
      </c>
      <c r="B543" t="s">
        <v>565</v>
      </c>
      <c r="C543" t="s">
        <v>563</v>
      </c>
      <c r="D543" t="s">
        <v>608</v>
      </c>
      <c r="E543" t="s">
        <v>77</v>
      </c>
      <c r="F543" t="s">
        <v>32</v>
      </c>
      <c r="G543" t="s">
        <v>33</v>
      </c>
      <c r="H543">
        <v>40</v>
      </c>
      <c r="I543" t="b">
        <v>0</v>
      </c>
      <c r="J543" t="s">
        <v>33</v>
      </c>
      <c r="K543" t="s">
        <v>33</v>
      </c>
      <c r="L543">
        <v>35</v>
      </c>
      <c r="M543" s="4">
        <v>250</v>
      </c>
      <c r="N543" t="e">
        <f>(#REF!*Y543)/(T543*X543*O543)</f>
        <v>#REF!</v>
      </c>
      <c r="O543">
        <v>3.7</v>
      </c>
      <c r="P543" t="s">
        <v>33</v>
      </c>
      <c r="Q543" s="1">
        <f t="shared" si="283"/>
        <v>3.2432432432432427E-2</v>
      </c>
      <c r="R543" t="s">
        <v>183</v>
      </c>
      <c r="S543" t="s">
        <v>613</v>
      </c>
      <c r="T543">
        <v>6</v>
      </c>
      <c r="U543">
        <v>1.9</v>
      </c>
      <c r="V543">
        <v>2.2999999999999998</v>
      </c>
      <c r="W543" t="s">
        <v>33</v>
      </c>
      <c r="X543">
        <f>IFERROR(((PI())*(((V543*10^-1)/2)^2)*(U543*10^-1)), "NA")</f>
        <v>7.8940369403077502E-3</v>
      </c>
      <c r="Y543">
        <v>1</v>
      </c>
      <c r="Z543" s="3">
        <f t="shared" si="281"/>
        <v>0.24339947232615566</v>
      </c>
      <c r="AA543" t="s">
        <v>33</v>
      </c>
      <c r="AB543">
        <f>IFERROR(((X543*M543)/Z543), "NA")</f>
        <v>8.108108108108107</v>
      </c>
      <c r="AC543" s="1" t="str">
        <f t="shared" si="277"/>
        <v>NA</v>
      </c>
      <c r="AE543" s="3">
        <f t="shared" si="282"/>
        <v>1058.3999999999999</v>
      </c>
      <c r="AF543">
        <v>180</v>
      </c>
      <c r="AG543" s="1" t="str">
        <f>IFERROR((N543*P543*Q543), "NA")</f>
        <v>NA</v>
      </c>
      <c r="AH543" s="1" t="str">
        <f>IFERROR((AG543*U543*AI543), "NA")</f>
        <v>NA</v>
      </c>
      <c r="AI543" s="1">
        <v>1</v>
      </c>
      <c r="AJ543" s="11" t="s">
        <v>31</v>
      </c>
      <c r="AK543">
        <v>4800</v>
      </c>
      <c r="AL543" t="s">
        <v>156</v>
      </c>
      <c r="AM543" t="s">
        <v>157</v>
      </c>
      <c r="AN543" t="s">
        <v>186</v>
      </c>
      <c r="AO543" t="s">
        <v>792</v>
      </c>
      <c r="AP543">
        <v>6.53</v>
      </c>
      <c r="AQ543" t="s">
        <v>33</v>
      </c>
      <c r="AR543" t="s">
        <v>33</v>
      </c>
      <c r="AS543">
        <v>6.5</v>
      </c>
      <c r="AT543">
        <v>4.1500000000000004</v>
      </c>
      <c r="AU543" s="6">
        <f>AS543-AT543</f>
        <v>2.3499999999999996</v>
      </c>
      <c r="AV543" t="b">
        <v>1</v>
      </c>
      <c r="AW543" t="s">
        <v>626</v>
      </c>
      <c r="AX543" t="s">
        <v>627</v>
      </c>
      <c r="AY543" t="s">
        <v>625</v>
      </c>
      <c r="AZ543" t="s">
        <v>33</v>
      </c>
      <c r="BA543" s="18" t="s">
        <v>800</v>
      </c>
      <c r="BB543" s="3" t="b">
        <v>0</v>
      </c>
      <c r="BC543" t="s">
        <v>81</v>
      </c>
      <c r="BD543">
        <v>12</v>
      </c>
      <c r="BE543" t="s">
        <v>80</v>
      </c>
      <c r="BF543">
        <v>48</v>
      </c>
      <c r="BG543" t="s">
        <v>643</v>
      </c>
      <c r="BH543" t="s">
        <v>31</v>
      </c>
      <c r="BI543" t="s">
        <v>31</v>
      </c>
      <c r="BJ543">
        <f t="shared" si="274"/>
        <v>2.3499999999999996</v>
      </c>
      <c r="BK543" s="3">
        <f t="shared" si="267"/>
        <v>0.37106786227173622</v>
      </c>
      <c r="BL543">
        <v>2</v>
      </c>
      <c r="BM543" s="3">
        <f t="shared" si="275"/>
        <v>2.6535819689077083</v>
      </c>
      <c r="BN543" t="s">
        <v>33</v>
      </c>
      <c r="BO543" s="3">
        <f t="shared" si="271"/>
        <v>450.38297872340428</v>
      </c>
      <c r="BP543" t="s">
        <v>33</v>
      </c>
      <c r="BQ543" t="s">
        <v>33</v>
      </c>
      <c r="BR543" t="s">
        <v>33</v>
      </c>
      <c r="BS543" t="s">
        <v>33</v>
      </c>
      <c r="BT543" t="s">
        <v>31</v>
      </c>
      <c r="BU543" s="13" t="s">
        <v>163</v>
      </c>
      <c r="BV543">
        <v>2004</v>
      </c>
      <c r="BW543" t="s">
        <v>654</v>
      </c>
      <c r="BX543" t="s">
        <v>78</v>
      </c>
      <c r="BY543" s="13" t="s">
        <v>677</v>
      </c>
      <c r="CA543" t="str">
        <f t="shared" si="273"/>
        <v>low acid</v>
      </c>
    </row>
    <row r="544" spans="1:79">
      <c r="A544" t="s">
        <v>79</v>
      </c>
      <c r="B544" t="s">
        <v>565</v>
      </c>
      <c r="C544" t="s">
        <v>563</v>
      </c>
      <c r="D544" t="s">
        <v>76</v>
      </c>
      <c r="E544" t="s">
        <v>77</v>
      </c>
      <c r="F544" t="s">
        <v>32</v>
      </c>
      <c r="G544">
        <v>4</v>
      </c>
      <c r="H544">
        <f>30</f>
        <v>30</v>
      </c>
      <c r="I544" t="b">
        <v>0</v>
      </c>
      <c r="J544" t="s">
        <v>33</v>
      </c>
      <c r="K544" t="s">
        <v>33</v>
      </c>
      <c r="L544">
        <v>40</v>
      </c>
      <c r="M544" s="4">
        <v>1000</v>
      </c>
      <c r="N544" s="3">
        <f>IFERROR(AF544/((T544*X544/Y544)*O544*AI544),"NA")</f>
        <v>1151.794348616987</v>
      </c>
      <c r="O544">
        <v>8</v>
      </c>
      <c r="P544" t="s">
        <v>33</v>
      </c>
      <c r="Q544">
        <f t="shared" si="283"/>
        <v>1.2499999999999998E-3</v>
      </c>
      <c r="R544" t="s">
        <v>183</v>
      </c>
      <c r="S544" t="s">
        <v>612</v>
      </c>
      <c r="T544" s="11">
        <v>1</v>
      </c>
      <c r="U544">
        <f>4.7</f>
        <v>4.7</v>
      </c>
      <c r="V544">
        <v>3.5</v>
      </c>
      <c r="W544" t="s">
        <v>33</v>
      </c>
      <c r="X544" s="8">
        <f>IFERROR(((PI())*(((V544*10^-1)/2)^2)*(U544*10^-1)), "NA")</f>
        <v>4.5219299257608099E-2</v>
      </c>
      <c r="Y544" s="6">
        <f>2.5*1000/60</f>
        <v>41.666666666666664</v>
      </c>
      <c r="Z544" s="3">
        <f t="shared" si="281"/>
        <v>36.175439406086483</v>
      </c>
      <c r="AA544" t="s">
        <v>33</v>
      </c>
      <c r="AB544" s="6">
        <f>IFERROR(((X544*M544)/Z544), "NA")</f>
        <v>1.25</v>
      </c>
      <c r="AC544" t="str">
        <f t="shared" si="277"/>
        <v>NA</v>
      </c>
      <c r="AD544" s="4">
        <f>IFERROR(AB544*T544*AI544, "NA")</f>
        <v>1.25</v>
      </c>
      <c r="AE544">
        <f t="shared" si="282"/>
        <v>87.999999999999986</v>
      </c>
      <c r="AF544">
        <v>10</v>
      </c>
      <c r="AG544" t="str">
        <f>IFERROR((M544*O544*P544), "NA")</f>
        <v>NA</v>
      </c>
      <c r="AH544" t="str">
        <f>IFERROR((AG544*T544*AI544), "NA")</f>
        <v>NA</v>
      </c>
      <c r="AI544" s="11">
        <v>1</v>
      </c>
      <c r="AJ544" t="s">
        <v>31</v>
      </c>
      <c r="AK544">
        <v>5500</v>
      </c>
      <c r="AL544" t="s">
        <v>540</v>
      </c>
      <c r="AM544" t="s">
        <v>157</v>
      </c>
      <c r="AN544" t="s">
        <v>186</v>
      </c>
      <c r="AO544" t="s">
        <v>792</v>
      </c>
      <c r="AP544" s="3">
        <f>(6.53+6.6)/2</f>
        <v>6.5649999999999995</v>
      </c>
      <c r="AQ544" t="s">
        <v>33</v>
      </c>
      <c r="AR544" t="s">
        <v>33</v>
      </c>
      <c r="AS544">
        <v>8</v>
      </c>
      <c r="AT544" s="3">
        <f>IFERROR(AS544-AU544,"NA")</f>
        <v>4.1500000000000004</v>
      </c>
      <c r="AU544" s="6">
        <v>3.85</v>
      </c>
      <c r="AV544" t="b">
        <v>1</v>
      </c>
      <c r="AW544" t="s">
        <v>29</v>
      </c>
      <c r="AX544" t="s">
        <v>30</v>
      </c>
      <c r="AY544" t="s">
        <v>216</v>
      </c>
      <c r="AZ544" t="s">
        <v>33</v>
      </c>
      <c r="BA544" s="18" t="s">
        <v>798</v>
      </c>
      <c r="BB544" t="b">
        <v>0</v>
      </c>
      <c r="BC544" t="s">
        <v>81</v>
      </c>
      <c r="BD544">
        <v>24</v>
      </c>
      <c r="BE544" t="s">
        <v>80</v>
      </c>
      <c r="BF544" s="11">
        <v>24</v>
      </c>
      <c r="BG544" t="s">
        <v>572</v>
      </c>
      <c r="BH544" t="s">
        <v>31</v>
      </c>
      <c r="BI544" t="s">
        <v>31</v>
      </c>
      <c r="BJ544" s="3">
        <f t="shared" si="274"/>
        <v>3.85</v>
      </c>
      <c r="BK544" s="3">
        <f t="shared" si="267"/>
        <v>0.5854607295085007</v>
      </c>
      <c r="BL544">
        <v>2</v>
      </c>
      <c r="BM544" s="3">
        <f t="shared" si="275"/>
        <v>1.3590219426416679</v>
      </c>
      <c r="BN544" t="s">
        <v>33</v>
      </c>
      <c r="BO544" s="3">
        <f t="shared" si="271"/>
        <v>22.857142857142854</v>
      </c>
      <c r="BP544" t="s">
        <v>33</v>
      </c>
      <c r="BQ544" t="s">
        <v>33</v>
      </c>
      <c r="BR544" t="s">
        <v>33</v>
      </c>
      <c r="BS544" t="s">
        <v>33</v>
      </c>
      <c r="BT544" t="s">
        <v>32</v>
      </c>
      <c r="BU544" t="s">
        <v>117</v>
      </c>
      <c r="BV544">
        <v>2021</v>
      </c>
      <c r="BW544" s="2" t="s">
        <v>82</v>
      </c>
      <c r="BX544" t="s">
        <v>78</v>
      </c>
      <c r="BY544" t="s">
        <v>90</v>
      </c>
      <c r="CA544" t="str">
        <f t="shared" si="273"/>
        <v>low acid</v>
      </c>
    </row>
    <row r="545" spans="1:79">
      <c r="A545" t="s">
        <v>584</v>
      </c>
      <c r="B545" t="s">
        <v>566</v>
      </c>
      <c r="C545" t="s">
        <v>563</v>
      </c>
      <c r="D545" t="s">
        <v>607</v>
      </c>
      <c r="E545" t="s">
        <v>77</v>
      </c>
      <c r="F545" t="s">
        <v>33</v>
      </c>
      <c r="G545">
        <v>20</v>
      </c>
      <c r="H545">
        <v>35</v>
      </c>
      <c r="I545" t="b">
        <v>0</v>
      </c>
      <c r="J545">
        <v>1000</v>
      </c>
      <c r="K545">
        <v>200</v>
      </c>
      <c r="L545">
        <v>25</v>
      </c>
      <c r="M545" s="4">
        <v>1</v>
      </c>
      <c r="N545" t="e">
        <f>(#REF!*Y545)/(T545*X545*O545)</f>
        <v>#REF!</v>
      </c>
      <c r="O545">
        <v>3</v>
      </c>
      <c r="P545" t="s">
        <v>33</v>
      </c>
      <c r="Q545" s="1">
        <f t="shared" si="283"/>
        <v>25.000000000000004</v>
      </c>
      <c r="R545" t="s">
        <v>183</v>
      </c>
      <c r="S545" t="s">
        <v>33</v>
      </c>
      <c r="T545">
        <v>1</v>
      </c>
      <c r="U545">
        <v>2.5</v>
      </c>
      <c r="V545" t="s">
        <v>33</v>
      </c>
      <c r="W545">
        <v>0.50249999999999995</v>
      </c>
      <c r="X545">
        <f>W545</f>
        <v>0.50249999999999995</v>
      </c>
      <c r="Y545" t="s">
        <v>33</v>
      </c>
      <c r="Z545" s="3">
        <f t="shared" si="281"/>
        <v>2.0099999999999996E-2</v>
      </c>
      <c r="AA545" t="s">
        <v>33</v>
      </c>
      <c r="AB545">
        <f>IFERROR(((X545*M545)/Z545), "NA")</f>
        <v>25.000000000000004</v>
      </c>
      <c r="AC545" s="1" t="str">
        <f t="shared" si="277"/>
        <v>NA</v>
      </c>
      <c r="AE545" s="3">
        <f t="shared" si="282"/>
        <v>46.875000000000007</v>
      </c>
      <c r="AF545">
        <v>75</v>
      </c>
      <c r="AG545" s="1" t="str">
        <f>IFERROR((N545*P545*Q545), "NA")</f>
        <v>NA</v>
      </c>
      <c r="AH545" s="1" t="str">
        <f>IFERROR((AG545*U545*AI545), "NA")</f>
        <v>NA</v>
      </c>
      <c r="AI545" s="1">
        <v>1</v>
      </c>
      <c r="AJ545" s="11" t="s">
        <v>31</v>
      </c>
      <c r="AK545">
        <v>1000</v>
      </c>
      <c r="AL545" t="s">
        <v>614</v>
      </c>
      <c r="AM545" s="3" t="s">
        <v>103</v>
      </c>
      <c r="AN545" t="s">
        <v>305</v>
      </c>
      <c r="AO545" t="s">
        <v>790</v>
      </c>
      <c r="AP545">
        <v>3.5</v>
      </c>
      <c r="AQ545" t="s">
        <v>33</v>
      </c>
      <c r="AR545" t="s">
        <v>33</v>
      </c>
      <c r="AS545">
        <v>8</v>
      </c>
      <c r="AT545">
        <f>AS545-AU545</f>
        <v>4.1500000000000004</v>
      </c>
      <c r="AU545" s="6">
        <v>3.85</v>
      </c>
      <c r="AV545" t="b">
        <v>1</v>
      </c>
      <c r="AW545" t="s">
        <v>617</v>
      </c>
      <c r="AX545" t="s">
        <v>33</v>
      </c>
      <c r="AY545" t="s">
        <v>623</v>
      </c>
      <c r="AZ545" t="s">
        <v>621</v>
      </c>
      <c r="BA545" s="18" t="s">
        <v>802</v>
      </c>
      <c r="BB545" s="3" t="b">
        <v>0</v>
      </c>
      <c r="BC545" t="s">
        <v>81</v>
      </c>
      <c r="BD545">
        <v>18</v>
      </c>
      <c r="BE545" t="s">
        <v>80</v>
      </c>
      <c r="BF545">
        <v>24</v>
      </c>
      <c r="BG545" t="s">
        <v>642</v>
      </c>
      <c r="BH545" t="s">
        <v>32</v>
      </c>
      <c r="BI545" t="s">
        <v>31</v>
      </c>
      <c r="BJ545">
        <f t="shared" si="274"/>
        <v>3.85</v>
      </c>
      <c r="BK545" s="3">
        <f t="shared" si="267"/>
        <v>0.5854607295085007</v>
      </c>
      <c r="BL545">
        <v>2</v>
      </c>
      <c r="BM545" s="3">
        <f t="shared" si="275"/>
        <v>1.0854805512272747</v>
      </c>
      <c r="BN545" t="s">
        <v>33</v>
      </c>
      <c r="BO545" s="3">
        <f t="shared" si="271"/>
        <v>12.175324675324678</v>
      </c>
      <c r="BP545" t="s">
        <v>33</v>
      </c>
      <c r="BQ545" t="s">
        <v>33</v>
      </c>
      <c r="BR545" t="s">
        <v>33</v>
      </c>
      <c r="BS545" t="s">
        <v>33</v>
      </c>
      <c r="BT545" t="s">
        <v>31</v>
      </c>
      <c r="BU545" t="s">
        <v>255</v>
      </c>
      <c r="BV545">
        <v>2010</v>
      </c>
      <c r="BW545" t="s">
        <v>651</v>
      </c>
      <c r="BX545" t="s">
        <v>78</v>
      </c>
      <c r="BY545" s="13" t="s">
        <v>674</v>
      </c>
      <c r="CA545" t="str">
        <f t="shared" si="273"/>
        <v>high acid</v>
      </c>
    </row>
    <row r="546" spans="1:79">
      <c r="A546" t="s">
        <v>141</v>
      </c>
      <c r="B546" t="s">
        <v>565</v>
      </c>
      <c r="C546" t="s">
        <v>563</v>
      </c>
      <c r="D546" t="s">
        <v>118</v>
      </c>
      <c r="E546" t="s">
        <v>77</v>
      </c>
      <c r="F546" t="s">
        <v>32</v>
      </c>
      <c r="G546">
        <v>20</v>
      </c>
      <c r="H546" t="s">
        <v>33</v>
      </c>
      <c r="I546" t="b">
        <v>0</v>
      </c>
      <c r="J546" t="s">
        <v>33</v>
      </c>
      <c r="K546" t="s">
        <v>33</v>
      </c>
      <c r="L546">
        <v>23</v>
      </c>
      <c r="M546" s="4">
        <v>500</v>
      </c>
      <c r="N546" s="3">
        <f>IFERROR(AF546/((T546*X546/Y546)*O546*AI546),"NA")</f>
        <v>503.35454362283343</v>
      </c>
      <c r="O546">
        <v>3</v>
      </c>
      <c r="P546" t="s">
        <v>33</v>
      </c>
      <c r="Q546" s="8">
        <f t="shared" si="283"/>
        <v>1.4555555555555556E-2</v>
      </c>
      <c r="R546" t="s">
        <v>183</v>
      </c>
      <c r="S546" t="s">
        <v>613</v>
      </c>
      <c r="T546" s="11">
        <v>6</v>
      </c>
      <c r="U546">
        <v>2.9</v>
      </c>
      <c r="V546">
        <v>2.2999999999999998</v>
      </c>
      <c r="W546" t="s">
        <v>33</v>
      </c>
      <c r="X546">
        <f>IFERROR(((PI())*(((V546*10^-1)/2)^2)*(U546*10^-1)), "NA")</f>
        <v>1.204879322468025E-2</v>
      </c>
      <c r="Y546" s="8">
        <f>50/60</f>
        <v>0.83333333333333337</v>
      </c>
      <c r="Z546" s="9">
        <f t="shared" si="281"/>
        <v>0.82777968719177286</v>
      </c>
      <c r="AA546" t="s">
        <v>33</v>
      </c>
      <c r="AB546" s="6">
        <f>IFERROR(((X546*M546)/Z546), "NA")</f>
        <v>7.2777777777777786</v>
      </c>
      <c r="AC546" t="str">
        <f t="shared" si="277"/>
        <v>NA</v>
      </c>
      <c r="AD546" s="4">
        <f>AB546*T546*AI546</f>
        <v>43.666666666666671</v>
      </c>
      <c r="AE546" s="3">
        <f t="shared" si="282"/>
        <v>267.49414000000002</v>
      </c>
      <c r="AF546">
        <v>131</v>
      </c>
      <c r="AG546" t="str">
        <f>IFERROR((M546*O546*P546), "NA")</f>
        <v>NA</v>
      </c>
      <c r="AH546" t="str">
        <f>IFERROR((AG546*T546*AI546), "NA")</f>
        <v>NA</v>
      </c>
      <c r="AI546">
        <v>1</v>
      </c>
      <c r="AJ546" t="s">
        <v>31</v>
      </c>
      <c r="AK546">
        <v>3860</v>
      </c>
      <c r="AL546" t="s">
        <v>138</v>
      </c>
      <c r="AM546" t="s">
        <v>86</v>
      </c>
      <c r="AN546" t="s">
        <v>205</v>
      </c>
      <c r="AO546" t="s">
        <v>789</v>
      </c>
      <c r="AP546">
        <v>3.9</v>
      </c>
      <c r="AQ546" t="s">
        <v>33</v>
      </c>
      <c r="AR546" t="s">
        <v>33</v>
      </c>
      <c r="AS546" s="3">
        <v>7.2510000000000003</v>
      </c>
      <c r="AT546" s="3">
        <f t="shared" ref="AT546:AT550" si="284">IFERROR(AS546-AU546,"NA")</f>
        <v>4.1509999999999998</v>
      </c>
      <c r="AU546" s="6">
        <v>3.1</v>
      </c>
      <c r="AV546" t="b">
        <v>1</v>
      </c>
      <c r="AW546" t="s">
        <v>92</v>
      </c>
      <c r="AX546" t="s">
        <v>93</v>
      </c>
      <c r="AY546" t="s">
        <v>137</v>
      </c>
      <c r="AZ546" t="s">
        <v>33</v>
      </c>
      <c r="BA546" s="18" t="s">
        <v>801</v>
      </c>
      <c r="BB546" t="b">
        <v>0</v>
      </c>
      <c r="BC546" t="s">
        <v>81</v>
      </c>
      <c r="BD546">
        <f>(48+24)/2</f>
        <v>36</v>
      </c>
      <c r="BE546" t="s">
        <v>80</v>
      </c>
      <c r="BF546" s="11">
        <f>(48+24)/2</f>
        <v>36</v>
      </c>
      <c r="BG546" t="s">
        <v>139</v>
      </c>
      <c r="BH546" t="s">
        <v>31</v>
      </c>
      <c r="BI546" t="s">
        <v>31</v>
      </c>
      <c r="BJ546">
        <f t="shared" si="274"/>
        <v>3.1</v>
      </c>
      <c r="BK546" s="3">
        <f t="shared" si="267"/>
        <v>0.49136169383427269</v>
      </c>
      <c r="BL546">
        <v>2</v>
      </c>
      <c r="BM546" s="3">
        <f>LOG(BO546)</f>
        <v>1.9359525785284324</v>
      </c>
      <c r="BN546" t="s">
        <v>33</v>
      </c>
      <c r="BO546" s="3">
        <f t="shared" si="271"/>
        <v>86.288432258064518</v>
      </c>
      <c r="BP546" t="s">
        <v>33</v>
      </c>
      <c r="BQ546" t="s">
        <v>33</v>
      </c>
      <c r="BR546" t="s">
        <v>33</v>
      </c>
      <c r="BS546" t="s">
        <v>33</v>
      </c>
      <c r="BT546" t="s">
        <v>31</v>
      </c>
      <c r="BU546" t="s">
        <v>135</v>
      </c>
      <c r="BV546">
        <v>2011</v>
      </c>
      <c r="BW546" s="2" t="s">
        <v>136</v>
      </c>
      <c r="BX546" t="s">
        <v>78</v>
      </c>
      <c r="BY546" t="s">
        <v>33</v>
      </c>
      <c r="BZ546" t="s">
        <v>33</v>
      </c>
      <c r="CA546" t="str">
        <f t="shared" si="273"/>
        <v>high acid</v>
      </c>
    </row>
    <row r="547" spans="1:79">
      <c r="A547" t="s">
        <v>698</v>
      </c>
      <c r="B547" t="s">
        <v>566</v>
      </c>
      <c r="C547" t="s">
        <v>563</v>
      </c>
      <c r="D547" t="s">
        <v>699</v>
      </c>
      <c r="E547" t="s">
        <v>77</v>
      </c>
      <c r="F547" t="s">
        <v>32</v>
      </c>
      <c r="G547">
        <v>20</v>
      </c>
      <c r="H547">
        <v>42.5</v>
      </c>
      <c r="I547" t="b">
        <v>1</v>
      </c>
      <c r="J547" t="s">
        <v>33</v>
      </c>
      <c r="K547" t="s">
        <v>33</v>
      </c>
      <c r="L547">
        <v>20</v>
      </c>
      <c r="M547" s="4">
        <v>47</v>
      </c>
      <c r="N547" s="3">
        <f>IFERROR(AF547/((T547*X547/Y547)*O547*AI547),"NA")</f>
        <v>46.759259259259245</v>
      </c>
      <c r="O547">
        <v>5</v>
      </c>
      <c r="P547">
        <v>0.43</v>
      </c>
      <c r="Q547" s="8">
        <f>IFERROR(X547/Y547, "NA")</f>
        <v>0.43200000000000011</v>
      </c>
      <c r="R547" t="s">
        <v>183</v>
      </c>
      <c r="S547" t="s">
        <v>612</v>
      </c>
      <c r="T547" s="11">
        <v>1</v>
      </c>
      <c r="U547">
        <v>4</v>
      </c>
      <c r="V547" t="s">
        <v>33</v>
      </c>
      <c r="W547">
        <f>0.4*3*0.5</f>
        <v>0.60000000000000009</v>
      </c>
      <c r="X547" s="9">
        <f>W547</f>
        <v>0.60000000000000009</v>
      </c>
      <c r="Y547" s="6">
        <f>5000/3600</f>
        <v>1.3888888888888888</v>
      </c>
      <c r="Z547" s="3">
        <f t="shared" si="281"/>
        <v>1.3960396039603959</v>
      </c>
      <c r="AA547" t="s">
        <v>33</v>
      </c>
      <c r="AB547" s="4">
        <f>IFERROR(((X547*M547)/Y547), "NA")</f>
        <v>20.304000000000002</v>
      </c>
      <c r="AC547" s="4">
        <f t="shared" si="277"/>
        <v>20.21</v>
      </c>
      <c r="AD547" s="4">
        <f>AB547*T547*AI547</f>
        <v>20.304000000000002</v>
      </c>
      <c r="AE547" s="3">
        <f t="shared" si="282"/>
        <v>81.216000000000022</v>
      </c>
      <c r="AF547">
        <v>101</v>
      </c>
      <c r="AG547" s="4">
        <f>IFERROR((M547*O547*P547), "NA")</f>
        <v>101.05</v>
      </c>
      <c r="AH547" s="4">
        <f>IFERROR((AG547*T547*AI547), "NA")</f>
        <v>101.05</v>
      </c>
      <c r="AI547">
        <v>1</v>
      </c>
      <c r="AJ547" s="11" t="s">
        <v>31</v>
      </c>
      <c r="AK547">
        <v>2000</v>
      </c>
      <c r="AL547" t="s">
        <v>784</v>
      </c>
      <c r="AM547" t="s">
        <v>103</v>
      </c>
      <c r="AN547" t="s">
        <v>130</v>
      </c>
      <c r="AO547" t="s">
        <v>795</v>
      </c>
      <c r="AP547">
        <v>7</v>
      </c>
      <c r="AQ547" t="s">
        <v>33</v>
      </c>
      <c r="AR547" t="s">
        <v>33</v>
      </c>
      <c r="AS547" s="6">
        <f>LOG(AVERAGE(10^8, 10^9))</f>
        <v>8.7403626894942441</v>
      </c>
      <c r="AT547" s="3">
        <f t="shared" si="284"/>
        <v>4.152362689494244</v>
      </c>
      <c r="AU547" s="6">
        <v>4.5880000000000001</v>
      </c>
      <c r="AV547" t="b">
        <v>1</v>
      </c>
      <c r="AW547" t="s">
        <v>29</v>
      </c>
      <c r="AX547" t="s">
        <v>30</v>
      </c>
      <c r="AY547" t="s">
        <v>700</v>
      </c>
      <c r="AZ547" t="s">
        <v>33</v>
      </c>
      <c r="BA547" s="18" t="s">
        <v>798</v>
      </c>
      <c r="BB547" s="3" t="b">
        <v>0</v>
      </c>
      <c r="BC547" t="s">
        <v>81</v>
      </c>
      <c r="BD547">
        <v>24</v>
      </c>
      <c r="BE547" t="s">
        <v>80</v>
      </c>
      <c r="BF547">
        <v>24</v>
      </c>
      <c r="BG547" t="s">
        <v>568</v>
      </c>
      <c r="BH547" t="s">
        <v>31</v>
      </c>
      <c r="BI547" t="s">
        <v>31</v>
      </c>
      <c r="BJ547" s="3">
        <f t="shared" si="274"/>
        <v>4.5880000000000001</v>
      </c>
      <c r="BK547" s="3">
        <f t="shared" si="267"/>
        <v>0.66162340922923002</v>
      </c>
      <c r="BL547">
        <v>2</v>
      </c>
      <c r="BM547" s="3">
        <f t="shared" ref="BM547:BM576" si="285">IFERROR(LOG(BO547),"NA")</f>
        <v>1.2480181868493621</v>
      </c>
      <c r="BN547" t="s">
        <v>33</v>
      </c>
      <c r="BO547" s="3">
        <f t="shared" si="271"/>
        <v>17.701830863121192</v>
      </c>
      <c r="BP547" t="s">
        <v>33</v>
      </c>
      <c r="BQ547" t="s">
        <v>33</v>
      </c>
      <c r="BR547" t="s">
        <v>33</v>
      </c>
      <c r="BS547" t="s">
        <v>33</v>
      </c>
      <c r="BT547" t="s">
        <v>32</v>
      </c>
      <c r="BU547" t="s">
        <v>709</v>
      </c>
      <c r="BV547">
        <v>2024</v>
      </c>
      <c r="BW547" t="s">
        <v>710</v>
      </c>
      <c r="BX547" t="s">
        <v>78</v>
      </c>
      <c r="BY547" t="s">
        <v>711</v>
      </c>
      <c r="CA547" t="str">
        <f t="shared" si="273"/>
        <v>low acid</v>
      </c>
    </row>
    <row r="548" spans="1:79">
      <c r="A548" t="s">
        <v>698</v>
      </c>
      <c r="B548" t="s">
        <v>566</v>
      </c>
      <c r="C548" t="s">
        <v>563</v>
      </c>
      <c r="D548" t="s">
        <v>699</v>
      </c>
      <c r="E548" t="s">
        <v>77</v>
      </c>
      <c r="F548" t="s">
        <v>32</v>
      </c>
      <c r="G548">
        <v>20</v>
      </c>
      <c r="H548">
        <v>64</v>
      </c>
      <c r="I548" t="b">
        <v>1</v>
      </c>
      <c r="J548" t="s">
        <v>33</v>
      </c>
      <c r="K548" t="s">
        <v>33</v>
      </c>
      <c r="L548">
        <v>20</v>
      </c>
      <c r="M548" s="4">
        <v>64</v>
      </c>
      <c r="N548" s="3">
        <f>IFERROR(AF548/((T548*X548/Y548)*O548*AI548),"NA")</f>
        <v>63.657407407407391</v>
      </c>
      <c r="O548">
        <v>5</v>
      </c>
      <c r="P548">
        <v>0.43</v>
      </c>
      <c r="Q548" s="8">
        <f>IFERROR(X548/Y548, "NA")</f>
        <v>0.43200000000000011</v>
      </c>
      <c r="R548" t="s">
        <v>183</v>
      </c>
      <c r="S548" t="s">
        <v>612</v>
      </c>
      <c r="T548" s="11">
        <v>1</v>
      </c>
      <c r="U548">
        <v>4</v>
      </c>
      <c r="V548" t="s">
        <v>33</v>
      </c>
      <c r="W548">
        <f>0.4*3*0.5</f>
        <v>0.60000000000000009</v>
      </c>
      <c r="X548" s="9">
        <f>W548</f>
        <v>0.60000000000000009</v>
      </c>
      <c r="Y548" s="6">
        <f>5000/3600</f>
        <v>1.3888888888888888</v>
      </c>
      <c r="Z548" s="3">
        <f t="shared" si="281"/>
        <v>1.3963636363636365</v>
      </c>
      <c r="AA548" t="s">
        <v>33</v>
      </c>
      <c r="AB548" s="4">
        <f>IFERROR(((X548*M548)/Y548), "NA")</f>
        <v>27.648000000000007</v>
      </c>
      <c r="AC548" s="4">
        <f t="shared" si="277"/>
        <v>27.52</v>
      </c>
      <c r="AD548" s="4">
        <f>AB548*T548*AI548</f>
        <v>27.648000000000007</v>
      </c>
      <c r="AE548" s="3">
        <f t="shared" si="282"/>
        <v>110.59200000000003</v>
      </c>
      <c r="AF548">
        <v>137.5</v>
      </c>
      <c r="AG548" s="4">
        <f>IFERROR((M548*O548*P548), "NA")</f>
        <v>137.6</v>
      </c>
      <c r="AH548" s="4">
        <f>IFERROR((AG548*T548*AI548), "NA")</f>
        <v>137.6</v>
      </c>
      <c r="AI548">
        <v>1</v>
      </c>
      <c r="AJ548" s="11" t="s">
        <v>31</v>
      </c>
      <c r="AK548">
        <v>2000</v>
      </c>
      <c r="AL548" t="s">
        <v>784</v>
      </c>
      <c r="AM548" t="s">
        <v>103</v>
      </c>
      <c r="AN548" t="s">
        <v>130</v>
      </c>
      <c r="AO548" t="s">
        <v>795</v>
      </c>
      <c r="AP548">
        <v>7</v>
      </c>
      <c r="AQ548" t="s">
        <v>33</v>
      </c>
      <c r="AR548" t="s">
        <v>33</v>
      </c>
      <c r="AS548" s="6">
        <f>LOG(AVERAGE(10^8, 10^9))</f>
        <v>8.7403626894942441</v>
      </c>
      <c r="AT548" s="3">
        <f t="shared" si="284"/>
        <v>4.152362689494244</v>
      </c>
      <c r="AU548" s="6">
        <v>4.5880000000000001</v>
      </c>
      <c r="AV548" t="b">
        <v>1</v>
      </c>
      <c r="AW548" t="s">
        <v>29</v>
      </c>
      <c r="AX548" t="s">
        <v>30</v>
      </c>
      <c r="AY548" t="s">
        <v>704</v>
      </c>
      <c r="AZ548" t="s">
        <v>33</v>
      </c>
      <c r="BA548" s="18" t="s">
        <v>798</v>
      </c>
      <c r="BB548" s="3" t="b">
        <v>0</v>
      </c>
      <c r="BC548" t="s">
        <v>81</v>
      </c>
      <c r="BD548">
        <v>24</v>
      </c>
      <c r="BE548" t="s">
        <v>80</v>
      </c>
      <c r="BF548">
        <v>24</v>
      </c>
      <c r="BG548" t="s">
        <v>568</v>
      </c>
      <c r="BH548" t="s">
        <v>31</v>
      </c>
      <c r="BI548" t="s">
        <v>31</v>
      </c>
      <c r="BJ548" s="3">
        <f t="shared" si="274"/>
        <v>4.5880000000000001</v>
      </c>
      <c r="BK548" s="3">
        <f t="shared" si="267"/>
        <v>0.66162340922923002</v>
      </c>
      <c r="BL548">
        <v>2</v>
      </c>
      <c r="BM548" s="3">
        <f t="shared" si="285"/>
        <v>1.3821003028975316</v>
      </c>
      <c r="BN548" t="s">
        <v>33</v>
      </c>
      <c r="BO548" s="3">
        <f t="shared" si="271"/>
        <v>24.104620749782047</v>
      </c>
      <c r="BP548" t="s">
        <v>33</v>
      </c>
      <c r="BQ548" t="s">
        <v>33</v>
      </c>
      <c r="BR548" t="s">
        <v>33</v>
      </c>
      <c r="BS548" t="s">
        <v>33</v>
      </c>
      <c r="BT548" t="s">
        <v>32</v>
      </c>
      <c r="BU548" t="s">
        <v>709</v>
      </c>
      <c r="BV548">
        <v>2024</v>
      </c>
      <c r="BW548" t="s">
        <v>710</v>
      </c>
      <c r="BX548" t="s">
        <v>78</v>
      </c>
      <c r="BY548" t="s">
        <v>711</v>
      </c>
      <c r="CA548" t="str">
        <f t="shared" si="273"/>
        <v>low acid</v>
      </c>
    </row>
    <row r="549" spans="1:79">
      <c r="A549" t="s">
        <v>221</v>
      </c>
      <c r="B549" t="s">
        <v>565</v>
      </c>
      <c r="C549" t="s">
        <v>563</v>
      </c>
      <c r="D549" t="s">
        <v>118</v>
      </c>
      <c r="E549" t="s">
        <v>77</v>
      </c>
      <c r="F549" t="s">
        <v>32</v>
      </c>
      <c r="G549">
        <v>5</v>
      </c>
      <c r="H549">
        <v>30.3</v>
      </c>
      <c r="I549" t="b">
        <v>0</v>
      </c>
      <c r="J549" t="s">
        <v>33</v>
      </c>
      <c r="K549" t="s">
        <v>33</v>
      </c>
      <c r="L549">
        <v>35</v>
      </c>
      <c r="M549" s="4">
        <v>100</v>
      </c>
      <c r="N549" s="3">
        <f>IFERROR(AF549/((T549*X549/Y549)*O549*AI549),"NA")</f>
        <v>8586.1873814153205</v>
      </c>
      <c r="O549">
        <v>4</v>
      </c>
      <c r="P549" t="s">
        <v>33</v>
      </c>
      <c r="Q549">
        <f t="shared" ref="Q549:Q556" si="286">IFERROR(X549/Z549, "NA")</f>
        <v>0.625</v>
      </c>
      <c r="R549" t="s">
        <v>183</v>
      </c>
      <c r="S549" t="s">
        <v>613</v>
      </c>
      <c r="T549" s="11">
        <v>8</v>
      </c>
      <c r="U549">
        <v>2.92</v>
      </c>
      <c r="V549">
        <v>2.2999999999999998</v>
      </c>
      <c r="W549">
        <v>1.21E-2</v>
      </c>
      <c r="X549" s="8">
        <f>IFERROR(((PI())*(((V549*10^-1)/2)^2)*(U549*10^-1)), "NA")</f>
        <v>1.2131888350367701E-2</v>
      </c>
      <c r="Y549" s="6">
        <f>100/60</f>
        <v>1.6666666666666667</v>
      </c>
      <c r="Z549" s="3">
        <f t="shared" si="281"/>
        <v>1.941102136058832E-2</v>
      </c>
      <c r="AA549" t="s">
        <v>33</v>
      </c>
      <c r="AB549" s="6">
        <f t="shared" ref="AB549:AB556" si="287">IFERROR(((X549*M549)/Z549), "NA")</f>
        <v>62.500000000000007</v>
      </c>
      <c r="AC549" t="str">
        <f t="shared" si="277"/>
        <v>NA</v>
      </c>
      <c r="AD549" s="4">
        <f>AB549*T549*AI549</f>
        <v>500.00000000000006</v>
      </c>
      <c r="AE549" s="3">
        <f t="shared" si="282"/>
        <v>8967</v>
      </c>
      <c r="AF549">
        <v>2000</v>
      </c>
      <c r="AG549" t="str">
        <f>IFERROR((M549*O549*P549), "NA")</f>
        <v>NA</v>
      </c>
      <c r="AH549" t="str">
        <f>IFERROR((AG549*T549*AI549), "NA")</f>
        <v>NA</v>
      </c>
      <c r="AI549">
        <v>1</v>
      </c>
      <c r="AJ549" t="s">
        <v>31</v>
      </c>
      <c r="AK549">
        <v>3660</v>
      </c>
      <c r="AL549" t="s">
        <v>541</v>
      </c>
      <c r="AM549" t="s">
        <v>86</v>
      </c>
      <c r="AN549" t="s">
        <v>186</v>
      </c>
      <c r="AO549" t="s">
        <v>794</v>
      </c>
      <c r="AP549">
        <v>5.46</v>
      </c>
      <c r="AQ549" t="s">
        <v>33</v>
      </c>
      <c r="AR549" t="s">
        <v>33</v>
      </c>
      <c r="AS549" s="6">
        <f>LOG((10^7+10^8)/2)</f>
        <v>7.7403626894942441</v>
      </c>
      <c r="AT549" s="3">
        <f t="shared" si="284"/>
        <v>4.1553626894942441</v>
      </c>
      <c r="AU549" s="6">
        <v>3.585</v>
      </c>
      <c r="AV549" t="b">
        <v>1</v>
      </c>
      <c r="AW549" t="s">
        <v>29</v>
      </c>
      <c r="AX549" t="s">
        <v>30</v>
      </c>
      <c r="AY549" s="10">
        <v>1107</v>
      </c>
      <c r="AZ549" t="s">
        <v>33</v>
      </c>
      <c r="BA549" s="18" t="s">
        <v>798</v>
      </c>
      <c r="BB549" t="b">
        <v>0</v>
      </c>
      <c r="BC549" t="s">
        <v>81</v>
      </c>
      <c r="BD549">
        <f>(16+14)/2</f>
        <v>15</v>
      </c>
      <c r="BE549" t="s">
        <v>80</v>
      </c>
      <c r="BF549" t="s">
        <v>33</v>
      </c>
      <c r="BG549" t="s">
        <v>222</v>
      </c>
      <c r="BH549" t="s">
        <v>31</v>
      </c>
      <c r="BI549" t="s">
        <v>31</v>
      </c>
      <c r="BJ549" s="3">
        <f t="shared" si="274"/>
        <v>3.585</v>
      </c>
      <c r="BK549" s="3">
        <f t="shared" si="267"/>
        <v>0.55448916000381887</v>
      </c>
      <c r="BL549">
        <v>2</v>
      </c>
      <c r="BM549" s="3">
        <f t="shared" si="285"/>
        <v>3.3981580097551243</v>
      </c>
      <c r="BN549" t="s">
        <v>33</v>
      </c>
      <c r="BO549" s="3">
        <f t="shared" si="271"/>
        <v>2501.2552301255232</v>
      </c>
      <c r="BP549" t="s">
        <v>33</v>
      </c>
      <c r="BQ549" t="s">
        <v>33</v>
      </c>
      <c r="BR549" t="s">
        <v>33</v>
      </c>
      <c r="BS549" t="s">
        <v>33</v>
      </c>
      <c r="BT549" t="s">
        <v>31</v>
      </c>
      <c r="BU549" t="s">
        <v>219</v>
      </c>
      <c r="BV549">
        <v>2007</v>
      </c>
      <c r="BW549" t="s">
        <v>218</v>
      </c>
      <c r="BX549" t="s">
        <v>78</v>
      </c>
      <c r="BY549" t="s">
        <v>33</v>
      </c>
      <c r="BZ549" t="s">
        <v>33</v>
      </c>
      <c r="CA549" t="str">
        <f t="shared" si="273"/>
        <v>low acid</v>
      </c>
    </row>
    <row r="550" spans="1:79">
      <c r="A550" t="s">
        <v>221</v>
      </c>
      <c r="B550" t="s">
        <v>565</v>
      </c>
      <c r="C550" t="s">
        <v>563</v>
      </c>
      <c r="D550" t="s">
        <v>118</v>
      </c>
      <c r="E550" t="s">
        <v>77</v>
      </c>
      <c r="F550" t="s">
        <v>32</v>
      </c>
      <c r="G550">
        <v>5</v>
      </c>
      <c r="H550">
        <v>30.3</v>
      </c>
      <c r="I550" t="b">
        <v>0</v>
      </c>
      <c r="J550" t="s">
        <v>33</v>
      </c>
      <c r="K550" t="s">
        <v>33</v>
      </c>
      <c r="L550">
        <v>35</v>
      </c>
      <c r="M550" s="4">
        <v>175</v>
      </c>
      <c r="N550" s="3">
        <f>IFERROR(AF550/((T550*X550/Y550)*O550*AI550),"NA")</f>
        <v>5366.3671133845755</v>
      </c>
      <c r="O550">
        <v>4</v>
      </c>
      <c r="P550" t="s">
        <v>33</v>
      </c>
      <c r="Q550" s="8">
        <f t="shared" si="286"/>
        <v>0.22321428571428573</v>
      </c>
      <c r="R550" t="s">
        <v>183</v>
      </c>
      <c r="S550" t="s">
        <v>613</v>
      </c>
      <c r="T550" s="11">
        <v>8</v>
      </c>
      <c r="U550">
        <v>2.92</v>
      </c>
      <c r="V550">
        <v>2.2999999999999998</v>
      </c>
      <c r="W550">
        <v>1.21E-2</v>
      </c>
      <c r="X550" s="8">
        <f>IFERROR(((PI())*(((V550*10^-1)/2)^2)*(U550*10^-1)), "NA")</f>
        <v>1.2131888350367701E-2</v>
      </c>
      <c r="Y550" s="6">
        <f>100/60</f>
        <v>1.6666666666666667</v>
      </c>
      <c r="Z550" s="3">
        <f t="shared" si="281"/>
        <v>5.4350859809647295E-2</v>
      </c>
      <c r="AA550" t="s">
        <v>33</v>
      </c>
      <c r="AB550" s="6">
        <f t="shared" si="287"/>
        <v>39.0625</v>
      </c>
      <c r="AC550" t="str">
        <f t="shared" si="277"/>
        <v>NA</v>
      </c>
      <c r="AD550" s="4">
        <f>AB550*T550*AI550</f>
        <v>312.5</v>
      </c>
      <c r="AE550" s="3">
        <f t="shared" si="282"/>
        <v>5604.375</v>
      </c>
      <c r="AF550">
        <v>1250</v>
      </c>
      <c r="AG550" t="str">
        <f>IFERROR((M550*O550*P550), "NA")</f>
        <v>NA</v>
      </c>
      <c r="AH550" t="str">
        <f>IFERROR((AG550*T550*AI550), "NA")</f>
        <v>NA</v>
      </c>
      <c r="AI550">
        <v>1</v>
      </c>
      <c r="AJ550" t="s">
        <v>31</v>
      </c>
      <c r="AK550">
        <v>3660</v>
      </c>
      <c r="AL550" t="s">
        <v>541</v>
      </c>
      <c r="AM550" t="s">
        <v>86</v>
      </c>
      <c r="AN550" t="s">
        <v>186</v>
      </c>
      <c r="AO550" t="s">
        <v>794</v>
      </c>
      <c r="AP550">
        <v>5.46</v>
      </c>
      <c r="AQ550" t="s">
        <v>33</v>
      </c>
      <c r="AR550" t="s">
        <v>33</v>
      </c>
      <c r="AS550" s="6">
        <f>LOG((10^7+10^8)/2)</f>
        <v>7.7403626894942441</v>
      </c>
      <c r="AT550" s="3">
        <f t="shared" si="284"/>
        <v>4.1553626894942441</v>
      </c>
      <c r="AU550" s="6">
        <v>3.585</v>
      </c>
      <c r="AV550" t="b">
        <v>1</v>
      </c>
      <c r="AW550" t="s">
        <v>29</v>
      </c>
      <c r="AX550" t="s">
        <v>30</v>
      </c>
      <c r="AY550" s="10">
        <v>1107</v>
      </c>
      <c r="AZ550" t="s">
        <v>33</v>
      </c>
      <c r="BA550" s="18" t="s">
        <v>798</v>
      </c>
      <c r="BB550" t="b">
        <v>0</v>
      </c>
      <c r="BC550" t="s">
        <v>81</v>
      </c>
      <c r="BD550">
        <f>(16+14)/2</f>
        <v>15</v>
      </c>
      <c r="BE550" t="s">
        <v>80</v>
      </c>
      <c r="BF550" t="s">
        <v>33</v>
      </c>
      <c r="BG550" t="s">
        <v>222</v>
      </c>
      <c r="BH550" t="s">
        <v>31</v>
      </c>
      <c r="BI550" t="s">
        <v>31</v>
      </c>
      <c r="BJ550" s="3">
        <f t="shared" si="274"/>
        <v>3.585</v>
      </c>
      <c r="BK550" s="3">
        <f t="shared" si="267"/>
        <v>0.55448916000381887</v>
      </c>
      <c r="BL550">
        <v>2</v>
      </c>
      <c r="BM550" s="3">
        <f t="shared" si="285"/>
        <v>3.1940380270991993</v>
      </c>
      <c r="BN550" t="s">
        <v>33</v>
      </c>
      <c r="BO550" s="3">
        <f t="shared" si="271"/>
        <v>1563.2845188284518</v>
      </c>
      <c r="BP550" t="s">
        <v>33</v>
      </c>
      <c r="BQ550" t="s">
        <v>33</v>
      </c>
      <c r="BR550" t="s">
        <v>33</v>
      </c>
      <c r="BS550" t="s">
        <v>33</v>
      </c>
      <c r="BT550" t="s">
        <v>31</v>
      </c>
      <c r="BU550" t="s">
        <v>219</v>
      </c>
      <c r="BV550">
        <v>2007</v>
      </c>
      <c r="BW550" t="s">
        <v>218</v>
      </c>
      <c r="BX550" t="s">
        <v>78</v>
      </c>
      <c r="BY550" t="s">
        <v>33</v>
      </c>
      <c r="BZ550" t="s">
        <v>33</v>
      </c>
      <c r="CA550" t="str">
        <f t="shared" si="273"/>
        <v>low acid</v>
      </c>
    </row>
    <row r="551" spans="1:79">
      <c r="A551" t="s">
        <v>598</v>
      </c>
      <c r="B551" t="s">
        <v>565</v>
      </c>
      <c r="C551" t="s">
        <v>563</v>
      </c>
      <c r="D551" t="s">
        <v>118</v>
      </c>
      <c r="E551" t="s">
        <v>77</v>
      </c>
      <c r="F551" t="s">
        <v>32</v>
      </c>
      <c r="G551">
        <v>50</v>
      </c>
      <c r="H551">
        <f>50+AVERAGE(3,10)</f>
        <v>56.5</v>
      </c>
      <c r="I551" t="b">
        <v>1</v>
      </c>
      <c r="J551" t="s">
        <v>33</v>
      </c>
      <c r="K551" t="s">
        <v>33</v>
      </c>
      <c r="L551">
        <v>18</v>
      </c>
      <c r="M551" s="4">
        <v>548</v>
      </c>
      <c r="N551" t="e">
        <f>(#REF!*Y551)/(T551*X551*O551)</f>
        <v>#REF!</v>
      </c>
      <c r="O551">
        <v>2.5</v>
      </c>
      <c r="P551" t="s">
        <v>33</v>
      </c>
      <c r="Q551" s="1">
        <f t="shared" si="286"/>
        <v>6.0827250608272501E-3</v>
      </c>
      <c r="R551" t="s">
        <v>183</v>
      </c>
      <c r="S551" t="s">
        <v>612</v>
      </c>
      <c r="T551">
        <v>6</v>
      </c>
      <c r="U551">
        <v>2.9</v>
      </c>
      <c r="V551">
        <v>2.2999999999999998</v>
      </c>
      <c r="W551" t="s">
        <v>33</v>
      </c>
      <c r="X551">
        <f>IFERROR(((PI())*(((V551*10^-1)/2)^2)*(U551*10^-1)), "NA")</f>
        <v>1.204879322468025E-2</v>
      </c>
      <c r="Y551">
        <v>2</v>
      </c>
      <c r="Z551" s="3">
        <f t="shared" si="281"/>
        <v>1.9808216061374333</v>
      </c>
      <c r="AA551">
        <v>3.3</v>
      </c>
      <c r="AB551">
        <f t="shared" si="287"/>
        <v>3.333333333333333</v>
      </c>
      <c r="AC551" s="1" t="str">
        <f t="shared" si="277"/>
        <v>NA</v>
      </c>
      <c r="AE551" s="3">
        <f t="shared" si="282"/>
        <v>52.649999999999991</v>
      </c>
      <c r="AF551">
        <v>50</v>
      </c>
      <c r="AG551" s="1" t="str">
        <f>IFERROR((N551*P551*Q551), "NA")</f>
        <v>NA</v>
      </c>
      <c r="AH551" s="1" t="str">
        <f>IFERROR((AG551*U551*AI551), "NA")</f>
        <v>NA</v>
      </c>
      <c r="AI551" s="1">
        <v>1</v>
      </c>
      <c r="AJ551" s="11" t="s">
        <v>31</v>
      </c>
      <c r="AK551">
        <f>3.25*10^3</f>
        <v>3250</v>
      </c>
      <c r="AL551" t="s">
        <v>238</v>
      </c>
      <c r="AM551" t="s">
        <v>86</v>
      </c>
      <c r="AN551" t="s">
        <v>205</v>
      </c>
      <c r="AO551" t="s">
        <v>789</v>
      </c>
      <c r="AP551">
        <v>4.16</v>
      </c>
      <c r="AQ551" t="s">
        <v>33</v>
      </c>
      <c r="AR551" t="s">
        <v>33</v>
      </c>
      <c r="AS551">
        <f>AVERAGE(6.63, 6.39)</f>
        <v>6.51</v>
      </c>
      <c r="AT551">
        <f>AS551-AU551</f>
        <v>4.16</v>
      </c>
      <c r="AU551" s="6">
        <v>2.35</v>
      </c>
      <c r="AV551" t="b">
        <v>1</v>
      </c>
      <c r="AW551" t="s">
        <v>617</v>
      </c>
      <c r="AX551" t="s">
        <v>638</v>
      </c>
      <c r="AY551" t="s">
        <v>637</v>
      </c>
      <c r="AZ551" t="s">
        <v>33</v>
      </c>
      <c r="BA551" s="18" t="s">
        <v>802</v>
      </c>
      <c r="BB551" s="3" t="b">
        <v>0</v>
      </c>
      <c r="BC551" t="s">
        <v>81</v>
      </c>
      <c r="BD551">
        <v>16</v>
      </c>
      <c r="BE551" t="s">
        <v>80</v>
      </c>
      <c r="BF551">
        <v>24</v>
      </c>
      <c r="BG551" t="s">
        <v>646</v>
      </c>
      <c r="BH551" t="s">
        <v>31</v>
      </c>
      <c r="BI551" t="s">
        <v>31</v>
      </c>
      <c r="BJ551">
        <f t="shared" si="274"/>
        <v>2.35</v>
      </c>
      <c r="BK551" s="3">
        <f t="shared" si="267"/>
        <v>0.37106786227173627</v>
      </c>
      <c r="BL551">
        <v>2</v>
      </c>
      <c r="BM551" s="3">
        <f t="shared" si="285"/>
        <v>1.3503305132497689</v>
      </c>
      <c r="BN551" t="s">
        <v>33</v>
      </c>
      <c r="BO551" s="3">
        <f t="shared" si="271"/>
        <v>22.40425531914893</v>
      </c>
      <c r="BP551" t="s">
        <v>33</v>
      </c>
      <c r="BQ551" t="s">
        <v>33</v>
      </c>
      <c r="BR551" t="s">
        <v>33</v>
      </c>
      <c r="BS551" t="s">
        <v>33</v>
      </c>
      <c r="BT551" t="s">
        <v>32</v>
      </c>
      <c r="BU551" s="13" t="s">
        <v>84</v>
      </c>
      <c r="BV551" s="14">
        <v>2012</v>
      </c>
      <c r="BW551" s="13" t="s">
        <v>83</v>
      </c>
      <c r="BX551" t="s">
        <v>78</v>
      </c>
      <c r="BY551" s="13" t="s">
        <v>686</v>
      </c>
      <c r="CA551" t="str">
        <f t="shared" si="273"/>
        <v>high acid</v>
      </c>
    </row>
    <row r="552" spans="1:79">
      <c r="A552" t="s">
        <v>595</v>
      </c>
      <c r="B552" t="s">
        <v>565</v>
      </c>
      <c r="C552" t="s">
        <v>564</v>
      </c>
      <c r="D552" t="s">
        <v>609</v>
      </c>
      <c r="E552" t="s">
        <v>77</v>
      </c>
      <c r="F552" t="s">
        <v>32</v>
      </c>
      <c r="G552">
        <v>30</v>
      </c>
      <c r="H552">
        <v>38.200000000000003</v>
      </c>
      <c r="I552" t="b">
        <v>0</v>
      </c>
      <c r="J552" t="s">
        <v>33</v>
      </c>
      <c r="K552" t="s">
        <v>33</v>
      </c>
      <c r="L552">
        <v>24</v>
      </c>
      <c r="M552" s="4">
        <v>120</v>
      </c>
      <c r="N552" t="e">
        <f>(#REF!*Y552)/(T552*X552*O552)</f>
        <v>#REF!</v>
      </c>
      <c r="O552">
        <v>3</v>
      </c>
      <c r="P552" t="s">
        <v>33</v>
      </c>
      <c r="Q552" s="1">
        <f t="shared" si="286"/>
        <v>6.25E-2</v>
      </c>
      <c r="R552" t="s">
        <v>183</v>
      </c>
      <c r="S552" t="s">
        <v>612</v>
      </c>
      <c r="T552">
        <v>4</v>
      </c>
      <c r="U552">
        <v>3</v>
      </c>
      <c r="V552">
        <v>2.6</v>
      </c>
      <c r="W552" t="s">
        <v>33</v>
      </c>
      <c r="X552">
        <f>IFERROR(((PI())*(((V552*10^-1)/2)^2)*(U552*10^-1)), "NA")</f>
        <v>1.5927874753700257E-2</v>
      </c>
      <c r="Y552">
        <v>0.126667</v>
      </c>
      <c r="Z552" s="3">
        <f t="shared" si="281"/>
        <v>0.25484599605920411</v>
      </c>
      <c r="AA552" t="s">
        <v>33</v>
      </c>
      <c r="AB552">
        <f t="shared" si="287"/>
        <v>7.5</v>
      </c>
      <c r="AC552" s="1" t="str">
        <f t="shared" si="277"/>
        <v>NA</v>
      </c>
      <c r="AE552" s="3">
        <f t="shared" si="282"/>
        <v>50.803199999999997</v>
      </c>
      <c r="AF552">
        <v>90</v>
      </c>
      <c r="AG552" s="1" t="str">
        <f>IFERROR((N552*P552*Q552), "NA")</f>
        <v>NA</v>
      </c>
      <c r="AH552" s="1" t="str">
        <f>IFERROR((AG552*U552*AI552), "NA")</f>
        <v>NA</v>
      </c>
      <c r="AI552" s="1">
        <v>1</v>
      </c>
      <c r="AJ552" s="11" t="s">
        <v>31</v>
      </c>
      <c r="AK552">
        <v>980</v>
      </c>
      <c r="AL552" t="s">
        <v>551</v>
      </c>
      <c r="AM552" t="s">
        <v>86</v>
      </c>
      <c r="AN552" t="s">
        <v>186</v>
      </c>
      <c r="AO552" t="s">
        <v>794</v>
      </c>
      <c r="AP552">
        <v>5.98</v>
      </c>
      <c r="AQ552" t="s">
        <v>33</v>
      </c>
      <c r="AR552" t="s">
        <v>33</v>
      </c>
      <c r="AS552">
        <v>6</v>
      </c>
      <c r="AT552">
        <f>AS552-AU552</f>
        <v>4.16</v>
      </c>
      <c r="AU552" s="6">
        <v>1.84</v>
      </c>
      <c r="AV552" t="b">
        <v>1</v>
      </c>
      <c r="AW552" t="s">
        <v>626</v>
      </c>
      <c r="AX552" t="s">
        <v>627</v>
      </c>
      <c r="AY552" t="s">
        <v>631</v>
      </c>
      <c r="AZ552" t="s">
        <v>33</v>
      </c>
      <c r="BA552" s="18" t="s">
        <v>800</v>
      </c>
      <c r="BB552" s="3" t="b">
        <v>0</v>
      </c>
      <c r="BC552" t="s">
        <v>81</v>
      </c>
      <c r="BD552">
        <v>20</v>
      </c>
      <c r="BE552" t="s">
        <v>80</v>
      </c>
      <c r="BF552">
        <v>20</v>
      </c>
      <c r="BG552" t="s">
        <v>695</v>
      </c>
      <c r="BH552" t="s">
        <v>32</v>
      </c>
      <c r="BI552" t="s">
        <v>31</v>
      </c>
      <c r="BJ552">
        <f t="shared" si="274"/>
        <v>1.84</v>
      </c>
      <c r="BK552" s="3">
        <f t="shared" si="267"/>
        <v>0.26481782300953649</v>
      </c>
      <c r="BL552">
        <v>2</v>
      </c>
      <c r="BM552" s="3">
        <f t="shared" si="285"/>
        <v>1.4410732455454953</v>
      </c>
      <c r="BN552" t="s">
        <v>33</v>
      </c>
      <c r="BO552" s="3">
        <f t="shared" si="271"/>
        <v>27.610434782608692</v>
      </c>
      <c r="BP552" t="s">
        <v>33</v>
      </c>
      <c r="BQ552" t="s">
        <v>33</v>
      </c>
      <c r="BR552" t="s">
        <v>33</v>
      </c>
      <c r="BS552" t="s">
        <v>33</v>
      </c>
      <c r="BT552" t="s">
        <v>32</v>
      </c>
      <c r="BU552" t="s">
        <v>207</v>
      </c>
      <c r="BV552">
        <v>2014</v>
      </c>
      <c r="BW552" t="s">
        <v>208</v>
      </c>
      <c r="BX552" t="s">
        <v>78</v>
      </c>
      <c r="BY552" s="13" t="s">
        <v>683</v>
      </c>
      <c r="CA552" t="str">
        <f t="shared" si="273"/>
        <v>low acid</v>
      </c>
    </row>
    <row r="553" spans="1:79">
      <c r="A553" t="s">
        <v>599</v>
      </c>
      <c r="B553" t="s">
        <v>565</v>
      </c>
      <c r="C553" t="s">
        <v>563</v>
      </c>
      <c r="D553" t="s">
        <v>118</v>
      </c>
      <c r="E553" t="s">
        <v>77</v>
      </c>
      <c r="F553" t="s">
        <v>32</v>
      </c>
      <c r="G553" t="s">
        <v>33</v>
      </c>
      <c r="H553" t="s">
        <v>33</v>
      </c>
      <c r="I553" t="b">
        <v>0</v>
      </c>
      <c r="J553" t="s">
        <v>33</v>
      </c>
      <c r="K553" t="s">
        <v>33</v>
      </c>
      <c r="L553">
        <v>30</v>
      </c>
      <c r="M553" s="4">
        <v>500</v>
      </c>
      <c r="N553" t="e">
        <f>(#REF!*Y553)/(T553*X553*O553)</f>
        <v>#REF!</v>
      </c>
      <c r="O553">
        <v>3</v>
      </c>
      <c r="P553" t="s">
        <v>33</v>
      </c>
      <c r="Q553" s="1">
        <f t="shared" si="286"/>
        <v>1.4555555555555554E-2</v>
      </c>
      <c r="R553" t="s">
        <v>183</v>
      </c>
      <c r="S553" t="s">
        <v>613</v>
      </c>
      <c r="T553">
        <v>6</v>
      </c>
      <c r="U553">
        <v>2.2999999999999998</v>
      </c>
      <c r="V553">
        <v>2.9</v>
      </c>
      <c r="W553">
        <v>0.36420000000000002</v>
      </c>
      <c r="X553">
        <f>IFERROR(((PI())*(((V553*10^-1)/2)^2)*(U553*10^-1)), "NA")</f>
        <v>1.519195667459684E-2</v>
      </c>
      <c r="Y553">
        <v>0.83333299999999999</v>
      </c>
      <c r="Z553" s="3">
        <f t="shared" si="281"/>
        <v>1.0437222142852791</v>
      </c>
      <c r="AA553" t="s">
        <v>33</v>
      </c>
      <c r="AB553">
        <f t="shared" si="287"/>
        <v>7.2777777777777777</v>
      </c>
      <c r="AC553" s="1" t="str">
        <f t="shared" si="277"/>
        <v>NA</v>
      </c>
      <c r="AE553" s="3">
        <f t="shared" si="282"/>
        <v>429.15599999999995</v>
      </c>
      <c r="AF553">
        <v>131</v>
      </c>
      <c r="AG553" s="1" t="str">
        <f>IFERROR((N553*P553*Q553), "NA")</f>
        <v>NA</v>
      </c>
      <c r="AH553" s="1" t="str">
        <f>IFERROR((AG553*U553*AI553), "NA")</f>
        <v>NA</v>
      </c>
      <c r="AI553" s="1">
        <v>1</v>
      </c>
      <c r="AJ553" s="11" t="s">
        <v>31</v>
      </c>
      <c r="AK553">
        <f>3.64*10^3</f>
        <v>3640</v>
      </c>
      <c r="AL553" t="s">
        <v>145</v>
      </c>
      <c r="AM553" t="s">
        <v>86</v>
      </c>
      <c r="AN553" t="s">
        <v>205</v>
      </c>
      <c r="AO553" t="s">
        <v>789</v>
      </c>
      <c r="AP553">
        <v>3.19</v>
      </c>
      <c r="AQ553" t="s">
        <v>33</v>
      </c>
      <c r="AR553" t="s">
        <v>33</v>
      </c>
      <c r="AS553">
        <v>7.94</v>
      </c>
      <c r="AT553">
        <v>4.16</v>
      </c>
      <c r="AU553" s="6">
        <f>AS553-AT553</f>
        <v>3.7800000000000002</v>
      </c>
      <c r="AV553" t="b">
        <v>1</v>
      </c>
      <c r="AW553" t="s">
        <v>626</v>
      </c>
      <c r="AX553" t="s">
        <v>627</v>
      </c>
      <c r="AY553">
        <v>95047</v>
      </c>
      <c r="AZ553" t="s">
        <v>33</v>
      </c>
      <c r="BA553" s="18" t="s">
        <v>800</v>
      </c>
      <c r="BB553" s="3" t="b">
        <v>0</v>
      </c>
      <c r="BC553" t="s">
        <v>81</v>
      </c>
      <c r="BD553">
        <f>AVERAGE(24, 48)</f>
        <v>36</v>
      </c>
      <c r="BE553" t="s">
        <v>80</v>
      </c>
      <c r="BF553">
        <v>48</v>
      </c>
      <c r="BG553" t="s">
        <v>647</v>
      </c>
      <c r="BH553" t="s">
        <v>31</v>
      </c>
      <c r="BI553" t="s">
        <v>31</v>
      </c>
      <c r="BJ553" s="3">
        <f t="shared" si="274"/>
        <v>3.7800000000000002</v>
      </c>
      <c r="BK553" s="3">
        <f t="shared" si="267"/>
        <v>0.57749179983722532</v>
      </c>
      <c r="BL553">
        <v>2</v>
      </c>
      <c r="BM553" s="3">
        <f t="shared" si="285"/>
        <v>2.0551233889069196</v>
      </c>
      <c r="BN553" t="s">
        <v>33</v>
      </c>
      <c r="BO553" s="3">
        <f t="shared" si="271"/>
        <v>113.53333333333332</v>
      </c>
      <c r="BP553" t="s">
        <v>33</v>
      </c>
      <c r="BQ553" t="s">
        <v>33</v>
      </c>
      <c r="BR553" t="s">
        <v>33</v>
      </c>
      <c r="BS553" t="s">
        <v>33</v>
      </c>
      <c r="BT553" t="s">
        <v>31</v>
      </c>
      <c r="BU553" s="13" t="s">
        <v>135</v>
      </c>
      <c r="BV553" s="14">
        <v>2010</v>
      </c>
      <c r="BW553" s="13" t="s">
        <v>140</v>
      </c>
      <c r="BX553" t="s">
        <v>78</v>
      </c>
      <c r="BY553" s="13" t="s">
        <v>687</v>
      </c>
      <c r="CA553" t="str">
        <f t="shared" si="273"/>
        <v>high acid</v>
      </c>
    </row>
    <row r="554" spans="1:79">
      <c r="A554" t="s">
        <v>584</v>
      </c>
      <c r="B554" t="s">
        <v>566</v>
      </c>
      <c r="C554" t="s">
        <v>563</v>
      </c>
      <c r="D554" t="s">
        <v>607</v>
      </c>
      <c r="E554" t="s">
        <v>77</v>
      </c>
      <c r="F554" t="s">
        <v>33</v>
      </c>
      <c r="G554">
        <v>20</v>
      </c>
      <c r="H554">
        <v>35</v>
      </c>
      <c r="I554" t="b">
        <v>0</v>
      </c>
      <c r="J554">
        <v>1000</v>
      </c>
      <c r="K554">
        <v>200</v>
      </c>
      <c r="L554">
        <v>25</v>
      </c>
      <c r="M554" s="4">
        <v>1</v>
      </c>
      <c r="N554" t="e">
        <f>(#REF!*Y554)/(T554*X554*O554)</f>
        <v>#REF!</v>
      </c>
      <c r="O554">
        <v>3</v>
      </c>
      <c r="P554" t="s">
        <v>33</v>
      </c>
      <c r="Q554" s="1">
        <f t="shared" si="286"/>
        <v>100.00000000000001</v>
      </c>
      <c r="R554" t="s">
        <v>183</v>
      </c>
      <c r="S554" t="s">
        <v>33</v>
      </c>
      <c r="T554">
        <v>1</v>
      </c>
      <c r="U554">
        <v>2.5</v>
      </c>
      <c r="V554" t="s">
        <v>33</v>
      </c>
      <c r="W554">
        <v>0.50249999999999995</v>
      </c>
      <c r="X554">
        <f>W554</f>
        <v>0.50249999999999995</v>
      </c>
      <c r="Y554" t="s">
        <v>33</v>
      </c>
      <c r="Z554" s="3">
        <f t="shared" si="281"/>
        <v>5.0249999999999991E-3</v>
      </c>
      <c r="AA554" t="s">
        <v>33</v>
      </c>
      <c r="AB554">
        <f t="shared" si="287"/>
        <v>100.00000000000001</v>
      </c>
      <c r="AC554" s="1" t="str">
        <f t="shared" si="277"/>
        <v>NA</v>
      </c>
      <c r="AE554" s="3">
        <f t="shared" si="282"/>
        <v>187.50000000000003</v>
      </c>
      <c r="AF554">
        <v>300</v>
      </c>
      <c r="AG554" s="1" t="str">
        <f>IFERROR((N554*P554*Q554), "NA")</f>
        <v>NA</v>
      </c>
      <c r="AH554" s="1" t="str">
        <f>IFERROR((AG554*U554*AI554), "NA")</f>
        <v>NA</v>
      </c>
      <c r="AI554" s="1">
        <v>1</v>
      </c>
      <c r="AJ554" s="11" t="s">
        <v>31</v>
      </c>
      <c r="AK554">
        <v>1000</v>
      </c>
      <c r="AL554" t="s">
        <v>614</v>
      </c>
      <c r="AM554" s="3" t="s">
        <v>103</v>
      </c>
      <c r="AN554" t="s">
        <v>130</v>
      </c>
      <c r="AO554" t="s">
        <v>795</v>
      </c>
      <c r="AP554">
        <v>7</v>
      </c>
      <c r="AQ554" t="s">
        <v>33</v>
      </c>
      <c r="AR554" t="s">
        <v>33</v>
      </c>
      <c r="AS554">
        <v>8</v>
      </c>
      <c r="AT554">
        <f>AS554-AU554</f>
        <v>4.16</v>
      </c>
      <c r="AU554" s="6">
        <v>3.84</v>
      </c>
      <c r="AV554" t="b">
        <v>1</v>
      </c>
      <c r="AW554" t="s">
        <v>617</v>
      </c>
      <c r="AX554" t="s">
        <v>33</v>
      </c>
      <c r="AY554" t="s">
        <v>623</v>
      </c>
      <c r="AZ554" t="s">
        <v>621</v>
      </c>
      <c r="BA554" s="18" t="s">
        <v>802</v>
      </c>
      <c r="BB554" s="3" t="b">
        <v>0</v>
      </c>
      <c r="BC554" t="s">
        <v>81</v>
      </c>
      <c r="BD554">
        <v>18</v>
      </c>
      <c r="BE554" t="s">
        <v>80</v>
      </c>
      <c r="BF554">
        <v>24</v>
      </c>
      <c r="BG554" t="s">
        <v>642</v>
      </c>
      <c r="BH554" t="s">
        <v>32</v>
      </c>
      <c r="BI554" t="s">
        <v>31</v>
      </c>
      <c r="BJ554">
        <f t="shared" si="274"/>
        <v>3.84</v>
      </c>
      <c r="BK554" s="3">
        <f t="shared" si="267"/>
        <v>0.58433122436753082</v>
      </c>
      <c r="BL554">
        <v>2</v>
      </c>
      <c r="BM554" s="3">
        <f t="shared" si="285"/>
        <v>1.6886700476962069</v>
      </c>
      <c r="BN554" t="s">
        <v>33</v>
      </c>
      <c r="BO554" s="3">
        <f t="shared" si="271"/>
        <v>48.828125000000007</v>
      </c>
      <c r="BP554" t="s">
        <v>33</v>
      </c>
      <c r="BQ554" t="s">
        <v>33</v>
      </c>
      <c r="BR554" t="s">
        <v>33</v>
      </c>
      <c r="BS554" t="s">
        <v>33</v>
      </c>
      <c r="BT554" t="s">
        <v>31</v>
      </c>
      <c r="BU554" t="s">
        <v>255</v>
      </c>
      <c r="BV554">
        <v>2010</v>
      </c>
      <c r="BW554" t="s">
        <v>651</v>
      </c>
      <c r="BX554" t="s">
        <v>78</v>
      </c>
      <c r="BY554" s="13" t="s">
        <v>674</v>
      </c>
      <c r="CA554" t="str">
        <f t="shared" si="273"/>
        <v>low acid</v>
      </c>
    </row>
    <row r="555" spans="1:79">
      <c r="A555" t="s">
        <v>516</v>
      </c>
      <c r="B555" t="s">
        <v>565</v>
      </c>
      <c r="C555" t="s">
        <v>563</v>
      </c>
      <c r="D555" t="s">
        <v>118</v>
      </c>
      <c r="E555" t="s">
        <v>77</v>
      </c>
      <c r="F555" t="s">
        <v>32</v>
      </c>
      <c r="G555">
        <v>20</v>
      </c>
      <c r="H555">
        <v>23</v>
      </c>
      <c r="I555" t="b">
        <v>0</v>
      </c>
      <c r="J555" t="s">
        <v>33</v>
      </c>
      <c r="K555" t="s">
        <v>33</v>
      </c>
      <c r="L555">
        <v>30</v>
      </c>
      <c r="M555" s="4">
        <v>100</v>
      </c>
      <c r="N555" s="3">
        <f>IFERROR(AF555/((T555*X555/Y555)*O555*AI555),"NA")</f>
        <v>7693.2238937481261</v>
      </c>
      <c r="O555">
        <v>2</v>
      </c>
      <c r="P555" t="s">
        <v>33</v>
      </c>
      <c r="Q555" s="8">
        <f t="shared" si="286"/>
        <v>0.66666666666666663</v>
      </c>
      <c r="R555" t="s">
        <v>183</v>
      </c>
      <c r="S555" t="s">
        <v>613</v>
      </c>
      <c r="T555" s="11">
        <v>6</v>
      </c>
      <c r="U555">
        <v>2.92</v>
      </c>
      <c r="V555">
        <v>2.2999999999999998</v>
      </c>
      <c r="W555" t="s">
        <v>33</v>
      </c>
      <c r="X555" s="8">
        <f>IFERROR(((PI())*(((V555*10^-1)/2)^2)*(U555*10^-1)), "NA")</f>
        <v>1.2131888350367701E-2</v>
      </c>
      <c r="Y555">
        <v>1.4</v>
      </c>
      <c r="Z555" s="3">
        <f t="shared" si="281"/>
        <v>1.8197832525551551E-2</v>
      </c>
      <c r="AA555" t="s">
        <v>33</v>
      </c>
      <c r="AB555" s="6">
        <f t="shared" si="287"/>
        <v>66.666666666666671</v>
      </c>
      <c r="AC555" t="str">
        <f t="shared" si="277"/>
        <v>NA</v>
      </c>
      <c r="AD555" s="4">
        <f>AB555*T555*AI555</f>
        <v>400</v>
      </c>
      <c r="AE555" s="3">
        <f t="shared" si="282"/>
        <v>4464</v>
      </c>
      <c r="AF555">
        <v>800</v>
      </c>
      <c r="AG555" t="str">
        <f>IFERROR((M555*O555*P555), "NA")</f>
        <v>NA</v>
      </c>
      <c r="AH555" t="str">
        <f>IFERROR((AG555*T555*AI555), "NA")</f>
        <v>NA</v>
      </c>
      <c r="AI555">
        <v>1</v>
      </c>
      <c r="AJ555" t="s">
        <v>31</v>
      </c>
      <c r="AK555">
        <v>6200</v>
      </c>
      <c r="AL555" t="s">
        <v>561</v>
      </c>
      <c r="AM555" s="3" t="s">
        <v>786</v>
      </c>
      <c r="AN555" t="s">
        <v>186</v>
      </c>
      <c r="AO555" t="s">
        <v>793</v>
      </c>
      <c r="AP555">
        <v>7.6</v>
      </c>
      <c r="AQ555" t="s">
        <v>33</v>
      </c>
      <c r="AR555" t="s">
        <v>33</v>
      </c>
      <c r="AS555" s="6">
        <f>LOG(10^8)</f>
        <v>8</v>
      </c>
      <c r="AT555" s="3">
        <f>IFERROR(AS555-AU555,"NA")</f>
        <v>4.16</v>
      </c>
      <c r="AU555" s="6">
        <v>3.84</v>
      </c>
      <c r="AV555" t="b">
        <v>1</v>
      </c>
      <c r="AW555" t="s">
        <v>29</v>
      </c>
      <c r="AX555" t="s">
        <v>30</v>
      </c>
      <c r="AY555" t="s">
        <v>216</v>
      </c>
      <c r="AZ555" t="s">
        <v>33</v>
      </c>
      <c r="BA555" s="18" t="s">
        <v>798</v>
      </c>
      <c r="BB555" s="3" t="b">
        <v>0</v>
      </c>
      <c r="BC555" t="s">
        <v>81</v>
      </c>
      <c r="BD555">
        <v>13</v>
      </c>
      <c r="BE555" t="s">
        <v>80</v>
      </c>
      <c r="BF555" s="11">
        <v>48</v>
      </c>
      <c r="BG555" t="s">
        <v>568</v>
      </c>
      <c r="BH555" t="s">
        <v>31</v>
      </c>
      <c r="BI555" t="s">
        <v>31</v>
      </c>
      <c r="BJ555" s="3">
        <f t="shared" si="274"/>
        <v>3.84</v>
      </c>
      <c r="BK555" s="3">
        <f t="shared" si="267"/>
        <v>0.58433122436753082</v>
      </c>
      <c r="BL555">
        <v>2</v>
      </c>
      <c r="BM555" s="3">
        <f t="shared" si="285"/>
        <v>3.0653929615619915</v>
      </c>
      <c r="BN555" t="s">
        <v>33</v>
      </c>
      <c r="BO555" s="3">
        <f t="shared" si="271"/>
        <v>1162.5</v>
      </c>
      <c r="BP555" t="s">
        <v>33</v>
      </c>
      <c r="BQ555" t="s">
        <v>33</v>
      </c>
      <c r="BR555" t="s">
        <v>33</v>
      </c>
      <c r="BS555" t="s">
        <v>33</v>
      </c>
      <c r="BT555" t="s">
        <v>31</v>
      </c>
      <c r="BU555" t="s">
        <v>344</v>
      </c>
      <c r="BV555">
        <v>2007</v>
      </c>
      <c r="BW555" t="s">
        <v>345</v>
      </c>
      <c r="BX555" t="s">
        <v>78</v>
      </c>
      <c r="BY555" t="s">
        <v>33</v>
      </c>
      <c r="BZ555" t="s">
        <v>33</v>
      </c>
      <c r="CA555" t="str">
        <f t="shared" si="273"/>
        <v>low acid</v>
      </c>
    </row>
    <row r="556" spans="1:79">
      <c r="A556" t="s">
        <v>325</v>
      </c>
      <c r="B556" t="s">
        <v>565</v>
      </c>
      <c r="C556" t="s">
        <v>563</v>
      </c>
      <c r="D556" t="s">
        <v>304</v>
      </c>
      <c r="E556" t="s">
        <v>77</v>
      </c>
      <c r="F556" t="s">
        <v>32</v>
      </c>
      <c r="G556">
        <v>30</v>
      </c>
      <c r="H556">
        <v>31.5</v>
      </c>
      <c r="I556" t="b">
        <v>1</v>
      </c>
      <c r="J556">
        <v>12600</v>
      </c>
      <c r="K556">
        <v>50.4</v>
      </c>
      <c r="L556">
        <v>37.6</v>
      </c>
      <c r="M556" s="4">
        <v>152</v>
      </c>
      <c r="N556" s="3">
        <f>IFERROR(AF556/((T556*X556/Y556)*O556*AI556),"NA")</f>
        <v>145.63197407101529</v>
      </c>
      <c r="O556">
        <v>2</v>
      </c>
      <c r="P556">
        <v>2.4E-2</v>
      </c>
      <c r="Q556" s="8">
        <f t="shared" si="286"/>
        <v>2.3026315789473683E-2</v>
      </c>
      <c r="R556" t="s">
        <v>183</v>
      </c>
      <c r="S556" t="s">
        <v>612</v>
      </c>
      <c r="T556" s="11">
        <v>1</v>
      </c>
      <c r="U556">
        <v>3.4</v>
      </c>
      <c r="V556">
        <v>3</v>
      </c>
      <c r="W556">
        <v>2.4E-2</v>
      </c>
      <c r="X556" s="8">
        <f>IFERROR(((PI())*(((V556*10^-1)/2)^2)*(U556*10^-1)), "NA")</f>
        <v>2.4033183799961926E-2</v>
      </c>
      <c r="Y556" s="6">
        <f>1</f>
        <v>1</v>
      </c>
      <c r="Z556" s="3">
        <f t="shared" si="281"/>
        <v>1.0437268393126322</v>
      </c>
      <c r="AA556">
        <v>3.6</v>
      </c>
      <c r="AB556" s="6">
        <f t="shared" si="287"/>
        <v>3.5</v>
      </c>
      <c r="AC556">
        <f t="shared" si="277"/>
        <v>3.6480000000000001</v>
      </c>
      <c r="AD556" s="4">
        <f>IFERROR(AB556*T556*AI556, "NA")</f>
        <v>3.5</v>
      </c>
      <c r="AE556" s="3">
        <f t="shared" si="282"/>
        <v>9.8963199999999993</v>
      </c>
      <c r="AF556">
        <v>7</v>
      </c>
      <c r="AG556">
        <f>IFERROR((M556*O556*P556), "NA")</f>
        <v>7.2960000000000003</v>
      </c>
      <c r="AH556">
        <f>IFERROR((AG556*T556*AI556), "NA")</f>
        <v>7.2960000000000003</v>
      </c>
      <c r="AI556" s="11">
        <v>1</v>
      </c>
      <c r="AJ556" t="s">
        <v>31</v>
      </c>
      <c r="AK556">
        <v>1000</v>
      </c>
      <c r="AL556" t="s">
        <v>169</v>
      </c>
      <c r="AM556" t="s">
        <v>103</v>
      </c>
      <c r="AN556" t="s">
        <v>305</v>
      </c>
      <c r="AO556" t="s">
        <v>790</v>
      </c>
      <c r="AP556">
        <v>4.5</v>
      </c>
      <c r="AQ556" t="s">
        <v>33</v>
      </c>
      <c r="AR556" t="s">
        <v>33</v>
      </c>
      <c r="AS556" s="6">
        <f>LOG(3*10^7)</f>
        <v>7.4771212547196626</v>
      </c>
      <c r="AT556" s="3">
        <f>IFERROR(AS556-AU556,"NA")</f>
        <v>4.1671212547196621</v>
      </c>
      <c r="AU556" s="6">
        <v>3.31</v>
      </c>
      <c r="AV556" t="b">
        <v>1</v>
      </c>
      <c r="AW556" t="s">
        <v>123</v>
      </c>
      <c r="AX556" t="s">
        <v>88</v>
      </c>
      <c r="AY556" t="s">
        <v>306</v>
      </c>
      <c r="AZ556" t="s">
        <v>33</v>
      </c>
      <c r="BA556" s="18" t="s">
        <v>579</v>
      </c>
      <c r="BB556" t="b">
        <v>1</v>
      </c>
      <c r="BC556" t="s">
        <v>81</v>
      </c>
      <c r="BD556">
        <v>48</v>
      </c>
      <c r="BE556" t="s">
        <v>80</v>
      </c>
      <c r="BF556" s="11">
        <v>120</v>
      </c>
      <c r="BG556" t="s">
        <v>395</v>
      </c>
      <c r="BH556" t="s">
        <v>31</v>
      </c>
      <c r="BI556" t="s">
        <v>31</v>
      </c>
      <c r="BJ556" s="3">
        <f t="shared" si="274"/>
        <v>3.31</v>
      </c>
      <c r="BK556" s="3">
        <f t="shared" si="267"/>
        <v>0.51982799377571876</v>
      </c>
      <c r="BL556">
        <v>2</v>
      </c>
      <c r="BM556" s="3">
        <f t="shared" si="285"/>
        <v>0.47564573609386013</v>
      </c>
      <c r="BN556" t="s">
        <v>33</v>
      </c>
      <c r="BO556" s="3">
        <f t="shared" si="271"/>
        <v>2.989824773413897</v>
      </c>
      <c r="BP556" t="s">
        <v>33</v>
      </c>
      <c r="BQ556" t="s">
        <v>33</v>
      </c>
      <c r="BR556" t="s">
        <v>33</v>
      </c>
      <c r="BS556" t="s">
        <v>33</v>
      </c>
      <c r="BT556" t="s">
        <v>32</v>
      </c>
      <c r="BU556" t="s">
        <v>323</v>
      </c>
      <c r="BV556">
        <v>2003</v>
      </c>
      <c r="BW556" s="2" t="s">
        <v>322</v>
      </c>
      <c r="BX556" t="s">
        <v>78</v>
      </c>
      <c r="BY556" t="s">
        <v>33</v>
      </c>
      <c r="BZ556" t="s">
        <v>33</v>
      </c>
      <c r="CA556" t="str">
        <f t="shared" si="273"/>
        <v>high acid</v>
      </c>
    </row>
    <row r="557" spans="1:79">
      <c r="A557" t="s">
        <v>722</v>
      </c>
      <c r="B557" t="s">
        <v>566</v>
      </c>
      <c r="C557" t="s">
        <v>563</v>
      </c>
      <c r="D557" t="s">
        <v>699</v>
      </c>
      <c r="E557" t="s">
        <v>77</v>
      </c>
      <c r="F557" t="s">
        <v>32</v>
      </c>
      <c r="G557">
        <v>20</v>
      </c>
      <c r="H557">
        <v>64</v>
      </c>
      <c r="I557" t="b">
        <v>1</v>
      </c>
      <c r="J557" t="s">
        <v>33</v>
      </c>
      <c r="K557" t="s">
        <v>33</v>
      </c>
      <c r="L557">
        <v>20</v>
      </c>
      <c r="M557" s="4">
        <v>64</v>
      </c>
      <c r="N557" s="3">
        <f>IFERROR(AF557/((T557*X557/Y557)*O557*AI557),"NA")</f>
        <v>63.657407407407391</v>
      </c>
      <c r="O557">
        <v>5</v>
      </c>
      <c r="P557">
        <v>0.43</v>
      </c>
      <c r="Q557" s="8">
        <f>IFERROR(X557/Y557, "NA")</f>
        <v>0.43200000000000011</v>
      </c>
      <c r="R557" t="s">
        <v>183</v>
      </c>
      <c r="S557" t="s">
        <v>612</v>
      </c>
      <c r="T557" s="11">
        <v>1</v>
      </c>
      <c r="U557">
        <v>4</v>
      </c>
      <c r="V557" t="s">
        <v>33</v>
      </c>
      <c r="W557">
        <f>0.4*3*0.5</f>
        <v>0.60000000000000009</v>
      </c>
      <c r="X557" s="9">
        <f>W557</f>
        <v>0.60000000000000009</v>
      </c>
      <c r="Y557" s="6">
        <f>5000/3600</f>
        <v>1.3888888888888888</v>
      </c>
      <c r="Z557" s="3">
        <f t="shared" si="281"/>
        <v>1.3963636363636365</v>
      </c>
      <c r="AA557" t="s">
        <v>33</v>
      </c>
      <c r="AB557" s="4">
        <f>IFERROR(((X557*M557)/Y557), "NA")</f>
        <v>27.648000000000007</v>
      </c>
      <c r="AC557" s="4">
        <f t="shared" ref="AC557:AC587" si="288">IFERROR(M557*P557,"NA")</f>
        <v>27.52</v>
      </c>
      <c r="AD557" s="4">
        <f>AB557*T557*AI557</f>
        <v>27.648000000000007</v>
      </c>
      <c r="AE557" s="3">
        <f t="shared" si="282"/>
        <v>110.59200000000003</v>
      </c>
      <c r="AF557">
        <v>137.5</v>
      </c>
      <c r="AG557" s="4">
        <f>IFERROR((M557*O557*P557), "NA")</f>
        <v>137.6</v>
      </c>
      <c r="AH557" s="4">
        <f>IFERROR((AG557*T557*AI557), "NA")</f>
        <v>137.6</v>
      </c>
      <c r="AI557">
        <v>1</v>
      </c>
      <c r="AJ557" s="11" t="s">
        <v>31</v>
      </c>
      <c r="AK557">
        <v>2000</v>
      </c>
      <c r="AL557" t="s">
        <v>784</v>
      </c>
      <c r="AM557" t="s">
        <v>103</v>
      </c>
      <c r="AN557" t="s">
        <v>130</v>
      </c>
      <c r="AO557" t="s">
        <v>795</v>
      </c>
      <c r="AP557">
        <v>7</v>
      </c>
      <c r="AQ557" t="s">
        <v>33</v>
      </c>
      <c r="AR557" t="s">
        <v>33</v>
      </c>
      <c r="AS557" s="6">
        <f>LOG(AVERAGE(10^8, 10^9))</f>
        <v>8.7403626894942441</v>
      </c>
      <c r="AT557" s="3">
        <f>IFERROR(AS557-AU557,"NA")</f>
        <v>4.168362689494244</v>
      </c>
      <c r="AU557" s="6">
        <v>4.5720000000000001</v>
      </c>
      <c r="AV557" t="b">
        <v>1</v>
      </c>
      <c r="AW557" t="s">
        <v>123</v>
      </c>
      <c r="AX557" t="s">
        <v>88</v>
      </c>
      <c r="AY557" t="s">
        <v>727</v>
      </c>
      <c r="AZ557" t="s">
        <v>33</v>
      </c>
      <c r="BA557" s="18" t="s">
        <v>579</v>
      </c>
      <c r="BB557" s="3" t="b">
        <v>1</v>
      </c>
      <c r="BC557" t="s">
        <v>81</v>
      </c>
      <c r="BD557">
        <v>24</v>
      </c>
      <c r="BE557" t="s">
        <v>80</v>
      </c>
      <c r="BF557">
        <v>48</v>
      </c>
      <c r="BG557" t="s">
        <v>395</v>
      </c>
      <c r="BH557" t="s">
        <v>31</v>
      </c>
      <c r="BI557" t="s">
        <v>31</v>
      </c>
      <c r="BJ557" s="3">
        <f t="shared" si="274"/>
        <v>4.5720000000000001</v>
      </c>
      <c r="BK557" s="3">
        <f t="shared" si="267"/>
        <v>0.66010622172324418</v>
      </c>
      <c r="BL557">
        <v>2</v>
      </c>
      <c r="BM557" s="3">
        <f t="shared" si="285"/>
        <v>1.3836174904035177</v>
      </c>
      <c r="BN557" t="s">
        <v>33</v>
      </c>
      <c r="BO557" s="3">
        <f t="shared" si="271"/>
        <v>24.188976377952763</v>
      </c>
      <c r="BP557" t="s">
        <v>33</v>
      </c>
      <c r="BQ557" t="s">
        <v>33</v>
      </c>
      <c r="BR557" t="s">
        <v>33</v>
      </c>
      <c r="BS557" t="s">
        <v>33</v>
      </c>
      <c r="BT557" t="s">
        <v>32</v>
      </c>
      <c r="BU557" t="s">
        <v>709</v>
      </c>
      <c r="BV557">
        <v>2024</v>
      </c>
      <c r="BW557" t="s">
        <v>710</v>
      </c>
      <c r="BX557" t="s">
        <v>78</v>
      </c>
      <c r="BY557" t="s">
        <v>711</v>
      </c>
      <c r="CA557" t="str">
        <f t="shared" si="273"/>
        <v>low acid</v>
      </c>
    </row>
    <row r="558" spans="1:79">
      <c r="A558" t="s">
        <v>588</v>
      </c>
      <c r="B558" t="s">
        <v>565</v>
      </c>
      <c r="C558" t="s">
        <v>563</v>
      </c>
      <c r="D558" t="s">
        <v>608</v>
      </c>
      <c r="E558" t="s">
        <v>77</v>
      </c>
      <c r="F558" t="s">
        <v>32</v>
      </c>
      <c r="G558" t="s">
        <v>33</v>
      </c>
      <c r="H558">
        <v>40</v>
      </c>
      <c r="I558" t="b">
        <v>0</v>
      </c>
      <c r="J558" t="s">
        <v>33</v>
      </c>
      <c r="K558" t="s">
        <v>33</v>
      </c>
      <c r="L558">
        <v>35</v>
      </c>
      <c r="M558" s="4">
        <v>250</v>
      </c>
      <c r="N558" t="e">
        <f>(#REF!*Y558)/(T558*X558*O558)</f>
        <v>#REF!</v>
      </c>
      <c r="O558">
        <v>3.7</v>
      </c>
      <c r="P558" t="s">
        <v>33</v>
      </c>
      <c r="Q558" s="1">
        <f t="shared" ref="Q558:Q569" si="289">IFERROR(X558/Z558, "NA")</f>
        <v>8.1081081081081072E-2</v>
      </c>
      <c r="R558" t="s">
        <v>183</v>
      </c>
      <c r="S558" t="s">
        <v>613</v>
      </c>
      <c r="T558">
        <v>6</v>
      </c>
      <c r="U558">
        <v>1.9</v>
      </c>
      <c r="V558">
        <v>2.2999999999999998</v>
      </c>
      <c r="W558" t="s">
        <v>33</v>
      </c>
      <c r="X558">
        <f>IFERROR(((PI())*(((V558*10^-1)/2)^2)*(U558*10^-1)), "NA")</f>
        <v>7.8940369403077502E-3</v>
      </c>
      <c r="Y558">
        <v>1</v>
      </c>
      <c r="Z558" s="3">
        <f t="shared" si="281"/>
        <v>9.7359788930462265E-2</v>
      </c>
      <c r="AA558" t="s">
        <v>33</v>
      </c>
      <c r="AB558">
        <f>IFERROR(((X558*M558)/Z558), "NA")</f>
        <v>20.27027027027027</v>
      </c>
      <c r="AC558" s="1" t="str">
        <f t="shared" si="288"/>
        <v>NA</v>
      </c>
      <c r="AE558" s="3">
        <f t="shared" si="282"/>
        <v>2645.9999999999995</v>
      </c>
      <c r="AF558">
        <v>450</v>
      </c>
      <c r="AG558" s="1" t="str">
        <f>IFERROR((N558*P558*Q558), "NA")</f>
        <v>NA</v>
      </c>
      <c r="AH558" s="1" t="str">
        <f>IFERROR((AG558*U558*AI558), "NA")</f>
        <v>NA</v>
      </c>
      <c r="AI558" s="1">
        <v>1</v>
      </c>
      <c r="AJ558" s="11" t="s">
        <v>31</v>
      </c>
      <c r="AK558">
        <v>4800</v>
      </c>
      <c r="AL558" t="s">
        <v>156</v>
      </c>
      <c r="AM558" t="s">
        <v>157</v>
      </c>
      <c r="AN558" t="s">
        <v>186</v>
      </c>
      <c r="AO558" t="s">
        <v>792</v>
      </c>
      <c r="AP558">
        <v>6.53</v>
      </c>
      <c r="AQ558" t="s">
        <v>33</v>
      </c>
      <c r="AR558" t="s">
        <v>33</v>
      </c>
      <c r="AS558">
        <v>6.5</v>
      </c>
      <c r="AT558">
        <v>4.17</v>
      </c>
      <c r="AU558" s="6">
        <f>AS558-AT558</f>
        <v>2.33</v>
      </c>
      <c r="AV558" t="b">
        <v>1</v>
      </c>
      <c r="AW558" t="s">
        <v>626</v>
      </c>
      <c r="AX558" t="s">
        <v>627</v>
      </c>
      <c r="AY558" t="s">
        <v>625</v>
      </c>
      <c r="AZ558" t="s">
        <v>33</v>
      </c>
      <c r="BA558" s="18" t="s">
        <v>800</v>
      </c>
      <c r="BB558" s="3" t="b">
        <v>0</v>
      </c>
      <c r="BC558" t="s">
        <v>81</v>
      </c>
      <c r="BD558">
        <v>12</v>
      </c>
      <c r="BE558" t="s">
        <v>80</v>
      </c>
      <c r="BF558">
        <v>48</v>
      </c>
      <c r="BG558" t="s">
        <v>568</v>
      </c>
      <c r="BH558" t="s">
        <v>31</v>
      </c>
      <c r="BI558" t="s">
        <v>31</v>
      </c>
      <c r="BJ558">
        <f t="shared" si="274"/>
        <v>2.33</v>
      </c>
      <c r="BK558" s="3">
        <f t="shared" si="267"/>
        <v>0.36735592102601899</v>
      </c>
      <c r="BL558">
        <v>2</v>
      </c>
      <c r="BM558" s="3">
        <f t="shared" si="285"/>
        <v>3.0552339188254631</v>
      </c>
      <c r="BN558" t="s">
        <v>33</v>
      </c>
      <c r="BO558" s="3">
        <f t="shared" si="271"/>
        <v>1135.6223175965663</v>
      </c>
      <c r="BP558" t="s">
        <v>33</v>
      </c>
      <c r="BQ558" t="s">
        <v>33</v>
      </c>
      <c r="BR558" t="s">
        <v>33</v>
      </c>
      <c r="BS558" t="s">
        <v>33</v>
      </c>
      <c r="BT558" t="s">
        <v>31</v>
      </c>
      <c r="BU558" s="13" t="s">
        <v>163</v>
      </c>
      <c r="BV558">
        <v>2004</v>
      </c>
      <c r="BW558" t="s">
        <v>654</v>
      </c>
      <c r="BX558" t="s">
        <v>78</v>
      </c>
      <c r="BY558" s="13" t="s">
        <v>677</v>
      </c>
      <c r="CA558" t="str">
        <f t="shared" si="273"/>
        <v>low acid</v>
      </c>
    </row>
    <row r="559" spans="1:79">
      <c r="A559" t="s">
        <v>593</v>
      </c>
      <c r="B559" t="s">
        <v>565</v>
      </c>
      <c r="C559" t="s">
        <v>563</v>
      </c>
      <c r="D559" t="s">
        <v>118</v>
      </c>
      <c r="E559" t="s">
        <v>77</v>
      </c>
      <c r="F559" t="s">
        <v>32</v>
      </c>
      <c r="G559" t="s">
        <v>33</v>
      </c>
      <c r="H559">
        <v>35</v>
      </c>
      <c r="I559" t="b">
        <v>0</v>
      </c>
      <c r="J559" t="s">
        <v>33</v>
      </c>
      <c r="K559" t="s">
        <v>33</v>
      </c>
      <c r="L559">
        <v>40</v>
      </c>
      <c r="M559" s="4">
        <v>400</v>
      </c>
      <c r="N559" t="e">
        <f>(#REF!*Y559)/(T559*X559*O559)</f>
        <v>#REF!</v>
      </c>
      <c r="O559">
        <v>2</v>
      </c>
      <c r="P559" t="s">
        <v>33</v>
      </c>
      <c r="Q559" s="1">
        <f t="shared" si="289"/>
        <v>0.06</v>
      </c>
      <c r="R559" t="s">
        <v>183</v>
      </c>
      <c r="S559" t="s">
        <v>613</v>
      </c>
      <c r="T559">
        <v>6</v>
      </c>
      <c r="U559">
        <v>2.92</v>
      </c>
      <c r="V559">
        <v>2.2999999999999998</v>
      </c>
      <c r="W559" t="s">
        <v>33</v>
      </c>
      <c r="X559">
        <f>IFERROR(((PI())*(((V559*10^-1)/2)^2)*(U559*10^-1)), "NA")</f>
        <v>1.2131888350367701E-2</v>
      </c>
      <c r="Y559">
        <v>1</v>
      </c>
      <c r="Z559" s="3">
        <f t="shared" si="281"/>
        <v>0.20219813917279503</v>
      </c>
      <c r="AA559" t="s">
        <v>33</v>
      </c>
      <c r="AB559">
        <f>IFERROR(((X559*M559)/Z559), "NA")</f>
        <v>24</v>
      </c>
      <c r="AC559" s="1" t="str">
        <f t="shared" si="288"/>
        <v>NA</v>
      </c>
      <c r="AE559" s="3">
        <f t="shared" si="282"/>
        <v>1013.7599999999999</v>
      </c>
      <c r="AF559">
        <v>288</v>
      </c>
      <c r="AG559" s="1" t="str">
        <f>IFERROR((N559*P559*Q559), "NA")</f>
        <v>NA</v>
      </c>
      <c r="AH559" s="1" t="str">
        <f>IFERROR((AG559*U559*AI559), "NA")</f>
        <v>NA</v>
      </c>
      <c r="AI559">
        <v>1</v>
      </c>
      <c r="AJ559" s="11" t="s">
        <v>31</v>
      </c>
      <c r="AK559">
        <v>2200</v>
      </c>
      <c r="AL559" t="s">
        <v>693</v>
      </c>
      <c r="AM559" t="s">
        <v>530</v>
      </c>
      <c r="AN559" t="s">
        <v>186</v>
      </c>
      <c r="AO559" t="s">
        <v>796</v>
      </c>
      <c r="AP559">
        <v>7.19</v>
      </c>
      <c r="AQ559" t="s">
        <v>33</v>
      </c>
      <c r="AR559" t="s">
        <v>33</v>
      </c>
      <c r="AS559">
        <v>6.5</v>
      </c>
      <c r="AT559">
        <f>AS559-AU559</f>
        <v>4.17</v>
      </c>
      <c r="AU559" s="6">
        <v>2.33</v>
      </c>
      <c r="AV559" t="b">
        <v>1</v>
      </c>
      <c r="AW559" t="s">
        <v>626</v>
      </c>
      <c r="AX559" t="s">
        <v>627</v>
      </c>
      <c r="AY559" t="s">
        <v>625</v>
      </c>
      <c r="AZ559" t="s">
        <v>33</v>
      </c>
      <c r="BA559" s="18" t="s">
        <v>800</v>
      </c>
      <c r="BB559" s="3" t="b">
        <v>0</v>
      </c>
      <c r="BC559" t="s">
        <v>81</v>
      </c>
      <c r="BD559">
        <f>AVERAGE(14, 16)</f>
        <v>15</v>
      </c>
      <c r="BE559" t="s">
        <v>80</v>
      </c>
      <c r="BF559">
        <v>48</v>
      </c>
      <c r="BG559" t="s">
        <v>568</v>
      </c>
      <c r="BH559" t="s">
        <v>31</v>
      </c>
      <c r="BI559" t="s">
        <v>31</v>
      </c>
      <c r="BJ559">
        <f t="shared" si="274"/>
        <v>2.33</v>
      </c>
      <c r="BK559" s="3">
        <f t="shared" si="267"/>
        <v>0.36735592102601899</v>
      </c>
      <c r="BL559">
        <v>2</v>
      </c>
      <c r="BM559" s="3">
        <f t="shared" si="285"/>
        <v>2.6385792302113429</v>
      </c>
      <c r="BN559" t="s">
        <v>33</v>
      </c>
      <c r="BO559" s="3">
        <f t="shared" si="271"/>
        <v>435.09012875536473</v>
      </c>
      <c r="BP559" t="s">
        <v>33</v>
      </c>
      <c r="BQ559" t="s">
        <v>33</v>
      </c>
      <c r="BR559" t="s">
        <v>33</v>
      </c>
      <c r="BS559" t="s">
        <v>33</v>
      </c>
      <c r="BT559" t="s">
        <v>31</v>
      </c>
      <c r="BU559" s="15" t="s">
        <v>217</v>
      </c>
      <c r="BV559">
        <v>2012</v>
      </c>
      <c r="BW559" t="s">
        <v>660</v>
      </c>
      <c r="BX559" t="s">
        <v>78</v>
      </c>
      <c r="BY559" s="13" t="s">
        <v>681</v>
      </c>
      <c r="CA559" t="str">
        <f t="shared" si="273"/>
        <v>low acid</v>
      </c>
    </row>
    <row r="560" spans="1:79">
      <c r="A560" t="s">
        <v>487</v>
      </c>
      <c r="B560" t="s">
        <v>566</v>
      </c>
      <c r="C560" t="s">
        <v>564</v>
      </c>
      <c r="D560" t="s">
        <v>321</v>
      </c>
      <c r="E560" t="s">
        <v>77</v>
      </c>
      <c r="F560" t="s">
        <v>32</v>
      </c>
      <c r="G560">
        <v>4</v>
      </c>
      <c r="H560" t="s">
        <v>33</v>
      </c>
      <c r="I560" t="b">
        <v>0</v>
      </c>
      <c r="J560" t="s">
        <v>33</v>
      </c>
      <c r="K560" t="s">
        <v>33</v>
      </c>
      <c r="L560">
        <v>20</v>
      </c>
      <c r="M560" s="4">
        <v>10</v>
      </c>
      <c r="N560" s="3">
        <f>IFERROR(AF560/((T560*X560/Y560)*O560*AI560),"NA")</f>
        <v>10.000000000000002</v>
      </c>
      <c r="O560">
        <v>1.5</v>
      </c>
      <c r="P560" s="3">
        <f>6/(52.5/60)</f>
        <v>6.8571428571428568</v>
      </c>
      <c r="Q560" s="8">
        <f t="shared" si="289"/>
        <v>6.8571428571428568</v>
      </c>
      <c r="R560" t="s">
        <v>278</v>
      </c>
      <c r="S560" t="s">
        <v>613</v>
      </c>
      <c r="T560" s="11">
        <v>1</v>
      </c>
      <c r="U560">
        <v>100</v>
      </c>
      <c r="V560" t="s">
        <v>33</v>
      </c>
      <c r="W560">
        <v>6</v>
      </c>
      <c r="X560" s="9">
        <f>W560</f>
        <v>6</v>
      </c>
      <c r="Y560" s="6">
        <f>52.5/60</f>
        <v>0.875</v>
      </c>
      <c r="Z560" s="3">
        <f t="shared" si="281"/>
        <v>0.875</v>
      </c>
      <c r="AA560" t="s">
        <v>33</v>
      </c>
      <c r="AB560" s="4">
        <f>IFERROR(((X560*M560)/Y560), "NA")</f>
        <v>68.571428571428569</v>
      </c>
      <c r="AC560" s="4">
        <f t="shared" si="288"/>
        <v>68.571428571428569</v>
      </c>
      <c r="AD560" s="4">
        <f>AB560*T560*AI560</f>
        <v>1242</v>
      </c>
      <c r="AE560" s="3">
        <f t="shared" si="282"/>
        <v>3800.5199999999995</v>
      </c>
      <c r="AF560">
        <f>1242*O560</f>
        <v>1863</v>
      </c>
      <c r="AG560" s="4">
        <f>IFERROR((M560*O560*P560), "NA")</f>
        <v>102.85714285714285</v>
      </c>
      <c r="AH560" s="4">
        <f>IFERROR((AG560*T560*AI560), "NA")</f>
        <v>1863</v>
      </c>
      <c r="AI560" s="3">
        <f>AF560/(AG560*T560)</f>
        <v>18.112500000000001</v>
      </c>
      <c r="AJ560" s="11" t="s">
        <v>32</v>
      </c>
      <c r="AK560">
        <v>5100</v>
      </c>
      <c r="AL560" t="s">
        <v>319</v>
      </c>
      <c r="AM560" t="s">
        <v>86</v>
      </c>
      <c r="AN560" t="s">
        <v>186</v>
      </c>
      <c r="AO560" t="s">
        <v>794</v>
      </c>
      <c r="AP560">
        <v>6.05</v>
      </c>
      <c r="AQ560" t="s">
        <v>33</v>
      </c>
      <c r="AR560" t="s">
        <v>33</v>
      </c>
      <c r="AS560" s="6">
        <f>LOG((10^7+10^8)/2)</f>
        <v>7.7403626894942441</v>
      </c>
      <c r="AT560" s="3">
        <f>IFERROR(AS560-AU560,"NA")</f>
        <v>4.1763626894942441</v>
      </c>
      <c r="AU560" s="6">
        <v>3.5640000000000001</v>
      </c>
      <c r="AV560" t="b">
        <v>1</v>
      </c>
      <c r="AW560" t="s">
        <v>29</v>
      </c>
      <c r="AX560" t="s">
        <v>30</v>
      </c>
      <c r="AY560" t="s">
        <v>320</v>
      </c>
      <c r="AZ560" t="s">
        <v>33</v>
      </c>
      <c r="BA560" s="18" t="s">
        <v>798</v>
      </c>
      <c r="BB560" s="3" t="b">
        <v>0</v>
      </c>
      <c r="BC560" t="s">
        <v>81</v>
      </c>
      <c r="BD560">
        <v>12</v>
      </c>
      <c r="BE560" t="s">
        <v>80</v>
      </c>
      <c r="BF560" t="s">
        <v>33</v>
      </c>
      <c r="BG560" t="s">
        <v>488</v>
      </c>
      <c r="BH560" t="s">
        <v>31</v>
      </c>
      <c r="BI560" t="s">
        <v>31</v>
      </c>
      <c r="BJ560" s="3">
        <f t="shared" si="274"/>
        <v>3.5640000000000001</v>
      </c>
      <c r="BK560" s="3">
        <f t="shared" si="267"/>
        <v>0.55193769536483717</v>
      </c>
      <c r="BL560">
        <v>2</v>
      </c>
      <c r="BM560" s="3">
        <f t="shared" si="285"/>
        <v>3.027905326957304</v>
      </c>
      <c r="BN560" t="s">
        <v>33</v>
      </c>
      <c r="BO560" s="3">
        <f t="shared" si="271"/>
        <v>1066.3636363636363</v>
      </c>
      <c r="BP560" t="s">
        <v>33</v>
      </c>
      <c r="BQ560" t="s">
        <v>33</v>
      </c>
      <c r="BR560" t="s">
        <v>33</v>
      </c>
      <c r="BS560" t="s">
        <v>33</v>
      </c>
      <c r="BT560" t="s">
        <v>31</v>
      </c>
      <c r="BU560" t="s">
        <v>318</v>
      </c>
      <c r="BV560">
        <v>2005</v>
      </c>
      <c r="BW560" t="s">
        <v>489</v>
      </c>
      <c r="BX560" t="s">
        <v>78</v>
      </c>
      <c r="BY560" t="s">
        <v>33</v>
      </c>
      <c r="BZ560" t="s">
        <v>490</v>
      </c>
      <c r="CA560" t="str">
        <f t="shared" si="273"/>
        <v>low acid</v>
      </c>
    </row>
    <row r="561" spans="1:79">
      <c r="A561" t="s">
        <v>418</v>
      </c>
      <c r="B561" t="s">
        <v>566</v>
      </c>
      <c r="C561" t="s">
        <v>564</v>
      </c>
      <c r="D561" t="s">
        <v>33</v>
      </c>
      <c r="E561" t="s">
        <v>77</v>
      </c>
      <c r="F561" t="s">
        <v>32</v>
      </c>
      <c r="G561">
        <v>22.5</v>
      </c>
      <c r="H561">
        <v>33</v>
      </c>
      <c r="I561" t="b">
        <v>0</v>
      </c>
      <c r="J561">
        <v>25000</v>
      </c>
      <c r="K561">
        <v>1600</v>
      </c>
      <c r="L561">
        <v>48</v>
      </c>
      <c r="M561" s="4" t="s">
        <v>33</v>
      </c>
      <c r="N561" s="3">
        <f>IFERROR(AF561/((T561*X561/Y561)*O561*AI561),"NA")</f>
        <v>77.777777777777771</v>
      </c>
      <c r="O561">
        <v>0.72</v>
      </c>
      <c r="P561" t="s">
        <v>33</v>
      </c>
      <c r="Q561" s="8">
        <f t="shared" si="289"/>
        <v>0.09</v>
      </c>
      <c r="R561" t="s">
        <v>278</v>
      </c>
      <c r="S561" t="s">
        <v>612</v>
      </c>
      <c r="T561" s="11">
        <v>1</v>
      </c>
      <c r="U561">
        <v>0.5</v>
      </c>
      <c r="V561" t="s">
        <v>33</v>
      </c>
      <c r="W561">
        <v>12</v>
      </c>
      <c r="X561" s="9">
        <f>U561*25</f>
        <v>12.5</v>
      </c>
      <c r="Y561" s="3">
        <f>500000/3600</f>
        <v>138.88888888888889</v>
      </c>
      <c r="Z561" s="3">
        <f>Y561</f>
        <v>138.88888888888889</v>
      </c>
      <c r="AA561">
        <v>7</v>
      </c>
      <c r="AB561" s="6" t="str">
        <f>IFERROR(((X561*M561)/Y561), "NA")</f>
        <v>NA</v>
      </c>
      <c r="AC561" t="str">
        <f t="shared" si="288"/>
        <v>NA</v>
      </c>
      <c r="AD561" s="4" t="str">
        <f>IFERROR(AB561*T561*AI561, "NA")</f>
        <v>NA</v>
      </c>
      <c r="AE561" s="3">
        <f>IFERROR(((L561^2)*N561*O561*AK561*10^-6*Q561*T561*AI561), "NA")</f>
        <v>42.923519999999996</v>
      </c>
      <c r="AF561">
        <f>AI561*AA561*T561*O561</f>
        <v>32.4</v>
      </c>
      <c r="AG561" t="str">
        <f>IFERROR((M561*O561*P561), "NA")</f>
        <v>NA</v>
      </c>
      <c r="AH561" t="str">
        <f>IFERROR((AG561*T561*AI561), "NA")</f>
        <v>NA</v>
      </c>
      <c r="AI561" s="4">
        <f>45/AA561</f>
        <v>6.4285714285714288</v>
      </c>
      <c r="AJ561" s="11" t="s">
        <v>32</v>
      </c>
      <c r="AK561" s="11">
        <f>575</f>
        <v>575</v>
      </c>
      <c r="AL561" t="s">
        <v>419</v>
      </c>
      <c r="AM561" t="s">
        <v>103</v>
      </c>
      <c r="AN561" t="s">
        <v>130</v>
      </c>
      <c r="AO561" t="s">
        <v>795</v>
      </c>
      <c r="AP561" s="4">
        <v>7.5</v>
      </c>
      <c r="AQ561" t="s">
        <v>33</v>
      </c>
      <c r="AR561" t="s">
        <v>33</v>
      </c>
      <c r="AS561" s="3">
        <f>LOG(10^7)</f>
        <v>7</v>
      </c>
      <c r="AT561" s="3">
        <f>IFERROR(AS561-AU561,"NA")</f>
        <v>4.1779999999999999</v>
      </c>
      <c r="AU561" s="6">
        <v>2.8220000000000001</v>
      </c>
      <c r="AV561" t="b">
        <v>1</v>
      </c>
      <c r="AW561" t="s">
        <v>172</v>
      </c>
      <c r="AX561" t="s">
        <v>173</v>
      </c>
      <c r="AY561" t="s">
        <v>33</v>
      </c>
      <c r="AZ561" t="s">
        <v>33</v>
      </c>
      <c r="BA561" s="18" t="s">
        <v>799</v>
      </c>
      <c r="BB561" t="b">
        <v>0</v>
      </c>
      <c r="BC561" t="s">
        <v>81</v>
      </c>
      <c r="BD561">
        <v>16</v>
      </c>
      <c r="BE561" t="s">
        <v>80</v>
      </c>
      <c r="BF561" s="11">
        <v>72</v>
      </c>
      <c r="BG561" t="s">
        <v>33</v>
      </c>
      <c r="BH561" t="s">
        <v>31</v>
      </c>
      <c r="BI561" t="s">
        <v>31</v>
      </c>
      <c r="BJ561" s="3">
        <f t="shared" si="274"/>
        <v>2.8220000000000001</v>
      </c>
      <c r="BK561" s="3">
        <f t="shared" si="267"/>
        <v>0.45055700941832905</v>
      </c>
      <c r="BL561">
        <v>2</v>
      </c>
      <c r="BM561" s="3">
        <f t="shared" si="285"/>
        <v>1.182138320229088</v>
      </c>
      <c r="BN561" t="s">
        <v>33</v>
      </c>
      <c r="BO561" s="3">
        <f t="shared" si="271"/>
        <v>15.210318922749821</v>
      </c>
      <c r="BP561" t="s">
        <v>33</v>
      </c>
      <c r="BQ561" t="s">
        <v>33</v>
      </c>
      <c r="BR561" t="s">
        <v>33</v>
      </c>
      <c r="BS561" t="s">
        <v>33</v>
      </c>
      <c r="BT561" t="s">
        <v>32</v>
      </c>
      <c r="BU561" t="s">
        <v>423</v>
      </c>
      <c r="BV561" s="11">
        <v>2006</v>
      </c>
      <c r="BW561" t="s">
        <v>422</v>
      </c>
      <c r="BX561" t="s">
        <v>78</v>
      </c>
      <c r="BY561" t="s">
        <v>420</v>
      </c>
      <c r="BZ561" t="s">
        <v>421</v>
      </c>
      <c r="CA561" t="str">
        <f t="shared" si="273"/>
        <v>low acid</v>
      </c>
    </row>
    <row r="562" spans="1:79">
      <c r="A562" t="s">
        <v>391</v>
      </c>
      <c r="B562" t="s">
        <v>565</v>
      </c>
      <c r="C562" t="s">
        <v>563</v>
      </c>
      <c r="D562" t="s">
        <v>118</v>
      </c>
      <c r="E562" t="s">
        <v>77</v>
      </c>
      <c r="F562" t="s">
        <v>32</v>
      </c>
      <c r="G562">
        <v>25</v>
      </c>
      <c r="H562">
        <v>36</v>
      </c>
      <c r="I562" t="b">
        <v>0</v>
      </c>
      <c r="J562" t="s">
        <v>33</v>
      </c>
      <c r="K562" t="s">
        <v>33</v>
      </c>
      <c r="L562">
        <v>25</v>
      </c>
      <c r="M562" s="4">
        <v>200</v>
      </c>
      <c r="N562" s="3" t="str">
        <f>IFERROR(AF562/((T562*X562/Y562)*O562*AI562),"NA")</f>
        <v>NA</v>
      </c>
      <c r="O562">
        <v>4</v>
      </c>
      <c r="P562" t="s">
        <v>33</v>
      </c>
      <c r="Q562" s="8">
        <f t="shared" si="289"/>
        <v>9.3750000000000014E-2</v>
      </c>
      <c r="R562" t="s">
        <v>183</v>
      </c>
      <c r="S562" t="s">
        <v>612</v>
      </c>
      <c r="T562" s="11">
        <v>8</v>
      </c>
      <c r="U562">
        <v>2.9</v>
      </c>
      <c r="V562">
        <v>2.2999999999999998</v>
      </c>
      <c r="W562">
        <v>1.2E-2</v>
      </c>
      <c r="X562" s="8">
        <f t="shared" ref="X562:X569" si="290">IFERROR(((PI())*(((V562*10^-1)/2)^2)*(U562*10^-1)), "NA")</f>
        <v>1.204879322468025E-2</v>
      </c>
      <c r="Y562" t="s">
        <v>33</v>
      </c>
      <c r="Z562" s="3">
        <f t="shared" ref="Z562:Z593" si="291">IFERROR(X562*M562*O562*T562*AI562/AF562, "NA")</f>
        <v>0.12852046106325599</v>
      </c>
      <c r="AA562" t="s">
        <v>33</v>
      </c>
      <c r="AB562" s="6">
        <f t="shared" ref="AB562:AB568" si="292">IFERROR(((X562*M562)/Z562), "NA")</f>
        <v>18.75</v>
      </c>
      <c r="AC562" t="str">
        <f t="shared" si="288"/>
        <v>NA</v>
      </c>
      <c r="AD562" s="4">
        <f>AB562*T562*AI562</f>
        <v>150</v>
      </c>
      <c r="AE562" s="3">
        <f t="shared" ref="AE562:AE593" si="293">IFERROR(((L562^2)*M562*O562*AK562*10^-6*Q562*T562*AI562), "NA")</f>
        <v>1590.0000000000002</v>
      </c>
      <c r="AF562">
        <v>600</v>
      </c>
      <c r="AG562" t="str">
        <f>IFERROR((M562*O562*P562), "NA")</f>
        <v>NA</v>
      </c>
      <c r="AH562" t="str">
        <f>IFERROR((AG562*T562*AI562), "NA")</f>
        <v>NA</v>
      </c>
      <c r="AI562">
        <v>1</v>
      </c>
      <c r="AJ562" t="s">
        <v>31</v>
      </c>
      <c r="AK562">
        <v>4240</v>
      </c>
      <c r="AL562" t="s">
        <v>238</v>
      </c>
      <c r="AM562" t="s">
        <v>86</v>
      </c>
      <c r="AN562" t="s">
        <v>205</v>
      </c>
      <c r="AO562" t="s">
        <v>789</v>
      </c>
      <c r="AP562">
        <v>3.56</v>
      </c>
      <c r="AQ562" t="s">
        <v>33</v>
      </c>
      <c r="AR562" t="s">
        <v>33</v>
      </c>
      <c r="AS562" s="6">
        <f>LOG(10^8)</f>
        <v>8</v>
      </c>
      <c r="AT562" s="3">
        <f>IFERROR(AS562-AU562,"NA")</f>
        <v>4.1790000000000003</v>
      </c>
      <c r="AU562" s="6">
        <v>3.8210000000000002</v>
      </c>
      <c r="AV562" t="b">
        <v>1</v>
      </c>
      <c r="AW562" t="s">
        <v>123</v>
      </c>
      <c r="AX562" t="s">
        <v>393</v>
      </c>
      <c r="AY562" t="s">
        <v>394</v>
      </c>
      <c r="AZ562" t="s">
        <v>33</v>
      </c>
      <c r="BA562" s="18" t="s">
        <v>579</v>
      </c>
      <c r="BB562" t="b">
        <v>1</v>
      </c>
      <c r="BC562" t="s">
        <v>81</v>
      </c>
      <c r="BD562">
        <v>72</v>
      </c>
      <c r="BE562" t="s">
        <v>80</v>
      </c>
      <c r="BF562" s="11">
        <v>72</v>
      </c>
      <c r="BG562" t="s">
        <v>395</v>
      </c>
      <c r="BH562" t="s">
        <v>31</v>
      </c>
      <c r="BI562" t="s">
        <v>31</v>
      </c>
      <c r="BJ562" s="3">
        <f t="shared" si="274"/>
        <v>3.8210000000000002</v>
      </c>
      <c r="BK562" s="3">
        <f t="shared" si="267"/>
        <v>0.58217703768840889</v>
      </c>
      <c r="BL562">
        <v>2</v>
      </c>
      <c r="BM562" s="3">
        <f t="shared" si="285"/>
        <v>2.6192200866320428</v>
      </c>
      <c r="BN562" t="s">
        <v>33</v>
      </c>
      <c r="BO562" s="3">
        <f t="shared" si="271"/>
        <v>416.12143417953422</v>
      </c>
      <c r="BP562" t="s">
        <v>33</v>
      </c>
      <c r="BQ562" t="s">
        <v>33</v>
      </c>
      <c r="BR562" t="s">
        <v>33</v>
      </c>
      <c r="BS562" t="s">
        <v>33</v>
      </c>
      <c r="BT562" t="s">
        <v>31</v>
      </c>
      <c r="BU562" t="s">
        <v>240</v>
      </c>
      <c r="BV562">
        <v>2005</v>
      </c>
      <c r="BW562" t="s">
        <v>396</v>
      </c>
      <c r="BX562" t="s">
        <v>78</v>
      </c>
      <c r="BY562" t="s">
        <v>33</v>
      </c>
      <c r="BZ562" t="s">
        <v>33</v>
      </c>
      <c r="CA562" t="str">
        <f t="shared" si="273"/>
        <v>high acid</v>
      </c>
    </row>
    <row r="563" spans="1:79">
      <c r="A563" t="s">
        <v>605</v>
      </c>
      <c r="B563" t="s">
        <v>565</v>
      </c>
      <c r="C563" t="s">
        <v>563</v>
      </c>
      <c r="D563" t="s">
        <v>118</v>
      </c>
      <c r="E563" t="s">
        <v>77</v>
      </c>
      <c r="F563" t="s">
        <v>33</v>
      </c>
      <c r="G563" t="s">
        <v>33</v>
      </c>
      <c r="H563" t="s">
        <v>33</v>
      </c>
      <c r="I563" t="b">
        <v>0</v>
      </c>
      <c r="J563" t="s">
        <v>33</v>
      </c>
      <c r="K563" t="s">
        <v>33</v>
      </c>
      <c r="L563">
        <v>30</v>
      </c>
      <c r="M563" s="4">
        <v>500</v>
      </c>
      <c r="N563" t="e">
        <f>(#REF!*Y563)/(T563*X563*O563)</f>
        <v>#REF!</v>
      </c>
      <c r="O563">
        <v>3</v>
      </c>
      <c r="P563" t="s">
        <v>33</v>
      </c>
      <c r="Q563" s="1">
        <f t="shared" si="289"/>
        <v>1.4555555555555556E-2</v>
      </c>
      <c r="R563" t="s">
        <v>183</v>
      </c>
      <c r="S563" t="s">
        <v>613</v>
      </c>
      <c r="T563">
        <v>6</v>
      </c>
      <c r="U563">
        <v>2.9</v>
      </c>
      <c r="V563">
        <v>2.2999999999999998</v>
      </c>
      <c r="W563" t="s">
        <v>33</v>
      </c>
      <c r="X563">
        <f t="shared" si="290"/>
        <v>1.204879322468025E-2</v>
      </c>
      <c r="Y563">
        <v>0.83333299999999999</v>
      </c>
      <c r="Z563" s="3">
        <f t="shared" si="291"/>
        <v>0.82777968719177286</v>
      </c>
      <c r="AA563" t="s">
        <v>33</v>
      </c>
      <c r="AB563">
        <f t="shared" si="292"/>
        <v>7.2777777777777786</v>
      </c>
      <c r="AC563" s="1" t="str">
        <f t="shared" si="288"/>
        <v>NA</v>
      </c>
      <c r="AE563" s="3">
        <f t="shared" si="293"/>
        <v>455.09400000000005</v>
      </c>
      <c r="AF563">
        <v>131</v>
      </c>
      <c r="AG563" s="1" t="str">
        <f>IFERROR((N563*P563*Q563), "NA")</f>
        <v>NA</v>
      </c>
      <c r="AH563" s="1" t="str">
        <f>IFERROR((AG563*U563*AI563), "NA")</f>
        <v>NA</v>
      </c>
      <c r="AI563" s="1">
        <v>1</v>
      </c>
      <c r="AJ563" s="11" t="s">
        <v>31</v>
      </c>
      <c r="AK563">
        <f>3.86*10^3</f>
        <v>3860</v>
      </c>
      <c r="AL563" t="s">
        <v>138</v>
      </c>
      <c r="AM563" t="s">
        <v>86</v>
      </c>
      <c r="AN563" t="s">
        <v>205</v>
      </c>
      <c r="AO563" t="s">
        <v>789</v>
      </c>
      <c r="AP563">
        <v>3.9</v>
      </c>
      <c r="AQ563" t="s">
        <v>33</v>
      </c>
      <c r="AR563" t="s">
        <v>33</v>
      </c>
      <c r="AS563">
        <v>7.52</v>
      </c>
      <c r="AT563">
        <v>4.18</v>
      </c>
      <c r="AU563" s="6">
        <f>AS563-AT563</f>
        <v>3.34</v>
      </c>
      <c r="AV563" t="b">
        <v>1</v>
      </c>
      <c r="AW563" t="s">
        <v>626</v>
      </c>
      <c r="AX563" t="s">
        <v>627</v>
      </c>
      <c r="AY563">
        <v>95047</v>
      </c>
      <c r="AZ563" t="s">
        <v>33</v>
      </c>
      <c r="BA563" s="18" t="s">
        <v>800</v>
      </c>
      <c r="BB563" s="3" t="b">
        <v>0</v>
      </c>
      <c r="BC563" t="s">
        <v>81</v>
      </c>
      <c r="BD563">
        <f>AVERAGE(24, 48)</f>
        <v>36</v>
      </c>
      <c r="BE563" t="s">
        <v>80</v>
      </c>
      <c r="BF563">
        <v>48</v>
      </c>
      <c r="BG563" t="s">
        <v>647</v>
      </c>
      <c r="BH563" t="s">
        <v>31</v>
      </c>
      <c r="BI563" t="s">
        <v>31</v>
      </c>
      <c r="BJ563" s="3">
        <f t="shared" si="274"/>
        <v>3.34</v>
      </c>
      <c r="BK563" s="3">
        <f t="shared" si="267"/>
        <v>0.52374646681156445</v>
      </c>
      <c r="BL563">
        <v>2</v>
      </c>
      <c r="BM563" s="3">
        <f t="shared" si="285"/>
        <v>2.1343546429552798</v>
      </c>
      <c r="BN563" t="s">
        <v>33</v>
      </c>
      <c r="BO563" s="3">
        <f t="shared" si="271"/>
        <v>136.25568862275452</v>
      </c>
      <c r="BP563" t="s">
        <v>33</v>
      </c>
      <c r="BQ563" t="s">
        <v>33</v>
      </c>
      <c r="BR563" t="s">
        <v>33</v>
      </c>
      <c r="BS563" t="s">
        <v>33</v>
      </c>
      <c r="BT563" t="s">
        <v>31</v>
      </c>
      <c r="BU563" s="13" t="s">
        <v>135</v>
      </c>
      <c r="BV563" s="14">
        <v>2009</v>
      </c>
      <c r="BW563" s="13" t="s">
        <v>136</v>
      </c>
      <c r="BX563" t="s">
        <v>78</v>
      </c>
      <c r="BY563" s="13" t="s">
        <v>692</v>
      </c>
      <c r="CA563" t="str">
        <f t="shared" si="273"/>
        <v>high acid</v>
      </c>
    </row>
    <row r="564" spans="1:79">
      <c r="A564" t="s">
        <v>534</v>
      </c>
      <c r="B564" t="s">
        <v>565</v>
      </c>
      <c r="C564" t="s">
        <v>564</v>
      </c>
      <c r="D564" t="s">
        <v>243</v>
      </c>
      <c r="E564" t="s">
        <v>77</v>
      </c>
      <c r="F564" t="s">
        <v>32</v>
      </c>
      <c r="G564">
        <v>40</v>
      </c>
      <c r="H564">
        <v>50.2</v>
      </c>
      <c r="I564" t="b">
        <v>0</v>
      </c>
      <c r="J564" t="s">
        <v>33</v>
      </c>
      <c r="K564" t="s">
        <v>33</v>
      </c>
      <c r="L564">
        <v>24</v>
      </c>
      <c r="M564" s="4">
        <v>120</v>
      </c>
      <c r="N564" s="3">
        <f t="shared" ref="N564:N570" si="294">IFERROR(AF564/((T564*X564/Y564)*O564*AI564),"NA")</f>
        <v>601.6705606695582</v>
      </c>
      <c r="O564">
        <v>3</v>
      </c>
      <c r="P564" t="s">
        <v>33</v>
      </c>
      <c r="Q564" s="8">
        <f t="shared" si="289"/>
        <v>0.19166666666666665</v>
      </c>
      <c r="R564" t="s">
        <v>183</v>
      </c>
      <c r="S564" t="s">
        <v>612</v>
      </c>
      <c r="T564" s="11">
        <v>4</v>
      </c>
      <c r="U564">
        <v>3</v>
      </c>
      <c r="V564">
        <v>2.6</v>
      </c>
      <c r="W564">
        <v>1.5900000000000001E-2</v>
      </c>
      <c r="X564" s="8">
        <f t="shared" si="290"/>
        <v>1.5927874753700257E-2</v>
      </c>
      <c r="Y564" s="6">
        <f>25/60</f>
        <v>0.41666666666666669</v>
      </c>
      <c r="Z564" s="3">
        <f t="shared" si="291"/>
        <v>8.3101955236697E-2</v>
      </c>
      <c r="AA564" t="s">
        <v>33</v>
      </c>
      <c r="AB564" s="6">
        <f t="shared" si="292"/>
        <v>22.999999999999996</v>
      </c>
      <c r="AC564" t="str">
        <f t="shared" si="288"/>
        <v>NA</v>
      </c>
      <c r="AD564" s="4">
        <f>IFERROR(AB564*T564*AI564, "NA")</f>
        <v>91.999999999999986</v>
      </c>
      <c r="AE564" s="3">
        <f t="shared" si="293"/>
        <v>146.25791999999998</v>
      </c>
      <c r="AF564">
        <v>276</v>
      </c>
      <c r="AG564" t="str">
        <f t="shared" ref="AG564:AG570" si="295">IFERROR((M564*O564*P564), "NA")</f>
        <v>NA</v>
      </c>
      <c r="AH564" t="str">
        <f t="shared" ref="AH564:AH570" si="296">IFERROR((AG564*T564*AI564), "NA")</f>
        <v>NA</v>
      </c>
      <c r="AI564" s="11">
        <v>1</v>
      </c>
      <c r="AJ564" t="s">
        <v>31</v>
      </c>
      <c r="AK564">
        <v>920</v>
      </c>
      <c r="AL564" t="s">
        <v>551</v>
      </c>
      <c r="AM564" t="s">
        <v>86</v>
      </c>
      <c r="AN564" t="s">
        <v>186</v>
      </c>
      <c r="AO564" t="s">
        <v>794</v>
      </c>
      <c r="AP564">
        <v>5.92</v>
      </c>
      <c r="AQ564" t="s">
        <v>33</v>
      </c>
      <c r="AR564" t="s">
        <v>33</v>
      </c>
      <c r="AS564" s="6">
        <f>LOG(1.4*10^6)</f>
        <v>6.1461280356782382</v>
      </c>
      <c r="AT564" s="3">
        <f t="shared" ref="AT564:AT570" si="297">IFERROR(AS564-AU564,"NA")</f>
        <v>4.1861280356782382</v>
      </c>
      <c r="AU564" s="6">
        <v>1.96</v>
      </c>
      <c r="AV564" t="b">
        <v>1</v>
      </c>
      <c r="AW564" t="s">
        <v>29</v>
      </c>
      <c r="AX564" t="s">
        <v>30</v>
      </c>
      <c r="AY564" t="s">
        <v>244</v>
      </c>
      <c r="AZ564" t="s">
        <v>33</v>
      </c>
      <c r="BA564" s="18" t="s">
        <v>798</v>
      </c>
      <c r="BB564" t="b">
        <v>0</v>
      </c>
      <c r="BC564" t="s">
        <v>81</v>
      </c>
      <c r="BD564">
        <v>20</v>
      </c>
      <c r="BE564" t="s">
        <v>80</v>
      </c>
      <c r="BF564" s="11">
        <v>20</v>
      </c>
      <c r="BG564" t="s">
        <v>245</v>
      </c>
      <c r="BH564" t="s">
        <v>31</v>
      </c>
      <c r="BI564" t="s">
        <v>31</v>
      </c>
      <c r="BJ564" s="3">
        <f t="shared" si="274"/>
        <v>1.96</v>
      </c>
      <c r="BK564" s="3">
        <f t="shared" si="267"/>
        <v>0.29225607135647602</v>
      </c>
      <c r="BL564">
        <v>2</v>
      </c>
      <c r="BM564" s="3">
        <f t="shared" si="285"/>
        <v>1.872863321477509</v>
      </c>
      <c r="BN564" t="s">
        <v>33</v>
      </c>
      <c r="BO564" s="3">
        <f t="shared" si="271"/>
        <v>74.621387755102035</v>
      </c>
      <c r="BP564" t="s">
        <v>33</v>
      </c>
      <c r="BQ564" t="s">
        <v>33</v>
      </c>
      <c r="BR564" t="s">
        <v>33</v>
      </c>
      <c r="BS564" t="s">
        <v>33</v>
      </c>
      <c r="BT564" t="s">
        <v>32</v>
      </c>
      <c r="BU564" t="s">
        <v>207</v>
      </c>
      <c r="BV564">
        <v>2014</v>
      </c>
      <c r="BW564" s="2" t="s">
        <v>242</v>
      </c>
      <c r="BX564" t="s">
        <v>78</v>
      </c>
      <c r="BY564" t="s">
        <v>33</v>
      </c>
      <c r="BZ564" t="s">
        <v>33</v>
      </c>
      <c r="CA564" t="str">
        <f t="shared" si="273"/>
        <v>low acid</v>
      </c>
    </row>
    <row r="565" spans="1:79">
      <c r="A565" t="s">
        <v>237</v>
      </c>
      <c r="B565" t="s">
        <v>565</v>
      </c>
      <c r="C565" t="s">
        <v>563</v>
      </c>
      <c r="D565" t="s">
        <v>118</v>
      </c>
      <c r="E565" t="s">
        <v>77</v>
      </c>
      <c r="F565" t="s">
        <v>32</v>
      </c>
      <c r="G565">
        <v>4</v>
      </c>
      <c r="H565">
        <v>32.5</v>
      </c>
      <c r="I565" t="b">
        <v>0</v>
      </c>
      <c r="J565" t="s">
        <v>33</v>
      </c>
      <c r="K565" t="s">
        <v>33</v>
      </c>
      <c r="L565">
        <v>25</v>
      </c>
      <c r="M565" s="4">
        <v>200</v>
      </c>
      <c r="N565" s="3">
        <f t="shared" si="294"/>
        <v>1545.5137286547574</v>
      </c>
      <c r="O565">
        <v>4</v>
      </c>
      <c r="P565" t="s">
        <v>33</v>
      </c>
      <c r="Q565" s="9">
        <f t="shared" si="289"/>
        <v>9.3749999999999986E-2</v>
      </c>
      <c r="R565" t="s">
        <v>183</v>
      </c>
      <c r="S565" t="s">
        <v>612</v>
      </c>
      <c r="T565" s="11">
        <v>8</v>
      </c>
      <c r="U565">
        <v>2.92</v>
      </c>
      <c r="V565">
        <v>2.2999999999999998</v>
      </c>
      <c r="W565">
        <v>1.2E-2</v>
      </c>
      <c r="X565" s="8">
        <f t="shared" si="290"/>
        <v>1.2131888350367701E-2</v>
      </c>
      <c r="Y565" s="6">
        <f>60/60</f>
        <v>1</v>
      </c>
      <c r="Z565" s="3">
        <f t="shared" si="291"/>
        <v>0.12940680907058882</v>
      </c>
      <c r="AA565" t="s">
        <v>33</v>
      </c>
      <c r="AB565" s="6">
        <f t="shared" si="292"/>
        <v>18.749999999999996</v>
      </c>
      <c r="AC565" t="str">
        <f t="shared" si="288"/>
        <v>NA</v>
      </c>
      <c r="AD565" s="4">
        <f t="shared" ref="AD565:AD570" si="298">AB565*T565*AI565</f>
        <v>149.99999999999997</v>
      </c>
      <c r="AE565" s="3">
        <f t="shared" si="293"/>
        <v>1589.9999999999998</v>
      </c>
      <c r="AF565">
        <v>600</v>
      </c>
      <c r="AG565" t="str">
        <f t="shared" si="295"/>
        <v>NA</v>
      </c>
      <c r="AH565" t="str">
        <f t="shared" si="296"/>
        <v>NA</v>
      </c>
      <c r="AI565">
        <v>1</v>
      </c>
      <c r="AJ565" t="s">
        <v>31</v>
      </c>
      <c r="AK565">
        <v>4240</v>
      </c>
      <c r="AL565" t="s">
        <v>238</v>
      </c>
      <c r="AM565" t="s">
        <v>86</v>
      </c>
      <c r="AN565" t="s">
        <v>205</v>
      </c>
      <c r="AO565" t="s">
        <v>789</v>
      </c>
      <c r="AP565">
        <v>3.56</v>
      </c>
      <c r="AQ565" t="s">
        <v>33</v>
      </c>
      <c r="AR565" t="s">
        <v>33</v>
      </c>
      <c r="AS565">
        <f>LOG(10^8)</f>
        <v>8</v>
      </c>
      <c r="AT565" s="3">
        <f t="shared" si="297"/>
        <v>4.1880000000000006</v>
      </c>
      <c r="AU565" s="6">
        <v>3.8119999999999998</v>
      </c>
      <c r="AV565" t="b">
        <v>1</v>
      </c>
      <c r="AW565" t="s">
        <v>172</v>
      </c>
      <c r="AX565" t="s">
        <v>173</v>
      </c>
      <c r="AY565" t="s">
        <v>239</v>
      </c>
      <c r="AZ565" t="s">
        <v>33</v>
      </c>
      <c r="BA565" s="18" t="s">
        <v>799</v>
      </c>
      <c r="BB565" t="b">
        <v>0</v>
      </c>
      <c r="BC565" t="s">
        <v>81</v>
      </c>
      <c r="BD565">
        <v>48</v>
      </c>
      <c r="BE565" t="s">
        <v>80</v>
      </c>
      <c r="BF565" s="11">
        <v>120</v>
      </c>
      <c r="BG565" t="s">
        <v>571</v>
      </c>
      <c r="BH565" t="s">
        <v>31</v>
      </c>
      <c r="BI565" t="s">
        <v>31</v>
      </c>
      <c r="BJ565" s="3">
        <f t="shared" si="274"/>
        <v>3.8119999999999998</v>
      </c>
      <c r="BK565" s="3">
        <f t="shared" si="267"/>
        <v>0.58115289196628883</v>
      </c>
      <c r="BL565">
        <v>2</v>
      </c>
      <c r="BM565" s="3">
        <f t="shared" si="285"/>
        <v>2.6202442323541626</v>
      </c>
      <c r="BN565" t="s">
        <v>33</v>
      </c>
      <c r="BO565" s="3">
        <f t="shared" si="271"/>
        <v>417.10388247639031</v>
      </c>
      <c r="BP565" t="s">
        <v>33</v>
      </c>
      <c r="BQ565" t="s">
        <v>33</v>
      </c>
      <c r="BR565" t="s">
        <v>33</v>
      </c>
      <c r="BS565" t="s">
        <v>33</v>
      </c>
      <c r="BT565" t="s">
        <v>31</v>
      </c>
      <c r="BU565" t="s">
        <v>240</v>
      </c>
      <c r="BV565">
        <v>2004</v>
      </c>
      <c r="BW565" t="s">
        <v>241</v>
      </c>
      <c r="BX565" t="s">
        <v>78</v>
      </c>
      <c r="BY565" t="s">
        <v>33</v>
      </c>
      <c r="BZ565" t="s">
        <v>33</v>
      </c>
      <c r="CA565" t="str">
        <f t="shared" si="273"/>
        <v>high acid</v>
      </c>
    </row>
    <row r="566" spans="1:79">
      <c r="A566" t="s">
        <v>224</v>
      </c>
      <c r="B566" t="s">
        <v>565</v>
      </c>
      <c r="C566" t="s">
        <v>563</v>
      </c>
      <c r="D566" t="s">
        <v>118</v>
      </c>
      <c r="E566" t="s">
        <v>77</v>
      </c>
      <c r="F566" t="s">
        <v>32</v>
      </c>
      <c r="G566">
        <v>5</v>
      </c>
      <c r="H566">
        <v>30.3</v>
      </c>
      <c r="I566" t="b">
        <v>0</v>
      </c>
      <c r="J566" t="s">
        <v>33</v>
      </c>
      <c r="K566" t="s">
        <v>33</v>
      </c>
      <c r="L566">
        <v>35</v>
      </c>
      <c r="M566" s="4">
        <v>250</v>
      </c>
      <c r="N566" s="3">
        <f t="shared" si="294"/>
        <v>8586.1873814153205</v>
      </c>
      <c r="O566">
        <v>4</v>
      </c>
      <c r="P566" t="s">
        <v>33</v>
      </c>
      <c r="Q566">
        <f t="shared" si="289"/>
        <v>0.25</v>
      </c>
      <c r="R566" t="s">
        <v>183</v>
      </c>
      <c r="S566" t="s">
        <v>613</v>
      </c>
      <c r="T566" s="11">
        <v>8</v>
      </c>
      <c r="U566">
        <v>2.92</v>
      </c>
      <c r="V566">
        <v>2.2999999999999998</v>
      </c>
      <c r="W566">
        <v>1.21E-2</v>
      </c>
      <c r="X566" s="8">
        <f t="shared" si="290"/>
        <v>1.2131888350367701E-2</v>
      </c>
      <c r="Y566" s="6">
        <f>100/60</f>
        <v>1.6666666666666667</v>
      </c>
      <c r="Z566" s="3">
        <f t="shared" si="291"/>
        <v>4.8527553401470802E-2</v>
      </c>
      <c r="AA566" t="s">
        <v>33</v>
      </c>
      <c r="AB566" s="6">
        <f t="shared" si="292"/>
        <v>62.5</v>
      </c>
      <c r="AC566" t="str">
        <f t="shared" si="288"/>
        <v>NA</v>
      </c>
      <c r="AD566" s="4">
        <f t="shared" si="298"/>
        <v>500</v>
      </c>
      <c r="AE566" s="3">
        <f t="shared" si="293"/>
        <v>8967</v>
      </c>
      <c r="AF566">
        <v>2000</v>
      </c>
      <c r="AG566" t="str">
        <f t="shared" si="295"/>
        <v>NA</v>
      </c>
      <c r="AH566" t="str">
        <f t="shared" si="296"/>
        <v>NA</v>
      </c>
      <c r="AI566">
        <v>1</v>
      </c>
      <c r="AJ566" t="s">
        <v>31</v>
      </c>
      <c r="AK566">
        <v>3660</v>
      </c>
      <c r="AL566" t="s">
        <v>541</v>
      </c>
      <c r="AM566" t="s">
        <v>86</v>
      </c>
      <c r="AN566" t="s">
        <v>186</v>
      </c>
      <c r="AO566" t="s">
        <v>794</v>
      </c>
      <c r="AP566">
        <v>5.46</v>
      </c>
      <c r="AQ566" t="s">
        <v>33</v>
      </c>
      <c r="AR566" t="s">
        <v>33</v>
      </c>
      <c r="AS566" s="6">
        <f>LOG((10^7+10^8)/2)</f>
        <v>7.7403626894942441</v>
      </c>
      <c r="AT566" s="3">
        <f t="shared" si="297"/>
        <v>4.1923626894942441</v>
      </c>
      <c r="AU566" s="6">
        <v>3.548</v>
      </c>
      <c r="AV566" t="b">
        <v>1</v>
      </c>
      <c r="AW566" t="s">
        <v>92</v>
      </c>
      <c r="AX566" t="s">
        <v>93</v>
      </c>
      <c r="AY566" s="10">
        <v>1131</v>
      </c>
      <c r="AZ566" t="s">
        <v>33</v>
      </c>
      <c r="BA566" s="18" t="s">
        <v>801</v>
      </c>
      <c r="BB566" t="b">
        <v>0</v>
      </c>
      <c r="BC566" t="s">
        <v>81</v>
      </c>
      <c r="BD566">
        <v>15</v>
      </c>
      <c r="BE566" t="s">
        <v>80</v>
      </c>
      <c r="BF566" t="s">
        <v>33</v>
      </c>
      <c r="BG566" t="s">
        <v>573</v>
      </c>
      <c r="BH566" t="s">
        <v>31</v>
      </c>
      <c r="BI566" t="s">
        <v>31</v>
      </c>
      <c r="BJ566" s="3">
        <f t="shared" si="274"/>
        <v>3.548</v>
      </c>
      <c r="BK566" s="3">
        <f t="shared" si="267"/>
        <v>0.54998361115968875</v>
      </c>
      <c r="BL566">
        <v>2</v>
      </c>
      <c r="BM566" s="3">
        <f t="shared" si="285"/>
        <v>3.4026635585992544</v>
      </c>
      <c r="BN566" t="s">
        <v>33</v>
      </c>
      <c r="BO566" s="3">
        <f t="shared" si="271"/>
        <v>2527.3393461104847</v>
      </c>
      <c r="BP566" t="s">
        <v>33</v>
      </c>
      <c r="BQ566" t="s">
        <v>33</v>
      </c>
      <c r="BR566" t="s">
        <v>33</v>
      </c>
      <c r="BS566" t="s">
        <v>33</v>
      </c>
      <c r="BT566" t="s">
        <v>31</v>
      </c>
      <c r="BU566" t="s">
        <v>219</v>
      </c>
      <c r="BV566">
        <v>2007</v>
      </c>
      <c r="BW566" t="s">
        <v>218</v>
      </c>
      <c r="BX566" t="s">
        <v>78</v>
      </c>
      <c r="BY566" t="s">
        <v>33</v>
      </c>
      <c r="BZ566" t="s">
        <v>33</v>
      </c>
      <c r="CA566" t="str">
        <f t="shared" si="273"/>
        <v>low acid</v>
      </c>
    </row>
    <row r="567" spans="1:79">
      <c r="A567" t="s">
        <v>225</v>
      </c>
      <c r="B567" t="s">
        <v>565</v>
      </c>
      <c r="C567" t="s">
        <v>563</v>
      </c>
      <c r="D567" t="s">
        <v>33</v>
      </c>
      <c r="E567" t="s">
        <v>77</v>
      </c>
      <c r="F567" t="s">
        <v>32</v>
      </c>
      <c r="G567">
        <v>30</v>
      </c>
      <c r="H567">
        <v>61</v>
      </c>
      <c r="I567" t="b">
        <v>1</v>
      </c>
      <c r="J567" t="s">
        <v>33</v>
      </c>
      <c r="K567" t="s">
        <v>33</v>
      </c>
      <c r="L567">
        <v>25</v>
      </c>
      <c r="M567" s="4">
        <v>250</v>
      </c>
      <c r="N567" s="3">
        <f t="shared" si="294"/>
        <v>260.5243209473274</v>
      </c>
      <c r="O567">
        <v>4</v>
      </c>
      <c r="P567" t="s">
        <v>33</v>
      </c>
      <c r="Q567" s="8">
        <f t="shared" si="289"/>
        <v>1.3333333333333332E-2</v>
      </c>
      <c r="R567" t="s">
        <v>183</v>
      </c>
      <c r="S567" t="s">
        <v>613</v>
      </c>
      <c r="T567" s="11">
        <v>6</v>
      </c>
      <c r="U567">
        <v>2.2999999999999998</v>
      </c>
      <c r="V567">
        <v>2.2000000000000002</v>
      </c>
      <c r="W567" t="s">
        <v>33</v>
      </c>
      <c r="X567" s="8">
        <f t="shared" si="290"/>
        <v>8.7430523549403959E-3</v>
      </c>
      <c r="Y567" s="6">
        <f>41/60</f>
        <v>0.68333333333333335</v>
      </c>
      <c r="Z567" s="3">
        <f t="shared" si="291"/>
        <v>0.65572892662052973</v>
      </c>
      <c r="AA567" s="3">
        <f>20/6</f>
        <v>3.3333333333333335</v>
      </c>
      <c r="AB567" s="6">
        <f t="shared" si="292"/>
        <v>3.333333333333333</v>
      </c>
      <c r="AC567" t="str">
        <f t="shared" si="288"/>
        <v>NA</v>
      </c>
      <c r="AD567" s="4">
        <f t="shared" si="298"/>
        <v>20</v>
      </c>
      <c r="AE567" s="3">
        <f t="shared" si="293"/>
        <v>199.99999999999997</v>
      </c>
      <c r="AF567">
        <v>80</v>
      </c>
      <c r="AG567" t="str">
        <f t="shared" si="295"/>
        <v>NA</v>
      </c>
      <c r="AH567" t="str">
        <f t="shared" si="296"/>
        <v>NA</v>
      </c>
      <c r="AI567" s="11">
        <v>1</v>
      </c>
      <c r="AJ567" t="s">
        <v>31</v>
      </c>
      <c r="AK567">
        <v>4000</v>
      </c>
      <c r="AL567" t="s">
        <v>546</v>
      </c>
      <c r="AM567" t="s">
        <v>103</v>
      </c>
      <c r="AN567" t="s">
        <v>130</v>
      </c>
      <c r="AO567" t="s">
        <v>795</v>
      </c>
      <c r="AP567">
        <v>5</v>
      </c>
      <c r="AQ567" t="s">
        <v>33</v>
      </c>
      <c r="AR567" t="s">
        <v>33</v>
      </c>
      <c r="AS567" s="6">
        <v>8.1</v>
      </c>
      <c r="AT567" s="3">
        <f t="shared" si="297"/>
        <v>4.1999999999999993</v>
      </c>
      <c r="AU567" s="6">
        <v>3.9</v>
      </c>
      <c r="AV567" t="b">
        <v>1</v>
      </c>
      <c r="AW567" t="s">
        <v>29</v>
      </c>
      <c r="AX567" t="s">
        <v>30</v>
      </c>
      <c r="AY567" t="s">
        <v>226</v>
      </c>
      <c r="AZ567" t="s">
        <v>33</v>
      </c>
      <c r="BA567" s="18" t="s">
        <v>798</v>
      </c>
      <c r="BB567" t="b">
        <v>0</v>
      </c>
      <c r="BC567" t="s">
        <v>81</v>
      </c>
      <c r="BD567">
        <v>14</v>
      </c>
      <c r="BE567" t="s">
        <v>80</v>
      </c>
      <c r="BF567" s="11">
        <v>120</v>
      </c>
      <c r="BG567" t="s">
        <v>139</v>
      </c>
      <c r="BH567" t="s">
        <v>31</v>
      </c>
      <c r="BI567" t="s">
        <v>31</v>
      </c>
      <c r="BJ567" s="3">
        <f t="shared" si="274"/>
        <v>3.9</v>
      </c>
      <c r="BK567" s="3">
        <f t="shared" si="267"/>
        <v>0.59106460702649921</v>
      </c>
      <c r="BL567">
        <v>2</v>
      </c>
      <c r="BM567" s="3">
        <f t="shared" si="285"/>
        <v>1.7099653886374819</v>
      </c>
      <c r="BN567" t="s">
        <v>33</v>
      </c>
      <c r="BO567" s="3">
        <f t="shared" si="271"/>
        <v>51.282051282051277</v>
      </c>
      <c r="BP567" t="s">
        <v>33</v>
      </c>
      <c r="BQ567" t="s">
        <v>33</v>
      </c>
      <c r="BR567" t="s">
        <v>33</v>
      </c>
      <c r="BS567" t="s">
        <v>33</v>
      </c>
      <c r="BT567" t="s">
        <v>31</v>
      </c>
      <c r="BU567" t="s">
        <v>227</v>
      </c>
      <c r="BV567">
        <v>2001</v>
      </c>
      <c r="BW567" t="s">
        <v>228</v>
      </c>
      <c r="BX567" t="s">
        <v>78</v>
      </c>
      <c r="BY567" t="s">
        <v>33</v>
      </c>
      <c r="BZ567" t="s">
        <v>33</v>
      </c>
      <c r="CA567" t="str">
        <f t="shared" si="273"/>
        <v>low acid</v>
      </c>
    </row>
    <row r="568" spans="1:79">
      <c r="A568" t="s">
        <v>332</v>
      </c>
      <c r="B568" t="s">
        <v>565</v>
      </c>
      <c r="C568" t="s">
        <v>563</v>
      </c>
      <c r="D568" t="s">
        <v>118</v>
      </c>
      <c r="E568" t="s">
        <v>77</v>
      </c>
      <c r="F568" t="s">
        <v>32</v>
      </c>
      <c r="G568">
        <v>15</v>
      </c>
      <c r="H568">
        <v>30.4</v>
      </c>
      <c r="I568" t="b">
        <v>0</v>
      </c>
      <c r="J568" t="s">
        <v>33</v>
      </c>
      <c r="K568" t="s">
        <v>33</v>
      </c>
      <c r="L568">
        <v>27.5</v>
      </c>
      <c r="M568" s="4">
        <v>200</v>
      </c>
      <c r="N568" s="3">
        <f t="shared" si="294"/>
        <v>3454.7028257350348</v>
      </c>
      <c r="O568">
        <v>5</v>
      </c>
      <c r="P568" t="s">
        <v>33</v>
      </c>
      <c r="Q568" s="8">
        <f t="shared" si="289"/>
        <v>6.2500000000000014E-2</v>
      </c>
      <c r="R568" t="s">
        <v>183</v>
      </c>
      <c r="S568" t="s">
        <v>613</v>
      </c>
      <c r="T568" s="11">
        <v>8</v>
      </c>
      <c r="U568">
        <v>2.9</v>
      </c>
      <c r="V568">
        <v>2.2999999999999998</v>
      </c>
      <c r="W568">
        <v>1.2E-2</v>
      </c>
      <c r="X568" s="8">
        <f t="shared" si="290"/>
        <v>1.204879322468025E-2</v>
      </c>
      <c r="Y568">
        <v>3.33</v>
      </c>
      <c r="Z568" s="3">
        <f t="shared" si="291"/>
        <v>0.19278069159488398</v>
      </c>
      <c r="AA568" t="s">
        <v>33</v>
      </c>
      <c r="AB568" s="6">
        <f t="shared" si="292"/>
        <v>12.500000000000002</v>
      </c>
      <c r="AC568" t="str">
        <f t="shared" si="288"/>
        <v>NA</v>
      </c>
      <c r="AD568" s="4">
        <f t="shared" si="298"/>
        <v>100.00000000000001</v>
      </c>
      <c r="AE568" s="3">
        <f t="shared" si="293"/>
        <v>794.06250000000023</v>
      </c>
      <c r="AF568">
        <v>500</v>
      </c>
      <c r="AG568" t="str">
        <f t="shared" si="295"/>
        <v>NA</v>
      </c>
      <c r="AH568" t="str">
        <f t="shared" si="296"/>
        <v>NA</v>
      </c>
      <c r="AI568">
        <v>1</v>
      </c>
      <c r="AJ568" t="s">
        <v>31</v>
      </c>
      <c r="AK568">
        <v>2100</v>
      </c>
      <c r="AL568" t="s">
        <v>551</v>
      </c>
      <c r="AM568" t="s">
        <v>86</v>
      </c>
      <c r="AN568" t="s">
        <v>205</v>
      </c>
      <c r="AO568" t="s">
        <v>789</v>
      </c>
      <c r="AP568">
        <v>3.79</v>
      </c>
      <c r="AQ568">
        <v>1060</v>
      </c>
      <c r="AR568" t="s">
        <v>33</v>
      </c>
      <c r="AS568" s="6">
        <f>LOG((10^6+10^7)/2)</f>
        <v>6.7403626894942441</v>
      </c>
      <c r="AT568" s="3">
        <f t="shared" si="297"/>
        <v>4.2003626894942441</v>
      </c>
      <c r="AU568" s="6">
        <v>2.54</v>
      </c>
      <c r="AV568" t="b">
        <v>1</v>
      </c>
      <c r="AW568" t="s">
        <v>172</v>
      </c>
      <c r="AX568" t="s">
        <v>173</v>
      </c>
      <c r="AY568" t="s">
        <v>333</v>
      </c>
      <c r="AZ568" t="s">
        <v>33</v>
      </c>
      <c r="BA568" s="18" t="s">
        <v>799</v>
      </c>
      <c r="BB568" t="b">
        <v>0</v>
      </c>
      <c r="BC568" t="s">
        <v>81</v>
      </c>
      <c r="BD568">
        <v>72</v>
      </c>
      <c r="BE568" t="s">
        <v>80</v>
      </c>
      <c r="BF568" s="11">
        <v>168</v>
      </c>
      <c r="BG568" t="s">
        <v>334</v>
      </c>
      <c r="BH568" t="s">
        <v>31</v>
      </c>
      <c r="BI568" t="s">
        <v>31</v>
      </c>
      <c r="BJ568" s="3">
        <f t="shared" si="274"/>
        <v>2.54</v>
      </c>
      <c r="BK568" s="3">
        <f t="shared" si="267"/>
        <v>0.40483371661993806</v>
      </c>
      <c r="BL568">
        <v>2</v>
      </c>
      <c r="BM568" s="3">
        <f t="shared" si="285"/>
        <v>2.4950209701105255</v>
      </c>
      <c r="BN568" t="s">
        <v>33</v>
      </c>
      <c r="BO568" s="3">
        <f t="shared" si="271"/>
        <v>312.62303149606305</v>
      </c>
      <c r="BP568" t="s">
        <v>33</v>
      </c>
      <c r="BQ568" t="s">
        <v>33</v>
      </c>
      <c r="BR568" t="s">
        <v>33</v>
      </c>
      <c r="BS568" t="s">
        <v>33</v>
      </c>
      <c r="BT568" t="s">
        <v>31</v>
      </c>
      <c r="BU568" t="s">
        <v>330</v>
      </c>
      <c r="BV568">
        <v>2009</v>
      </c>
      <c r="BW568" t="s">
        <v>331</v>
      </c>
      <c r="BX568" t="s">
        <v>78</v>
      </c>
      <c r="BY568" t="s">
        <v>33</v>
      </c>
      <c r="BZ568" t="s">
        <v>33</v>
      </c>
      <c r="CA568" t="str">
        <f t="shared" si="273"/>
        <v>high acid</v>
      </c>
    </row>
    <row r="569" spans="1:79">
      <c r="A569" t="s">
        <v>437</v>
      </c>
      <c r="B569" t="s">
        <v>565</v>
      </c>
      <c r="C569" t="s">
        <v>563</v>
      </c>
      <c r="D569" t="s">
        <v>368</v>
      </c>
      <c r="E569" t="s">
        <v>77</v>
      </c>
      <c r="F569" t="s">
        <v>32</v>
      </c>
      <c r="G569">
        <v>23</v>
      </c>
      <c r="H569">
        <v>43</v>
      </c>
      <c r="I569" t="b">
        <v>0</v>
      </c>
      <c r="J569" t="s">
        <v>33</v>
      </c>
      <c r="K569" t="s">
        <v>33</v>
      </c>
      <c r="L569">
        <v>45</v>
      </c>
      <c r="M569" s="4">
        <v>1000</v>
      </c>
      <c r="N569" s="3">
        <f t="shared" si="294"/>
        <v>805.8545285219634</v>
      </c>
      <c r="O569">
        <v>1.5</v>
      </c>
      <c r="P569" t="s">
        <v>33</v>
      </c>
      <c r="Q569" s="8">
        <f t="shared" si="289"/>
        <v>4.6666666666666669E-2</v>
      </c>
      <c r="R569" t="s">
        <v>183</v>
      </c>
      <c r="S569" t="s">
        <v>613</v>
      </c>
      <c r="T569" s="11">
        <v>1</v>
      </c>
      <c r="U569">
        <v>5</v>
      </c>
      <c r="V569">
        <v>8</v>
      </c>
      <c r="W569" t="s">
        <v>33</v>
      </c>
      <c r="X569" s="9">
        <f t="shared" si="290"/>
        <v>0.25132741228718347</v>
      </c>
      <c r="Y569" s="6">
        <v>4.34</v>
      </c>
      <c r="Z569" s="3">
        <f t="shared" si="291"/>
        <v>5.3855874061539311</v>
      </c>
      <c r="AA569">
        <v>46.3</v>
      </c>
      <c r="AB569" s="6">
        <f>IFERROR(((X569*M569)/Y569), "NA")</f>
        <v>57.909542001655183</v>
      </c>
      <c r="AC569" t="str">
        <f t="shared" si="288"/>
        <v>NA</v>
      </c>
      <c r="AD569" s="4">
        <f t="shared" si="298"/>
        <v>57.909542001655183</v>
      </c>
      <c r="AE569" s="3">
        <f t="shared" si="293"/>
        <v>209.79000000000002</v>
      </c>
      <c r="AF569">
        <v>70</v>
      </c>
      <c r="AG569" t="str">
        <f t="shared" si="295"/>
        <v>NA</v>
      </c>
      <c r="AH569" t="str">
        <f t="shared" si="296"/>
        <v>NA</v>
      </c>
      <c r="AI569" s="11">
        <v>1</v>
      </c>
      <c r="AJ569" t="s">
        <v>31</v>
      </c>
      <c r="AK569">
        <v>1480</v>
      </c>
      <c r="AL569" t="s">
        <v>555</v>
      </c>
      <c r="AM569" t="s">
        <v>515</v>
      </c>
      <c r="AN569" t="s">
        <v>205</v>
      </c>
      <c r="AO569" t="s">
        <v>788</v>
      </c>
      <c r="AP569" s="4" t="s">
        <v>33</v>
      </c>
      <c r="AQ569" t="s">
        <v>33</v>
      </c>
      <c r="AR569" t="s">
        <v>33</v>
      </c>
      <c r="AS569">
        <f>LOG(10^5)</f>
        <v>5</v>
      </c>
      <c r="AT569" s="3">
        <f t="shared" si="297"/>
        <v>4.2059999999999995</v>
      </c>
      <c r="AU569" s="6">
        <v>0.79400000000000004</v>
      </c>
      <c r="AV569" t="b">
        <v>1</v>
      </c>
      <c r="AW569" t="s">
        <v>172</v>
      </c>
      <c r="AX569" t="s">
        <v>173</v>
      </c>
      <c r="AY569" t="s">
        <v>444</v>
      </c>
      <c r="AZ569" t="s">
        <v>33</v>
      </c>
      <c r="BA569" s="18" t="s">
        <v>799</v>
      </c>
      <c r="BB569" t="b">
        <v>0</v>
      </c>
      <c r="BC569" t="s">
        <v>81</v>
      </c>
      <c r="BD569" t="s">
        <v>33</v>
      </c>
      <c r="BE569" t="s">
        <v>33</v>
      </c>
      <c r="BF569" s="11">
        <v>48</v>
      </c>
      <c r="BG569" t="s">
        <v>401</v>
      </c>
      <c r="BH569" t="s">
        <v>31</v>
      </c>
      <c r="BI569" t="s">
        <v>31</v>
      </c>
      <c r="BJ569" s="3">
        <f t="shared" si="274"/>
        <v>0.79400000000000004</v>
      </c>
      <c r="BK569" s="3">
        <f t="shared" si="267"/>
        <v>-0.10017949757290372</v>
      </c>
      <c r="BL569">
        <v>2</v>
      </c>
      <c r="BM569" s="3">
        <f t="shared" si="285"/>
        <v>2.4219642805328054</v>
      </c>
      <c r="BN569" t="s">
        <v>33</v>
      </c>
      <c r="BO569" s="3">
        <f t="shared" si="271"/>
        <v>264.21914357682618</v>
      </c>
      <c r="BP569" t="s">
        <v>33</v>
      </c>
      <c r="BQ569" t="s">
        <v>33</v>
      </c>
      <c r="BR569" t="s">
        <v>33</v>
      </c>
      <c r="BS569" t="s">
        <v>33</v>
      </c>
      <c r="BT569" t="s">
        <v>31</v>
      </c>
      <c r="BU569" t="s">
        <v>445</v>
      </c>
      <c r="BV569">
        <v>2015</v>
      </c>
      <c r="BW569" t="s">
        <v>446</v>
      </c>
      <c r="BX569" t="s">
        <v>78</v>
      </c>
      <c r="BY569" t="s">
        <v>447</v>
      </c>
      <c r="CA569" t="str">
        <f t="shared" si="273"/>
        <v>high acid</v>
      </c>
    </row>
    <row r="570" spans="1:79">
      <c r="A570" t="s">
        <v>698</v>
      </c>
      <c r="B570" t="s">
        <v>566</v>
      </c>
      <c r="C570" t="s">
        <v>563</v>
      </c>
      <c r="D570" t="s">
        <v>699</v>
      </c>
      <c r="E570" t="s">
        <v>77</v>
      </c>
      <c r="F570" t="s">
        <v>32</v>
      </c>
      <c r="G570">
        <v>20</v>
      </c>
      <c r="H570">
        <v>64</v>
      </c>
      <c r="I570" t="b">
        <v>1</v>
      </c>
      <c r="J570" t="s">
        <v>33</v>
      </c>
      <c r="K570" t="s">
        <v>33</v>
      </c>
      <c r="L570">
        <v>20</v>
      </c>
      <c r="M570" s="4">
        <v>64</v>
      </c>
      <c r="N570" s="3">
        <f t="shared" si="294"/>
        <v>63.657407407407391</v>
      </c>
      <c r="O570">
        <v>5</v>
      </c>
      <c r="P570">
        <v>0.43</v>
      </c>
      <c r="Q570" s="8">
        <f>IFERROR(X570/Y570, "NA")</f>
        <v>0.43200000000000011</v>
      </c>
      <c r="R570" t="s">
        <v>183</v>
      </c>
      <c r="S570" t="s">
        <v>612</v>
      </c>
      <c r="T570" s="11">
        <v>1</v>
      </c>
      <c r="U570">
        <v>4</v>
      </c>
      <c r="V570" t="s">
        <v>33</v>
      </c>
      <c r="W570">
        <f>0.4*3*0.5</f>
        <v>0.60000000000000009</v>
      </c>
      <c r="X570" s="9">
        <f>W570</f>
        <v>0.60000000000000009</v>
      </c>
      <c r="Y570" s="6">
        <f>5000/3600</f>
        <v>1.3888888888888888</v>
      </c>
      <c r="Z570" s="3">
        <f t="shared" si="291"/>
        <v>1.3963636363636365</v>
      </c>
      <c r="AA570" t="s">
        <v>33</v>
      </c>
      <c r="AB570" s="4">
        <f>IFERROR(((X570*M570)/Y570), "NA")</f>
        <v>27.648000000000007</v>
      </c>
      <c r="AC570" s="4">
        <f t="shared" si="288"/>
        <v>27.52</v>
      </c>
      <c r="AD570" s="4">
        <f t="shared" si="298"/>
        <v>27.648000000000007</v>
      </c>
      <c r="AE570" s="3">
        <f t="shared" si="293"/>
        <v>110.59200000000003</v>
      </c>
      <c r="AF570">
        <v>137.5</v>
      </c>
      <c r="AG570" s="4">
        <f t="shared" si="295"/>
        <v>137.6</v>
      </c>
      <c r="AH570" s="4">
        <f t="shared" si="296"/>
        <v>137.6</v>
      </c>
      <c r="AI570">
        <v>1</v>
      </c>
      <c r="AJ570" s="11" t="s">
        <v>31</v>
      </c>
      <c r="AK570">
        <v>2000</v>
      </c>
      <c r="AL570" t="s">
        <v>784</v>
      </c>
      <c r="AM570" t="s">
        <v>103</v>
      </c>
      <c r="AN570" t="s">
        <v>130</v>
      </c>
      <c r="AO570" t="s">
        <v>795</v>
      </c>
      <c r="AP570">
        <v>7</v>
      </c>
      <c r="AQ570" t="s">
        <v>33</v>
      </c>
      <c r="AR570" t="s">
        <v>33</v>
      </c>
      <c r="AS570" s="6">
        <f>LOG(AVERAGE(10^8, 10^9))</f>
        <v>8.7403626894942441</v>
      </c>
      <c r="AT570" s="3">
        <f t="shared" si="297"/>
        <v>4.2093626894942444</v>
      </c>
      <c r="AU570" s="6">
        <v>4.5309999999999997</v>
      </c>
      <c r="AV570" t="b">
        <v>1</v>
      </c>
      <c r="AW570" t="s">
        <v>29</v>
      </c>
      <c r="AX570" t="s">
        <v>30</v>
      </c>
      <c r="AY570" t="s">
        <v>705</v>
      </c>
      <c r="AZ570" t="s">
        <v>33</v>
      </c>
      <c r="BA570" s="18" t="s">
        <v>798</v>
      </c>
      <c r="BB570" s="3" t="b">
        <v>0</v>
      </c>
      <c r="BC570" t="s">
        <v>81</v>
      </c>
      <c r="BD570">
        <v>24</v>
      </c>
      <c r="BE570" t="s">
        <v>80</v>
      </c>
      <c r="BF570">
        <v>24</v>
      </c>
      <c r="BG570" t="s">
        <v>568</v>
      </c>
      <c r="BH570" t="s">
        <v>31</v>
      </c>
      <c r="BI570" t="s">
        <v>31</v>
      </c>
      <c r="BJ570" s="3">
        <f t="shared" si="274"/>
        <v>4.5309999999999997</v>
      </c>
      <c r="BK570" s="3">
        <f t="shared" si="267"/>
        <v>0.65619406217918574</v>
      </c>
      <c r="BL570">
        <v>2</v>
      </c>
      <c r="BM570" s="3">
        <f t="shared" si="285"/>
        <v>1.387529649947576</v>
      </c>
      <c r="BN570" t="s">
        <v>33</v>
      </c>
      <c r="BO570" s="3">
        <f t="shared" si="271"/>
        <v>24.407856985212984</v>
      </c>
      <c r="BP570" t="s">
        <v>33</v>
      </c>
      <c r="BQ570" t="s">
        <v>33</v>
      </c>
      <c r="BR570" t="s">
        <v>33</v>
      </c>
      <c r="BS570" t="s">
        <v>33</v>
      </c>
      <c r="BT570" t="s">
        <v>32</v>
      </c>
      <c r="BU570" t="s">
        <v>709</v>
      </c>
      <c r="BV570">
        <v>2024</v>
      </c>
      <c r="BW570" t="s">
        <v>710</v>
      </c>
      <c r="BX570" t="s">
        <v>78</v>
      </c>
      <c r="BY570" t="s">
        <v>711</v>
      </c>
      <c r="CA570" t="str">
        <f t="shared" si="273"/>
        <v>low acid</v>
      </c>
    </row>
    <row r="571" spans="1:79">
      <c r="A571" t="s">
        <v>588</v>
      </c>
      <c r="B571" t="s">
        <v>565</v>
      </c>
      <c r="C571" t="s">
        <v>563</v>
      </c>
      <c r="D571" t="s">
        <v>608</v>
      </c>
      <c r="E571" t="s">
        <v>77</v>
      </c>
      <c r="F571" t="s">
        <v>32</v>
      </c>
      <c r="G571" t="s">
        <v>33</v>
      </c>
      <c r="H571">
        <v>40</v>
      </c>
      <c r="I571" t="b">
        <v>0</v>
      </c>
      <c r="J571" t="s">
        <v>33</v>
      </c>
      <c r="K571" t="s">
        <v>33</v>
      </c>
      <c r="L571">
        <v>35</v>
      </c>
      <c r="M571" s="4">
        <v>250</v>
      </c>
      <c r="N571" t="e">
        <f>(#REF!*Y571)/(T571*X571*O571)</f>
        <v>#REF!</v>
      </c>
      <c r="O571">
        <v>3.7</v>
      </c>
      <c r="P571" t="s">
        <v>33</v>
      </c>
      <c r="Q571" s="1">
        <f t="shared" ref="Q571:Q582" si="299">IFERROR(X571/Z571, "NA")</f>
        <v>8.1081081081081072E-2</v>
      </c>
      <c r="R571" t="s">
        <v>183</v>
      </c>
      <c r="S571" t="s">
        <v>613</v>
      </c>
      <c r="T571">
        <v>6</v>
      </c>
      <c r="U571">
        <v>1.9</v>
      </c>
      <c r="V571">
        <v>2.2999999999999998</v>
      </c>
      <c r="W571" t="s">
        <v>33</v>
      </c>
      <c r="X571">
        <f t="shared" ref="X571:X582" si="300">IFERROR(((PI())*(((V571*10^-1)/2)^2)*(U571*10^-1)), "NA")</f>
        <v>7.8940369403077502E-3</v>
      </c>
      <c r="Y571">
        <v>1</v>
      </c>
      <c r="Z571" s="3">
        <f t="shared" si="291"/>
        <v>9.7359788930462265E-2</v>
      </c>
      <c r="AA571" t="s">
        <v>33</v>
      </c>
      <c r="AB571">
        <f>IFERROR(((X571*M571)/Z571), "NA")</f>
        <v>20.27027027027027</v>
      </c>
      <c r="AC571" s="1" t="str">
        <f t="shared" si="288"/>
        <v>NA</v>
      </c>
      <c r="AE571" s="3">
        <f t="shared" si="293"/>
        <v>2645.9999999999995</v>
      </c>
      <c r="AF571">
        <v>450</v>
      </c>
      <c r="AG571" s="1" t="str">
        <f>IFERROR((N571*P571*Q571), "NA")</f>
        <v>NA</v>
      </c>
      <c r="AH571" s="1" t="str">
        <f>IFERROR((AG571*U571*AI571), "NA")</f>
        <v>NA</v>
      </c>
      <c r="AI571" s="1">
        <v>1</v>
      </c>
      <c r="AJ571" s="11" t="s">
        <v>31</v>
      </c>
      <c r="AK571">
        <v>4800</v>
      </c>
      <c r="AL571" t="s">
        <v>156</v>
      </c>
      <c r="AM571" t="s">
        <v>157</v>
      </c>
      <c r="AN571" t="s">
        <v>186</v>
      </c>
      <c r="AO571" t="s">
        <v>792</v>
      </c>
      <c r="AP571">
        <v>6.53</v>
      </c>
      <c r="AQ571" t="s">
        <v>33</v>
      </c>
      <c r="AR571" t="s">
        <v>33</v>
      </c>
      <c r="AS571">
        <v>6.5</v>
      </c>
      <c r="AT571">
        <v>4.21</v>
      </c>
      <c r="AU571" s="6">
        <f>AS571-AT571</f>
        <v>2.29</v>
      </c>
      <c r="AV571" t="b">
        <v>1</v>
      </c>
      <c r="AW571" t="s">
        <v>626</v>
      </c>
      <c r="AX571" t="s">
        <v>627</v>
      </c>
      <c r="AY571" t="s">
        <v>625</v>
      </c>
      <c r="AZ571" t="s">
        <v>33</v>
      </c>
      <c r="BA571" s="18" t="s">
        <v>800</v>
      </c>
      <c r="BB571" s="3" t="b">
        <v>0</v>
      </c>
      <c r="BC571" t="s">
        <v>81</v>
      </c>
      <c r="BD571">
        <v>12</v>
      </c>
      <c r="BE571" t="s">
        <v>80</v>
      </c>
      <c r="BF571">
        <v>48</v>
      </c>
      <c r="BG571" t="s">
        <v>568</v>
      </c>
      <c r="BH571" t="s">
        <v>31</v>
      </c>
      <c r="BI571" t="s">
        <v>31</v>
      </c>
      <c r="BJ571">
        <f t="shared" si="274"/>
        <v>2.29</v>
      </c>
      <c r="BK571" s="3">
        <f t="shared" si="267"/>
        <v>0.35983548233988799</v>
      </c>
      <c r="BL571">
        <v>2</v>
      </c>
      <c r="BM571" s="3">
        <f t="shared" si="285"/>
        <v>3.0627543575115941</v>
      </c>
      <c r="BN571" t="s">
        <v>33</v>
      </c>
      <c r="BO571" s="3">
        <f t="shared" si="271"/>
        <v>1155.4585152838426</v>
      </c>
      <c r="BP571" t="s">
        <v>33</v>
      </c>
      <c r="BQ571" t="s">
        <v>33</v>
      </c>
      <c r="BR571" t="s">
        <v>33</v>
      </c>
      <c r="BS571" t="s">
        <v>33</v>
      </c>
      <c r="BT571" t="s">
        <v>31</v>
      </c>
      <c r="BU571" s="13" t="s">
        <v>163</v>
      </c>
      <c r="BV571">
        <v>2004</v>
      </c>
      <c r="BW571" t="s">
        <v>654</v>
      </c>
      <c r="BX571" t="s">
        <v>78</v>
      </c>
      <c r="BY571" s="13" t="s">
        <v>677</v>
      </c>
      <c r="CA571" t="str">
        <f t="shared" si="273"/>
        <v>low acid</v>
      </c>
    </row>
    <row r="572" spans="1:79">
      <c r="A572" t="s">
        <v>79</v>
      </c>
      <c r="B572" t="s">
        <v>565</v>
      </c>
      <c r="C572" t="s">
        <v>563</v>
      </c>
      <c r="D572" t="s">
        <v>76</v>
      </c>
      <c r="E572" t="s">
        <v>77</v>
      </c>
      <c r="F572" t="s">
        <v>32</v>
      </c>
      <c r="G572">
        <v>4</v>
      </c>
      <c r="H572">
        <f>30</f>
        <v>30</v>
      </c>
      <c r="I572" t="b">
        <v>0</v>
      </c>
      <c r="J572" t="s">
        <v>33</v>
      </c>
      <c r="K572" t="s">
        <v>33</v>
      </c>
      <c r="L572">
        <v>40</v>
      </c>
      <c r="M572" s="4">
        <v>1000</v>
      </c>
      <c r="N572" s="3">
        <f>IFERROR(AF572/((T572*X572/Y572)*O572*AI572),"NA")</f>
        <v>806.25604403189095</v>
      </c>
      <c r="O572">
        <v>8</v>
      </c>
      <c r="P572" t="s">
        <v>33</v>
      </c>
      <c r="Q572" s="8">
        <f t="shared" si="299"/>
        <v>8.7500000000000002E-4</v>
      </c>
      <c r="R572" t="s">
        <v>183</v>
      </c>
      <c r="S572" t="s">
        <v>612</v>
      </c>
      <c r="T572" s="11">
        <v>1</v>
      </c>
      <c r="U572">
        <f>4.7</f>
        <v>4.7</v>
      </c>
      <c r="V572">
        <v>3.5</v>
      </c>
      <c r="W572" t="s">
        <v>33</v>
      </c>
      <c r="X572" s="8">
        <f t="shared" si="300"/>
        <v>4.5219299257608099E-2</v>
      </c>
      <c r="Y572" s="6">
        <f>2.5*1000/60</f>
        <v>41.666666666666664</v>
      </c>
      <c r="Z572" s="3">
        <f t="shared" si="291"/>
        <v>51.679199151552112</v>
      </c>
      <c r="AA572" t="s">
        <v>33</v>
      </c>
      <c r="AB572" s="6">
        <f>IFERROR(((X572*M572)/Z572), "NA")</f>
        <v>0.875</v>
      </c>
      <c r="AC572" t="str">
        <f t="shared" si="288"/>
        <v>NA</v>
      </c>
      <c r="AD572" s="4">
        <f>IFERROR(AB572*T572*AI572, "NA")</f>
        <v>0.875</v>
      </c>
      <c r="AE572">
        <f t="shared" si="293"/>
        <v>61.6</v>
      </c>
      <c r="AF572">
        <v>7</v>
      </c>
      <c r="AG572" t="str">
        <f>IFERROR((M572*O572*P572), "NA")</f>
        <v>NA</v>
      </c>
      <c r="AH572" t="str">
        <f>IFERROR((AG572*T572*AI572), "NA")</f>
        <v>NA</v>
      </c>
      <c r="AI572" s="11">
        <v>1</v>
      </c>
      <c r="AJ572" t="s">
        <v>31</v>
      </c>
      <c r="AK572">
        <v>5500</v>
      </c>
      <c r="AL572" t="s">
        <v>540</v>
      </c>
      <c r="AM572" t="s">
        <v>157</v>
      </c>
      <c r="AN572" t="s">
        <v>186</v>
      </c>
      <c r="AO572" t="s">
        <v>792</v>
      </c>
      <c r="AP572" s="3">
        <f>(6.53+6.6)/2</f>
        <v>6.5649999999999995</v>
      </c>
      <c r="AQ572" t="s">
        <v>33</v>
      </c>
      <c r="AR572" t="s">
        <v>33</v>
      </c>
      <c r="AS572">
        <v>8</v>
      </c>
      <c r="AT572" s="3">
        <f>IFERROR(AS572-AU572,"NA")</f>
        <v>4.21</v>
      </c>
      <c r="AU572" s="6">
        <v>3.79</v>
      </c>
      <c r="AV572" t="b">
        <v>1</v>
      </c>
      <c r="AW572" t="s">
        <v>29</v>
      </c>
      <c r="AX572" t="s">
        <v>30</v>
      </c>
      <c r="AY572" t="s">
        <v>216</v>
      </c>
      <c r="AZ572" t="s">
        <v>33</v>
      </c>
      <c r="BA572" s="18" t="s">
        <v>798</v>
      </c>
      <c r="BB572" t="b">
        <v>0</v>
      </c>
      <c r="BC572" t="s">
        <v>81</v>
      </c>
      <c r="BD572">
        <v>24</v>
      </c>
      <c r="BE572" t="s">
        <v>80</v>
      </c>
      <c r="BF572" s="11">
        <v>24</v>
      </c>
      <c r="BG572" t="s">
        <v>572</v>
      </c>
      <c r="BH572" t="s">
        <v>31</v>
      </c>
      <c r="BI572" t="s">
        <v>31</v>
      </c>
      <c r="BJ572" s="3">
        <f t="shared" si="274"/>
        <v>3.79</v>
      </c>
      <c r="BK572" s="3">
        <f t="shared" ref="BK572:BK634" si="301">LOG10(BJ572)</f>
        <v>0.57863920996807239</v>
      </c>
      <c r="BL572">
        <v>2</v>
      </c>
      <c r="BM572" s="3">
        <f t="shared" si="285"/>
        <v>1.2109415021963532</v>
      </c>
      <c r="BN572" t="s">
        <v>33</v>
      </c>
      <c r="BO572" s="3">
        <f t="shared" si="271"/>
        <v>16.253298153034301</v>
      </c>
      <c r="BP572" t="s">
        <v>33</v>
      </c>
      <c r="BQ572" t="s">
        <v>33</v>
      </c>
      <c r="BR572" t="s">
        <v>33</v>
      </c>
      <c r="BS572" t="s">
        <v>33</v>
      </c>
      <c r="BT572" t="s">
        <v>32</v>
      </c>
      <c r="BU572" t="s">
        <v>117</v>
      </c>
      <c r="BV572">
        <v>2021</v>
      </c>
      <c r="BW572" s="2" t="s">
        <v>82</v>
      </c>
      <c r="BX572" t="s">
        <v>78</v>
      </c>
      <c r="BY572" t="s">
        <v>90</v>
      </c>
      <c r="CA572" t="str">
        <f t="shared" si="273"/>
        <v>low acid</v>
      </c>
    </row>
    <row r="573" spans="1:79">
      <c r="A573" t="s">
        <v>580</v>
      </c>
      <c r="B573" t="s">
        <v>565</v>
      </c>
      <c r="C573" t="s">
        <v>563</v>
      </c>
      <c r="D573" t="s">
        <v>118</v>
      </c>
      <c r="E573" t="s">
        <v>77</v>
      </c>
      <c r="F573" t="s">
        <v>32</v>
      </c>
      <c r="G573">
        <v>22</v>
      </c>
      <c r="H573">
        <v>40</v>
      </c>
      <c r="I573" t="b">
        <v>0</v>
      </c>
      <c r="J573">
        <v>10220</v>
      </c>
      <c r="K573">
        <v>62.82</v>
      </c>
      <c r="L573">
        <v>35</v>
      </c>
      <c r="M573" s="4">
        <v>100</v>
      </c>
      <c r="N573" t="e">
        <f>(#REF!*Y573)/(T573*X573*O573)</f>
        <v>#REF!</v>
      </c>
      <c r="O573">
        <v>4</v>
      </c>
      <c r="P573">
        <f>AVERAGE(0.0066, 0.0091)</f>
        <v>7.8499999999999993E-3</v>
      </c>
      <c r="Q573" s="1">
        <f t="shared" si="299"/>
        <v>0.39062499999999994</v>
      </c>
      <c r="R573" t="s">
        <v>183</v>
      </c>
      <c r="S573" t="s">
        <v>613</v>
      </c>
      <c r="T573">
        <v>8</v>
      </c>
      <c r="U573">
        <v>2.92</v>
      </c>
      <c r="V573">
        <v>2.2999999999999998</v>
      </c>
      <c r="W573">
        <v>1.21E-2</v>
      </c>
      <c r="X573">
        <f t="shared" si="300"/>
        <v>1.2131888350367701E-2</v>
      </c>
      <c r="Y573">
        <v>1.8333299999999999</v>
      </c>
      <c r="Z573" s="3">
        <f t="shared" si="291"/>
        <v>3.1057634176941316E-2</v>
      </c>
      <c r="AA573" t="s">
        <v>33</v>
      </c>
      <c r="AB573">
        <f>IFERROR(((X573*M573)/Z573), "NA")</f>
        <v>39.0625</v>
      </c>
      <c r="AC573" s="1">
        <f t="shared" si="288"/>
        <v>0.78499999999999992</v>
      </c>
      <c r="AE573" s="3">
        <f t="shared" si="293"/>
        <v>8268.7499999999982</v>
      </c>
      <c r="AF573">
        <v>1250</v>
      </c>
      <c r="AG573" s="1" t="str">
        <f>IFERROR((N573*P573*Q573), "NA")</f>
        <v>NA</v>
      </c>
      <c r="AH573" s="1" t="str">
        <f>IFERROR((AG573*U573*AI573), "NA")</f>
        <v>NA</v>
      </c>
      <c r="AI573" s="1">
        <v>1</v>
      </c>
      <c r="AJ573" s="11" t="s">
        <v>31</v>
      </c>
      <c r="AK573">
        <v>5400</v>
      </c>
      <c r="AL573" t="s">
        <v>238</v>
      </c>
      <c r="AM573" t="s">
        <v>86</v>
      </c>
      <c r="AN573" t="s">
        <v>205</v>
      </c>
      <c r="AO573" t="s">
        <v>789</v>
      </c>
      <c r="AP573">
        <v>3.44</v>
      </c>
      <c r="AQ573" t="s">
        <v>33</v>
      </c>
      <c r="AR573" t="s">
        <v>33</v>
      </c>
      <c r="AS573">
        <v>7.5</v>
      </c>
      <c r="AT573">
        <f>AS573-AU573</f>
        <v>4.21</v>
      </c>
      <c r="AU573" s="6">
        <v>3.29</v>
      </c>
      <c r="AV573" t="b">
        <v>1</v>
      </c>
      <c r="AW573" t="s">
        <v>617</v>
      </c>
      <c r="AX573" t="s">
        <v>33</v>
      </c>
      <c r="AY573" t="s">
        <v>33</v>
      </c>
      <c r="AZ573" t="s">
        <v>619</v>
      </c>
      <c r="BA573" s="18" t="s">
        <v>802</v>
      </c>
      <c r="BB573" s="3" t="b">
        <v>0</v>
      </c>
      <c r="BC573" t="s">
        <v>81</v>
      </c>
      <c r="BD573">
        <v>15</v>
      </c>
      <c r="BE573" t="s">
        <v>80</v>
      </c>
      <c r="BF573">
        <v>24</v>
      </c>
      <c r="BG573" t="s">
        <v>697</v>
      </c>
      <c r="BH573" t="s">
        <v>32</v>
      </c>
      <c r="BI573" t="s">
        <v>31</v>
      </c>
      <c r="BJ573">
        <f t="shared" si="274"/>
        <v>3.29</v>
      </c>
      <c r="BK573" s="3">
        <f t="shared" si="301"/>
        <v>0.51719589794997434</v>
      </c>
      <c r="BL573">
        <v>2</v>
      </c>
      <c r="BM573" s="3">
        <f t="shared" si="285"/>
        <v>3.4002439635816017</v>
      </c>
      <c r="BN573" t="s">
        <v>33</v>
      </c>
      <c r="BO573" s="3">
        <f t="shared" si="271"/>
        <v>2513.2978723404249</v>
      </c>
      <c r="BP573" t="s">
        <v>33</v>
      </c>
      <c r="BQ573" t="s">
        <v>33</v>
      </c>
      <c r="BR573" t="s">
        <v>33</v>
      </c>
      <c r="BS573" t="s">
        <v>33</v>
      </c>
      <c r="BT573" t="s">
        <v>31</v>
      </c>
      <c r="BU573" t="s">
        <v>219</v>
      </c>
      <c r="BV573" s="14">
        <v>2008</v>
      </c>
      <c r="BW573" t="s">
        <v>257</v>
      </c>
      <c r="BX573" t="s">
        <v>78</v>
      </c>
      <c r="BY573" s="13" t="s">
        <v>670</v>
      </c>
      <c r="CA573" t="str">
        <f t="shared" si="273"/>
        <v>high acid</v>
      </c>
    </row>
    <row r="574" spans="1:79">
      <c r="A574" t="s">
        <v>146</v>
      </c>
      <c r="B574" t="s">
        <v>565</v>
      </c>
      <c r="C574" t="s">
        <v>563</v>
      </c>
      <c r="D574" t="s">
        <v>118</v>
      </c>
      <c r="E574" t="s">
        <v>77</v>
      </c>
      <c r="F574" t="s">
        <v>32</v>
      </c>
      <c r="G574">
        <v>10</v>
      </c>
      <c r="H574" t="s">
        <v>33</v>
      </c>
      <c r="I574" t="b">
        <v>0</v>
      </c>
      <c r="J574" t="s">
        <v>33</v>
      </c>
      <c r="K574" t="s">
        <v>33</v>
      </c>
      <c r="L574">
        <v>27</v>
      </c>
      <c r="M574" s="4">
        <v>500</v>
      </c>
      <c r="N574" s="3">
        <f>IFERROR(AF574/((T574*X574/Y574)*O574*AI574),"NA")</f>
        <v>503.35454362283343</v>
      </c>
      <c r="O574">
        <v>3</v>
      </c>
      <c r="P574" t="s">
        <v>33</v>
      </c>
      <c r="Q574" s="8">
        <f t="shared" si="299"/>
        <v>1.4555555555555556E-2</v>
      </c>
      <c r="R574" t="s">
        <v>183</v>
      </c>
      <c r="S574" t="s">
        <v>613</v>
      </c>
      <c r="T574" s="11">
        <v>6</v>
      </c>
      <c r="U574">
        <v>2.9</v>
      </c>
      <c r="V574">
        <v>2.2999999999999998</v>
      </c>
      <c r="W574">
        <v>0.36420000000000002</v>
      </c>
      <c r="X574" s="8">
        <f t="shared" si="300"/>
        <v>1.204879322468025E-2</v>
      </c>
      <c r="Y574" s="6">
        <f>50/60</f>
        <v>0.83333333333333337</v>
      </c>
      <c r="Z574" s="3">
        <f t="shared" si="291"/>
        <v>0.82777968719177286</v>
      </c>
      <c r="AA574" t="s">
        <v>33</v>
      </c>
      <c r="AB574" s="6">
        <f>IFERROR(((X574*M574)/Z574), "NA")</f>
        <v>7.2777777777777786</v>
      </c>
      <c r="AC574" t="str">
        <f t="shared" si="288"/>
        <v>NA</v>
      </c>
      <c r="AD574" s="4">
        <f>AB574*T574*AI574</f>
        <v>43.666666666666671</v>
      </c>
      <c r="AE574" s="3">
        <f t="shared" si="293"/>
        <v>348.57135</v>
      </c>
      <c r="AF574">
        <v>131</v>
      </c>
      <c r="AG574" t="str">
        <f>IFERROR((M574*O574*P574), "NA")</f>
        <v>NA</v>
      </c>
      <c r="AH574" t="str">
        <f>IFERROR((AG574*T574*AI574), "NA")</f>
        <v>NA</v>
      </c>
      <c r="AI574">
        <v>1</v>
      </c>
      <c r="AJ574" t="s">
        <v>31</v>
      </c>
      <c r="AK574">
        <v>3650</v>
      </c>
      <c r="AL574" t="s">
        <v>145</v>
      </c>
      <c r="AM574" t="s">
        <v>86</v>
      </c>
      <c r="AN574" t="s">
        <v>205</v>
      </c>
      <c r="AO574" t="s">
        <v>789</v>
      </c>
      <c r="AP574">
        <v>3.18</v>
      </c>
      <c r="AQ574" t="s">
        <v>33</v>
      </c>
      <c r="AR574" t="s">
        <v>33</v>
      </c>
      <c r="AS574" s="3">
        <v>7.6529999999999996</v>
      </c>
      <c r="AT574" s="3">
        <f>IFERROR(AS574-AU574,"NA")</f>
        <v>4.2129999999999992</v>
      </c>
      <c r="AU574" s="6">
        <v>3.44</v>
      </c>
      <c r="AV574" t="b">
        <v>1</v>
      </c>
      <c r="AW574" t="s">
        <v>29</v>
      </c>
      <c r="AX574" t="s">
        <v>30</v>
      </c>
      <c r="AY574" t="s">
        <v>33</v>
      </c>
      <c r="AZ574" t="s">
        <v>134</v>
      </c>
      <c r="BA574" s="18" t="s">
        <v>798</v>
      </c>
      <c r="BB574" t="b">
        <v>0</v>
      </c>
      <c r="BC574" t="s">
        <v>81</v>
      </c>
      <c r="BD574">
        <f>(48+24)/2</f>
        <v>36</v>
      </c>
      <c r="BE574" t="s">
        <v>80</v>
      </c>
      <c r="BF574" s="11">
        <f>(48+24)/2</f>
        <v>36</v>
      </c>
      <c r="BG574" t="s">
        <v>139</v>
      </c>
      <c r="BH574" t="s">
        <v>31</v>
      </c>
      <c r="BI574" t="s">
        <v>31</v>
      </c>
      <c r="BJ574" s="3">
        <f t="shared" si="274"/>
        <v>3.44</v>
      </c>
      <c r="BK574" s="3">
        <f t="shared" si="301"/>
        <v>0.53655844257153007</v>
      </c>
      <c r="BL574">
        <v>2</v>
      </c>
      <c r="BM574" s="3">
        <f t="shared" si="285"/>
        <v>2.0057332458586834</v>
      </c>
      <c r="BN574" t="s">
        <v>33</v>
      </c>
      <c r="BO574" s="3">
        <f t="shared" si="271"/>
        <v>101.32888081395349</v>
      </c>
      <c r="BP574" t="s">
        <v>33</v>
      </c>
      <c r="BQ574" t="s">
        <v>33</v>
      </c>
      <c r="BR574" t="s">
        <v>33</v>
      </c>
      <c r="BS574" t="s">
        <v>33</v>
      </c>
      <c r="BT574" t="s">
        <v>31</v>
      </c>
      <c r="BU574" t="s">
        <v>135</v>
      </c>
      <c r="BV574">
        <v>2010</v>
      </c>
      <c r="BW574" s="1" t="s">
        <v>140</v>
      </c>
      <c r="BX574" t="s">
        <v>78</v>
      </c>
      <c r="BY574" t="s">
        <v>33</v>
      </c>
      <c r="BZ574" t="s">
        <v>33</v>
      </c>
      <c r="CA574" t="str">
        <f t="shared" si="273"/>
        <v>high acid</v>
      </c>
    </row>
    <row r="575" spans="1:79">
      <c r="A575" t="s">
        <v>326</v>
      </c>
      <c r="B575" t="s">
        <v>565</v>
      </c>
      <c r="C575" t="s">
        <v>563</v>
      </c>
      <c r="D575" t="s">
        <v>118</v>
      </c>
      <c r="E575" t="s">
        <v>77</v>
      </c>
      <c r="F575" t="s">
        <v>32</v>
      </c>
      <c r="G575">
        <v>15</v>
      </c>
      <c r="H575">
        <v>30.4</v>
      </c>
      <c r="I575" t="b">
        <v>0</v>
      </c>
      <c r="J575" t="s">
        <v>33</v>
      </c>
      <c r="K575" t="s">
        <v>33</v>
      </c>
      <c r="L575">
        <v>27.5</v>
      </c>
      <c r="M575" s="4">
        <v>200</v>
      </c>
      <c r="N575" s="3">
        <f>IFERROR(AF575/((T575*X575/Y575)*O575*AI575),"NA")</f>
        <v>3454.7028257350348</v>
      </c>
      <c r="O575">
        <v>5</v>
      </c>
      <c r="P575" t="s">
        <v>33</v>
      </c>
      <c r="Q575" s="8">
        <f t="shared" si="299"/>
        <v>6.2500000000000014E-2</v>
      </c>
      <c r="R575" t="s">
        <v>183</v>
      </c>
      <c r="S575" t="s">
        <v>613</v>
      </c>
      <c r="T575" s="11">
        <v>8</v>
      </c>
      <c r="U575">
        <v>2.9</v>
      </c>
      <c r="V575">
        <v>2.2999999999999998</v>
      </c>
      <c r="W575">
        <v>1.2E-2</v>
      </c>
      <c r="X575" s="8">
        <f t="shared" si="300"/>
        <v>1.204879322468025E-2</v>
      </c>
      <c r="Y575">
        <v>3.33</v>
      </c>
      <c r="Z575" s="3">
        <f t="shared" si="291"/>
        <v>0.19278069159488398</v>
      </c>
      <c r="AA575" t="s">
        <v>33</v>
      </c>
      <c r="AB575" s="6">
        <f>IFERROR(((X575*M575)/Z575), "NA")</f>
        <v>12.500000000000002</v>
      </c>
      <c r="AC575" t="str">
        <f t="shared" si="288"/>
        <v>NA</v>
      </c>
      <c r="AD575" s="4">
        <f>AB575*T575*AI575</f>
        <v>100.00000000000001</v>
      </c>
      <c r="AE575" s="3">
        <f t="shared" si="293"/>
        <v>794.06250000000023</v>
      </c>
      <c r="AF575">
        <v>500</v>
      </c>
      <c r="AG575" t="str">
        <f>IFERROR((M575*O575*P575), "NA")</f>
        <v>NA</v>
      </c>
      <c r="AH575" t="str">
        <f>IFERROR((AG575*T575*AI575), "NA")</f>
        <v>NA</v>
      </c>
      <c r="AI575">
        <v>1</v>
      </c>
      <c r="AJ575" t="s">
        <v>31</v>
      </c>
      <c r="AK575">
        <v>2100</v>
      </c>
      <c r="AL575" t="s">
        <v>551</v>
      </c>
      <c r="AM575" t="s">
        <v>86</v>
      </c>
      <c r="AN575" t="s">
        <v>205</v>
      </c>
      <c r="AO575" t="s">
        <v>789</v>
      </c>
      <c r="AP575">
        <v>3.79</v>
      </c>
      <c r="AQ575">
        <v>1060</v>
      </c>
      <c r="AR575" t="s">
        <v>33</v>
      </c>
      <c r="AS575" s="6">
        <f>LOG((10^6+10^7)/2)</f>
        <v>6.7403626894942441</v>
      </c>
      <c r="AT575" s="3">
        <f>IFERROR(AS575-AU575,"NA")</f>
        <v>4.2203626894942445</v>
      </c>
      <c r="AU575" s="6">
        <v>2.52</v>
      </c>
      <c r="AV575" t="b">
        <v>1</v>
      </c>
      <c r="AW575" t="s">
        <v>123</v>
      </c>
      <c r="AX575" t="s">
        <v>327</v>
      </c>
      <c r="AY575" t="s">
        <v>328</v>
      </c>
      <c r="AZ575" t="s">
        <v>33</v>
      </c>
      <c r="BA575" s="18" t="s">
        <v>579</v>
      </c>
      <c r="BB575" t="b">
        <v>1</v>
      </c>
      <c r="BC575" t="s">
        <v>81</v>
      </c>
      <c r="BD575">
        <v>144</v>
      </c>
      <c r="BE575" t="s">
        <v>80</v>
      </c>
      <c r="BF575" s="11">
        <v>120</v>
      </c>
      <c r="BG575" t="s">
        <v>329</v>
      </c>
      <c r="BH575" t="s">
        <v>31</v>
      </c>
      <c r="BI575" t="s">
        <v>31</v>
      </c>
      <c r="BJ575" s="3">
        <f t="shared" si="274"/>
        <v>2.52</v>
      </c>
      <c r="BK575" s="3">
        <f t="shared" si="301"/>
        <v>0.40140054078154408</v>
      </c>
      <c r="BL575">
        <v>2</v>
      </c>
      <c r="BM575" s="3">
        <f t="shared" si="285"/>
        <v>2.4984541459489193</v>
      </c>
      <c r="BN575" t="s">
        <v>33</v>
      </c>
      <c r="BO575" s="3">
        <f t="shared" si="271"/>
        <v>315.10416666666674</v>
      </c>
      <c r="BP575" t="s">
        <v>33</v>
      </c>
      <c r="BQ575" t="s">
        <v>33</v>
      </c>
      <c r="BR575" t="s">
        <v>33</v>
      </c>
      <c r="BS575" t="s">
        <v>33</v>
      </c>
      <c r="BT575" t="s">
        <v>31</v>
      </c>
      <c r="BU575" t="s">
        <v>330</v>
      </c>
      <c r="BV575">
        <v>2009</v>
      </c>
      <c r="BW575" t="s">
        <v>331</v>
      </c>
      <c r="BX575" t="s">
        <v>78</v>
      </c>
      <c r="BY575" t="s">
        <v>33</v>
      </c>
      <c r="BZ575" t="s">
        <v>335</v>
      </c>
      <c r="CA575" t="str">
        <f t="shared" si="273"/>
        <v>high acid</v>
      </c>
    </row>
    <row r="576" spans="1:79">
      <c r="A576" t="s">
        <v>771</v>
      </c>
      <c r="B576" t="s">
        <v>565</v>
      </c>
      <c r="C576" t="s">
        <v>563</v>
      </c>
      <c r="D576" t="s">
        <v>118</v>
      </c>
      <c r="E576" t="s">
        <v>77</v>
      </c>
      <c r="F576" t="s">
        <v>32</v>
      </c>
      <c r="G576">
        <v>20</v>
      </c>
      <c r="H576" t="s">
        <v>33</v>
      </c>
      <c r="I576" t="b">
        <v>0</v>
      </c>
      <c r="J576" t="s">
        <v>33</v>
      </c>
      <c r="K576" t="s">
        <v>33</v>
      </c>
      <c r="L576">
        <v>30</v>
      </c>
      <c r="M576" s="4">
        <v>500</v>
      </c>
      <c r="N576" s="3">
        <f>IFERROR(AF576/((T576*X576/Y576)*O576*AI576),"NA")</f>
        <v>2397.1108735599319</v>
      </c>
      <c r="O576">
        <v>3</v>
      </c>
      <c r="P576" s="8">
        <f>Q576</f>
        <v>6.7111111111111107E-2</v>
      </c>
      <c r="Q576" s="8">
        <f t="shared" si="299"/>
        <v>6.7111111111111107E-2</v>
      </c>
      <c r="R576" t="s">
        <v>183</v>
      </c>
      <c r="S576" t="s">
        <v>613</v>
      </c>
      <c r="T576" s="11">
        <v>6</v>
      </c>
      <c r="U576">
        <v>2.92</v>
      </c>
      <c r="V576">
        <v>2.2999999999999998</v>
      </c>
      <c r="W576" s="16">
        <f>X576</f>
        <v>1.2131888350367701E-2</v>
      </c>
      <c r="X576" s="16">
        <f t="shared" si="300"/>
        <v>1.2131888350367701E-2</v>
      </c>
      <c r="Y576" s="6">
        <f>52/60</f>
        <v>0.8666666666666667</v>
      </c>
      <c r="Z576" s="3">
        <f t="shared" si="291"/>
        <v>0.18077317078362468</v>
      </c>
      <c r="AA576" t="s">
        <v>33</v>
      </c>
      <c r="AB576" s="4">
        <f>IFERROR(((X576*M576)/Y576), "NA")</f>
        <v>6.9991663559813659</v>
      </c>
      <c r="AC576" s="4">
        <f t="shared" si="288"/>
        <v>33.555555555555557</v>
      </c>
      <c r="AD576" s="4">
        <f>AB576*T576*AI576</f>
        <v>41.994998135888196</v>
      </c>
      <c r="AE576" s="3">
        <f t="shared" si="293"/>
        <v>1494.8999999999999</v>
      </c>
      <c r="AF576">
        <v>604</v>
      </c>
      <c r="AG576" s="4">
        <f>IFERROR((M576*O576*P576), "NA")</f>
        <v>100.66666666666666</v>
      </c>
      <c r="AH576" s="4">
        <f>IFERROR((AG576*T576*AI576), "NA")</f>
        <v>604</v>
      </c>
      <c r="AI576">
        <v>1</v>
      </c>
      <c r="AJ576" s="11" t="s">
        <v>31</v>
      </c>
      <c r="AK576">
        <v>2750</v>
      </c>
      <c r="AL576" t="s">
        <v>149</v>
      </c>
      <c r="AM576" t="s">
        <v>86</v>
      </c>
      <c r="AN576" t="s">
        <v>205</v>
      </c>
      <c r="AO576" t="s">
        <v>789</v>
      </c>
      <c r="AP576">
        <v>3.67</v>
      </c>
      <c r="AQ576" t="s">
        <v>33</v>
      </c>
      <c r="AR576" t="s">
        <v>33</v>
      </c>
      <c r="AS576">
        <v>5.8979999999999997</v>
      </c>
      <c r="AT576" s="3">
        <f>IFERROR(AS576-AU576,"NA")</f>
        <v>4.2210000000000001</v>
      </c>
      <c r="AU576" s="6">
        <f>AS576-4.221</f>
        <v>1.6769999999999996</v>
      </c>
      <c r="AV576" t="b">
        <v>1</v>
      </c>
      <c r="AW576" t="s">
        <v>92</v>
      </c>
      <c r="AX576" t="s">
        <v>93</v>
      </c>
      <c r="AY576" t="s">
        <v>137</v>
      </c>
      <c r="AZ576" t="s">
        <v>33</v>
      </c>
      <c r="BA576" s="18" t="s">
        <v>801</v>
      </c>
      <c r="BB576" s="3" t="b">
        <v>0</v>
      </c>
      <c r="BC576" t="s">
        <v>81</v>
      </c>
      <c r="BD576">
        <v>36</v>
      </c>
      <c r="BE576" t="s">
        <v>80</v>
      </c>
      <c r="BF576">
        <v>36</v>
      </c>
      <c r="BG576" t="s">
        <v>775</v>
      </c>
      <c r="BH576" t="s">
        <v>32</v>
      </c>
      <c r="BI576" t="s">
        <v>31</v>
      </c>
      <c r="BJ576" s="3">
        <f t="shared" si="274"/>
        <v>1.6769999999999996</v>
      </c>
      <c r="BK576" s="3">
        <f t="shared" si="301"/>
        <v>0.22453306260608563</v>
      </c>
      <c r="BL576">
        <v>2</v>
      </c>
      <c r="BM576" s="3">
        <f t="shared" si="285"/>
        <v>2.9500790792846336</v>
      </c>
      <c r="BN576" t="s">
        <v>33</v>
      </c>
      <c r="BO576" s="3">
        <f t="shared" si="271"/>
        <v>891.41323792486594</v>
      </c>
      <c r="BP576" t="s">
        <v>33</v>
      </c>
      <c r="BQ576" t="s">
        <v>33</v>
      </c>
      <c r="BR576" t="s">
        <v>33</v>
      </c>
      <c r="BS576" t="s">
        <v>33</v>
      </c>
      <c r="BT576" t="s">
        <v>31</v>
      </c>
      <c r="BU576" t="s">
        <v>163</v>
      </c>
      <c r="BV576">
        <v>2023</v>
      </c>
      <c r="BW576" t="s">
        <v>776</v>
      </c>
      <c r="BX576" t="s">
        <v>78</v>
      </c>
      <c r="BY576" t="s">
        <v>772</v>
      </c>
      <c r="CA576" t="str">
        <f t="shared" si="273"/>
        <v>high acid</v>
      </c>
    </row>
    <row r="577" spans="1:79">
      <c r="A577" t="s">
        <v>588</v>
      </c>
      <c r="B577" t="s">
        <v>565</v>
      </c>
      <c r="C577" t="s">
        <v>563</v>
      </c>
      <c r="D577" t="s">
        <v>608</v>
      </c>
      <c r="E577" t="s">
        <v>77</v>
      </c>
      <c r="F577" t="s">
        <v>32</v>
      </c>
      <c r="G577" t="s">
        <v>33</v>
      </c>
      <c r="H577">
        <v>40</v>
      </c>
      <c r="I577" t="b">
        <v>0</v>
      </c>
      <c r="J577" t="s">
        <v>33</v>
      </c>
      <c r="K577" t="s">
        <v>33</v>
      </c>
      <c r="L577">
        <v>35</v>
      </c>
      <c r="M577" s="4">
        <v>250</v>
      </c>
      <c r="N577" t="e">
        <f>(#REF!*Y577)/(T577*X577*O577)</f>
        <v>#REF!</v>
      </c>
      <c r="O577">
        <v>3.7</v>
      </c>
      <c r="P577" t="s">
        <v>33</v>
      </c>
      <c r="Q577" s="1">
        <f t="shared" si="299"/>
        <v>6.4864864864864855E-2</v>
      </c>
      <c r="R577" t="s">
        <v>183</v>
      </c>
      <c r="S577" t="s">
        <v>613</v>
      </c>
      <c r="T577">
        <v>6</v>
      </c>
      <c r="U577">
        <v>1.9</v>
      </c>
      <c r="V577">
        <v>2.2999999999999998</v>
      </c>
      <c r="W577" t="s">
        <v>33</v>
      </c>
      <c r="X577">
        <f t="shared" si="300"/>
        <v>7.8940369403077502E-3</v>
      </c>
      <c r="Y577">
        <v>1</v>
      </c>
      <c r="Z577" s="3">
        <f t="shared" si="291"/>
        <v>0.12169973616307783</v>
      </c>
      <c r="AA577" t="s">
        <v>33</v>
      </c>
      <c r="AB577">
        <f t="shared" ref="AB577:AB582" si="302">IFERROR(((X577*M577)/Z577), "NA")</f>
        <v>16.216216216216214</v>
      </c>
      <c r="AC577" s="1" t="str">
        <f t="shared" si="288"/>
        <v>NA</v>
      </c>
      <c r="AE577" s="3">
        <f t="shared" si="293"/>
        <v>2116.7999999999997</v>
      </c>
      <c r="AF577">
        <v>360</v>
      </c>
      <c r="AG577" s="1" t="str">
        <f>IFERROR((N577*P577*Q577), "NA")</f>
        <v>NA</v>
      </c>
      <c r="AH577" s="1" t="str">
        <f>IFERROR((AG577*U577*AI577), "NA")</f>
        <v>NA</v>
      </c>
      <c r="AI577" s="1">
        <v>1</v>
      </c>
      <c r="AJ577" s="11" t="s">
        <v>31</v>
      </c>
      <c r="AK577">
        <v>4800</v>
      </c>
      <c r="AL577" t="s">
        <v>156</v>
      </c>
      <c r="AM577" t="s">
        <v>157</v>
      </c>
      <c r="AN577" t="s">
        <v>186</v>
      </c>
      <c r="AO577" t="s">
        <v>792</v>
      </c>
      <c r="AP577">
        <v>6.53</v>
      </c>
      <c r="AQ577" t="s">
        <v>33</v>
      </c>
      <c r="AR577" t="s">
        <v>33</v>
      </c>
      <c r="AS577">
        <v>6.5</v>
      </c>
      <c r="AT577">
        <v>4.2300000000000004</v>
      </c>
      <c r="AU577" s="6">
        <f>AS577-AT577</f>
        <v>2.2699999999999996</v>
      </c>
      <c r="AV577" t="b">
        <v>1</v>
      </c>
      <c r="AW577" t="s">
        <v>626</v>
      </c>
      <c r="AX577" t="s">
        <v>627</v>
      </c>
      <c r="AY577" t="s">
        <v>625</v>
      </c>
      <c r="AZ577" t="s">
        <v>33</v>
      </c>
      <c r="BA577" s="18" t="s">
        <v>800</v>
      </c>
      <c r="BB577" s="3" t="b">
        <v>0</v>
      </c>
      <c r="BC577" t="s">
        <v>81</v>
      </c>
      <c r="BD577">
        <v>12</v>
      </c>
      <c r="BE577" t="s">
        <v>80</v>
      </c>
      <c r="BF577">
        <v>48</v>
      </c>
      <c r="BG577" t="s">
        <v>643</v>
      </c>
      <c r="BH577" t="s">
        <v>31</v>
      </c>
      <c r="BI577" t="s">
        <v>31</v>
      </c>
      <c r="BJ577">
        <f t="shared" si="274"/>
        <v>2.2699999999999996</v>
      </c>
      <c r="BK577" s="3">
        <f t="shared" si="301"/>
        <v>0.35602585719312263</v>
      </c>
      <c r="BL577">
        <v>2</v>
      </c>
      <c r="BM577" s="3">
        <f t="shared" ref="BM577:BM595" si="303">IFERROR(LOG(BO577),"NA")</f>
        <v>2.9696539696503033</v>
      </c>
      <c r="BN577" t="s">
        <v>33</v>
      </c>
      <c r="BO577" s="3">
        <f t="shared" si="271"/>
        <v>932.51101321585907</v>
      </c>
      <c r="BP577" t="s">
        <v>33</v>
      </c>
      <c r="BQ577" t="s">
        <v>33</v>
      </c>
      <c r="BR577" t="s">
        <v>33</v>
      </c>
      <c r="BS577" t="s">
        <v>33</v>
      </c>
      <c r="BT577" t="s">
        <v>31</v>
      </c>
      <c r="BU577" s="13" t="s">
        <v>163</v>
      </c>
      <c r="BV577">
        <v>2004</v>
      </c>
      <c r="BW577" t="s">
        <v>654</v>
      </c>
      <c r="BX577" t="s">
        <v>78</v>
      </c>
      <c r="BY577" s="13" t="s">
        <v>677</v>
      </c>
      <c r="CA577" t="str">
        <f t="shared" si="273"/>
        <v>low acid</v>
      </c>
    </row>
    <row r="578" spans="1:79">
      <c r="A578" t="s">
        <v>605</v>
      </c>
      <c r="B578" t="s">
        <v>565</v>
      </c>
      <c r="C578" t="s">
        <v>563</v>
      </c>
      <c r="D578" t="s">
        <v>118</v>
      </c>
      <c r="E578" t="s">
        <v>77</v>
      </c>
      <c r="F578" t="s">
        <v>33</v>
      </c>
      <c r="G578" t="s">
        <v>33</v>
      </c>
      <c r="H578" t="s">
        <v>33</v>
      </c>
      <c r="I578" t="b">
        <v>0</v>
      </c>
      <c r="J578" t="s">
        <v>33</v>
      </c>
      <c r="K578" t="s">
        <v>33</v>
      </c>
      <c r="L578">
        <v>30</v>
      </c>
      <c r="M578" s="4">
        <v>500</v>
      </c>
      <c r="N578" t="e">
        <f>(#REF!*Y578)/(T578*X578*O578)</f>
        <v>#REF!</v>
      </c>
      <c r="O578">
        <v>3</v>
      </c>
      <c r="P578" t="s">
        <v>33</v>
      </c>
      <c r="Q578" s="1">
        <f t="shared" si="299"/>
        <v>1.4555555555555556E-2</v>
      </c>
      <c r="R578" t="s">
        <v>183</v>
      </c>
      <c r="S578" t="s">
        <v>613</v>
      </c>
      <c r="T578">
        <v>6</v>
      </c>
      <c r="U578">
        <v>2.9</v>
      </c>
      <c r="V578">
        <v>2.2999999999999998</v>
      </c>
      <c r="W578" t="s">
        <v>33</v>
      </c>
      <c r="X578">
        <f t="shared" si="300"/>
        <v>1.204879322468025E-2</v>
      </c>
      <c r="Y578">
        <v>0.83333299999999999</v>
      </c>
      <c r="Z578" s="3">
        <f t="shared" si="291"/>
        <v>0.82777968719177286</v>
      </c>
      <c r="AA578" t="s">
        <v>33</v>
      </c>
      <c r="AB578">
        <f t="shared" si="302"/>
        <v>7.2777777777777786</v>
      </c>
      <c r="AC578" s="1" t="str">
        <f t="shared" si="288"/>
        <v>NA</v>
      </c>
      <c r="AE578" s="3">
        <f t="shared" si="293"/>
        <v>455.09400000000005</v>
      </c>
      <c r="AF578">
        <v>131</v>
      </c>
      <c r="AG578" s="1" t="str">
        <f>IFERROR((N578*P578*Q578), "NA")</f>
        <v>NA</v>
      </c>
      <c r="AH578" s="1" t="str">
        <f>IFERROR((AG578*U578*AI578), "NA")</f>
        <v>NA</v>
      </c>
      <c r="AI578" s="1">
        <v>1</v>
      </c>
      <c r="AJ578" s="11" t="s">
        <v>31</v>
      </c>
      <c r="AK578">
        <f>3.86*10^3</f>
        <v>3860</v>
      </c>
      <c r="AL578" t="s">
        <v>138</v>
      </c>
      <c r="AM578" t="s">
        <v>86</v>
      </c>
      <c r="AN578" t="s">
        <v>205</v>
      </c>
      <c r="AO578" t="s">
        <v>789</v>
      </c>
      <c r="AP578">
        <v>3.9</v>
      </c>
      <c r="AQ578" t="s">
        <v>33</v>
      </c>
      <c r="AR578" t="s">
        <v>33</v>
      </c>
      <c r="AS578">
        <v>7.78</v>
      </c>
      <c r="AT578">
        <v>4.2300000000000004</v>
      </c>
      <c r="AU578" s="6">
        <f>AS578-AT578</f>
        <v>3.55</v>
      </c>
      <c r="AV578" t="b">
        <v>1</v>
      </c>
      <c r="AW578" t="s">
        <v>632</v>
      </c>
      <c r="AX578" t="s">
        <v>639</v>
      </c>
      <c r="AY578" t="s">
        <v>33</v>
      </c>
      <c r="AZ578" t="s">
        <v>33</v>
      </c>
      <c r="BA578" s="18" t="s">
        <v>803</v>
      </c>
      <c r="BB578" s="3" t="b">
        <v>0</v>
      </c>
      <c r="BC578" t="s">
        <v>81</v>
      </c>
      <c r="BD578">
        <f>AVERAGE(24, 48)</f>
        <v>36</v>
      </c>
      <c r="BE578" t="s">
        <v>80</v>
      </c>
      <c r="BF578">
        <v>48</v>
      </c>
      <c r="BG578" t="s">
        <v>647</v>
      </c>
      <c r="BH578" t="s">
        <v>31</v>
      </c>
      <c r="BI578" t="s">
        <v>31</v>
      </c>
      <c r="BJ578" s="3">
        <f t="shared" si="274"/>
        <v>3.55</v>
      </c>
      <c r="BK578" s="3">
        <f t="shared" si="301"/>
        <v>0.5502283530550941</v>
      </c>
      <c r="BL578">
        <v>2</v>
      </c>
      <c r="BM578" s="3">
        <f t="shared" si="303"/>
        <v>2.1078727567117501</v>
      </c>
      <c r="BN578" t="s">
        <v>33</v>
      </c>
      <c r="BO578" s="3">
        <f t="shared" ref="BO578:BO641" si="304">IFERROR((AE578/BJ578),"NA")</f>
        <v>128.1954929577465</v>
      </c>
      <c r="BP578" t="s">
        <v>33</v>
      </c>
      <c r="BQ578" t="s">
        <v>33</v>
      </c>
      <c r="BR578" t="s">
        <v>33</v>
      </c>
      <c r="BS578" t="s">
        <v>33</v>
      </c>
      <c r="BT578" t="s">
        <v>31</v>
      </c>
      <c r="BU578" s="13" t="s">
        <v>135</v>
      </c>
      <c r="BV578" s="14">
        <v>2009</v>
      </c>
      <c r="BW578" s="13" t="s">
        <v>136</v>
      </c>
      <c r="BX578" t="s">
        <v>78</v>
      </c>
      <c r="BY578" s="13" t="s">
        <v>692</v>
      </c>
      <c r="CA578" t="str">
        <f t="shared" si="273"/>
        <v>high acid</v>
      </c>
    </row>
    <row r="579" spans="1:79">
      <c r="A579" t="s">
        <v>587</v>
      </c>
      <c r="B579" t="s">
        <v>565</v>
      </c>
      <c r="C579" t="s">
        <v>563</v>
      </c>
      <c r="D579" t="s">
        <v>118</v>
      </c>
      <c r="E579" t="s">
        <v>77</v>
      </c>
      <c r="F579" t="s">
        <v>32</v>
      </c>
      <c r="G579">
        <v>40</v>
      </c>
      <c r="H579">
        <v>40</v>
      </c>
      <c r="I579" t="b">
        <v>1</v>
      </c>
      <c r="J579" t="s">
        <v>33</v>
      </c>
      <c r="K579" t="s">
        <v>33</v>
      </c>
      <c r="L579">
        <v>30</v>
      </c>
      <c r="M579" s="4">
        <v>100</v>
      </c>
      <c r="N579" t="e">
        <f>(#REF!*Y579)/(T579*X579*O579)</f>
        <v>#REF!</v>
      </c>
      <c r="O579">
        <v>2</v>
      </c>
      <c r="P579" t="s">
        <v>33</v>
      </c>
      <c r="Q579" s="1">
        <f t="shared" si="299"/>
        <v>0.66666666666666663</v>
      </c>
      <c r="R579" t="s">
        <v>183</v>
      </c>
      <c r="S579" t="s">
        <v>613</v>
      </c>
      <c r="T579">
        <v>6</v>
      </c>
      <c r="U579">
        <v>2.92</v>
      </c>
      <c r="V579">
        <v>2.2999999999999998</v>
      </c>
      <c r="W579" t="s">
        <v>33</v>
      </c>
      <c r="X579">
        <f t="shared" si="300"/>
        <v>1.2131888350367701E-2</v>
      </c>
      <c r="Y579">
        <v>1.4</v>
      </c>
      <c r="Z579" s="3">
        <f t="shared" si="291"/>
        <v>1.8197832525551551E-2</v>
      </c>
      <c r="AA579" t="s">
        <v>33</v>
      </c>
      <c r="AB579">
        <f t="shared" si="302"/>
        <v>66.666666666666671</v>
      </c>
      <c r="AC579" s="1" t="str">
        <f t="shared" si="288"/>
        <v>NA</v>
      </c>
      <c r="AE579" s="3">
        <f t="shared" si="293"/>
        <v>4464</v>
      </c>
      <c r="AF579">
        <v>800</v>
      </c>
      <c r="AG579" s="1" t="str">
        <f>IFERROR((N579*P579*Q579), "NA")</f>
        <v>NA</v>
      </c>
      <c r="AH579" s="1" t="str">
        <f>IFERROR((AG579*U579*AI579), "NA")</f>
        <v>NA</v>
      </c>
      <c r="AI579" s="1">
        <v>1</v>
      </c>
      <c r="AJ579" s="11" t="s">
        <v>31</v>
      </c>
      <c r="AK579">
        <v>6200</v>
      </c>
      <c r="AL579" t="s">
        <v>561</v>
      </c>
      <c r="AM579" s="3" t="s">
        <v>786</v>
      </c>
      <c r="AN579" t="s">
        <v>186</v>
      </c>
      <c r="AO579" t="s">
        <v>793</v>
      </c>
      <c r="AP579">
        <v>7.6</v>
      </c>
      <c r="AQ579" t="s">
        <v>33</v>
      </c>
      <c r="AR579" t="s">
        <v>33</v>
      </c>
      <c r="AS579">
        <v>8</v>
      </c>
      <c r="AT579">
        <f>AS579-AU579</f>
        <v>4.2300000000000004</v>
      </c>
      <c r="AU579" s="6">
        <v>3.77</v>
      </c>
      <c r="AV579" t="b">
        <v>1</v>
      </c>
      <c r="AW579" t="s">
        <v>626</v>
      </c>
      <c r="AX579" t="s">
        <v>627</v>
      </c>
      <c r="AY579" t="s">
        <v>622</v>
      </c>
      <c r="AZ579" t="s">
        <v>33</v>
      </c>
      <c r="BA579" s="18" t="s">
        <v>800</v>
      </c>
      <c r="BB579" s="3" t="b">
        <v>0</v>
      </c>
      <c r="BC579" t="s">
        <v>81</v>
      </c>
      <c r="BD579">
        <v>13</v>
      </c>
      <c r="BE579" t="s">
        <v>80</v>
      </c>
      <c r="BF579">
        <v>48</v>
      </c>
      <c r="BG579" t="s">
        <v>568</v>
      </c>
      <c r="BH579" t="s">
        <v>31</v>
      </c>
      <c r="BI579" t="s">
        <v>31</v>
      </c>
      <c r="BJ579">
        <f t="shared" si="274"/>
        <v>3.77</v>
      </c>
      <c r="BK579" s="3">
        <f t="shared" si="301"/>
        <v>0.57634135020579291</v>
      </c>
      <c r="BL579">
        <v>2</v>
      </c>
      <c r="BM579" s="3">
        <f t="shared" si="303"/>
        <v>3.0733828357237294</v>
      </c>
      <c r="BN579" t="s">
        <v>33</v>
      </c>
      <c r="BO579" s="3">
        <f t="shared" si="304"/>
        <v>1184.0848806366048</v>
      </c>
      <c r="BP579" t="s">
        <v>33</v>
      </c>
      <c r="BQ579" t="s">
        <v>33</v>
      </c>
      <c r="BR579" t="s">
        <v>33</v>
      </c>
      <c r="BS579" t="s">
        <v>33</v>
      </c>
      <c r="BT579" t="s">
        <v>31</v>
      </c>
      <c r="BU579" t="s">
        <v>344</v>
      </c>
      <c r="BV579">
        <v>2007</v>
      </c>
      <c r="BW579" t="s">
        <v>345</v>
      </c>
      <c r="BX579" t="s">
        <v>78</v>
      </c>
      <c r="BY579" s="13" t="s">
        <v>676</v>
      </c>
      <c r="CA579" t="str">
        <f t="shared" ref="CA579:CA642" si="305">IF(OR(AN579="low acidic liquid medium", AN579="low acidic food product"), "low acid",
    IF(OR(AN579="high acidic food product", AN579="high acidic liquid medium"), "high acid", "NA"))</f>
        <v>low acid</v>
      </c>
    </row>
    <row r="580" spans="1:79">
      <c r="A580" t="s">
        <v>392</v>
      </c>
      <c r="B580" t="s">
        <v>565</v>
      </c>
      <c r="C580" t="s">
        <v>563</v>
      </c>
      <c r="D580" t="s">
        <v>118</v>
      </c>
      <c r="E580" t="s">
        <v>77</v>
      </c>
      <c r="F580" t="s">
        <v>32</v>
      </c>
      <c r="G580">
        <v>25</v>
      </c>
      <c r="H580">
        <v>36</v>
      </c>
      <c r="I580" t="b">
        <v>0</v>
      </c>
      <c r="J580" t="s">
        <v>33</v>
      </c>
      <c r="K580" t="s">
        <v>33</v>
      </c>
      <c r="L580">
        <v>30</v>
      </c>
      <c r="M580" s="4">
        <v>200</v>
      </c>
      <c r="N580" s="3" t="str">
        <f>IFERROR(AF580/((T580*X580/Y580)*O580*AI580),"NA")</f>
        <v>NA</v>
      </c>
      <c r="O580">
        <v>4</v>
      </c>
      <c r="P580" t="s">
        <v>33</v>
      </c>
      <c r="Q580" s="8">
        <f t="shared" si="299"/>
        <v>9.3750000000000014E-2</v>
      </c>
      <c r="R580" t="s">
        <v>183</v>
      </c>
      <c r="S580" t="s">
        <v>613</v>
      </c>
      <c r="T580" s="11">
        <v>8</v>
      </c>
      <c r="U580">
        <v>2.9</v>
      </c>
      <c r="V580">
        <v>2.2999999999999998</v>
      </c>
      <c r="W580">
        <v>1.2E-2</v>
      </c>
      <c r="X580" s="8">
        <f t="shared" si="300"/>
        <v>1.204879322468025E-2</v>
      </c>
      <c r="Y580" t="s">
        <v>33</v>
      </c>
      <c r="Z580" s="3">
        <f t="shared" si="291"/>
        <v>0.12852046106325599</v>
      </c>
      <c r="AA580" t="s">
        <v>33</v>
      </c>
      <c r="AB580" s="6">
        <f t="shared" si="302"/>
        <v>18.75</v>
      </c>
      <c r="AC580" t="str">
        <f t="shared" si="288"/>
        <v>NA</v>
      </c>
      <c r="AD580" s="4">
        <f>AB580*T580*AI580</f>
        <v>150</v>
      </c>
      <c r="AE580" s="3">
        <f t="shared" si="293"/>
        <v>2289.6</v>
      </c>
      <c r="AF580">
        <v>600</v>
      </c>
      <c r="AG580" t="str">
        <f>IFERROR((M580*O580*P580), "NA")</f>
        <v>NA</v>
      </c>
      <c r="AH580" t="str">
        <f>IFERROR((AG580*T580*AI580), "NA")</f>
        <v>NA</v>
      </c>
      <c r="AI580">
        <v>1</v>
      </c>
      <c r="AJ580" t="s">
        <v>31</v>
      </c>
      <c r="AK580">
        <v>4240</v>
      </c>
      <c r="AL580" t="s">
        <v>238</v>
      </c>
      <c r="AM580" t="s">
        <v>86</v>
      </c>
      <c r="AN580" t="s">
        <v>205</v>
      </c>
      <c r="AO580" t="s">
        <v>789</v>
      </c>
      <c r="AP580">
        <v>3.56</v>
      </c>
      <c r="AQ580" t="s">
        <v>33</v>
      </c>
      <c r="AR580" t="s">
        <v>33</v>
      </c>
      <c r="AS580" s="6">
        <f>LOG(10^8)</f>
        <v>8</v>
      </c>
      <c r="AT580" s="3">
        <f>IFERROR(AS580-AU580,"NA")</f>
        <v>4.2320000000000002</v>
      </c>
      <c r="AU580" s="6">
        <v>3.7679999999999998</v>
      </c>
      <c r="AV580" t="b">
        <v>1</v>
      </c>
      <c r="AW580" t="s">
        <v>123</v>
      </c>
      <c r="AX580" t="s">
        <v>393</v>
      </c>
      <c r="AY580" t="s">
        <v>394</v>
      </c>
      <c r="AZ580" t="s">
        <v>33</v>
      </c>
      <c r="BA580" s="18" t="s">
        <v>579</v>
      </c>
      <c r="BB580" t="b">
        <v>1</v>
      </c>
      <c r="BC580" t="s">
        <v>81</v>
      </c>
      <c r="BD580">
        <v>72</v>
      </c>
      <c r="BE580" t="s">
        <v>80</v>
      </c>
      <c r="BF580" s="11">
        <v>72</v>
      </c>
      <c r="BG580" t="s">
        <v>395</v>
      </c>
      <c r="BH580" t="s">
        <v>31</v>
      </c>
      <c r="BI580" t="s">
        <v>31</v>
      </c>
      <c r="BJ580" s="3">
        <f t="shared" si="274"/>
        <v>3.7679999999999998</v>
      </c>
      <c r="BK580" s="3">
        <f t="shared" si="301"/>
        <v>0.57611089412083971</v>
      </c>
      <c r="BL580">
        <v>2</v>
      </c>
      <c r="BM580" s="3">
        <f t="shared" si="303"/>
        <v>2.7836487222948616</v>
      </c>
      <c r="BN580" t="s">
        <v>33</v>
      </c>
      <c r="BO580" s="3">
        <f t="shared" si="304"/>
        <v>607.64331210191085</v>
      </c>
      <c r="BP580" t="s">
        <v>33</v>
      </c>
      <c r="BQ580" t="s">
        <v>33</v>
      </c>
      <c r="BR580" t="s">
        <v>33</v>
      </c>
      <c r="BS580" t="s">
        <v>33</v>
      </c>
      <c r="BT580" t="s">
        <v>31</v>
      </c>
      <c r="BU580" t="s">
        <v>240</v>
      </c>
      <c r="BV580">
        <v>2005</v>
      </c>
      <c r="BW580" t="s">
        <v>396</v>
      </c>
      <c r="BX580" t="s">
        <v>78</v>
      </c>
      <c r="BY580" t="s">
        <v>33</v>
      </c>
      <c r="BZ580" t="s">
        <v>33</v>
      </c>
      <c r="CA580" t="str">
        <f t="shared" si="305"/>
        <v>high acid</v>
      </c>
    </row>
    <row r="581" spans="1:79">
      <c r="A581" t="s">
        <v>223</v>
      </c>
      <c r="B581" t="s">
        <v>565</v>
      </c>
      <c r="C581" t="s">
        <v>563</v>
      </c>
      <c r="D581" t="s">
        <v>118</v>
      </c>
      <c r="E581" t="s">
        <v>77</v>
      </c>
      <c r="F581" t="s">
        <v>32</v>
      </c>
      <c r="G581">
        <v>5</v>
      </c>
      <c r="H581">
        <v>39.1</v>
      </c>
      <c r="I581" t="b">
        <v>0</v>
      </c>
      <c r="J581" t="s">
        <v>33</v>
      </c>
      <c r="K581" t="s">
        <v>33</v>
      </c>
      <c r="L581">
        <v>35</v>
      </c>
      <c r="M581" s="4">
        <v>175</v>
      </c>
      <c r="N581" s="3">
        <f>IFERROR(AF581/((T581*X581/Y581)*O581*AI581),"NA")</f>
        <v>8586.1873814153205</v>
      </c>
      <c r="O581">
        <v>4</v>
      </c>
      <c r="P581" t="s">
        <v>33</v>
      </c>
      <c r="Q581" s="8">
        <f t="shared" si="299"/>
        <v>0.35714285714285715</v>
      </c>
      <c r="R581" t="s">
        <v>183</v>
      </c>
      <c r="S581" t="s">
        <v>613</v>
      </c>
      <c r="T581" s="11">
        <v>8</v>
      </c>
      <c r="U581">
        <v>2.92</v>
      </c>
      <c r="V581">
        <v>2.2999999999999998</v>
      </c>
      <c r="W581">
        <v>1.21E-2</v>
      </c>
      <c r="X581" s="8">
        <f t="shared" si="300"/>
        <v>1.2131888350367701E-2</v>
      </c>
      <c r="Y581" s="6">
        <f>100/60</f>
        <v>1.6666666666666667</v>
      </c>
      <c r="Z581" s="3">
        <f t="shared" si="291"/>
        <v>3.3969287381029563E-2</v>
      </c>
      <c r="AA581" t="s">
        <v>33</v>
      </c>
      <c r="AB581" s="6">
        <f t="shared" si="302"/>
        <v>62.499999999999993</v>
      </c>
      <c r="AC581" t="str">
        <f t="shared" si="288"/>
        <v>NA</v>
      </c>
      <c r="AD581" s="4">
        <f>AB581*T581*AI581</f>
        <v>499.99999999999994</v>
      </c>
      <c r="AE581" s="3">
        <f t="shared" si="293"/>
        <v>12813.499999999998</v>
      </c>
      <c r="AF581">
        <v>2000</v>
      </c>
      <c r="AG581" t="str">
        <f>IFERROR((M581*O581*P581), "NA")</f>
        <v>NA</v>
      </c>
      <c r="AH581" t="str">
        <f>IFERROR((AG581*T581*AI581), "NA")</f>
        <v>NA</v>
      </c>
      <c r="AI581">
        <v>1</v>
      </c>
      <c r="AJ581" t="s">
        <v>31</v>
      </c>
      <c r="AK581">
        <v>5230</v>
      </c>
      <c r="AL581" t="s">
        <v>542</v>
      </c>
      <c r="AM581" t="s">
        <v>86</v>
      </c>
      <c r="AN581" t="s">
        <v>186</v>
      </c>
      <c r="AO581" t="s">
        <v>794</v>
      </c>
      <c r="AP581">
        <v>5.82</v>
      </c>
      <c r="AQ581" t="s">
        <v>33</v>
      </c>
      <c r="AR581" t="s">
        <v>33</v>
      </c>
      <c r="AS581" s="6">
        <f>LOG((10^7+10^8)/2)</f>
        <v>7.7403626894942441</v>
      </c>
      <c r="AT581" s="3">
        <f>IFERROR(AS581-AU581,"NA")</f>
        <v>4.2323626894942441</v>
      </c>
      <c r="AU581" s="6">
        <v>3.508</v>
      </c>
      <c r="AV581" t="b">
        <v>1</v>
      </c>
      <c r="AW581" t="s">
        <v>92</v>
      </c>
      <c r="AX581" t="s">
        <v>93</v>
      </c>
      <c r="AY581" s="10">
        <v>1131</v>
      </c>
      <c r="AZ581" t="s">
        <v>33</v>
      </c>
      <c r="BA581" s="18" t="s">
        <v>801</v>
      </c>
      <c r="BB581" t="b">
        <v>0</v>
      </c>
      <c r="BC581" t="s">
        <v>81</v>
      </c>
      <c r="BD581">
        <f>(16+14)/2</f>
        <v>15</v>
      </c>
      <c r="BE581" t="s">
        <v>80</v>
      </c>
      <c r="BF581" t="s">
        <v>33</v>
      </c>
      <c r="BG581" t="s">
        <v>573</v>
      </c>
      <c r="BH581" t="s">
        <v>31</v>
      </c>
      <c r="BI581" t="s">
        <v>31</v>
      </c>
      <c r="BJ581" s="3">
        <f t="shared" si="274"/>
        <v>3.508</v>
      </c>
      <c r="BK581" s="3">
        <f t="shared" si="301"/>
        <v>0.54505958469400295</v>
      </c>
      <c r="BL581">
        <v>2</v>
      </c>
      <c r="BM581" s="3">
        <f t="shared" si="303"/>
        <v>3.5626081885378036</v>
      </c>
      <c r="BN581" t="s">
        <v>33</v>
      </c>
      <c r="BO581" s="3">
        <f t="shared" si="304"/>
        <v>3652.6510832383119</v>
      </c>
      <c r="BP581" t="s">
        <v>33</v>
      </c>
      <c r="BQ581" t="s">
        <v>33</v>
      </c>
      <c r="BR581" t="s">
        <v>33</v>
      </c>
      <c r="BS581" t="s">
        <v>33</v>
      </c>
      <c r="BT581" t="s">
        <v>31</v>
      </c>
      <c r="BU581" t="s">
        <v>219</v>
      </c>
      <c r="BV581">
        <v>2007</v>
      </c>
      <c r="BW581" t="s">
        <v>218</v>
      </c>
      <c r="BX581" t="s">
        <v>78</v>
      </c>
      <c r="BY581" t="s">
        <v>33</v>
      </c>
      <c r="BZ581" t="s">
        <v>33</v>
      </c>
      <c r="CA581" t="str">
        <f t="shared" si="305"/>
        <v>low acid</v>
      </c>
    </row>
    <row r="582" spans="1:79">
      <c r="A582" t="s">
        <v>223</v>
      </c>
      <c r="B582" t="s">
        <v>565</v>
      </c>
      <c r="C582" t="s">
        <v>563</v>
      </c>
      <c r="D582" t="s">
        <v>118</v>
      </c>
      <c r="E582" t="s">
        <v>77</v>
      </c>
      <c r="F582" t="s">
        <v>32</v>
      </c>
      <c r="G582">
        <v>5</v>
      </c>
      <c r="H582">
        <v>39.1</v>
      </c>
      <c r="I582" t="b">
        <v>0</v>
      </c>
      <c r="J582" t="s">
        <v>33</v>
      </c>
      <c r="K582" t="s">
        <v>33</v>
      </c>
      <c r="L582">
        <v>35</v>
      </c>
      <c r="M582" s="4">
        <v>175</v>
      </c>
      <c r="N582" s="3">
        <f>IFERROR(AF582/((T582*X582/Y582)*O582*AI582),"NA")</f>
        <v>5366.3671133845755</v>
      </c>
      <c r="O582">
        <v>4</v>
      </c>
      <c r="P582" t="s">
        <v>33</v>
      </c>
      <c r="Q582" s="8">
        <f t="shared" si="299"/>
        <v>0.22321428571428573</v>
      </c>
      <c r="R582" t="s">
        <v>183</v>
      </c>
      <c r="S582" t="s">
        <v>613</v>
      </c>
      <c r="T582" s="11">
        <v>8</v>
      </c>
      <c r="U582">
        <v>2.92</v>
      </c>
      <c r="V582">
        <v>2.2999999999999998</v>
      </c>
      <c r="W582">
        <v>1.21E-2</v>
      </c>
      <c r="X582" s="8">
        <f t="shared" si="300"/>
        <v>1.2131888350367701E-2</v>
      </c>
      <c r="Y582" s="6">
        <f>100/60</f>
        <v>1.6666666666666667</v>
      </c>
      <c r="Z582" s="3">
        <f t="shared" si="291"/>
        <v>5.4350859809647295E-2</v>
      </c>
      <c r="AA582" t="s">
        <v>33</v>
      </c>
      <c r="AB582" s="6">
        <f t="shared" si="302"/>
        <v>39.0625</v>
      </c>
      <c r="AC582" t="str">
        <f t="shared" si="288"/>
        <v>NA</v>
      </c>
      <c r="AD582" s="4">
        <f>AB582*T582*AI582</f>
        <v>312.5</v>
      </c>
      <c r="AE582" s="3">
        <f t="shared" si="293"/>
        <v>8008.4374999999991</v>
      </c>
      <c r="AF582">
        <v>1250</v>
      </c>
      <c r="AG582" t="str">
        <f>IFERROR((M582*O582*P582), "NA")</f>
        <v>NA</v>
      </c>
      <c r="AH582" t="str">
        <f>IFERROR((AG582*T582*AI582), "NA")</f>
        <v>NA</v>
      </c>
      <c r="AI582">
        <v>1</v>
      </c>
      <c r="AJ582" t="s">
        <v>31</v>
      </c>
      <c r="AK582">
        <v>5230</v>
      </c>
      <c r="AL582" t="s">
        <v>542</v>
      </c>
      <c r="AM582" t="s">
        <v>86</v>
      </c>
      <c r="AN582" t="s">
        <v>186</v>
      </c>
      <c r="AO582" t="s">
        <v>794</v>
      </c>
      <c r="AP582">
        <v>5.82</v>
      </c>
      <c r="AQ582" t="s">
        <v>33</v>
      </c>
      <c r="AR582" t="s">
        <v>33</v>
      </c>
      <c r="AS582" s="6">
        <f>LOG((10^7+10^8)/2)</f>
        <v>7.7403626894942441</v>
      </c>
      <c r="AT582" s="3">
        <f>IFERROR(AS582-AU582,"NA")</f>
        <v>4.2323626894942441</v>
      </c>
      <c r="AU582" s="6">
        <v>3.508</v>
      </c>
      <c r="AV582" t="b">
        <v>1</v>
      </c>
      <c r="AW582" t="s">
        <v>92</v>
      </c>
      <c r="AX582" t="s">
        <v>93</v>
      </c>
      <c r="AY582" s="10">
        <v>1131</v>
      </c>
      <c r="AZ582" t="s">
        <v>33</v>
      </c>
      <c r="BA582" s="18" t="s">
        <v>801</v>
      </c>
      <c r="BB582" t="b">
        <v>0</v>
      </c>
      <c r="BC582" t="s">
        <v>81</v>
      </c>
      <c r="BD582">
        <f>(16+14)/2</f>
        <v>15</v>
      </c>
      <c r="BE582" t="s">
        <v>80</v>
      </c>
      <c r="BF582" t="s">
        <v>33</v>
      </c>
      <c r="BG582" t="s">
        <v>573</v>
      </c>
      <c r="BH582" t="s">
        <v>31</v>
      </c>
      <c r="BI582" t="s">
        <v>31</v>
      </c>
      <c r="BJ582" s="3">
        <f t="shared" si="274"/>
        <v>3.508</v>
      </c>
      <c r="BK582" s="3">
        <f t="shared" si="301"/>
        <v>0.54505958469400295</v>
      </c>
      <c r="BL582">
        <v>2</v>
      </c>
      <c r="BM582" s="3">
        <f t="shared" si="303"/>
        <v>3.358488205881879</v>
      </c>
      <c r="BN582" t="s">
        <v>33</v>
      </c>
      <c r="BO582" s="3">
        <f t="shared" si="304"/>
        <v>2282.9069270239452</v>
      </c>
      <c r="BP582" t="s">
        <v>33</v>
      </c>
      <c r="BQ582" t="s">
        <v>33</v>
      </c>
      <c r="BR582" t="s">
        <v>33</v>
      </c>
      <c r="BS582" t="s">
        <v>33</v>
      </c>
      <c r="BT582" t="s">
        <v>31</v>
      </c>
      <c r="BU582" t="s">
        <v>219</v>
      </c>
      <c r="BV582">
        <v>2007</v>
      </c>
      <c r="BW582" t="s">
        <v>218</v>
      </c>
      <c r="BX582" t="s">
        <v>78</v>
      </c>
      <c r="BY582" t="s">
        <v>33</v>
      </c>
      <c r="BZ582" t="s">
        <v>33</v>
      </c>
      <c r="CA582" t="str">
        <f t="shared" si="305"/>
        <v>low acid</v>
      </c>
    </row>
    <row r="583" spans="1:79">
      <c r="A583" t="s">
        <v>698</v>
      </c>
      <c r="B583" t="s">
        <v>566</v>
      </c>
      <c r="C583" t="s">
        <v>563</v>
      </c>
      <c r="D583" t="s">
        <v>699</v>
      </c>
      <c r="E583" t="s">
        <v>77</v>
      </c>
      <c r="F583" t="s">
        <v>32</v>
      </c>
      <c r="G583">
        <v>20</v>
      </c>
      <c r="H583">
        <v>42.5</v>
      </c>
      <c r="I583" t="b">
        <v>1</v>
      </c>
      <c r="J583" t="s">
        <v>33</v>
      </c>
      <c r="K583" t="s">
        <v>33</v>
      </c>
      <c r="L583">
        <v>20</v>
      </c>
      <c r="M583" s="4">
        <v>47</v>
      </c>
      <c r="N583" s="3">
        <f>IFERROR(AF583/((T583*X583/Y583)*O583*AI583),"NA")</f>
        <v>46.759259259259245</v>
      </c>
      <c r="O583">
        <v>5</v>
      </c>
      <c r="P583">
        <v>0.43</v>
      </c>
      <c r="Q583" s="8">
        <f>IFERROR(X583/Y583, "NA")</f>
        <v>0.43200000000000011</v>
      </c>
      <c r="R583" t="s">
        <v>183</v>
      </c>
      <c r="S583" t="s">
        <v>612</v>
      </c>
      <c r="T583" s="11">
        <v>1</v>
      </c>
      <c r="U583">
        <v>4</v>
      </c>
      <c r="V583" t="s">
        <v>33</v>
      </c>
      <c r="W583">
        <f>0.4*3*0.5</f>
        <v>0.60000000000000009</v>
      </c>
      <c r="X583" s="9">
        <f>W583</f>
        <v>0.60000000000000009</v>
      </c>
      <c r="Y583" s="6">
        <f>5000/3600</f>
        <v>1.3888888888888888</v>
      </c>
      <c r="Z583" s="3">
        <f t="shared" si="291"/>
        <v>1.3960396039603959</v>
      </c>
      <c r="AA583" t="s">
        <v>33</v>
      </c>
      <c r="AB583" s="4">
        <f>IFERROR(((X583*M583)/Y583), "NA")</f>
        <v>20.304000000000002</v>
      </c>
      <c r="AC583" s="4">
        <f t="shared" si="288"/>
        <v>20.21</v>
      </c>
      <c r="AD583" s="4">
        <f>AB583*T583*AI583</f>
        <v>20.304000000000002</v>
      </c>
      <c r="AE583" s="3">
        <f t="shared" si="293"/>
        <v>81.216000000000022</v>
      </c>
      <c r="AF583">
        <v>101</v>
      </c>
      <c r="AG583" s="4">
        <f>IFERROR((M583*O583*P583), "NA")</f>
        <v>101.05</v>
      </c>
      <c r="AH583" s="4">
        <f>IFERROR((AG583*T583*AI583), "NA")</f>
        <v>101.05</v>
      </c>
      <c r="AI583">
        <v>1</v>
      </c>
      <c r="AJ583" s="11" t="s">
        <v>31</v>
      </c>
      <c r="AK583">
        <v>2000</v>
      </c>
      <c r="AL583" t="s">
        <v>784</v>
      </c>
      <c r="AM583" t="s">
        <v>103</v>
      </c>
      <c r="AN583" t="s">
        <v>130</v>
      </c>
      <c r="AO583" t="s">
        <v>795</v>
      </c>
      <c r="AP583">
        <v>7</v>
      </c>
      <c r="AQ583" t="s">
        <v>33</v>
      </c>
      <c r="AR583" t="s">
        <v>33</v>
      </c>
      <c r="AS583" s="6">
        <f>LOG(AVERAGE(10^8, 10^9))</f>
        <v>8.7403626894942441</v>
      </c>
      <c r="AT583" s="3">
        <f>IFERROR(AS583-AU583,"NA")</f>
        <v>4.2323626894942441</v>
      </c>
      <c r="AU583" s="6">
        <v>4.508</v>
      </c>
      <c r="AV583" t="b">
        <v>1</v>
      </c>
      <c r="AW583" t="s">
        <v>29</v>
      </c>
      <c r="AX583" t="s">
        <v>30</v>
      </c>
      <c r="AY583" t="s">
        <v>701</v>
      </c>
      <c r="AZ583" t="s">
        <v>33</v>
      </c>
      <c r="BA583" s="18" t="s">
        <v>798</v>
      </c>
      <c r="BB583" s="3" t="b">
        <v>0</v>
      </c>
      <c r="BC583" t="s">
        <v>81</v>
      </c>
      <c r="BD583">
        <v>24</v>
      </c>
      <c r="BE583" t="s">
        <v>80</v>
      </c>
      <c r="BF583">
        <v>24</v>
      </c>
      <c r="BG583" t="s">
        <v>568</v>
      </c>
      <c r="BH583" t="s">
        <v>31</v>
      </c>
      <c r="BI583" t="s">
        <v>31</v>
      </c>
      <c r="BJ583" s="3">
        <f t="shared" si="274"/>
        <v>4.508</v>
      </c>
      <c r="BK583" s="3">
        <f t="shared" si="301"/>
        <v>0.65398390737406897</v>
      </c>
      <c r="BL583">
        <v>2</v>
      </c>
      <c r="BM583" s="3">
        <f t="shared" si="303"/>
        <v>1.2556576887045232</v>
      </c>
      <c r="BN583" t="s">
        <v>33</v>
      </c>
      <c r="BO583" s="3">
        <f t="shared" si="304"/>
        <v>18.015971606033723</v>
      </c>
      <c r="BP583" t="s">
        <v>33</v>
      </c>
      <c r="BQ583" t="s">
        <v>33</v>
      </c>
      <c r="BR583" t="s">
        <v>33</v>
      </c>
      <c r="BS583" t="s">
        <v>33</v>
      </c>
      <c r="BT583" t="s">
        <v>32</v>
      </c>
      <c r="BU583" t="s">
        <v>709</v>
      </c>
      <c r="BV583">
        <v>2024</v>
      </c>
      <c r="BW583" t="s">
        <v>710</v>
      </c>
      <c r="BX583" t="s">
        <v>78</v>
      </c>
      <c r="BY583" t="s">
        <v>711</v>
      </c>
      <c r="CA583" t="str">
        <f t="shared" si="305"/>
        <v>low acid</v>
      </c>
    </row>
    <row r="584" spans="1:79">
      <c r="A584" t="s">
        <v>589</v>
      </c>
      <c r="B584" t="s">
        <v>566</v>
      </c>
      <c r="C584" t="s">
        <v>563</v>
      </c>
      <c r="D584" t="s">
        <v>33</v>
      </c>
      <c r="E584" t="s">
        <v>77</v>
      </c>
      <c r="F584" t="s">
        <v>33</v>
      </c>
      <c r="G584" t="s">
        <v>33</v>
      </c>
      <c r="H584">
        <v>35</v>
      </c>
      <c r="I584" t="b">
        <v>0</v>
      </c>
      <c r="J584" t="s">
        <v>33</v>
      </c>
      <c r="K584" t="s">
        <v>33</v>
      </c>
      <c r="L584">
        <v>15</v>
      </c>
      <c r="M584" s="4">
        <v>1</v>
      </c>
      <c r="N584" t="e">
        <f>(#REF!*Y584)/(T584*X584*O584)</f>
        <v>#REF!</v>
      </c>
      <c r="O584">
        <v>2</v>
      </c>
      <c r="P584" t="s">
        <v>33</v>
      </c>
      <c r="Q584" s="1">
        <f t="shared" ref="Q584:Q605" si="306">IFERROR(X584/Z584, "NA")</f>
        <v>698</v>
      </c>
      <c r="R584" t="s">
        <v>183</v>
      </c>
      <c r="S584" t="s">
        <v>613</v>
      </c>
      <c r="T584">
        <v>1</v>
      </c>
      <c r="U584">
        <v>2.5</v>
      </c>
      <c r="V584" t="s">
        <v>33</v>
      </c>
      <c r="W584">
        <v>0.50249999999999995</v>
      </c>
      <c r="X584">
        <f>W584</f>
        <v>0.50249999999999995</v>
      </c>
      <c r="Y584" t="s">
        <v>33</v>
      </c>
      <c r="Z584" s="3">
        <f t="shared" si="291"/>
        <v>7.1991404011461312E-4</v>
      </c>
      <c r="AA584" t="s">
        <v>33</v>
      </c>
      <c r="AB584">
        <f t="shared" ref="AB584:AB593" si="307">IFERROR(((X584*M584)/Z584), "NA")</f>
        <v>698</v>
      </c>
      <c r="AC584" s="1" t="str">
        <f t="shared" si="288"/>
        <v>NA</v>
      </c>
      <c r="AE584" s="3">
        <f t="shared" si="293"/>
        <v>628.19999999999993</v>
      </c>
      <c r="AF584">
        <v>1396</v>
      </c>
      <c r="AG584" s="1" t="str">
        <f>IFERROR((N584*P584*Q584), "NA")</f>
        <v>NA</v>
      </c>
      <c r="AH584" s="1" t="str">
        <f>IFERROR((AG584*U584*AI584), "NA")</f>
        <v>NA</v>
      </c>
      <c r="AI584" s="1">
        <v>1</v>
      </c>
      <c r="AJ584" s="11" t="s">
        <v>31</v>
      </c>
      <c r="AK584">
        <v>2000</v>
      </c>
      <c r="AL584" t="s">
        <v>616</v>
      </c>
      <c r="AM584" s="3" t="s">
        <v>103</v>
      </c>
      <c r="AN584" t="s">
        <v>130</v>
      </c>
      <c r="AO584" t="s">
        <v>795</v>
      </c>
      <c r="AP584">
        <v>7</v>
      </c>
      <c r="AQ584" t="s">
        <v>33</v>
      </c>
      <c r="AR584" t="s">
        <v>33</v>
      </c>
      <c r="AS584">
        <v>9</v>
      </c>
      <c r="AT584">
        <f>AS584-AU584</f>
        <v>4.24</v>
      </c>
      <c r="AU584" s="6">
        <v>4.76</v>
      </c>
      <c r="AV584" t="b">
        <v>1</v>
      </c>
      <c r="AW584" t="s">
        <v>617</v>
      </c>
      <c r="AX584" t="s">
        <v>33</v>
      </c>
      <c r="AY584" t="s">
        <v>628</v>
      </c>
      <c r="AZ584" t="s">
        <v>619</v>
      </c>
      <c r="BA584" s="18" t="s">
        <v>802</v>
      </c>
      <c r="BB584" s="3" t="b">
        <v>0</v>
      </c>
      <c r="BC584" t="s">
        <v>81</v>
      </c>
      <c r="BD584">
        <v>24</v>
      </c>
      <c r="BE584" t="s">
        <v>80</v>
      </c>
      <c r="BF584">
        <v>24</v>
      </c>
      <c r="BG584" t="s">
        <v>644</v>
      </c>
      <c r="BH584" t="s">
        <v>31</v>
      </c>
      <c r="BI584" t="s">
        <v>31</v>
      </c>
      <c r="BJ584">
        <f t="shared" ref="BJ584:BJ646" si="308">AU584</f>
        <v>4.76</v>
      </c>
      <c r="BK584" s="3">
        <f t="shared" si="301"/>
        <v>0.67760695272049309</v>
      </c>
      <c r="BL584">
        <v>2</v>
      </c>
      <c r="BM584" s="3">
        <f t="shared" si="303"/>
        <v>2.1204909793419926</v>
      </c>
      <c r="BN584" t="s">
        <v>33</v>
      </c>
      <c r="BO584" s="3">
        <f t="shared" si="304"/>
        <v>131.97478991596637</v>
      </c>
      <c r="BP584" t="s">
        <v>33</v>
      </c>
      <c r="BQ584" t="s">
        <v>33</v>
      </c>
      <c r="BR584" t="s">
        <v>33</v>
      </c>
      <c r="BS584" t="s">
        <v>33</v>
      </c>
      <c r="BT584" t="s">
        <v>31</v>
      </c>
      <c r="BU584" s="15" t="s">
        <v>655</v>
      </c>
      <c r="BV584">
        <v>2003</v>
      </c>
      <c r="BW584" t="s">
        <v>656</v>
      </c>
      <c r="BX584" t="s">
        <v>78</v>
      </c>
      <c r="BY584" s="13" t="s">
        <v>677</v>
      </c>
      <c r="CA584" t="str">
        <f t="shared" si="305"/>
        <v>low acid</v>
      </c>
    </row>
    <row r="585" spans="1:79">
      <c r="A585" t="s">
        <v>598</v>
      </c>
      <c r="B585" t="s">
        <v>565</v>
      </c>
      <c r="C585" t="s">
        <v>563</v>
      </c>
      <c r="D585" t="s">
        <v>118</v>
      </c>
      <c r="E585" t="s">
        <v>77</v>
      </c>
      <c r="F585" t="s">
        <v>32</v>
      </c>
      <c r="G585">
        <v>40</v>
      </c>
      <c r="H585">
        <f>40+AVERAGE(2,7)</f>
        <v>44.5</v>
      </c>
      <c r="I585" t="b">
        <v>1</v>
      </c>
      <c r="J585" t="s">
        <v>33</v>
      </c>
      <c r="K585" t="s">
        <v>33</v>
      </c>
      <c r="L585">
        <v>30</v>
      </c>
      <c r="M585" s="4">
        <v>548</v>
      </c>
      <c r="N585" t="e">
        <f>(#REF!*Y585)/(T585*X585*O585)</f>
        <v>#REF!</v>
      </c>
      <c r="O585">
        <v>2.5</v>
      </c>
      <c r="P585" t="s">
        <v>33</v>
      </c>
      <c r="Q585" s="1">
        <f t="shared" si="306"/>
        <v>6.0827250608272501E-3</v>
      </c>
      <c r="R585" t="s">
        <v>183</v>
      </c>
      <c r="S585" t="s">
        <v>612</v>
      </c>
      <c r="T585">
        <v>6</v>
      </c>
      <c r="U585">
        <v>2.9</v>
      </c>
      <c r="V585">
        <v>2.2999999999999998</v>
      </c>
      <c r="W585" t="s">
        <v>33</v>
      </c>
      <c r="X585">
        <f>IFERROR(((PI())*(((V585*10^-1)/2)^2)*(U585*10^-1)), "NA")</f>
        <v>1.204879322468025E-2</v>
      </c>
      <c r="Y585">
        <v>2</v>
      </c>
      <c r="Z585" s="3">
        <f t="shared" si="291"/>
        <v>1.9808216061374333</v>
      </c>
      <c r="AA585">
        <v>3.3</v>
      </c>
      <c r="AB585">
        <f t="shared" si="307"/>
        <v>3.333333333333333</v>
      </c>
      <c r="AC585" s="1" t="str">
        <f t="shared" si="288"/>
        <v>NA</v>
      </c>
      <c r="AE585" s="3">
        <f t="shared" si="293"/>
        <v>96.749999999999972</v>
      </c>
      <c r="AF585">
        <v>50</v>
      </c>
      <c r="AG585" s="1" t="str">
        <f>IFERROR((N585*P585*Q585), "NA")</f>
        <v>NA</v>
      </c>
      <c r="AH585" s="1" t="str">
        <f>IFERROR((AG585*U585*AI585), "NA")</f>
        <v>NA</v>
      </c>
      <c r="AI585" s="1">
        <v>1</v>
      </c>
      <c r="AJ585" s="11" t="s">
        <v>31</v>
      </c>
      <c r="AK585">
        <f>2.15*10^3</f>
        <v>2150</v>
      </c>
      <c r="AL585" t="s">
        <v>238</v>
      </c>
      <c r="AM585" t="s">
        <v>86</v>
      </c>
      <c r="AN585" t="s">
        <v>205</v>
      </c>
      <c r="AO585" t="s">
        <v>789</v>
      </c>
      <c r="AP585">
        <v>4.16</v>
      </c>
      <c r="AQ585" t="s">
        <v>33</v>
      </c>
      <c r="AR585" t="s">
        <v>33</v>
      </c>
      <c r="AS585">
        <f>AVERAGE(6.63, 6.39)</f>
        <v>6.51</v>
      </c>
      <c r="AT585">
        <f>AS585-AU585</f>
        <v>4.25</v>
      </c>
      <c r="AU585" s="6">
        <v>2.2599999999999998</v>
      </c>
      <c r="AV585" t="b">
        <v>1</v>
      </c>
      <c r="AW585" t="s">
        <v>617</v>
      </c>
      <c r="AX585" t="s">
        <v>638</v>
      </c>
      <c r="AY585" t="s">
        <v>637</v>
      </c>
      <c r="AZ585" t="s">
        <v>33</v>
      </c>
      <c r="BA585" s="18" t="s">
        <v>802</v>
      </c>
      <c r="BB585" s="3" t="b">
        <v>0</v>
      </c>
      <c r="BC585" t="s">
        <v>81</v>
      </c>
      <c r="BD585">
        <v>16</v>
      </c>
      <c r="BE585" t="s">
        <v>80</v>
      </c>
      <c r="BF585">
        <v>24</v>
      </c>
      <c r="BG585" t="s">
        <v>646</v>
      </c>
      <c r="BH585" t="s">
        <v>31</v>
      </c>
      <c r="BI585" t="s">
        <v>31</v>
      </c>
      <c r="BJ585">
        <f t="shared" si="308"/>
        <v>2.2599999999999998</v>
      </c>
      <c r="BK585" s="3">
        <f t="shared" si="301"/>
        <v>0.35410843914740087</v>
      </c>
      <c r="BL585">
        <v>2</v>
      </c>
      <c r="BM585" s="3">
        <f t="shared" si="303"/>
        <v>1.6315425345435479</v>
      </c>
      <c r="BN585" t="s">
        <v>33</v>
      </c>
      <c r="BO585" s="3">
        <f t="shared" si="304"/>
        <v>42.809734513274329</v>
      </c>
      <c r="BP585" t="s">
        <v>33</v>
      </c>
      <c r="BQ585" t="s">
        <v>33</v>
      </c>
      <c r="BR585" t="s">
        <v>33</v>
      </c>
      <c r="BS585" t="s">
        <v>33</v>
      </c>
      <c r="BT585" t="s">
        <v>32</v>
      </c>
      <c r="BU585" s="13" t="s">
        <v>84</v>
      </c>
      <c r="BV585" s="14">
        <v>2012</v>
      </c>
      <c r="BW585" s="13" t="s">
        <v>83</v>
      </c>
      <c r="BX585" t="s">
        <v>78</v>
      </c>
      <c r="BY585" s="13" t="s">
        <v>686</v>
      </c>
      <c r="CA585" t="str">
        <f t="shared" si="305"/>
        <v>high acid</v>
      </c>
    </row>
    <row r="586" spans="1:79">
      <c r="A586" t="s">
        <v>325</v>
      </c>
      <c r="B586" t="s">
        <v>565</v>
      </c>
      <c r="C586" t="s">
        <v>563</v>
      </c>
      <c r="D586" t="s">
        <v>304</v>
      </c>
      <c r="E586" t="s">
        <v>77</v>
      </c>
      <c r="F586" t="s">
        <v>32</v>
      </c>
      <c r="G586">
        <v>30</v>
      </c>
      <c r="H586">
        <v>31.7</v>
      </c>
      <c r="I586" t="b">
        <v>1</v>
      </c>
      <c r="J586">
        <v>12600</v>
      </c>
      <c r="K586">
        <v>50.4</v>
      </c>
      <c r="L586">
        <v>28</v>
      </c>
      <c r="M586" s="4">
        <v>114</v>
      </c>
      <c r="N586" s="3">
        <f>IFERROR(AF586/((T586*X586/Y586)*O586*AI586),"NA")</f>
        <v>116.50557925681223</v>
      </c>
      <c r="O586">
        <v>5</v>
      </c>
      <c r="P586">
        <v>2.4E-2</v>
      </c>
      <c r="Q586" s="8">
        <f t="shared" si="306"/>
        <v>2.456140350877193E-2</v>
      </c>
      <c r="R586" t="s">
        <v>183</v>
      </c>
      <c r="S586" t="s">
        <v>612</v>
      </c>
      <c r="T586" s="11">
        <v>1</v>
      </c>
      <c r="U586">
        <v>3.4</v>
      </c>
      <c r="V586">
        <v>3</v>
      </c>
      <c r="W586">
        <v>2.4E-2</v>
      </c>
      <c r="X586" s="8">
        <f>IFERROR(((PI())*(((V586*10^-1)/2)^2)*(U586*10^-1)), "NA")</f>
        <v>2.4033183799961926E-2</v>
      </c>
      <c r="Y586" s="6">
        <f>1</f>
        <v>1</v>
      </c>
      <c r="Z586" s="3">
        <f t="shared" si="291"/>
        <v>0.97849391185559276</v>
      </c>
      <c r="AA586">
        <v>2.7</v>
      </c>
      <c r="AB586" s="6">
        <f t="shared" si="307"/>
        <v>2.8</v>
      </c>
      <c r="AC586">
        <f t="shared" si="288"/>
        <v>2.7360000000000002</v>
      </c>
      <c r="AD586" s="4">
        <f>IFERROR(AB586*T586*AI586, "NA")</f>
        <v>2.8</v>
      </c>
      <c r="AE586" s="3">
        <f t="shared" si="293"/>
        <v>10.975999999999999</v>
      </c>
      <c r="AF586">
        <v>14</v>
      </c>
      <c r="AG586">
        <f>IFERROR((M586*O586*P586), "NA")</f>
        <v>13.68</v>
      </c>
      <c r="AH586">
        <f>IFERROR((AG586*T586*AI586), "NA")</f>
        <v>13.68</v>
      </c>
      <c r="AI586">
        <v>1</v>
      </c>
      <c r="AJ586" t="s">
        <v>31</v>
      </c>
      <c r="AK586">
        <v>1000</v>
      </c>
      <c r="AL586" t="s">
        <v>169</v>
      </c>
      <c r="AM586" t="s">
        <v>103</v>
      </c>
      <c r="AN586" t="s">
        <v>305</v>
      </c>
      <c r="AO586" t="s">
        <v>790</v>
      </c>
      <c r="AP586">
        <v>4.5</v>
      </c>
      <c r="AQ586" t="s">
        <v>33</v>
      </c>
      <c r="AR586" t="s">
        <v>33</v>
      </c>
      <c r="AS586" s="6">
        <f>LOG(3*10^7)</f>
        <v>7.4771212547196626</v>
      </c>
      <c r="AT586" s="3">
        <f>IFERROR(AS586-AU586,"NA")</f>
        <v>4.257121254719662</v>
      </c>
      <c r="AU586" s="6">
        <v>3.22</v>
      </c>
      <c r="AV586" t="b">
        <v>1</v>
      </c>
      <c r="AW586" t="s">
        <v>123</v>
      </c>
      <c r="AX586" t="s">
        <v>88</v>
      </c>
      <c r="AY586" t="s">
        <v>306</v>
      </c>
      <c r="AZ586" t="s">
        <v>33</v>
      </c>
      <c r="BA586" s="18" t="s">
        <v>579</v>
      </c>
      <c r="BB586" t="b">
        <v>1</v>
      </c>
      <c r="BC586" t="s">
        <v>81</v>
      </c>
      <c r="BD586">
        <v>48</v>
      </c>
      <c r="BE586" t="s">
        <v>80</v>
      </c>
      <c r="BF586" s="11">
        <v>120</v>
      </c>
      <c r="BG586" t="s">
        <v>395</v>
      </c>
      <c r="BH586" t="s">
        <v>31</v>
      </c>
      <c r="BI586" t="s">
        <v>31</v>
      </c>
      <c r="BJ586" s="3">
        <f t="shared" si="308"/>
        <v>3.22</v>
      </c>
      <c r="BK586" s="3">
        <f t="shared" si="301"/>
        <v>0.50785587169583091</v>
      </c>
      <c r="BL586">
        <v>2</v>
      </c>
      <c r="BM586" s="3">
        <f t="shared" si="303"/>
        <v>0.53258822666684547</v>
      </c>
      <c r="BN586" t="s">
        <v>33</v>
      </c>
      <c r="BO586" s="3">
        <f t="shared" si="304"/>
        <v>3.4086956521739125</v>
      </c>
      <c r="BP586" t="s">
        <v>33</v>
      </c>
      <c r="BQ586" t="s">
        <v>33</v>
      </c>
      <c r="BR586" t="s">
        <v>33</v>
      </c>
      <c r="BS586" t="s">
        <v>33</v>
      </c>
      <c r="BT586" t="s">
        <v>32</v>
      </c>
      <c r="BU586" t="s">
        <v>323</v>
      </c>
      <c r="BV586">
        <v>2003</v>
      </c>
      <c r="BW586" s="2" t="s">
        <v>322</v>
      </c>
      <c r="BX586" t="s">
        <v>78</v>
      </c>
      <c r="BY586" t="s">
        <v>33</v>
      </c>
      <c r="BZ586" t="s">
        <v>33</v>
      </c>
      <c r="CA586" t="str">
        <f t="shared" si="305"/>
        <v>high acid</v>
      </c>
    </row>
    <row r="587" spans="1:79">
      <c r="A587" t="s">
        <v>343</v>
      </c>
      <c r="B587" t="s">
        <v>566</v>
      </c>
      <c r="C587" t="s">
        <v>563</v>
      </c>
      <c r="D587" t="s">
        <v>33</v>
      </c>
      <c r="E587" t="s">
        <v>77</v>
      </c>
      <c r="F587" t="s">
        <v>32</v>
      </c>
      <c r="G587">
        <v>30</v>
      </c>
      <c r="H587">
        <v>33</v>
      </c>
      <c r="I587" t="b">
        <v>0</v>
      </c>
      <c r="J587" t="s">
        <v>33</v>
      </c>
      <c r="K587" t="s">
        <v>33</v>
      </c>
      <c r="L587">
        <v>30</v>
      </c>
      <c r="M587" s="4">
        <v>2</v>
      </c>
      <c r="N587" s="3">
        <f>IFERROR(AF587/((T587*X587/Y587)*O587*AI587),"NA")</f>
        <v>2.1126760563380285</v>
      </c>
      <c r="O587">
        <v>2</v>
      </c>
      <c r="P587" t="s">
        <v>33</v>
      </c>
      <c r="Q587" s="8">
        <f t="shared" si="306"/>
        <v>7.5</v>
      </c>
      <c r="R587" t="s">
        <v>183</v>
      </c>
      <c r="S587" t="s">
        <v>613</v>
      </c>
      <c r="T587" s="11">
        <v>1</v>
      </c>
      <c r="U587">
        <v>5</v>
      </c>
      <c r="V587" t="s">
        <v>33</v>
      </c>
      <c r="W587">
        <v>0.71</v>
      </c>
      <c r="X587" s="8">
        <f>W587</f>
        <v>0.71</v>
      </c>
      <c r="Y587">
        <f>6/60</f>
        <v>0.1</v>
      </c>
      <c r="Z587" s="3">
        <f t="shared" si="291"/>
        <v>9.4666666666666663E-2</v>
      </c>
      <c r="AA587">
        <v>15</v>
      </c>
      <c r="AB587" s="6">
        <f t="shared" si="307"/>
        <v>15</v>
      </c>
      <c r="AC587" t="str">
        <f t="shared" si="288"/>
        <v>NA</v>
      </c>
      <c r="AD587" s="4">
        <f>AB587*T587*AI587</f>
        <v>105</v>
      </c>
      <c r="AE587" s="3">
        <f t="shared" si="293"/>
        <v>1323</v>
      </c>
      <c r="AF587">
        <v>210</v>
      </c>
      <c r="AG587" t="str">
        <f>IFERROR((M587*O587*P587), "NA")</f>
        <v>NA</v>
      </c>
      <c r="AH587" t="str">
        <f>IFERROR((AG587*T587*AI587), "NA")</f>
        <v>NA</v>
      </c>
      <c r="AI587">
        <v>7</v>
      </c>
      <c r="AJ587" s="11" t="s">
        <v>32</v>
      </c>
      <c r="AK587">
        <v>7000</v>
      </c>
      <c r="AL587" t="s">
        <v>562</v>
      </c>
      <c r="AM587" s="3" t="s">
        <v>786</v>
      </c>
      <c r="AN587" t="s">
        <v>186</v>
      </c>
      <c r="AO587" t="s">
        <v>793</v>
      </c>
      <c r="AP587" t="s">
        <v>33</v>
      </c>
      <c r="AQ587" t="s">
        <v>33</v>
      </c>
      <c r="AR587" t="s">
        <v>33</v>
      </c>
      <c r="AS587" s="6">
        <f>LOG(10^8)</f>
        <v>8</v>
      </c>
      <c r="AT587" s="3">
        <f>IFERROR(AS587-AU587,"NA")</f>
        <v>4.26</v>
      </c>
      <c r="AU587" s="6">
        <v>3.74</v>
      </c>
      <c r="AV587" t="b">
        <v>1</v>
      </c>
      <c r="AW587" t="s">
        <v>29</v>
      </c>
      <c r="AX587" t="s">
        <v>30</v>
      </c>
      <c r="AY587" t="s">
        <v>33</v>
      </c>
      <c r="AZ587" t="s">
        <v>134</v>
      </c>
      <c r="BA587" s="18" t="s">
        <v>798</v>
      </c>
      <c r="BB587" t="b">
        <v>0</v>
      </c>
      <c r="BC587" t="s">
        <v>81</v>
      </c>
      <c r="BD587">
        <v>18</v>
      </c>
      <c r="BE587" t="s">
        <v>80</v>
      </c>
      <c r="BF587" s="11">
        <v>21</v>
      </c>
      <c r="BG587" t="s">
        <v>694</v>
      </c>
      <c r="BH587" t="s">
        <v>31</v>
      </c>
      <c r="BI587" t="s">
        <v>31</v>
      </c>
      <c r="BJ587" s="3">
        <f t="shared" si="308"/>
        <v>3.74</v>
      </c>
      <c r="BK587" s="3">
        <f t="shared" si="301"/>
        <v>0.57287160220048017</v>
      </c>
      <c r="BL587">
        <v>2</v>
      </c>
      <c r="BM587" s="3">
        <f t="shared" si="303"/>
        <v>2.5486882419870209</v>
      </c>
      <c r="BN587" t="s">
        <v>33</v>
      </c>
      <c r="BO587" s="3">
        <f t="shared" si="304"/>
        <v>353.7433155080214</v>
      </c>
      <c r="BP587" t="s">
        <v>33</v>
      </c>
      <c r="BQ587" t="s">
        <v>33</v>
      </c>
      <c r="BR587" t="s">
        <v>33</v>
      </c>
      <c r="BS587" t="s">
        <v>33</v>
      </c>
      <c r="BT587" t="s">
        <v>31</v>
      </c>
      <c r="BU587" t="s">
        <v>338</v>
      </c>
      <c r="BV587">
        <v>2005</v>
      </c>
      <c r="BW587" s="2" t="s">
        <v>342</v>
      </c>
      <c r="BX587" t="s">
        <v>78</v>
      </c>
      <c r="BY587" t="s">
        <v>340</v>
      </c>
      <c r="BZ587" t="s">
        <v>33</v>
      </c>
      <c r="CA587" t="str">
        <f t="shared" si="305"/>
        <v>low acid</v>
      </c>
    </row>
    <row r="588" spans="1:79">
      <c r="A588" t="s">
        <v>584</v>
      </c>
      <c r="B588" t="s">
        <v>566</v>
      </c>
      <c r="C588" t="s">
        <v>563</v>
      </c>
      <c r="D588" t="s">
        <v>607</v>
      </c>
      <c r="E588" t="s">
        <v>77</v>
      </c>
      <c r="F588" t="s">
        <v>33</v>
      </c>
      <c r="G588">
        <v>20</v>
      </c>
      <c r="H588">
        <v>35</v>
      </c>
      <c r="I588" t="b">
        <v>0</v>
      </c>
      <c r="J588">
        <v>1000</v>
      </c>
      <c r="K588">
        <v>200</v>
      </c>
      <c r="L588">
        <v>25</v>
      </c>
      <c r="M588" s="4">
        <v>1</v>
      </c>
      <c r="N588" t="e">
        <f>(#REF!*Y588)/(T588*X588*O588)</f>
        <v>#REF!</v>
      </c>
      <c r="O588">
        <v>3</v>
      </c>
      <c r="P588" t="s">
        <v>33</v>
      </c>
      <c r="Q588" s="1">
        <f t="shared" si="306"/>
        <v>50.000000000000007</v>
      </c>
      <c r="R588" t="s">
        <v>183</v>
      </c>
      <c r="S588" t="s">
        <v>33</v>
      </c>
      <c r="T588">
        <v>1</v>
      </c>
      <c r="U588">
        <v>2.5</v>
      </c>
      <c r="V588" t="s">
        <v>33</v>
      </c>
      <c r="W588">
        <v>0.50249999999999995</v>
      </c>
      <c r="X588">
        <f>W588</f>
        <v>0.50249999999999995</v>
      </c>
      <c r="Y588" t="s">
        <v>33</v>
      </c>
      <c r="Z588" s="3">
        <f t="shared" si="291"/>
        <v>1.0049999999999998E-2</v>
      </c>
      <c r="AA588" t="s">
        <v>33</v>
      </c>
      <c r="AB588">
        <f t="shared" si="307"/>
        <v>50.000000000000007</v>
      </c>
      <c r="AC588" s="1" t="str">
        <f t="shared" ref="AC588:AC619" si="309">IFERROR(M588*P588,"NA")</f>
        <v>NA</v>
      </c>
      <c r="AE588" s="3">
        <f t="shared" si="293"/>
        <v>93.750000000000014</v>
      </c>
      <c r="AF588">
        <v>150</v>
      </c>
      <c r="AG588" s="1" t="str">
        <f>IFERROR((N588*P588*Q588), "NA")</f>
        <v>NA</v>
      </c>
      <c r="AH588" s="1" t="str">
        <f>IFERROR((AG588*U588*AI588), "NA")</f>
        <v>NA</v>
      </c>
      <c r="AI588" s="1">
        <v>1</v>
      </c>
      <c r="AJ588" s="11" t="s">
        <v>31</v>
      </c>
      <c r="AK588">
        <v>1000</v>
      </c>
      <c r="AL588" t="s">
        <v>614</v>
      </c>
      <c r="AM588" s="3" t="s">
        <v>103</v>
      </c>
      <c r="AN588" t="s">
        <v>305</v>
      </c>
      <c r="AO588" t="s">
        <v>790</v>
      </c>
      <c r="AP588">
        <v>4.5</v>
      </c>
      <c r="AQ588" t="s">
        <v>33</v>
      </c>
      <c r="AR588" t="s">
        <v>33</v>
      </c>
      <c r="AS588">
        <v>8</v>
      </c>
      <c r="AT588">
        <f>AS588-AU588</f>
        <v>4.26</v>
      </c>
      <c r="AU588" s="6">
        <v>3.74</v>
      </c>
      <c r="AV588" t="b">
        <v>1</v>
      </c>
      <c r="AW588" t="s">
        <v>617</v>
      </c>
      <c r="AX588" t="s">
        <v>33</v>
      </c>
      <c r="AY588" t="s">
        <v>623</v>
      </c>
      <c r="AZ588" t="s">
        <v>621</v>
      </c>
      <c r="BA588" s="18" t="s">
        <v>802</v>
      </c>
      <c r="BB588" s="3" t="b">
        <v>0</v>
      </c>
      <c r="BC588" t="s">
        <v>81</v>
      </c>
      <c r="BD588">
        <v>18</v>
      </c>
      <c r="BE588" t="s">
        <v>80</v>
      </c>
      <c r="BF588">
        <v>24</v>
      </c>
      <c r="BG588" t="s">
        <v>642</v>
      </c>
      <c r="BH588" t="s">
        <v>32</v>
      </c>
      <c r="BI588" t="s">
        <v>31</v>
      </c>
      <c r="BJ588">
        <f t="shared" si="308"/>
        <v>3.74</v>
      </c>
      <c r="BK588" s="3">
        <f t="shared" si="301"/>
        <v>0.57287160220048017</v>
      </c>
      <c r="BL588">
        <v>2</v>
      </c>
      <c r="BM588" s="3">
        <f t="shared" si="303"/>
        <v>1.3990996741992763</v>
      </c>
      <c r="BN588" t="s">
        <v>33</v>
      </c>
      <c r="BO588" s="3">
        <f t="shared" si="304"/>
        <v>25.066844919786099</v>
      </c>
      <c r="BP588" t="s">
        <v>33</v>
      </c>
      <c r="BQ588" t="s">
        <v>33</v>
      </c>
      <c r="BR588" t="s">
        <v>33</v>
      </c>
      <c r="BS588" t="s">
        <v>33</v>
      </c>
      <c r="BT588" t="s">
        <v>31</v>
      </c>
      <c r="BU588" t="s">
        <v>255</v>
      </c>
      <c r="BV588">
        <v>2010</v>
      </c>
      <c r="BW588" t="s">
        <v>651</v>
      </c>
      <c r="BX588" t="s">
        <v>78</v>
      </c>
      <c r="BY588" s="13" t="s">
        <v>674</v>
      </c>
      <c r="CA588" t="str">
        <f t="shared" si="305"/>
        <v>high acid</v>
      </c>
    </row>
    <row r="589" spans="1:79">
      <c r="A589" t="s">
        <v>604</v>
      </c>
      <c r="B589" t="s">
        <v>565</v>
      </c>
      <c r="C589" t="s">
        <v>563</v>
      </c>
      <c r="D589" t="s">
        <v>118</v>
      </c>
      <c r="E589" t="s">
        <v>77</v>
      </c>
      <c r="F589" t="s">
        <v>33</v>
      </c>
      <c r="G589">
        <v>20</v>
      </c>
      <c r="H589">
        <v>25</v>
      </c>
      <c r="I589" t="b">
        <v>0</v>
      </c>
      <c r="J589" t="s">
        <v>33</v>
      </c>
      <c r="K589" t="s">
        <v>33</v>
      </c>
      <c r="L589">
        <v>38.4</v>
      </c>
      <c r="M589" s="4">
        <v>667</v>
      </c>
      <c r="N589" t="e">
        <f>(#REF!*Y589)/(T589*X589*O589)</f>
        <v>#REF!</v>
      </c>
      <c r="O589">
        <v>2</v>
      </c>
      <c r="P589" t="s">
        <v>33</v>
      </c>
      <c r="Q589" s="1">
        <f t="shared" si="306"/>
        <v>9.9950024987506252E-3</v>
      </c>
      <c r="R589" t="s">
        <v>183</v>
      </c>
      <c r="S589" t="s">
        <v>613</v>
      </c>
      <c r="T589">
        <v>6</v>
      </c>
      <c r="U589">
        <v>2.92</v>
      </c>
      <c r="V589">
        <v>2.2999999999999998</v>
      </c>
      <c r="W589" t="s">
        <v>33</v>
      </c>
      <c r="X589">
        <f>IFERROR(((PI())*(((V589*10^-1)/2)^2)*(U589*10^-1)), "NA")</f>
        <v>1.2131888350367701E-2</v>
      </c>
      <c r="Y589" t="s">
        <v>33</v>
      </c>
      <c r="Z589" s="3">
        <f t="shared" si="291"/>
        <v>1.2137954294542883</v>
      </c>
      <c r="AA589" t="s">
        <v>33</v>
      </c>
      <c r="AB589">
        <f t="shared" si="307"/>
        <v>6.666666666666667</v>
      </c>
      <c r="AC589" s="1" t="str">
        <f t="shared" si="309"/>
        <v>NA</v>
      </c>
      <c r="AE589" s="3">
        <f t="shared" si="293"/>
        <v>117.96480000000001</v>
      </c>
      <c r="AF589">
        <v>80</v>
      </c>
      <c r="AG589" s="1" t="str">
        <f>IFERROR((N589*P589*Q589), "NA")</f>
        <v>NA</v>
      </c>
      <c r="AH589" s="1" t="str">
        <f>IFERROR((O589*Q589*R589), "NA")</f>
        <v>NA</v>
      </c>
      <c r="AI589" s="1">
        <v>1</v>
      </c>
      <c r="AJ589" s="11" t="s">
        <v>31</v>
      </c>
      <c r="AK589">
        <v>1000</v>
      </c>
      <c r="AL589" t="s">
        <v>430</v>
      </c>
      <c r="AM589" t="s">
        <v>530</v>
      </c>
      <c r="AN589" t="s">
        <v>186</v>
      </c>
      <c r="AO589" t="s">
        <v>796</v>
      </c>
      <c r="AP589">
        <v>6</v>
      </c>
      <c r="AQ589" t="s">
        <v>33</v>
      </c>
      <c r="AR589" t="s">
        <v>33</v>
      </c>
      <c r="AS589">
        <v>6.5</v>
      </c>
      <c r="AT589">
        <f>AS589-AU589</f>
        <v>4.26</v>
      </c>
      <c r="AU589" s="6">
        <v>2.2400000000000002</v>
      </c>
      <c r="AV589" t="b">
        <v>1</v>
      </c>
      <c r="AW589" t="s">
        <v>626</v>
      </c>
      <c r="AX589" t="s">
        <v>627</v>
      </c>
      <c r="AY589" t="s">
        <v>625</v>
      </c>
      <c r="AZ589" t="s">
        <v>33</v>
      </c>
      <c r="BA589" s="18" t="s">
        <v>800</v>
      </c>
      <c r="BB589" s="3" t="b">
        <v>0</v>
      </c>
      <c r="BC589" t="s">
        <v>81</v>
      </c>
      <c r="BD589">
        <v>15</v>
      </c>
      <c r="BE589" t="s">
        <v>80</v>
      </c>
      <c r="BF589">
        <v>48</v>
      </c>
      <c r="BG589" t="s">
        <v>568</v>
      </c>
      <c r="BH589" t="s">
        <v>31</v>
      </c>
      <c r="BI589" t="s">
        <v>31</v>
      </c>
      <c r="BJ589">
        <f t="shared" si="308"/>
        <v>2.2400000000000002</v>
      </c>
      <c r="BK589" s="3">
        <f t="shared" si="301"/>
        <v>0.35024801833416286</v>
      </c>
      <c r="BL589">
        <v>2</v>
      </c>
      <c r="BM589" s="3">
        <f t="shared" si="303"/>
        <v>1.7215044173928424</v>
      </c>
      <c r="BN589" t="s">
        <v>33</v>
      </c>
      <c r="BO589" s="3">
        <f t="shared" si="304"/>
        <v>52.662857142857142</v>
      </c>
      <c r="BP589" t="s">
        <v>33</v>
      </c>
      <c r="BQ589" t="s">
        <v>33</v>
      </c>
      <c r="BR589" t="s">
        <v>33</v>
      </c>
      <c r="BS589" t="s">
        <v>33</v>
      </c>
      <c r="BT589" t="s">
        <v>32</v>
      </c>
      <c r="BU589" s="15" t="s">
        <v>344</v>
      </c>
      <c r="BV589" s="14">
        <v>2008</v>
      </c>
      <c r="BW589" t="s">
        <v>432</v>
      </c>
      <c r="BX589" t="s">
        <v>78</v>
      </c>
      <c r="BY589" s="13" t="s">
        <v>691</v>
      </c>
      <c r="BZ589" s="13" t="s">
        <v>781</v>
      </c>
      <c r="CA589" t="str">
        <f t="shared" si="305"/>
        <v>low acid</v>
      </c>
    </row>
    <row r="590" spans="1:79">
      <c r="A590" t="s">
        <v>221</v>
      </c>
      <c r="B590" t="s">
        <v>565</v>
      </c>
      <c r="C590" t="s">
        <v>563</v>
      </c>
      <c r="D590" t="s">
        <v>118</v>
      </c>
      <c r="E590" t="s">
        <v>77</v>
      </c>
      <c r="F590" t="s">
        <v>32</v>
      </c>
      <c r="G590">
        <v>5</v>
      </c>
      <c r="H590">
        <v>30.3</v>
      </c>
      <c r="I590" t="b">
        <v>0</v>
      </c>
      <c r="J590" t="s">
        <v>33</v>
      </c>
      <c r="K590" t="s">
        <v>33</v>
      </c>
      <c r="L590">
        <v>35</v>
      </c>
      <c r="M590" s="4">
        <v>175</v>
      </c>
      <c r="N590" s="3">
        <f>IFERROR(AF590/((T590*X590/Y590)*O590*AI590),"NA")</f>
        <v>8586.1873814153205</v>
      </c>
      <c r="O590">
        <v>4</v>
      </c>
      <c r="P590" t="s">
        <v>33</v>
      </c>
      <c r="Q590" s="8">
        <f t="shared" si="306"/>
        <v>0.35714285714285715</v>
      </c>
      <c r="R590" t="s">
        <v>183</v>
      </c>
      <c r="S590" t="s">
        <v>613</v>
      </c>
      <c r="T590" s="11">
        <v>8</v>
      </c>
      <c r="U590">
        <v>2.92</v>
      </c>
      <c r="V590">
        <v>2.2999999999999998</v>
      </c>
      <c r="W590">
        <v>1.21E-2</v>
      </c>
      <c r="X590" s="8">
        <f>IFERROR(((PI())*(((V590*10^-1)/2)^2)*(U590*10^-1)), "NA")</f>
        <v>1.2131888350367701E-2</v>
      </c>
      <c r="Y590" s="6">
        <f>100/60</f>
        <v>1.6666666666666667</v>
      </c>
      <c r="Z590" s="3">
        <f t="shared" si="291"/>
        <v>3.3969287381029563E-2</v>
      </c>
      <c r="AA590" t="s">
        <v>33</v>
      </c>
      <c r="AB590" s="6">
        <f t="shared" si="307"/>
        <v>62.499999999999993</v>
      </c>
      <c r="AC590" t="str">
        <f t="shared" si="309"/>
        <v>NA</v>
      </c>
      <c r="AD590" s="4">
        <f>AB590*T590*AI590</f>
        <v>499.99999999999994</v>
      </c>
      <c r="AE590" s="3">
        <f t="shared" si="293"/>
        <v>8967</v>
      </c>
      <c r="AF590">
        <v>2000</v>
      </c>
      <c r="AG590" t="str">
        <f>IFERROR((M590*O590*P590), "NA")</f>
        <v>NA</v>
      </c>
      <c r="AH590" t="str">
        <f>IFERROR((AG590*T590*AI590), "NA")</f>
        <v>NA</v>
      </c>
      <c r="AI590">
        <v>1</v>
      </c>
      <c r="AJ590" t="s">
        <v>31</v>
      </c>
      <c r="AK590">
        <v>3660</v>
      </c>
      <c r="AL590" t="s">
        <v>541</v>
      </c>
      <c r="AM590" t="s">
        <v>86</v>
      </c>
      <c r="AN590" t="s">
        <v>186</v>
      </c>
      <c r="AO590" t="s">
        <v>794</v>
      </c>
      <c r="AP590">
        <v>5.46</v>
      </c>
      <c r="AQ590" t="s">
        <v>33</v>
      </c>
      <c r="AR590" t="s">
        <v>33</v>
      </c>
      <c r="AS590" s="6">
        <f>LOG((10^7+10^8)/2)</f>
        <v>7.7403626894942441</v>
      </c>
      <c r="AT590" s="3">
        <f>IFERROR(AS590-AU590,"NA")</f>
        <v>4.2663626894942439</v>
      </c>
      <c r="AU590" s="6">
        <v>3.4740000000000002</v>
      </c>
      <c r="AV590" t="b">
        <v>1</v>
      </c>
      <c r="AW590" t="s">
        <v>29</v>
      </c>
      <c r="AX590" t="s">
        <v>30</v>
      </c>
      <c r="AY590" s="10">
        <v>1107</v>
      </c>
      <c r="AZ590" t="s">
        <v>33</v>
      </c>
      <c r="BA590" s="18" t="s">
        <v>798</v>
      </c>
      <c r="BB590" t="b">
        <v>0</v>
      </c>
      <c r="BC590" t="s">
        <v>81</v>
      </c>
      <c r="BD590">
        <f>(16+14)/2</f>
        <v>15</v>
      </c>
      <c r="BE590" t="s">
        <v>80</v>
      </c>
      <c r="BF590" t="s">
        <v>33</v>
      </c>
      <c r="BG590" t="s">
        <v>222</v>
      </c>
      <c r="BH590" t="s">
        <v>31</v>
      </c>
      <c r="BI590" t="s">
        <v>31</v>
      </c>
      <c r="BJ590" s="3">
        <f t="shared" si="308"/>
        <v>3.4740000000000002</v>
      </c>
      <c r="BK590" s="3">
        <f t="shared" si="301"/>
        <v>0.54082981411107989</v>
      </c>
      <c r="BL590">
        <v>2</v>
      </c>
      <c r="BM590" s="3">
        <f t="shared" si="303"/>
        <v>3.4118173556478633</v>
      </c>
      <c r="BN590" t="s">
        <v>33</v>
      </c>
      <c r="BO590" s="3">
        <f t="shared" si="304"/>
        <v>2581.174438687392</v>
      </c>
      <c r="BP590" t="s">
        <v>33</v>
      </c>
      <c r="BQ590" t="s">
        <v>33</v>
      </c>
      <c r="BR590" t="s">
        <v>33</v>
      </c>
      <c r="BS590" t="s">
        <v>33</v>
      </c>
      <c r="BT590" t="s">
        <v>31</v>
      </c>
      <c r="BU590" t="s">
        <v>219</v>
      </c>
      <c r="BV590">
        <v>2007</v>
      </c>
      <c r="BW590" t="s">
        <v>218</v>
      </c>
      <c r="BX590" t="s">
        <v>78</v>
      </c>
      <c r="BY590" t="s">
        <v>33</v>
      </c>
      <c r="BZ590" t="s">
        <v>33</v>
      </c>
      <c r="CA590" t="str">
        <f t="shared" si="305"/>
        <v>low acid</v>
      </c>
    </row>
    <row r="591" spans="1:79">
      <c r="A591" t="s">
        <v>79</v>
      </c>
      <c r="B591" t="s">
        <v>565</v>
      </c>
      <c r="C591" t="s">
        <v>563</v>
      </c>
      <c r="D591" t="s">
        <v>76</v>
      </c>
      <c r="E591" t="s">
        <v>77</v>
      </c>
      <c r="F591" t="s">
        <v>32</v>
      </c>
      <c r="G591">
        <v>4</v>
      </c>
      <c r="H591">
        <f>30</f>
        <v>30</v>
      </c>
      <c r="I591" t="b">
        <v>0</v>
      </c>
      <c r="J591" t="s">
        <v>33</v>
      </c>
      <c r="K591" t="s">
        <v>33</v>
      </c>
      <c r="L591">
        <v>40</v>
      </c>
      <c r="M591" s="4">
        <v>1000</v>
      </c>
      <c r="N591" s="3">
        <f>IFERROR(AF591/((T591*X591/Y591)*O591*AI591),"NA")</f>
        <v>575.8971743084935</v>
      </c>
      <c r="O591">
        <v>8</v>
      </c>
      <c r="P591" t="s">
        <v>33</v>
      </c>
      <c r="Q591" s="8">
        <f t="shared" si="306"/>
        <v>6.249999999999999E-4</v>
      </c>
      <c r="R591" t="s">
        <v>183</v>
      </c>
      <c r="S591" t="s">
        <v>612</v>
      </c>
      <c r="T591" s="11">
        <v>1</v>
      </c>
      <c r="U591">
        <f>4.7</f>
        <v>4.7</v>
      </c>
      <c r="V591">
        <v>3.5</v>
      </c>
      <c r="W591" t="s">
        <v>33</v>
      </c>
      <c r="X591" s="8">
        <f>IFERROR(((PI())*(((V591*10^-1)/2)^2)*(U591*10^-1)), "NA")</f>
        <v>4.5219299257608099E-2</v>
      </c>
      <c r="Y591" s="6">
        <f>2.5*1000/60</f>
        <v>41.666666666666664</v>
      </c>
      <c r="Z591" s="3">
        <f t="shared" si="291"/>
        <v>72.350878812172965</v>
      </c>
      <c r="AA591" t="s">
        <v>33</v>
      </c>
      <c r="AB591" s="6">
        <f t="shared" si="307"/>
        <v>0.625</v>
      </c>
      <c r="AC591" t="str">
        <f t="shared" si="309"/>
        <v>NA</v>
      </c>
      <c r="AD591" s="4">
        <f>IFERROR(AB591*T591*AI591, "NA")</f>
        <v>0.625</v>
      </c>
      <c r="AE591">
        <f t="shared" si="293"/>
        <v>43.999999999999993</v>
      </c>
      <c r="AF591">
        <v>5</v>
      </c>
      <c r="AG591" t="str">
        <f>IFERROR((M591*O591*P591), "NA")</f>
        <v>NA</v>
      </c>
      <c r="AH591" t="str">
        <f>IFERROR((AG591*T591*AI591), "NA")</f>
        <v>NA</v>
      </c>
      <c r="AI591" s="11">
        <v>1</v>
      </c>
      <c r="AJ591" t="s">
        <v>31</v>
      </c>
      <c r="AK591">
        <v>5500</v>
      </c>
      <c r="AL591" t="s">
        <v>540</v>
      </c>
      <c r="AM591" t="s">
        <v>157</v>
      </c>
      <c r="AN591" t="s">
        <v>186</v>
      </c>
      <c r="AO591" t="s">
        <v>792</v>
      </c>
      <c r="AP591" s="3">
        <f>(6.53+6.6)/2</f>
        <v>6.5649999999999995</v>
      </c>
      <c r="AQ591" t="s">
        <v>33</v>
      </c>
      <c r="AR591" t="s">
        <v>33</v>
      </c>
      <c r="AS591">
        <v>8</v>
      </c>
      <c r="AT591" s="3">
        <f>IFERROR(AS591-AU591,"NA")</f>
        <v>4.2699999999999996</v>
      </c>
      <c r="AU591" s="6">
        <v>3.73</v>
      </c>
      <c r="AV591" t="b">
        <v>1</v>
      </c>
      <c r="AW591" t="s">
        <v>29</v>
      </c>
      <c r="AX591" t="s">
        <v>30</v>
      </c>
      <c r="AY591" t="s">
        <v>216</v>
      </c>
      <c r="AZ591" t="s">
        <v>33</v>
      </c>
      <c r="BA591" s="18" t="s">
        <v>798</v>
      </c>
      <c r="BB591" t="b">
        <v>0</v>
      </c>
      <c r="BC591" t="s">
        <v>81</v>
      </c>
      <c r="BD591">
        <v>24</v>
      </c>
      <c r="BE591" t="s">
        <v>80</v>
      </c>
      <c r="BF591" s="11">
        <v>24</v>
      </c>
      <c r="BG591" t="s">
        <v>572</v>
      </c>
      <c r="BH591" t="s">
        <v>31</v>
      </c>
      <c r="BI591" t="s">
        <v>31</v>
      </c>
      <c r="BJ591" s="3">
        <f t="shared" si="308"/>
        <v>3.73</v>
      </c>
      <c r="BK591" s="3">
        <f t="shared" si="301"/>
        <v>0.57170883180868759</v>
      </c>
      <c r="BL591">
        <v>2</v>
      </c>
      <c r="BM591" s="3">
        <f t="shared" si="303"/>
        <v>1.0717438446774998</v>
      </c>
      <c r="BN591" t="s">
        <v>33</v>
      </c>
      <c r="BO591" s="3">
        <f t="shared" si="304"/>
        <v>11.796246648793565</v>
      </c>
      <c r="BP591" t="s">
        <v>33</v>
      </c>
      <c r="BQ591" t="s">
        <v>33</v>
      </c>
      <c r="BR591" t="s">
        <v>33</v>
      </c>
      <c r="BS591" t="s">
        <v>33</v>
      </c>
      <c r="BT591" t="s">
        <v>32</v>
      </c>
      <c r="BU591" t="s">
        <v>117</v>
      </c>
      <c r="BV591">
        <v>2021</v>
      </c>
      <c r="BW591" s="2" t="s">
        <v>82</v>
      </c>
      <c r="BX591" t="s">
        <v>78</v>
      </c>
      <c r="BY591" t="s">
        <v>90</v>
      </c>
      <c r="CA591" t="str">
        <f t="shared" si="305"/>
        <v>low acid</v>
      </c>
    </row>
    <row r="592" spans="1:79">
      <c r="A592" t="s">
        <v>258</v>
      </c>
      <c r="B592" t="s">
        <v>565</v>
      </c>
      <c r="C592" t="s">
        <v>563</v>
      </c>
      <c r="D592" t="s">
        <v>118</v>
      </c>
      <c r="E592" t="s">
        <v>77</v>
      </c>
      <c r="F592" t="s">
        <v>32</v>
      </c>
      <c r="G592">
        <v>5</v>
      </c>
      <c r="H592">
        <v>40</v>
      </c>
      <c r="I592" t="b">
        <v>0</v>
      </c>
      <c r="J592" t="s">
        <v>33</v>
      </c>
      <c r="K592" t="s">
        <v>33</v>
      </c>
      <c r="L592">
        <v>35</v>
      </c>
      <c r="M592" s="4">
        <v>100</v>
      </c>
      <c r="N592" s="3">
        <f>IFERROR(AF592/((T592*X592/Y592)*O592*AI592),"NA")</f>
        <v>5903.0038247230323</v>
      </c>
      <c r="O592">
        <v>4</v>
      </c>
      <c r="P592" t="s">
        <v>33</v>
      </c>
      <c r="Q592" s="8">
        <f t="shared" si="306"/>
        <v>0.39062499999999994</v>
      </c>
      <c r="R592" t="s">
        <v>183</v>
      </c>
      <c r="S592" t="s">
        <v>613</v>
      </c>
      <c r="T592" s="11">
        <v>8</v>
      </c>
      <c r="U592">
        <v>2.92</v>
      </c>
      <c r="V592">
        <v>2.2999999999999998</v>
      </c>
      <c r="W592">
        <v>1.21E-2</v>
      </c>
      <c r="X592" s="8">
        <f>IFERROR(((PI())*(((V592*10^-1)/2)^2)*(U592*10^-1)), "NA")</f>
        <v>1.2131888350367701E-2</v>
      </c>
      <c r="Y592" s="6">
        <f>110/60</f>
        <v>1.8333333333333333</v>
      </c>
      <c r="Z592" s="3">
        <f t="shared" si="291"/>
        <v>3.1057634176941316E-2</v>
      </c>
      <c r="AA592" t="s">
        <v>33</v>
      </c>
      <c r="AB592" s="6">
        <f t="shared" si="307"/>
        <v>39.0625</v>
      </c>
      <c r="AC592" t="str">
        <f t="shared" si="309"/>
        <v>NA</v>
      </c>
      <c r="AD592" s="4">
        <f>AB592*T592*AI592</f>
        <v>312.5</v>
      </c>
      <c r="AE592" s="3">
        <f t="shared" si="293"/>
        <v>3338.1249999999995</v>
      </c>
      <c r="AF592">
        <v>1250</v>
      </c>
      <c r="AG592" t="str">
        <f>IFERROR((M592*O592*P592), "NA")</f>
        <v>NA</v>
      </c>
      <c r="AH592" t="str">
        <f>IFERROR((AG592*T592*AI592), "NA")</f>
        <v>NA</v>
      </c>
      <c r="AI592">
        <v>1</v>
      </c>
      <c r="AJ592" t="s">
        <v>31</v>
      </c>
      <c r="AK592">
        <v>2180</v>
      </c>
      <c r="AL592" t="s">
        <v>149</v>
      </c>
      <c r="AM592" t="s">
        <v>86</v>
      </c>
      <c r="AN592" t="s">
        <v>205</v>
      </c>
      <c r="AO592" t="s">
        <v>789</v>
      </c>
      <c r="AP592">
        <v>4.46</v>
      </c>
      <c r="AQ592" t="s">
        <v>33</v>
      </c>
      <c r="AR592" t="s">
        <v>33</v>
      </c>
      <c r="AS592" s="6">
        <f>LOG((10^7+10^8)/2)</f>
        <v>7.7403626894942441</v>
      </c>
      <c r="AT592" s="3">
        <f>IFERROR(AS592-AU592,"NA")</f>
        <v>4.2813626894942445</v>
      </c>
      <c r="AU592" s="6">
        <v>3.4590000000000001</v>
      </c>
      <c r="AV592" t="b">
        <v>1</v>
      </c>
      <c r="AW592" t="s">
        <v>29</v>
      </c>
      <c r="AX592" t="s">
        <v>30</v>
      </c>
      <c r="AY592" t="s">
        <v>33</v>
      </c>
      <c r="AZ592" t="s">
        <v>134</v>
      </c>
      <c r="BA592" s="18" t="s">
        <v>798</v>
      </c>
      <c r="BB592" t="b">
        <v>0</v>
      </c>
      <c r="BC592" t="s">
        <v>81</v>
      </c>
      <c r="BD592">
        <v>15</v>
      </c>
      <c r="BE592" t="s">
        <v>80</v>
      </c>
      <c r="BF592" s="11">
        <v>24</v>
      </c>
      <c r="BG592" t="s">
        <v>262</v>
      </c>
      <c r="BH592" t="s">
        <v>31</v>
      </c>
      <c r="BI592" t="s">
        <v>31</v>
      </c>
      <c r="BJ592" s="3">
        <f t="shared" si="308"/>
        <v>3.4590000000000001</v>
      </c>
      <c r="BK592" s="3">
        <f t="shared" si="301"/>
        <v>0.53895056201436142</v>
      </c>
      <c r="BL592">
        <v>2</v>
      </c>
      <c r="BM592" s="3">
        <f t="shared" si="303"/>
        <v>2.9845520332988511</v>
      </c>
      <c r="BN592" t="s">
        <v>33</v>
      </c>
      <c r="BO592" s="3">
        <f t="shared" si="304"/>
        <v>965.05492917028027</v>
      </c>
      <c r="BP592" t="s">
        <v>33</v>
      </c>
      <c r="BQ592" t="s">
        <v>33</v>
      </c>
      <c r="BR592" t="s">
        <v>33</v>
      </c>
      <c r="BS592" t="s">
        <v>33</v>
      </c>
      <c r="BT592" t="s">
        <v>31</v>
      </c>
      <c r="BU592" t="s">
        <v>219</v>
      </c>
      <c r="BV592">
        <v>2008</v>
      </c>
      <c r="BW592" s="2" t="s">
        <v>257</v>
      </c>
      <c r="BX592" t="s">
        <v>78</v>
      </c>
      <c r="BY592" t="s">
        <v>33</v>
      </c>
      <c r="BZ592" t="s">
        <v>33</v>
      </c>
      <c r="CA592" t="str">
        <f t="shared" si="305"/>
        <v>high acid</v>
      </c>
    </row>
    <row r="593" spans="1:79">
      <c r="A593" t="s">
        <v>325</v>
      </c>
      <c r="B593" t="s">
        <v>565</v>
      </c>
      <c r="C593" t="s">
        <v>563</v>
      </c>
      <c r="D593" t="s">
        <v>304</v>
      </c>
      <c r="E593" t="s">
        <v>77</v>
      </c>
      <c r="F593" t="s">
        <v>32</v>
      </c>
      <c r="G593">
        <v>30</v>
      </c>
      <c r="H593">
        <v>31.9</v>
      </c>
      <c r="I593" t="b">
        <v>1</v>
      </c>
      <c r="J593">
        <v>12600</v>
      </c>
      <c r="K593">
        <v>50.4</v>
      </c>
      <c r="L593">
        <v>39.5</v>
      </c>
      <c r="M593" s="4">
        <v>137</v>
      </c>
      <c r="N593" s="3">
        <f>IFERROR(AF593/((T593*X593/Y593)*O593*AI593),"NA")</f>
        <v>145.63197407101529</v>
      </c>
      <c r="O593">
        <v>2</v>
      </c>
      <c r="P593">
        <v>2.4E-2</v>
      </c>
      <c r="Q593" s="8">
        <f t="shared" si="306"/>
        <v>2.5547445255474453E-2</v>
      </c>
      <c r="R593" t="s">
        <v>183</v>
      </c>
      <c r="S593" t="s">
        <v>612</v>
      </c>
      <c r="T593" s="11">
        <v>1</v>
      </c>
      <c r="U593">
        <v>3.4</v>
      </c>
      <c r="V593">
        <v>3</v>
      </c>
      <c r="W593">
        <v>2.4E-2</v>
      </c>
      <c r="X593" s="8">
        <f>IFERROR(((PI())*(((V593*10^-1)/2)^2)*(U593*10^-1)), "NA")</f>
        <v>2.4033183799961926E-2</v>
      </c>
      <c r="Y593" s="6">
        <f>1</f>
        <v>1</v>
      </c>
      <c r="Z593" s="3">
        <f t="shared" si="291"/>
        <v>0.94072748016993823</v>
      </c>
      <c r="AA593">
        <v>3.3</v>
      </c>
      <c r="AB593" s="6">
        <f t="shared" si="307"/>
        <v>3.5</v>
      </c>
      <c r="AC593">
        <f t="shared" si="309"/>
        <v>3.2880000000000003</v>
      </c>
      <c r="AD593" s="4">
        <f>IFERROR(AB593*T593*AI593, "NA")</f>
        <v>3.5</v>
      </c>
      <c r="AE593" s="3">
        <f t="shared" si="293"/>
        <v>10.921749999999999</v>
      </c>
      <c r="AF593">
        <v>7</v>
      </c>
      <c r="AG593">
        <f>IFERROR((M593*O593*P593), "NA")</f>
        <v>6.5760000000000005</v>
      </c>
      <c r="AH593">
        <f>IFERROR((AG593*T593*AI593), "NA")</f>
        <v>6.5760000000000005</v>
      </c>
      <c r="AI593" s="11">
        <v>1</v>
      </c>
      <c r="AJ593" t="s">
        <v>31</v>
      </c>
      <c r="AK593">
        <v>1000</v>
      </c>
      <c r="AL593" t="s">
        <v>169</v>
      </c>
      <c r="AM593" t="s">
        <v>103</v>
      </c>
      <c r="AN593" t="s">
        <v>305</v>
      </c>
      <c r="AO593" t="s">
        <v>790</v>
      </c>
      <c r="AP593">
        <v>4.5</v>
      </c>
      <c r="AQ593" t="s">
        <v>33</v>
      </c>
      <c r="AR593" t="s">
        <v>33</v>
      </c>
      <c r="AS593" s="6">
        <f>LOG(3*10^7)</f>
        <v>7.4771212547196626</v>
      </c>
      <c r="AT593" s="3">
        <f>IFERROR(AS593-AU593,"NA")</f>
        <v>4.2871212547196631</v>
      </c>
      <c r="AU593" s="6">
        <v>3.19</v>
      </c>
      <c r="AV593" t="b">
        <v>1</v>
      </c>
      <c r="AW593" t="s">
        <v>123</v>
      </c>
      <c r="AX593" t="s">
        <v>88</v>
      </c>
      <c r="AY593" t="s">
        <v>306</v>
      </c>
      <c r="AZ593" t="s">
        <v>33</v>
      </c>
      <c r="BA593" s="18" t="s">
        <v>579</v>
      </c>
      <c r="BB593" t="b">
        <v>1</v>
      </c>
      <c r="BC593" t="s">
        <v>81</v>
      </c>
      <c r="BD593">
        <v>48</v>
      </c>
      <c r="BE593" t="s">
        <v>80</v>
      </c>
      <c r="BF593" s="11">
        <v>120</v>
      </c>
      <c r="BG593" t="s">
        <v>395</v>
      </c>
      <c r="BH593" t="s">
        <v>31</v>
      </c>
      <c r="BI593" t="s">
        <v>31</v>
      </c>
      <c r="BJ593" s="3">
        <f t="shared" si="308"/>
        <v>3.19</v>
      </c>
      <c r="BK593" s="3">
        <f t="shared" si="301"/>
        <v>0.50379068305718111</v>
      </c>
      <c r="BL593">
        <v>2</v>
      </c>
      <c r="BM593" s="3">
        <f t="shared" si="303"/>
        <v>0.53450154820999618</v>
      </c>
      <c r="BN593" t="s">
        <v>33</v>
      </c>
      <c r="BO593" s="3">
        <f t="shared" si="304"/>
        <v>3.4237460815047021</v>
      </c>
      <c r="BP593" t="s">
        <v>33</v>
      </c>
      <c r="BQ593" t="s">
        <v>33</v>
      </c>
      <c r="BR593" t="s">
        <v>33</v>
      </c>
      <c r="BS593" t="s">
        <v>33</v>
      </c>
      <c r="BT593" t="s">
        <v>32</v>
      </c>
      <c r="BU593" t="s">
        <v>323</v>
      </c>
      <c r="BV593">
        <v>2003</v>
      </c>
      <c r="BW593" s="2" t="s">
        <v>322</v>
      </c>
      <c r="BX593" t="s">
        <v>78</v>
      </c>
      <c r="BY593" t="s">
        <v>33</v>
      </c>
      <c r="BZ593" t="s">
        <v>33</v>
      </c>
      <c r="CA593" t="str">
        <f t="shared" si="305"/>
        <v>high acid</v>
      </c>
    </row>
    <row r="594" spans="1:79">
      <c r="A594" t="s">
        <v>487</v>
      </c>
      <c r="B594" t="s">
        <v>566</v>
      </c>
      <c r="C594" t="s">
        <v>564</v>
      </c>
      <c r="D594" t="s">
        <v>321</v>
      </c>
      <c r="E594" t="s">
        <v>77</v>
      </c>
      <c r="F594" t="s">
        <v>32</v>
      </c>
      <c r="G594">
        <v>4</v>
      </c>
      <c r="H594" t="s">
        <v>33</v>
      </c>
      <c r="I594" t="b">
        <v>0</v>
      </c>
      <c r="J594" t="s">
        <v>33</v>
      </c>
      <c r="K594" t="s">
        <v>33</v>
      </c>
      <c r="L594">
        <v>20</v>
      </c>
      <c r="M594" s="4">
        <v>10</v>
      </c>
      <c r="N594" s="3">
        <f>IFERROR(AF594/((T594*X594/Y594)*O594*AI594),"NA")</f>
        <v>10</v>
      </c>
      <c r="O594">
        <v>1.5</v>
      </c>
      <c r="P594" s="3">
        <f>6/(52.5/60)</f>
        <v>6.8571428571428568</v>
      </c>
      <c r="Q594" s="8">
        <f t="shared" si="306"/>
        <v>6.8571428571428559</v>
      </c>
      <c r="R594" t="s">
        <v>278</v>
      </c>
      <c r="S594" t="s">
        <v>613</v>
      </c>
      <c r="T594" s="11">
        <v>1</v>
      </c>
      <c r="U594">
        <v>100</v>
      </c>
      <c r="V594" t="s">
        <v>33</v>
      </c>
      <c r="W594">
        <v>6</v>
      </c>
      <c r="X594" s="9">
        <f>W594</f>
        <v>6</v>
      </c>
      <c r="Y594" s="6">
        <f>52.5/60</f>
        <v>0.875</v>
      </c>
      <c r="Z594" s="3">
        <f t="shared" ref="Z594:Z620" si="310">IFERROR(X594*M594*O594*T594*AI594/AF594, "NA")</f>
        <v>0.87500000000000011</v>
      </c>
      <c r="AA594" t="s">
        <v>33</v>
      </c>
      <c r="AB594" s="4">
        <f>IFERROR(((X594*M594)/Y594), "NA")</f>
        <v>68.571428571428569</v>
      </c>
      <c r="AC594" s="4">
        <f t="shared" si="309"/>
        <v>68.571428571428569</v>
      </c>
      <c r="AD594" s="4">
        <f>AB594*T594*AI594</f>
        <v>1035</v>
      </c>
      <c r="AE594" s="3">
        <f t="shared" ref="AE594:AE628" si="311">IFERROR(((L594^2)*M594*O594*AK594*10^-6*Q594*T594*AI594), "NA")</f>
        <v>3167.0999999999995</v>
      </c>
      <c r="AF594">
        <f>1035*O594</f>
        <v>1552.5</v>
      </c>
      <c r="AG594" s="4">
        <f>IFERROR((M594*O594*P594), "NA")</f>
        <v>102.85714285714285</v>
      </c>
      <c r="AH594" s="4">
        <f>IFERROR((AG594*T594*AI594), "NA")</f>
        <v>1552.5</v>
      </c>
      <c r="AI594" s="3">
        <f>AF594/(AG594*T594)</f>
        <v>15.093750000000002</v>
      </c>
      <c r="AJ594" s="11" t="s">
        <v>32</v>
      </c>
      <c r="AK594">
        <v>5100</v>
      </c>
      <c r="AL594" t="s">
        <v>319</v>
      </c>
      <c r="AM594" t="s">
        <v>86</v>
      </c>
      <c r="AN594" t="s">
        <v>186</v>
      </c>
      <c r="AO594" t="s">
        <v>794</v>
      </c>
      <c r="AP594">
        <v>6.05</v>
      </c>
      <c r="AQ594" t="s">
        <v>33</v>
      </c>
      <c r="AR594" t="s">
        <v>33</v>
      </c>
      <c r="AS594" s="6">
        <f>LOG((10^7+10^8)/2)</f>
        <v>7.7403626894942441</v>
      </c>
      <c r="AT594" s="3">
        <f>IFERROR(AS594-AU594,"NA")</f>
        <v>4.2883626894942442</v>
      </c>
      <c r="AU594" s="6">
        <v>3.452</v>
      </c>
      <c r="AV594" t="b">
        <v>1</v>
      </c>
      <c r="AW594" t="s">
        <v>29</v>
      </c>
      <c r="AX594" t="s">
        <v>30</v>
      </c>
      <c r="AY594" t="s">
        <v>320</v>
      </c>
      <c r="AZ594" t="s">
        <v>33</v>
      </c>
      <c r="BA594" s="18" t="s">
        <v>798</v>
      </c>
      <c r="BB594" s="3" t="b">
        <v>0</v>
      </c>
      <c r="BC594" t="s">
        <v>81</v>
      </c>
      <c r="BD594">
        <v>12</v>
      </c>
      <c r="BE594" t="s">
        <v>80</v>
      </c>
      <c r="BF594" t="s">
        <v>33</v>
      </c>
      <c r="BG594" t="s">
        <v>488</v>
      </c>
      <c r="BH594" t="s">
        <v>31</v>
      </c>
      <c r="BI594" t="s">
        <v>31</v>
      </c>
      <c r="BJ594" s="3">
        <f t="shared" si="308"/>
        <v>3.452</v>
      </c>
      <c r="BK594" s="3">
        <f t="shared" si="301"/>
        <v>0.53807078704317202</v>
      </c>
      <c r="BL594">
        <v>2</v>
      </c>
      <c r="BM594" s="3">
        <f t="shared" si="303"/>
        <v>2.9625909892313445</v>
      </c>
      <c r="BN594" t="s">
        <v>33</v>
      </c>
      <c r="BO594" s="3">
        <f t="shared" si="304"/>
        <v>917.46813441483187</v>
      </c>
      <c r="BP594" t="s">
        <v>33</v>
      </c>
      <c r="BQ594" t="s">
        <v>33</v>
      </c>
      <c r="BR594" t="s">
        <v>33</v>
      </c>
      <c r="BS594" t="s">
        <v>33</v>
      </c>
      <c r="BT594" t="s">
        <v>31</v>
      </c>
      <c r="BU594" t="s">
        <v>318</v>
      </c>
      <c r="BV594">
        <v>2005</v>
      </c>
      <c r="BW594" t="s">
        <v>489</v>
      </c>
      <c r="BX594" t="s">
        <v>78</v>
      </c>
      <c r="BY594" t="s">
        <v>33</v>
      </c>
      <c r="BZ594" t="s">
        <v>490</v>
      </c>
      <c r="CA594" t="str">
        <f t="shared" si="305"/>
        <v>low acid</v>
      </c>
    </row>
    <row r="595" spans="1:79">
      <c r="A595" t="s">
        <v>584</v>
      </c>
      <c r="B595" t="s">
        <v>566</v>
      </c>
      <c r="C595" t="s">
        <v>563</v>
      </c>
      <c r="D595" t="s">
        <v>607</v>
      </c>
      <c r="E595" t="s">
        <v>77</v>
      </c>
      <c r="F595" t="s">
        <v>33</v>
      </c>
      <c r="G595">
        <v>20</v>
      </c>
      <c r="H595">
        <v>35</v>
      </c>
      <c r="I595" t="b">
        <v>0</v>
      </c>
      <c r="J595">
        <v>1000</v>
      </c>
      <c r="K595">
        <v>200</v>
      </c>
      <c r="L595">
        <v>35</v>
      </c>
      <c r="M595" s="4">
        <v>1</v>
      </c>
      <c r="N595" t="e">
        <f>(#REF!*Y595)/(T595*X595*O595)</f>
        <v>#REF!</v>
      </c>
      <c r="O595">
        <v>3</v>
      </c>
      <c r="P595" t="s">
        <v>33</v>
      </c>
      <c r="Q595" s="1">
        <f t="shared" si="306"/>
        <v>5</v>
      </c>
      <c r="R595" t="s">
        <v>183</v>
      </c>
      <c r="S595" t="s">
        <v>33</v>
      </c>
      <c r="T595">
        <v>1</v>
      </c>
      <c r="U595">
        <v>2.5</v>
      </c>
      <c r="V595" t="s">
        <v>33</v>
      </c>
      <c r="W595">
        <v>0.50249999999999995</v>
      </c>
      <c r="X595">
        <f>W595</f>
        <v>0.50249999999999995</v>
      </c>
      <c r="Y595" t="s">
        <v>33</v>
      </c>
      <c r="Z595" s="3">
        <f t="shared" si="310"/>
        <v>0.10049999999999999</v>
      </c>
      <c r="AA595" t="s">
        <v>33</v>
      </c>
      <c r="AB595">
        <f t="shared" ref="AB595:AB600" si="312">IFERROR(((X595*M595)/Z595), "NA")</f>
        <v>5</v>
      </c>
      <c r="AC595" s="1" t="str">
        <f t="shared" si="309"/>
        <v>NA</v>
      </c>
      <c r="AE595" s="3">
        <f t="shared" si="311"/>
        <v>18.375</v>
      </c>
      <c r="AF595">
        <v>15</v>
      </c>
      <c r="AG595" s="1" t="str">
        <f>IFERROR((N595*P595*Q595), "NA")</f>
        <v>NA</v>
      </c>
      <c r="AH595" s="1" t="str">
        <f>IFERROR((AG595*U595*AI595), "NA")</f>
        <v>NA</v>
      </c>
      <c r="AI595" s="1">
        <v>1</v>
      </c>
      <c r="AJ595" s="11" t="s">
        <v>31</v>
      </c>
      <c r="AK595">
        <v>1000</v>
      </c>
      <c r="AL595" t="s">
        <v>614</v>
      </c>
      <c r="AM595" s="3" t="s">
        <v>103</v>
      </c>
      <c r="AN595" t="s">
        <v>305</v>
      </c>
      <c r="AO595" t="s">
        <v>790</v>
      </c>
      <c r="AP595">
        <v>3.5</v>
      </c>
      <c r="AQ595" t="s">
        <v>33</v>
      </c>
      <c r="AR595" t="s">
        <v>33</v>
      </c>
      <c r="AS595">
        <v>8</v>
      </c>
      <c r="AT595">
        <f>AS595-AU595</f>
        <v>4.29</v>
      </c>
      <c r="AU595" s="6">
        <v>3.71</v>
      </c>
      <c r="AV595" t="b">
        <v>1</v>
      </c>
      <c r="AW595" t="s">
        <v>617</v>
      </c>
      <c r="AX595" t="s">
        <v>33</v>
      </c>
      <c r="AY595" t="s">
        <v>623</v>
      </c>
      <c r="AZ595" t="s">
        <v>621</v>
      </c>
      <c r="BA595" s="18" t="s">
        <v>802</v>
      </c>
      <c r="BB595" s="3" t="b">
        <v>0</v>
      </c>
      <c r="BC595" t="s">
        <v>81</v>
      </c>
      <c r="BD595">
        <v>18</v>
      </c>
      <c r="BE595" t="s">
        <v>80</v>
      </c>
      <c r="BF595">
        <v>24</v>
      </c>
      <c r="BG595" t="s">
        <v>642</v>
      </c>
      <c r="BH595" t="s">
        <v>32</v>
      </c>
      <c r="BI595" t="s">
        <v>31</v>
      </c>
      <c r="BJ595">
        <f t="shared" si="308"/>
        <v>3.71</v>
      </c>
      <c r="BK595" s="3">
        <f t="shared" si="301"/>
        <v>0.56937390961504586</v>
      </c>
      <c r="BL595">
        <v>2</v>
      </c>
      <c r="BM595" s="3">
        <f t="shared" si="303"/>
        <v>0.69485343814118661</v>
      </c>
      <c r="BN595" t="s">
        <v>33</v>
      </c>
      <c r="BO595" s="3">
        <f t="shared" si="304"/>
        <v>4.9528301886792452</v>
      </c>
      <c r="BP595" t="s">
        <v>33</v>
      </c>
      <c r="BQ595" t="s">
        <v>33</v>
      </c>
      <c r="BR595" t="s">
        <v>33</v>
      </c>
      <c r="BS595" t="s">
        <v>33</v>
      </c>
      <c r="BT595" t="s">
        <v>31</v>
      </c>
      <c r="BU595" t="s">
        <v>255</v>
      </c>
      <c r="BV595">
        <v>2010</v>
      </c>
      <c r="BW595" t="s">
        <v>651</v>
      </c>
      <c r="BX595" t="s">
        <v>78</v>
      </c>
      <c r="BY595" s="13" t="s">
        <v>674</v>
      </c>
      <c r="CA595" t="str">
        <f t="shared" si="305"/>
        <v>high acid</v>
      </c>
    </row>
    <row r="596" spans="1:79">
      <c r="A596" t="s">
        <v>142</v>
      </c>
      <c r="B596" t="s">
        <v>565</v>
      </c>
      <c r="C596" t="s">
        <v>563</v>
      </c>
      <c r="D596" t="s">
        <v>118</v>
      </c>
      <c r="E596" t="s">
        <v>77</v>
      </c>
      <c r="F596" t="s">
        <v>32</v>
      </c>
      <c r="G596">
        <v>20</v>
      </c>
      <c r="H596" t="s">
        <v>33</v>
      </c>
      <c r="I596" t="b">
        <v>0</v>
      </c>
      <c r="J596" t="s">
        <v>33</v>
      </c>
      <c r="K596" t="s">
        <v>33</v>
      </c>
      <c r="L596">
        <v>17</v>
      </c>
      <c r="M596" s="4">
        <v>500</v>
      </c>
      <c r="N596" s="3">
        <f>IFERROR(AF596/((T596*X596/Y596)*O596*AI596),"NA")</f>
        <v>806.90423023507651</v>
      </c>
      <c r="O596">
        <v>3</v>
      </c>
      <c r="P596" t="s">
        <v>33</v>
      </c>
      <c r="Q596" s="8">
        <f t="shared" si="306"/>
        <v>2.3333333333333334E-2</v>
      </c>
      <c r="R596" t="s">
        <v>183</v>
      </c>
      <c r="S596" t="s">
        <v>613</v>
      </c>
      <c r="T596" s="11">
        <v>6</v>
      </c>
      <c r="U596">
        <v>2.9</v>
      </c>
      <c r="V596">
        <v>2.2999999999999998</v>
      </c>
      <c r="W596" t="s">
        <v>33</v>
      </c>
      <c r="X596">
        <f t="shared" ref="X596:X602" si="313">IFERROR(((PI())*(((V596*10^-1)/2)^2)*(U596*10^-1)), "NA")</f>
        <v>1.204879322468025E-2</v>
      </c>
      <c r="Y596" s="8">
        <f>50/60</f>
        <v>0.83333333333333337</v>
      </c>
      <c r="Z596" s="9">
        <f t="shared" si="310"/>
        <v>0.51637685248629639</v>
      </c>
      <c r="AA596" t="s">
        <v>33</v>
      </c>
      <c r="AB596" s="6">
        <f t="shared" si="312"/>
        <v>11.666666666666668</v>
      </c>
      <c r="AC596" t="str">
        <f t="shared" si="309"/>
        <v>NA</v>
      </c>
      <c r="AD596" s="4">
        <f>IFERROR(AB596*T596*AI596, "NA")</f>
        <v>70</v>
      </c>
      <c r="AE596" s="3">
        <f t="shared" si="311"/>
        <v>71.007300000000001</v>
      </c>
      <c r="AF596">
        <v>210</v>
      </c>
      <c r="AG596" t="str">
        <f>IFERROR((M596*O596*P596), "NA")</f>
        <v>NA</v>
      </c>
      <c r="AH596" t="str">
        <f>IFERROR((AG596*T596*AI596), "NA")</f>
        <v>NA</v>
      </c>
      <c r="AI596" s="11">
        <v>1</v>
      </c>
      <c r="AJ596" t="s">
        <v>31</v>
      </c>
      <c r="AK596">
        <v>1170</v>
      </c>
      <c r="AL596" t="s">
        <v>138</v>
      </c>
      <c r="AM596" t="s">
        <v>86</v>
      </c>
      <c r="AN596" t="s">
        <v>205</v>
      </c>
      <c r="AO596" t="s">
        <v>789</v>
      </c>
      <c r="AP596">
        <v>3.89</v>
      </c>
      <c r="AQ596" t="s">
        <v>33</v>
      </c>
      <c r="AR596" t="s">
        <v>33</v>
      </c>
      <c r="AS596" s="3">
        <v>7.3810000000000002</v>
      </c>
      <c r="AT596" s="3">
        <f>IFERROR(AS596-AU596,"NA")</f>
        <v>4.2910000000000004</v>
      </c>
      <c r="AU596" s="6">
        <v>3.09</v>
      </c>
      <c r="AV596" t="b">
        <v>1</v>
      </c>
      <c r="AW596" t="s">
        <v>92</v>
      </c>
      <c r="AX596" t="s">
        <v>93</v>
      </c>
      <c r="AY596" t="s">
        <v>137</v>
      </c>
      <c r="AZ596" t="s">
        <v>33</v>
      </c>
      <c r="BA596" s="18" t="s">
        <v>801</v>
      </c>
      <c r="BB596" t="b">
        <v>0</v>
      </c>
      <c r="BC596" t="s">
        <v>81</v>
      </c>
      <c r="BD596">
        <f>(48+24)/2</f>
        <v>36</v>
      </c>
      <c r="BE596" t="s">
        <v>80</v>
      </c>
      <c r="BF596" s="11">
        <f>(48+24)/2</f>
        <v>36</v>
      </c>
      <c r="BG596" t="s">
        <v>139</v>
      </c>
      <c r="BH596" t="s">
        <v>31</v>
      </c>
      <c r="BI596" t="s">
        <v>31</v>
      </c>
      <c r="BJ596">
        <f t="shared" si="308"/>
        <v>3.09</v>
      </c>
      <c r="BK596" s="3">
        <f t="shared" si="301"/>
        <v>0.48995847942483461</v>
      </c>
      <c r="BL596">
        <v>2</v>
      </c>
      <c r="BM596" s="3">
        <f>LOG(BO596)</f>
        <v>1.3613445198117942</v>
      </c>
      <c r="BN596" t="s">
        <v>33</v>
      </c>
      <c r="BO596" s="3">
        <f t="shared" si="304"/>
        <v>22.97970873786408</v>
      </c>
      <c r="BP596" t="s">
        <v>33</v>
      </c>
      <c r="BQ596" t="s">
        <v>33</v>
      </c>
      <c r="BR596" t="s">
        <v>33</v>
      </c>
      <c r="BS596" t="s">
        <v>33</v>
      </c>
      <c r="BT596" t="s">
        <v>31</v>
      </c>
      <c r="BU596" t="s">
        <v>135</v>
      </c>
      <c r="BV596">
        <v>2011</v>
      </c>
      <c r="BW596" s="2" t="s">
        <v>136</v>
      </c>
      <c r="BX596" t="s">
        <v>78</v>
      </c>
      <c r="BY596" t="s">
        <v>33</v>
      </c>
      <c r="BZ596" t="s">
        <v>33</v>
      </c>
      <c r="CA596" t="str">
        <f t="shared" si="305"/>
        <v>high acid</v>
      </c>
    </row>
    <row r="597" spans="1:79">
      <c r="A597" t="s">
        <v>392</v>
      </c>
      <c r="B597" t="s">
        <v>565</v>
      </c>
      <c r="C597" t="s">
        <v>563</v>
      </c>
      <c r="D597" t="s">
        <v>118</v>
      </c>
      <c r="E597" t="s">
        <v>77</v>
      </c>
      <c r="F597" t="s">
        <v>32</v>
      </c>
      <c r="G597">
        <v>25</v>
      </c>
      <c r="H597">
        <v>36</v>
      </c>
      <c r="I597" t="b">
        <v>0</v>
      </c>
      <c r="J597" t="s">
        <v>33</v>
      </c>
      <c r="K597" t="s">
        <v>33</v>
      </c>
      <c r="L597">
        <v>25</v>
      </c>
      <c r="M597" s="4">
        <v>200</v>
      </c>
      <c r="N597" s="3" t="str">
        <f>IFERROR(AF597/((T597*X597/Y597)*O597*AI597),"NA")</f>
        <v>NA</v>
      </c>
      <c r="O597">
        <v>4</v>
      </c>
      <c r="P597" t="s">
        <v>33</v>
      </c>
      <c r="Q597" s="8">
        <f t="shared" si="306"/>
        <v>9.3750000000000014E-2</v>
      </c>
      <c r="R597" t="s">
        <v>183</v>
      </c>
      <c r="S597" t="s">
        <v>613</v>
      </c>
      <c r="T597" s="11">
        <v>8</v>
      </c>
      <c r="U597">
        <v>2.9</v>
      </c>
      <c r="V597">
        <v>2.2999999999999998</v>
      </c>
      <c r="W597">
        <v>1.2E-2</v>
      </c>
      <c r="X597" s="8">
        <f t="shared" si="313"/>
        <v>1.204879322468025E-2</v>
      </c>
      <c r="Y597" t="s">
        <v>33</v>
      </c>
      <c r="Z597" s="3">
        <f t="shared" si="310"/>
        <v>0.12852046106325599</v>
      </c>
      <c r="AA597" t="s">
        <v>33</v>
      </c>
      <c r="AB597" s="6">
        <f t="shared" si="312"/>
        <v>18.75</v>
      </c>
      <c r="AC597" t="str">
        <f t="shared" si="309"/>
        <v>NA</v>
      </c>
      <c r="AD597" s="4">
        <f>AB597*T597*AI597</f>
        <v>150</v>
      </c>
      <c r="AE597" s="3">
        <f t="shared" si="311"/>
        <v>1590.0000000000002</v>
      </c>
      <c r="AF597">
        <v>600</v>
      </c>
      <c r="AG597" t="str">
        <f>IFERROR((M597*O597*P597), "NA")</f>
        <v>NA</v>
      </c>
      <c r="AH597" t="str">
        <f>IFERROR((AG597*T597*AI597), "NA")</f>
        <v>NA</v>
      </c>
      <c r="AI597">
        <v>1</v>
      </c>
      <c r="AJ597" t="s">
        <v>31</v>
      </c>
      <c r="AK597">
        <v>4240</v>
      </c>
      <c r="AL597" t="s">
        <v>238</v>
      </c>
      <c r="AM597" t="s">
        <v>86</v>
      </c>
      <c r="AN597" t="s">
        <v>205</v>
      </c>
      <c r="AO597" t="s">
        <v>789</v>
      </c>
      <c r="AP597">
        <v>3.56</v>
      </c>
      <c r="AQ597" t="s">
        <v>33</v>
      </c>
      <c r="AR597" t="s">
        <v>33</v>
      </c>
      <c r="AS597" s="6">
        <f>LOG(10^8)</f>
        <v>8</v>
      </c>
      <c r="AT597" s="3">
        <f>IFERROR(AS597-AU597,"NA")</f>
        <v>4.2930000000000001</v>
      </c>
      <c r="AU597" s="6">
        <v>3.7069999999999999</v>
      </c>
      <c r="AV597" t="b">
        <v>1</v>
      </c>
      <c r="AW597" t="s">
        <v>123</v>
      </c>
      <c r="AX597" t="s">
        <v>393</v>
      </c>
      <c r="AY597" t="s">
        <v>394</v>
      </c>
      <c r="AZ597" t="s">
        <v>33</v>
      </c>
      <c r="BA597" s="18" t="s">
        <v>579</v>
      </c>
      <c r="BB597" t="b">
        <v>1</v>
      </c>
      <c r="BC597" t="s">
        <v>81</v>
      </c>
      <c r="BD597">
        <v>72</v>
      </c>
      <c r="BE597" t="s">
        <v>80</v>
      </c>
      <c r="BF597" s="11">
        <v>72</v>
      </c>
      <c r="BG597" t="s">
        <v>395</v>
      </c>
      <c r="BH597" t="s">
        <v>31</v>
      </c>
      <c r="BI597" t="s">
        <v>31</v>
      </c>
      <c r="BJ597" s="3">
        <f t="shared" si="308"/>
        <v>3.7069999999999999</v>
      </c>
      <c r="BK597" s="3">
        <f t="shared" si="301"/>
        <v>0.56902258602956368</v>
      </c>
      <c r="BL597">
        <v>2</v>
      </c>
      <c r="BM597" s="3">
        <f t="shared" ref="BM597:BM627" si="314">IFERROR(LOG(BO597),"NA")</f>
        <v>2.6323745382908879</v>
      </c>
      <c r="BN597" t="s">
        <v>33</v>
      </c>
      <c r="BO597" s="3">
        <f t="shared" si="304"/>
        <v>428.91826274615602</v>
      </c>
      <c r="BP597" t="s">
        <v>33</v>
      </c>
      <c r="BQ597" t="s">
        <v>33</v>
      </c>
      <c r="BR597" t="s">
        <v>33</v>
      </c>
      <c r="BS597" t="s">
        <v>33</v>
      </c>
      <c r="BT597" t="s">
        <v>31</v>
      </c>
      <c r="BU597" t="s">
        <v>240</v>
      </c>
      <c r="BV597">
        <v>2005</v>
      </c>
      <c r="BW597" t="s">
        <v>396</v>
      </c>
      <c r="BX597" t="s">
        <v>78</v>
      </c>
      <c r="BY597" t="s">
        <v>33</v>
      </c>
      <c r="BZ597" t="s">
        <v>33</v>
      </c>
      <c r="CA597" t="str">
        <f t="shared" si="305"/>
        <v>high acid</v>
      </c>
    </row>
    <row r="598" spans="1:79">
      <c r="A598" t="s">
        <v>198</v>
      </c>
      <c r="B598" t="s">
        <v>565</v>
      </c>
      <c r="C598" t="s">
        <v>563</v>
      </c>
      <c r="D598" t="s">
        <v>118</v>
      </c>
      <c r="E598" t="s">
        <v>77</v>
      </c>
      <c r="F598" t="s">
        <v>32</v>
      </c>
      <c r="G598">
        <v>23</v>
      </c>
      <c r="H598">
        <v>56</v>
      </c>
      <c r="I598" t="b">
        <v>0</v>
      </c>
      <c r="J598" t="s">
        <v>33</v>
      </c>
      <c r="K598" t="s">
        <v>33</v>
      </c>
      <c r="L598">
        <v>25</v>
      </c>
      <c r="M598" s="4">
        <v>1000</v>
      </c>
      <c r="N598" s="3">
        <f>IFERROR(AF598/((T598*X598/Y598)*O598*AI598),"NA")</f>
        <v>995.95036417586573</v>
      </c>
      <c r="O598">
        <v>3</v>
      </c>
      <c r="P598" t="s">
        <v>33</v>
      </c>
      <c r="Q598">
        <f t="shared" si="306"/>
        <v>1.2E-2</v>
      </c>
      <c r="R598" t="s">
        <v>183</v>
      </c>
      <c r="S598" t="s">
        <v>613</v>
      </c>
      <c r="T598" s="11">
        <v>4</v>
      </c>
      <c r="U598">
        <v>2.9</v>
      </c>
      <c r="V598">
        <v>2.2999999999999998</v>
      </c>
      <c r="W598" t="s">
        <v>33</v>
      </c>
      <c r="X598" s="8">
        <f t="shared" si="313"/>
        <v>1.204879322468025E-2</v>
      </c>
      <c r="Y598">
        <v>1</v>
      </c>
      <c r="Z598" s="3">
        <f t="shared" si="310"/>
        <v>1.0040661020566874</v>
      </c>
      <c r="AA598" t="s">
        <v>33</v>
      </c>
      <c r="AB598" s="6">
        <f t="shared" si="312"/>
        <v>12.000000000000002</v>
      </c>
      <c r="AC598" t="str">
        <f t="shared" si="309"/>
        <v>NA</v>
      </c>
      <c r="AD598" s="4">
        <f>IFERROR(AB598*T598*AI598, "NA")</f>
        <v>48.000000000000007</v>
      </c>
      <c r="AE598" s="3">
        <f t="shared" si="311"/>
        <v>189</v>
      </c>
      <c r="AF598">
        <v>144</v>
      </c>
      <c r="AG598" t="str">
        <f>IFERROR((M598*O598*P598), "NA")</f>
        <v>NA</v>
      </c>
      <c r="AH598" t="str">
        <f>IFERROR((AG598*T598*AI598), "NA")</f>
        <v>NA</v>
      </c>
      <c r="AI598" s="11">
        <v>1</v>
      </c>
      <c r="AJ598" t="s">
        <v>31</v>
      </c>
      <c r="AK598">
        <v>2100</v>
      </c>
      <c r="AL598" t="s">
        <v>114</v>
      </c>
      <c r="AM598" t="s">
        <v>103</v>
      </c>
      <c r="AN598" t="s">
        <v>130</v>
      </c>
      <c r="AO598" t="s">
        <v>795</v>
      </c>
      <c r="AP598">
        <v>7</v>
      </c>
      <c r="AQ598" t="s">
        <v>33</v>
      </c>
      <c r="AR598" t="s">
        <v>33</v>
      </c>
      <c r="AS598">
        <f>LOG(10^8)</f>
        <v>8</v>
      </c>
      <c r="AT598" s="3">
        <f>IFERROR(AS598-AU598,"NA")</f>
        <v>4.2970000000000006</v>
      </c>
      <c r="AU598" s="6">
        <v>3.7029999999999998</v>
      </c>
      <c r="AV598" t="b">
        <v>1</v>
      </c>
      <c r="AW598" t="s">
        <v>92</v>
      </c>
      <c r="AX598" t="s">
        <v>93</v>
      </c>
      <c r="AY598" t="s">
        <v>100</v>
      </c>
      <c r="AZ598" t="s">
        <v>33</v>
      </c>
      <c r="BA598" s="18" t="s">
        <v>801</v>
      </c>
      <c r="BB598" t="b">
        <v>0</v>
      </c>
      <c r="BC598" t="s">
        <v>81</v>
      </c>
      <c r="BD598">
        <v>18</v>
      </c>
      <c r="BE598" t="s">
        <v>80</v>
      </c>
      <c r="BF598" t="s">
        <v>33</v>
      </c>
      <c r="BG598" t="s">
        <v>568</v>
      </c>
      <c r="BH598" t="s">
        <v>31</v>
      </c>
      <c r="BI598" t="s">
        <v>31</v>
      </c>
      <c r="BJ598" s="3">
        <f t="shared" si="308"/>
        <v>3.7029999999999998</v>
      </c>
      <c r="BK598" s="3">
        <f t="shared" si="301"/>
        <v>0.56855371204944261</v>
      </c>
      <c r="BL598">
        <v>2</v>
      </c>
      <c r="BM598" s="3">
        <f t="shared" si="314"/>
        <v>1.7079080921238017</v>
      </c>
      <c r="BN598" t="s">
        <v>33</v>
      </c>
      <c r="BO598" s="3">
        <f t="shared" si="304"/>
        <v>51.039697542533084</v>
      </c>
      <c r="BP598" t="s">
        <v>33</v>
      </c>
      <c r="BQ598" t="s">
        <v>33</v>
      </c>
      <c r="BR598" t="s">
        <v>33</v>
      </c>
      <c r="BS598" t="s">
        <v>33</v>
      </c>
      <c r="BT598" t="s">
        <v>31</v>
      </c>
      <c r="BU598" t="s">
        <v>187</v>
      </c>
      <c r="BV598">
        <v>2003</v>
      </c>
      <c r="BW598" t="s">
        <v>192</v>
      </c>
      <c r="BX598" t="s">
        <v>78</v>
      </c>
      <c r="BY598" t="s">
        <v>33</v>
      </c>
      <c r="BZ598" t="s">
        <v>33</v>
      </c>
      <c r="CA598" t="str">
        <f t="shared" si="305"/>
        <v>low acid</v>
      </c>
    </row>
    <row r="599" spans="1:79">
      <c r="A599" t="s">
        <v>590</v>
      </c>
      <c r="B599" t="s">
        <v>565</v>
      </c>
      <c r="C599" t="s">
        <v>564</v>
      </c>
      <c r="D599" t="s">
        <v>609</v>
      </c>
      <c r="E599" t="s">
        <v>77</v>
      </c>
      <c r="F599" t="s">
        <v>32</v>
      </c>
      <c r="G599">
        <v>40</v>
      </c>
      <c r="H599">
        <v>49</v>
      </c>
      <c r="I599" t="b">
        <v>0</v>
      </c>
      <c r="J599" t="s">
        <v>33</v>
      </c>
      <c r="K599" t="s">
        <v>33</v>
      </c>
      <c r="L599">
        <v>18</v>
      </c>
      <c r="M599" s="4">
        <v>120</v>
      </c>
      <c r="N599" t="e">
        <f>(#REF!*Y599)/(T599*X599*O599)</f>
        <v>#REF!</v>
      </c>
      <c r="O599">
        <v>3</v>
      </c>
      <c r="P599" t="s">
        <v>33</v>
      </c>
      <c r="Q599" s="1">
        <f t="shared" si="306"/>
        <v>0.19076388888888887</v>
      </c>
      <c r="R599" t="s">
        <v>183</v>
      </c>
      <c r="S599" t="s">
        <v>612</v>
      </c>
      <c r="T599">
        <v>4</v>
      </c>
      <c r="U599">
        <v>3</v>
      </c>
      <c r="V599">
        <v>2.6</v>
      </c>
      <c r="W599">
        <v>1.5900000000000001E-2</v>
      </c>
      <c r="X599">
        <f t="shared" si="313"/>
        <v>1.5927874753700257E-2</v>
      </c>
      <c r="Y599">
        <v>8.3333299999999999E-2</v>
      </c>
      <c r="Z599" s="3">
        <f t="shared" si="310"/>
        <v>8.3495229870143323E-2</v>
      </c>
      <c r="AA599" t="s">
        <v>33</v>
      </c>
      <c r="AB599">
        <f t="shared" si="312"/>
        <v>22.891666666666666</v>
      </c>
      <c r="AC599" s="1" t="str">
        <f t="shared" si="309"/>
        <v>NA</v>
      </c>
      <c r="AE599" s="3">
        <f t="shared" si="311"/>
        <v>102.35321999999999</v>
      </c>
      <c r="AF599">
        <v>274.7</v>
      </c>
      <c r="AG599" s="1" t="str">
        <f>IFERROR((N599*P599*Q599), "NA")</f>
        <v>NA</v>
      </c>
      <c r="AH599" s="1" t="str">
        <f>IFERROR((AG599*U599*AI599), "NA")</f>
        <v>NA</v>
      </c>
      <c r="AI599" s="1">
        <v>1</v>
      </c>
      <c r="AJ599" s="11" t="s">
        <v>31</v>
      </c>
      <c r="AK599">
        <v>1150</v>
      </c>
      <c r="AL599" t="s">
        <v>551</v>
      </c>
      <c r="AM599" t="s">
        <v>86</v>
      </c>
      <c r="AN599" t="s">
        <v>186</v>
      </c>
      <c r="AO599" t="s">
        <v>794</v>
      </c>
      <c r="AP599">
        <v>5.92</v>
      </c>
      <c r="AQ599" t="s">
        <v>33</v>
      </c>
      <c r="AR599" t="s">
        <v>33</v>
      </c>
      <c r="AS599">
        <v>6</v>
      </c>
      <c r="AT599">
        <f>AS599-AU599</f>
        <v>4.3</v>
      </c>
      <c r="AU599" s="6">
        <v>1.7</v>
      </c>
      <c r="AV599" t="b">
        <v>1</v>
      </c>
      <c r="AW599" t="s">
        <v>626</v>
      </c>
      <c r="AX599" t="s">
        <v>627</v>
      </c>
      <c r="AY599" t="s">
        <v>631</v>
      </c>
      <c r="AZ599" t="s">
        <v>33</v>
      </c>
      <c r="BA599" s="18" t="s">
        <v>800</v>
      </c>
      <c r="BB599" s="3" t="b">
        <v>0</v>
      </c>
      <c r="BC599" t="s">
        <v>81</v>
      </c>
      <c r="BD599">
        <v>20</v>
      </c>
      <c r="BE599" t="s">
        <v>80</v>
      </c>
      <c r="BF599">
        <v>20</v>
      </c>
      <c r="BG599" t="s">
        <v>695</v>
      </c>
      <c r="BH599" t="s">
        <v>32</v>
      </c>
      <c r="BI599" t="s">
        <v>31</v>
      </c>
      <c r="BJ599">
        <f t="shared" si="308"/>
        <v>1.7</v>
      </c>
      <c r="BK599" s="3">
        <f t="shared" si="301"/>
        <v>0.23044892137827391</v>
      </c>
      <c r="BL599">
        <v>2</v>
      </c>
      <c r="BM599" s="3">
        <f t="shared" si="314"/>
        <v>1.7796525886025119</v>
      </c>
      <c r="BN599" t="s">
        <v>33</v>
      </c>
      <c r="BO599" s="3">
        <f t="shared" si="304"/>
        <v>60.207776470588236</v>
      </c>
      <c r="BP599" t="s">
        <v>33</v>
      </c>
      <c r="BQ599" t="s">
        <v>33</v>
      </c>
      <c r="BR599" t="s">
        <v>33</v>
      </c>
      <c r="BS599" t="s">
        <v>33</v>
      </c>
      <c r="BT599" t="s">
        <v>32</v>
      </c>
      <c r="BU599" s="15" t="s">
        <v>207</v>
      </c>
      <c r="BV599">
        <v>2014</v>
      </c>
      <c r="BW599" t="s">
        <v>242</v>
      </c>
      <c r="BX599" t="s">
        <v>78</v>
      </c>
      <c r="BY599" s="13" t="s">
        <v>678</v>
      </c>
      <c r="CA599" t="str">
        <f t="shared" si="305"/>
        <v>low acid</v>
      </c>
    </row>
    <row r="600" spans="1:79">
      <c r="A600" t="s">
        <v>580</v>
      </c>
      <c r="B600" t="s">
        <v>565</v>
      </c>
      <c r="C600" t="s">
        <v>563</v>
      </c>
      <c r="D600" t="s">
        <v>118</v>
      </c>
      <c r="E600" t="s">
        <v>77</v>
      </c>
      <c r="F600" t="s">
        <v>32</v>
      </c>
      <c r="G600">
        <v>22</v>
      </c>
      <c r="H600">
        <v>40</v>
      </c>
      <c r="I600" t="b">
        <v>0</v>
      </c>
      <c r="J600">
        <v>10220</v>
      </c>
      <c r="K600">
        <v>59.68</v>
      </c>
      <c r="L600">
        <v>35</v>
      </c>
      <c r="M600" s="4">
        <v>100</v>
      </c>
      <c r="N600" t="e">
        <f>(#REF!*Y600)/(T600*X600*O600)</f>
        <v>#REF!</v>
      </c>
      <c r="O600">
        <v>4</v>
      </c>
      <c r="P600">
        <f>AVERAGE(0.0066, 0.0091)</f>
        <v>7.8499999999999993E-3</v>
      </c>
      <c r="Q600" s="1">
        <f t="shared" si="306"/>
        <v>0.15625</v>
      </c>
      <c r="R600" t="s">
        <v>183</v>
      </c>
      <c r="S600" t="s">
        <v>613</v>
      </c>
      <c r="T600">
        <v>8</v>
      </c>
      <c r="U600">
        <v>2.92</v>
      </c>
      <c r="V600">
        <v>2.2999999999999998</v>
      </c>
      <c r="W600">
        <v>1.21E-2</v>
      </c>
      <c r="X600">
        <f t="shared" si="313"/>
        <v>1.2131888350367701E-2</v>
      </c>
      <c r="Y600">
        <v>1.3333299999999999</v>
      </c>
      <c r="Z600" s="3">
        <f t="shared" si="310"/>
        <v>7.7644085442353281E-2</v>
      </c>
      <c r="AA600" t="s">
        <v>33</v>
      </c>
      <c r="AB600">
        <f t="shared" si="312"/>
        <v>15.625000000000002</v>
      </c>
      <c r="AC600" s="1">
        <f t="shared" si="309"/>
        <v>0.78499999999999992</v>
      </c>
      <c r="AE600" s="3">
        <f t="shared" si="311"/>
        <v>3142.125</v>
      </c>
      <c r="AF600">
        <v>500</v>
      </c>
      <c r="AG600" s="1" t="str">
        <f>IFERROR((N600*P600*Q600), "NA")</f>
        <v>NA</v>
      </c>
      <c r="AH600" s="1" t="str">
        <f>IFERROR((AG600*U600*AI600), "NA")</f>
        <v>NA</v>
      </c>
      <c r="AI600" s="1">
        <v>1</v>
      </c>
      <c r="AJ600" s="11" t="s">
        <v>31</v>
      </c>
      <c r="AK600">
        <v>5130</v>
      </c>
      <c r="AL600" t="s">
        <v>547</v>
      </c>
      <c r="AM600" t="s">
        <v>86</v>
      </c>
      <c r="AN600" t="s">
        <v>205</v>
      </c>
      <c r="AO600" t="s">
        <v>789</v>
      </c>
      <c r="AP600">
        <v>3.16</v>
      </c>
      <c r="AQ600" t="s">
        <v>33</v>
      </c>
      <c r="AR600" t="s">
        <v>33</v>
      </c>
      <c r="AS600">
        <v>7.5</v>
      </c>
      <c r="AT600">
        <f>AS600-AU600</f>
        <v>4.3</v>
      </c>
      <c r="AU600" s="6">
        <v>3.2</v>
      </c>
      <c r="AV600" t="b">
        <v>1</v>
      </c>
      <c r="AW600" t="s">
        <v>617</v>
      </c>
      <c r="AX600" t="s">
        <v>33</v>
      </c>
      <c r="AY600" t="s">
        <v>33</v>
      </c>
      <c r="AZ600" t="s">
        <v>619</v>
      </c>
      <c r="BA600" s="18" t="s">
        <v>802</v>
      </c>
      <c r="BB600" s="3" t="b">
        <v>0</v>
      </c>
      <c r="BC600" t="s">
        <v>81</v>
      </c>
      <c r="BD600">
        <v>15</v>
      </c>
      <c r="BE600" t="s">
        <v>80</v>
      </c>
      <c r="BF600">
        <v>24</v>
      </c>
      <c r="BG600" t="s">
        <v>697</v>
      </c>
      <c r="BH600" t="s">
        <v>32</v>
      </c>
      <c r="BI600" t="s">
        <v>31</v>
      </c>
      <c r="BJ600">
        <f t="shared" si="308"/>
        <v>3.2</v>
      </c>
      <c r="BK600" s="3">
        <f t="shared" si="301"/>
        <v>0.50514997831990605</v>
      </c>
      <c r="BL600">
        <v>2</v>
      </c>
      <c r="BM600" s="3">
        <f t="shared" si="314"/>
        <v>2.9920734798284805</v>
      </c>
      <c r="BN600" t="s">
        <v>33</v>
      </c>
      <c r="BO600" s="3">
        <f t="shared" si="304"/>
        <v>981.9140625</v>
      </c>
      <c r="BP600" t="s">
        <v>33</v>
      </c>
      <c r="BQ600" t="s">
        <v>33</v>
      </c>
      <c r="BR600" t="s">
        <v>33</v>
      </c>
      <c r="BS600" t="s">
        <v>33</v>
      </c>
      <c r="BT600" t="s">
        <v>31</v>
      </c>
      <c r="BU600" t="s">
        <v>219</v>
      </c>
      <c r="BV600" s="14">
        <v>2008</v>
      </c>
      <c r="BW600" t="s">
        <v>257</v>
      </c>
      <c r="BX600" t="s">
        <v>78</v>
      </c>
      <c r="BY600" s="13" t="s">
        <v>670</v>
      </c>
      <c r="CA600" t="str">
        <f t="shared" si="305"/>
        <v>high acid</v>
      </c>
    </row>
    <row r="601" spans="1:79">
      <c r="A601" t="s">
        <v>415</v>
      </c>
      <c r="B601" t="s">
        <v>565</v>
      </c>
      <c r="C601" t="s">
        <v>563</v>
      </c>
      <c r="D601" t="s">
        <v>33</v>
      </c>
      <c r="E601" t="s">
        <v>77</v>
      </c>
      <c r="F601" t="s">
        <v>32</v>
      </c>
      <c r="G601">
        <v>25</v>
      </c>
      <c r="H601">
        <v>45.5</v>
      </c>
      <c r="I601" t="b">
        <v>0</v>
      </c>
      <c r="J601">
        <v>8125</v>
      </c>
      <c r="K601">
        <v>26.9</v>
      </c>
      <c r="L601">
        <v>30</v>
      </c>
      <c r="M601" s="4">
        <v>250</v>
      </c>
      <c r="N601" s="3">
        <f>IFERROR(AF601/((T601*X601/Y601)*O601*AI601),"NA")</f>
        <v>251.11113243387931</v>
      </c>
      <c r="O601">
        <v>4</v>
      </c>
      <c r="P601" t="s">
        <v>33</v>
      </c>
      <c r="Q601" s="8">
        <f t="shared" si="306"/>
        <v>1.4200000000000001E-2</v>
      </c>
      <c r="R601" t="s">
        <v>183</v>
      </c>
      <c r="S601" t="s">
        <v>612</v>
      </c>
      <c r="T601" s="11">
        <v>6</v>
      </c>
      <c r="U601">
        <v>2.7</v>
      </c>
      <c r="V601">
        <v>2</v>
      </c>
      <c r="W601">
        <v>8.5000000000000006E-3</v>
      </c>
      <c r="X601" s="9">
        <f t="shared" si="313"/>
        <v>8.4823001646924419E-3</v>
      </c>
      <c r="Y601" s="6">
        <f>36/60</f>
        <v>0.6</v>
      </c>
      <c r="Z601" s="3">
        <f t="shared" si="310"/>
        <v>0.59734508202059444</v>
      </c>
      <c r="AA601">
        <f>21.3/6</f>
        <v>3.5500000000000003</v>
      </c>
      <c r="AB601" s="6">
        <f>IFERROR(((X601*M601)/Y601), "NA")</f>
        <v>3.5342917352885173</v>
      </c>
      <c r="AC601" t="str">
        <f t="shared" si="309"/>
        <v>NA</v>
      </c>
      <c r="AD601" s="4">
        <f>AB601*T601*AI601</f>
        <v>21.205750411731103</v>
      </c>
      <c r="AE601" s="3">
        <f t="shared" si="311"/>
        <v>306.72000000000003</v>
      </c>
      <c r="AF601">
        <f>AI601*T601*O601*AA601</f>
        <v>85.2</v>
      </c>
      <c r="AG601" t="str">
        <f>IFERROR((M601*O601*P601), "NA")</f>
        <v>NA</v>
      </c>
      <c r="AH601" t="str">
        <f>IFERROR((AG601*T601*AI601), "NA")</f>
        <v>NA</v>
      </c>
      <c r="AI601">
        <v>1</v>
      </c>
      <c r="AJ601" t="s">
        <v>31</v>
      </c>
      <c r="AK601">
        <v>4000</v>
      </c>
      <c r="AL601" t="s">
        <v>416</v>
      </c>
      <c r="AM601" t="s">
        <v>103</v>
      </c>
      <c r="AN601" t="s">
        <v>130</v>
      </c>
      <c r="AO601" t="s">
        <v>795</v>
      </c>
      <c r="AP601" s="4">
        <v>7</v>
      </c>
      <c r="AQ601" t="s">
        <v>33</v>
      </c>
      <c r="AR601" t="s">
        <v>33</v>
      </c>
      <c r="AS601" s="3">
        <f>LOG(10^8)</f>
        <v>8</v>
      </c>
      <c r="AT601" s="3">
        <f>IFERROR(AS601-AU601,"NA")</f>
        <v>4.3</v>
      </c>
      <c r="AU601" s="6">
        <v>3.7</v>
      </c>
      <c r="AV601" t="b">
        <v>1</v>
      </c>
      <c r="AW601" t="s">
        <v>29</v>
      </c>
      <c r="AX601" t="s">
        <v>30</v>
      </c>
      <c r="AY601" t="s">
        <v>226</v>
      </c>
      <c r="AZ601" t="s">
        <v>33</v>
      </c>
      <c r="BA601" s="18" t="s">
        <v>798</v>
      </c>
      <c r="BB601" t="b">
        <v>0</v>
      </c>
      <c r="BC601" t="s">
        <v>81</v>
      </c>
      <c r="BD601">
        <v>14</v>
      </c>
      <c r="BE601" t="s">
        <v>80</v>
      </c>
      <c r="BF601" s="11">
        <v>48</v>
      </c>
      <c r="BG601" t="s">
        <v>139</v>
      </c>
      <c r="BH601" t="s">
        <v>31</v>
      </c>
      <c r="BI601" t="s">
        <v>31</v>
      </c>
      <c r="BJ601" s="3">
        <f t="shared" si="308"/>
        <v>3.7</v>
      </c>
      <c r="BK601" s="3">
        <f t="shared" si="301"/>
        <v>0.56820172406699498</v>
      </c>
      <c r="BL601">
        <v>2</v>
      </c>
      <c r="BM601" s="3">
        <f t="shared" si="314"/>
        <v>1.9185403714669924</v>
      </c>
      <c r="BN601" t="s">
        <v>33</v>
      </c>
      <c r="BO601" s="3">
        <f t="shared" si="304"/>
        <v>82.8972972972973</v>
      </c>
      <c r="BP601" t="s">
        <v>33</v>
      </c>
      <c r="BQ601" t="s">
        <v>33</v>
      </c>
      <c r="BR601" t="s">
        <v>33</v>
      </c>
      <c r="BS601" t="s">
        <v>33</v>
      </c>
      <c r="BT601" t="s">
        <v>31</v>
      </c>
      <c r="BU601" t="s">
        <v>227</v>
      </c>
      <c r="BV601">
        <v>2004</v>
      </c>
      <c r="BW601" t="s">
        <v>417</v>
      </c>
      <c r="BX601" t="s">
        <v>78</v>
      </c>
      <c r="BY601" t="s">
        <v>33</v>
      </c>
      <c r="BZ601" t="s">
        <v>33</v>
      </c>
      <c r="CA601" t="str">
        <f t="shared" si="305"/>
        <v>low acid</v>
      </c>
    </row>
    <row r="602" spans="1:79">
      <c r="A602" t="s">
        <v>225</v>
      </c>
      <c r="B602" t="s">
        <v>565</v>
      </c>
      <c r="C602" t="s">
        <v>563</v>
      </c>
      <c r="D602" t="s">
        <v>33</v>
      </c>
      <c r="E602" t="s">
        <v>77</v>
      </c>
      <c r="F602" t="s">
        <v>32</v>
      </c>
      <c r="G602">
        <v>30</v>
      </c>
      <c r="H602">
        <v>61</v>
      </c>
      <c r="I602" t="b">
        <v>1</v>
      </c>
      <c r="J602" t="s">
        <v>33</v>
      </c>
      <c r="K602" t="s">
        <v>33</v>
      </c>
      <c r="L602">
        <v>35</v>
      </c>
      <c r="M602" s="4">
        <v>250</v>
      </c>
      <c r="N602" s="3">
        <f>IFERROR(AF602/((T602*X602/Y602)*O602*AI602),"NA")</f>
        <v>260.5243209473274</v>
      </c>
      <c r="O602">
        <v>2</v>
      </c>
      <c r="P602" t="s">
        <v>33</v>
      </c>
      <c r="Q602" s="8">
        <f t="shared" si="306"/>
        <v>1.3333333333333332E-2</v>
      </c>
      <c r="R602" t="s">
        <v>183</v>
      </c>
      <c r="S602" t="s">
        <v>613</v>
      </c>
      <c r="T602" s="11">
        <v>6</v>
      </c>
      <c r="U602">
        <v>2.2999999999999998</v>
      </c>
      <c r="V602">
        <v>2.2000000000000002</v>
      </c>
      <c r="W602" t="s">
        <v>33</v>
      </c>
      <c r="X602" s="8">
        <f t="shared" si="313"/>
        <v>8.7430523549403959E-3</v>
      </c>
      <c r="Y602" s="6">
        <f>41/60</f>
        <v>0.68333333333333335</v>
      </c>
      <c r="Z602" s="3">
        <f t="shared" si="310"/>
        <v>0.65572892662052973</v>
      </c>
      <c r="AA602" s="3">
        <f>20/6</f>
        <v>3.3333333333333335</v>
      </c>
      <c r="AB602" s="6">
        <f>IFERROR(((X602*M602)/Z602), "NA")</f>
        <v>3.333333333333333</v>
      </c>
      <c r="AC602" t="str">
        <f t="shared" si="309"/>
        <v>NA</v>
      </c>
      <c r="AD602" s="4">
        <f>IFERROR(AB602*T602*AI602, "NA")</f>
        <v>20</v>
      </c>
      <c r="AE602" s="3">
        <f t="shared" si="311"/>
        <v>196</v>
      </c>
      <c r="AF602">
        <v>40</v>
      </c>
      <c r="AG602" t="str">
        <f>IFERROR((M602*O602*P602), "NA")</f>
        <v>NA</v>
      </c>
      <c r="AH602" t="str">
        <f>IFERROR((AG602*T602*AI602), "NA")</f>
        <v>NA</v>
      </c>
      <c r="AI602" s="11">
        <v>1</v>
      </c>
      <c r="AJ602" t="s">
        <v>31</v>
      </c>
      <c r="AK602">
        <v>4000</v>
      </c>
      <c r="AL602" t="s">
        <v>546</v>
      </c>
      <c r="AM602" t="s">
        <v>103</v>
      </c>
      <c r="AN602" t="s">
        <v>130</v>
      </c>
      <c r="AO602" t="s">
        <v>795</v>
      </c>
      <c r="AP602">
        <v>5</v>
      </c>
      <c r="AQ602" t="s">
        <v>33</v>
      </c>
      <c r="AR602" t="s">
        <v>33</v>
      </c>
      <c r="AS602" s="6">
        <v>8.1</v>
      </c>
      <c r="AT602" s="3">
        <f>IFERROR(AS602-AU602,"NA")</f>
        <v>4.3</v>
      </c>
      <c r="AU602" s="6">
        <v>3.8</v>
      </c>
      <c r="AV602" t="b">
        <v>1</v>
      </c>
      <c r="AW602" t="s">
        <v>29</v>
      </c>
      <c r="AX602" t="s">
        <v>30</v>
      </c>
      <c r="AY602" t="s">
        <v>226</v>
      </c>
      <c r="AZ602" t="s">
        <v>33</v>
      </c>
      <c r="BA602" s="18" t="s">
        <v>798</v>
      </c>
      <c r="BB602" t="b">
        <v>0</v>
      </c>
      <c r="BC602" t="s">
        <v>81</v>
      </c>
      <c r="BD602">
        <v>14</v>
      </c>
      <c r="BE602" t="s">
        <v>80</v>
      </c>
      <c r="BF602" s="11">
        <v>120</v>
      </c>
      <c r="BG602" t="s">
        <v>139</v>
      </c>
      <c r="BH602" t="s">
        <v>31</v>
      </c>
      <c r="BI602" t="s">
        <v>31</v>
      </c>
      <c r="BJ602" s="3">
        <f t="shared" si="308"/>
        <v>3.8</v>
      </c>
      <c r="BK602" s="3">
        <f t="shared" si="301"/>
        <v>0.57978359661681012</v>
      </c>
      <c r="BL602">
        <v>2</v>
      </c>
      <c r="BM602" s="3">
        <f t="shared" si="314"/>
        <v>1.712472474739666</v>
      </c>
      <c r="BN602" t="s">
        <v>33</v>
      </c>
      <c r="BO602" s="3">
        <f t="shared" si="304"/>
        <v>51.578947368421055</v>
      </c>
      <c r="BP602" t="s">
        <v>33</v>
      </c>
      <c r="BQ602" t="s">
        <v>33</v>
      </c>
      <c r="BR602" t="s">
        <v>33</v>
      </c>
      <c r="BS602" t="s">
        <v>33</v>
      </c>
      <c r="BT602" t="s">
        <v>31</v>
      </c>
      <c r="BU602" t="s">
        <v>227</v>
      </c>
      <c r="BV602">
        <v>2001</v>
      </c>
      <c r="BW602" t="s">
        <v>228</v>
      </c>
      <c r="BX602" t="s">
        <v>78</v>
      </c>
      <c r="BY602" t="s">
        <v>33</v>
      </c>
      <c r="BZ602" t="s">
        <v>33</v>
      </c>
      <c r="CA602" t="str">
        <f t="shared" si="305"/>
        <v>low acid</v>
      </c>
    </row>
    <row r="603" spans="1:79">
      <c r="A603" t="s">
        <v>589</v>
      </c>
      <c r="B603" t="s">
        <v>566</v>
      </c>
      <c r="C603" t="s">
        <v>563</v>
      </c>
      <c r="D603" t="s">
        <v>33</v>
      </c>
      <c r="E603" t="s">
        <v>77</v>
      </c>
      <c r="F603" t="s">
        <v>33</v>
      </c>
      <c r="G603" t="s">
        <v>33</v>
      </c>
      <c r="H603">
        <v>35</v>
      </c>
      <c r="I603" t="b">
        <v>0</v>
      </c>
      <c r="J603" t="s">
        <v>33</v>
      </c>
      <c r="K603" t="s">
        <v>33</v>
      </c>
      <c r="L603">
        <v>15</v>
      </c>
      <c r="M603" s="4">
        <v>1</v>
      </c>
      <c r="N603" t="e">
        <f>(#REF!*Y603)/(T603*X603*O603)</f>
        <v>#REF!</v>
      </c>
      <c r="O603">
        <v>2</v>
      </c>
      <c r="P603" t="s">
        <v>33</v>
      </c>
      <c r="Q603" s="1">
        <f t="shared" si="306"/>
        <v>700.5</v>
      </c>
      <c r="R603" t="s">
        <v>183</v>
      </c>
      <c r="S603" t="s">
        <v>613</v>
      </c>
      <c r="T603">
        <v>1</v>
      </c>
      <c r="U603">
        <v>2.5</v>
      </c>
      <c r="V603" t="s">
        <v>33</v>
      </c>
      <c r="W603">
        <v>0.50249999999999995</v>
      </c>
      <c r="X603">
        <f>W603</f>
        <v>0.50249999999999995</v>
      </c>
      <c r="Y603" t="s">
        <v>33</v>
      </c>
      <c r="Z603" s="3">
        <f t="shared" si="310"/>
        <v>7.1734475374732331E-4</v>
      </c>
      <c r="AA603" t="s">
        <v>33</v>
      </c>
      <c r="AB603">
        <f>IFERROR(((X603*M603)/Z603), "NA")</f>
        <v>700.5</v>
      </c>
      <c r="AC603" s="1" t="str">
        <f t="shared" si="309"/>
        <v>NA</v>
      </c>
      <c r="AE603" s="3">
        <f t="shared" si="311"/>
        <v>630.44999999999993</v>
      </c>
      <c r="AF603">
        <v>1401</v>
      </c>
      <c r="AG603" s="1" t="str">
        <f>IFERROR((N603*P603*Q603), "NA")</f>
        <v>NA</v>
      </c>
      <c r="AH603" s="1" t="str">
        <f>IFERROR((AG603*U603*AI603), "NA")</f>
        <v>NA</v>
      </c>
      <c r="AI603" s="1">
        <v>1</v>
      </c>
      <c r="AJ603" s="11" t="s">
        <v>31</v>
      </c>
      <c r="AK603">
        <v>2000</v>
      </c>
      <c r="AL603" t="s">
        <v>616</v>
      </c>
      <c r="AM603" s="3" t="s">
        <v>103</v>
      </c>
      <c r="AN603" t="s">
        <v>130</v>
      </c>
      <c r="AO603" t="s">
        <v>795</v>
      </c>
      <c r="AP603">
        <v>7</v>
      </c>
      <c r="AQ603" t="s">
        <v>33</v>
      </c>
      <c r="AR603" t="s">
        <v>33</v>
      </c>
      <c r="AS603">
        <v>9</v>
      </c>
      <c r="AT603">
        <f>AS603-AU603</f>
        <v>4.3</v>
      </c>
      <c r="AU603" s="6">
        <v>4.7</v>
      </c>
      <c r="AV603" t="b">
        <v>1</v>
      </c>
      <c r="AW603" t="s">
        <v>617</v>
      </c>
      <c r="AX603" t="s">
        <v>33</v>
      </c>
      <c r="AY603" t="s">
        <v>629</v>
      </c>
      <c r="AZ603" t="s">
        <v>630</v>
      </c>
      <c r="BA603" s="18" t="s">
        <v>802</v>
      </c>
      <c r="BB603" s="3" t="b">
        <v>0</v>
      </c>
      <c r="BC603" t="s">
        <v>81</v>
      </c>
      <c r="BD603">
        <v>24</v>
      </c>
      <c r="BE603" t="s">
        <v>80</v>
      </c>
      <c r="BF603">
        <v>24</v>
      </c>
      <c r="BG603" t="s">
        <v>644</v>
      </c>
      <c r="BH603" t="s">
        <v>31</v>
      </c>
      <c r="BI603" t="s">
        <v>31</v>
      </c>
      <c r="BJ603">
        <f t="shared" si="308"/>
        <v>4.7</v>
      </c>
      <c r="BK603" s="3">
        <f t="shared" si="301"/>
        <v>0.67209785793571752</v>
      </c>
      <c r="BL603">
        <v>2</v>
      </c>
      <c r="BM603" s="3">
        <f t="shared" si="314"/>
        <v>2.1275527911254009</v>
      </c>
      <c r="BN603" t="s">
        <v>33</v>
      </c>
      <c r="BO603" s="3">
        <f t="shared" si="304"/>
        <v>134.13829787234042</v>
      </c>
      <c r="BP603" t="s">
        <v>33</v>
      </c>
      <c r="BQ603" t="s">
        <v>33</v>
      </c>
      <c r="BR603" t="s">
        <v>33</v>
      </c>
      <c r="BS603" t="s">
        <v>33</v>
      </c>
      <c r="BT603" t="s">
        <v>31</v>
      </c>
      <c r="BU603" s="15" t="s">
        <v>655</v>
      </c>
      <c r="BV603">
        <v>2003</v>
      </c>
      <c r="BW603" t="s">
        <v>656</v>
      </c>
      <c r="BX603" t="s">
        <v>78</v>
      </c>
      <c r="BY603" s="13" t="s">
        <v>677</v>
      </c>
      <c r="CA603" t="str">
        <f t="shared" si="305"/>
        <v>low acid</v>
      </c>
    </row>
    <row r="604" spans="1:79">
      <c r="A604" t="s">
        <v>593</v>
      </c>
      <c r="B604" t="s">
        <v>565</v>
      </c>
      <c r="C604" t="s">
        <v>563</v>
      </c>
      <c r="D604" t="s">
        <v>118</v>
      </c>
      <c r="E604" t="s">
        <v>77</v>
      </c>
      <c r="F604" t="s">
        <v>32</v>
      </c>
      <c r="G604" t="s">
        <v>33</v>
      </c>
      <c r="H604">
        <v>35</v>
      </c>
      <c r="I604" t="b">
        <v>0</v>
      </c>
      <c r="J604" t="s">
        <v>33</v>
      </c>
      <c r="K604" t="s">
        <v>33</v>
      </c>
      <c r="L604">
        <v>20</v>
      </c>
      <c r="M604" s="4">
        <v>400</v>
      </c>
      <c r="N604" t="e">
        <f>(#REF!*Y604)/(T604*X604*O604)</f>
        <v>#REF!</v>
      </c>
      <c r="O604">
        <v>2</v>
      </c>
      <c r="P604" t="s">
        <v>33</v>
      </c>
      <c r="Q604" s="1">
        <f t="shared" si="306"/>
        <v>0.11395833333333333</v>
      </c>
      <c r="R604" t="s">
        <v>183</v>
      </c>
      <c r="S604" t="s">
        <v>613</v>
      </c>
      <c r="T604">
        <v>6</v>
      </c>
      <c r="U604">
        <v>2.92</v>
      </c>
      <c r="V604">
        <v>2.2999999999999998</v>
      </c>
      <c r="W604" t="s">
        <v>33</v>
      </c>
      <c r="X604">
        <f>IFERROR(((PI())*(((V604*10^-1)/2)^2)*(U604*10^-1)), "NA")</f>
        <v>1.2131888350367701E-2</v>
      </c>
      <c r="Y604">
        <v>1</v>
      </c>
      <c r="Z604" s="3">
        <f t="shared" si="310"/>
        <v>0.10645898369609683</v>
      </c>
      <c r="AA604" t="s">
        <v>33</v>
      </c>
      <c r="AB604">
        <f>IFERROR(((X604*M604)/Z604), "NA")</f>
        <v>45.583333333333336</v>
      </c>
      <c r="AC604" s="1" t="str">
        <f t="shared" si="309"/>
        <v>NA</v>
      </c>
      <c r="AE604" s="3">
        <f t="shared" si="311"/>
        <v>459.48</v>
      </c>
      <c r="AF604">
        <v>547</v>
      </c>
      <c r="AG604" s="1" t="str">
        <f>IFERROR((N604*P604*Q604), "NA")</f>
        <v>NA</v>
      </c>
      <c r="AH604" s="1" t="str">
        <f>IFERROR((AG604*U604*AI604), "NA")</f>
        <v>NA</v>
      </c>
      <c r="AI604">
        <v>1</v>
      </c>
      <c r="AJ604" s="11" t="s">
        <v>31</v>
      </c>
      <c r="AK604">
        <v>2100</v>
      </c>
      <c r="AL604" t="s">
        <v>693</v>
      </c>
      <c r="AM604" t="s">
        <v>530</v>
      </c>
      <c r="AN604" t="s">
        <v>186</v>
      </c>
      <c r="AO604" t="s">
        <v>796</v>
      </c>
      <c r="AP604">
        <v>7.21</v>
      </c>
      <c r="AQ604" t="s">
        <v>33</v>
      </c>
      <c r="AR604" t="s">
        <v>33</v>
      </c>
      <c r="AS604">
        <v>6.5</v>
      </c>
      <c r="AT604">
        <f>AS604-AU604</f>
        <v>4.3</v>
      </c>
      <c r="AU604" s="6">
        <v>2.2000000000000002</v>
      </c>
      <c r="AV604" t="b">
        <v>1</v>
      </c>
      <c r="AW604" t="s">
        <v>626</v>
      </c>
      <c r="AX604" t="s">
        <v>627</v>
      </c>
      <c r="AY604" t="s">
        <v>625</v>
      </c>
      <c r="AZ604" t="s">
        <v>33</v>
      </c>
      <c r="BA604" s="18" t="s">
        <v>800</v>
      </c>
      <c r="BB604" s="3" t="b">
        <v>0</v>
      </c>
      <c r="BC604" t="s">
        <v>81</v>
      </c>
      <c r="BD604">
        <f>AVERAGE(14, 16)</f>
        <v>15</v>
      </c>
      <c r="BE604" t="s">
        <v>80</v>
      </c>
      <c r="BF604">
        <v>48</v>
      </c>
      <c r="BG604" t="s">
        <v>568</v>
      </c>
      <c r="BH604" t="s">
        <v>31</v>
      </c>
      <c r="BI604" t="s">
        <v>31</v>
      </c>
      <c r="BJ604">
        <f t="shared" si="308"/>
        <v>2.2000000000000002</v>
      </c>
      <c r="BK604" s="3">
        <f t="shared" si="301"/>
        <v>0.34242268082220628</v>
      </c>
      <c r="BL604">
        <v>2</v>
      </c>
      <c r="BM604" s="3">
        <f t="shared" si="314"/>
        <v>2.3198439315731063</v>
      </c>
      <c r="BN604" t="s">
        <v>33</v>
      </c>
      <c r="BO604" s="3">
        <f t="shared" si="304"/>
        <v>208.85454545454544</v>
      </c>
      <c r="BP604" t="s">
        <v>33</v>
      </c>
      <c r="BQ604" t="s">
        <v>33</v>
      </c>
      <c r="BR604" t="s">
        <v>33</v>
      </c>
      <c r="BS604" t="s">
        <v>33</v>
      </c>
      <c r="BT604" t="s">
        <v>31</v>
      </c>
      <c r="BU604" s="15" t="s">
        <v>217</v>
      </c>
      <c r="BV604">
        <v>2012</v>
      </c>
      <c r="BW604" t="s">
        <v>660</v>
      </c>
      <c r="BX604" t="s">
        <v>78</v>
      </c>
      <c r="BY604" s="13" t="s">
        <v>681</v>
      </c>
      <c r="CA604" t="str">
        <f t="shared" si="305"/>
        <v>low acid</v>
      </c>
    </row>
    <row r="605" spans="1:79">
      <c r="A605" t="s">
        <v>237</v>
      </c>
      <c r="B605" t="s">
        <v>565</v>
      </c>
      <c r="C605" t="s">
        <v>563</v>
      </c>
      <c r="D605" t="s">
        <v>118</v>
      </c>
      <c r="E605" t="s">
        <v>77</v>
      </c>
      <c r="F605" t="s">
        <v>32</v>
      </c>
      <c r="G605">
        <v>4</v>
      </c>
      <c r="H605">
        <v>32.5</v>
      </c>
      <c r="I605" t="b">
        <v>0</v>
      </c>
      <c r="J605" t="s">
        <v>33</v>
      </c>
      <c r="K605" t="s">
        <v>33</v>
      </c>
      <c r="L605">
        <v>25</v>
      </c>
      <c r="M605" s="4">
        <v>200</v>
      </c>
      <c r="N605" s="3">
        <f>IFERROR(AF605/((T605*X605/Y605)*O605*AI605),"NA")</f>
        <v>1545.5137286547574</v>
      </c>
      <c r="O605">
        <v>4</v>
      </c>
      <c r="P605" t="s">
        <v>33</v>
      </c>
      <c r="Q605" s="9">
        <f t="shared" si="306"/>
        <v>9.3749999999999986E-2</v>
      </c>
      <c r="R605" t="s">
        <v>183</v>
      </c>
      <c r="S605" t="s">
        <v>613</v>
      </c>
      <c r="T605" s="11">
        <v>8</v>
      </c>
      <c r="U605">
        <v>2.92</v>
      </c>
      <c r="V605">
        <v>2.2999999999999998</v>
      </c>
      <c r="W605">
        <v>1.2E-2</v>
      </c>
      <c r="X605" s="8">
        <f>IFERROR(((PI())*(((V605*10^-1)/2)^2)*(U605*10^-1)), "NA")</f>
        <v>1.2131888350367701E-2</v>
      </c>
      <c r="Y605" s="6">
        <f>60/60</f>
        <v>1</v>
      </c>
      <c r="Z605" s="3">
        <f t="shared" si="310"/>
        <v>0.12940680907058882</v>
      </c>
      <c r="AA605" t="s">
        <v>33</v>
      </c>
      <c r="AB605" s="6">
        <f>IFERROR(((X605*M605)/Z605), "NA")</f>
        <v>18.749999999999996</v>
      </c>
      <c r="AC605" t="str">
        <f t="shared" si="309"/>
        <v>NA</v>
      </c>
      <c r="AD605" s="4">
        <f>AB605*T605*AI605</f>
        <v>149.99999999999997</v>
      </c>
      <c r="AE605" s="3">
        <f t="shared" si="311"/>
        <v>1589.9999999999998</v>
      </c>
      <c r="AF605">
        <v>600</v>
      </c>
      <c r="AG605" t="str">
        <f>IFERROR((M605*O605*P605), "NA")</f>
        <v>NA</v>
      </c>
      <c r="AH605" t="str">
        <f>IFERROR((AG605*T605*AI605), "NA")</f>
        <v>NA</v>
      </c>
      <c r="AI605">
        <v>1</v>
      </c>
      <c r="AJ605" t="s">
        <v>31</v>
      </c>
      <c r="AK605">
        <v>4240</v>
      </c>
      <c r="AL605" t="s">
        <v>238</v>
      </c>
      <c r="AM605" t="s">
        <v>86</v>
      </c>
      <c r="AN605" t="s">
        <v>205</v>
      </c>
      <c r="AO605" t="s">
        <v>789</v>
      </c>
      <c r="AP605">
        <v>3.56</v>
      </c>
      <c r="AQ605" t="s">
        <v>33</v>
      </c>
      <c r="AR605" t="s">
        <v>33</v>
      </c>
      <c r="AS605">
        <f>LOG(10^8)</f>
        <v>8</v>
      </c>
      <c r="AT605" s="3">
        <f>IFERROR(AS605-AU605,"NA")</f>
        <v>4.3010000000000002</v>
      </c>
      <c r="AU605" s="6">
        <v>3.6989999999999998</v>
      </c>
      <c r="AV605" t="b">
        <v>1</v>
      </c>
      <c r="AW605" t="s">
        <v>172</v>
      </c>
      <c r="AX605" t="s">
        <v>173</v>
      </c>
      <c r="AY605" t="s">
        <v>239</v>
      </c>
      <c r="AZ605" t="s">
        <v>33</v>
      </c>
      <c r="BA605" s="18" t="s">
        <v>799</v>
      </c>
      <c r="BB605" t="b">
        <v>0</v>
      </c>
      <c r="BC605" t="s">
        <v>81</v>
      </c>
      <c r="BD605">
        <v>48</v>
      </c>
      <c r="BE605" t="s">
        <v>80</v>
      </c>
      <c r="BF605" s="11">
        <v>120</v>
      </c>
      <c r="BG605" t="s">
        <v>571</v>
      </c>
      <c r="BH605" t="s">
        <v>31</v>
      </c>
      <c r="BI605" t="s">
        <v>31</v>
      </c>
      <c r="BJ605" s="3">
        <f t="shared" si="308"/>
        <v>3.6989999999999998</v>
      </c>
      <c r="BK605" s="3">
        <f t="shared" si="301"/>
        <v>0.56808433131539404</v>
      </c>
      <c r="BL605">
        <v>2</v>
      </c>
      <c r="BM605" s="3">
        <f t="shared" si="314"/>
        <v>2.6333127930050573</v>
      </c>
      <c r="BN605" t="s">
        <v>33</v>
      </c>
      <c r="BO605" s="3">
        <f t="shared" si="304"/>
        <v>429.845904298459</v>
      </c>
      <c r="BP605" t="s">
        <v>33</v>
      </c>
      <c r="BQ605" t="s">
        <v>33</v>
      </c>
      <c r="BR605" t="s">
        <v>33</v>
      </c>
      <c r="BS605" t="s">
        <v>33</v>
      </c>
      <c r="BT605" t="s">
        <v>31</v>
      </c>
      <c r="BU605" t="s">
        <v>240</v>
      </c>
      <c r="BV605">
        <v>2004</v>
      </c>
      <c r="BW605" t="s">
        <v>241</v>
      </c>
      <c r="BX605" t="s">
        <v>78</v>
      </c>
      <c r="BY605" t="s">
        <v>33</v>
      </c>
      <c r="BZ605" t="s">
        <v>33</v>
      </c>
      <c r="CA605" t="str">
        <f t="shared" si="305"/>
        <v>high acid</v>
      </c>
    </row>
    <row r="606" spans="1:79">
      <c r="A606" t="s">
        <v>722</v>
      </c>
      <c r="B606" t="s">
        <v>566</v>
      </c>
      <c r="C606" t="s">
        <v>563</v>
      </c>
      <c r="D606" t="s">
        <v>699</v>
      </c>
      <c r="E606" t="s">
        <v>77</v>
      </c>
      <c r="F606" t="s">
        <v>32</v>
      </c>
      <c r="G606">
        <v>20</v>
      </c>
      <c r="H606">
        <v>64</v>
      </c>
      <c r="I606" t="b">
        <v>1</v>
      </c>
      <c r="J606" t="s">
        <v>33</v>
      </c>
      <c r="K606" t="s">
        <v>33</v>
      </c>
      <c r="L606">
        <v>20</v>
      </c>
      <c r="M606" s="4">
        <v>64</v>
      </c>
      <c r="N606" s="3">
        <f>IFERROR(AF606/((T606*X606/Y606)*O606*AI606),"NA")</f>
        <v>63.657407407407391</v>
      </c>
      <c r="O606">
        <v>5</v>
      </c>
      <c r="P606">
        <v>0.43</v>
      </c>
      <c r="Q606" s="8">
        <f>IFERROR(X606/Y606, "NA")</f>
        <v>0.43200000000000011</v>
      </c>
      <c r="R606" t="s">
        <v>183</v>
      </c>
      <c r="S606" t="s">
        <v>612</v>
      </c>
      <c r="T606" s="11">
        <v>1</v>
      </c>
      <c r="U606">
        <v>4</v>
      </c>
      <c r="V606" t="s">
        <v>33</v>
      </c>
      <c r="W606">
        <f>0.4*3*0.5</f>
        <v>0.60000000000000009</v>
      </c>
      <c r="X606" s="9">
        <f>W606</f>
        <v>0.60000000000000009</v>
      </c>
      <c r="Y606" s="6">
        <f>5000/3600</f>
        <v>1.3888888888888888</v>
      </c>
      <c r="Z606" s="3">
        <f t="shared" si="310"/>
        <v>1.3963636363636365</v>
      </c>
      <c r="AA606" t="s">
        <v>33</v>
      </c>
      <c r="AB606" s="4">
        <f>IFERROR(((X606*M606)/Y606), "NA")</f>
        <v>27.648000000000007</v>
      </c>
      <c r="AC606" s="4">
        <f t="shared" si="309"/>
        <v>27.52</v>
      </c>
      <c r="AD606" s="4">
        <f>AB606*T606*AI606</f>
        <v>27.648000000000007</v>
      </c>
      <c r="AE606" s="3">
        <f t="shared" si="311"/>
        <v>110.59200000000003</v>
      </c>
      <c r="AF606">
        <v>137.5</v>
      </c>
      <c r="AG606" s="4">
        <f>IFERROR((M606*O606*P606), "NA")</f>
        <v>137.6</v>
      </c>
      <c r="AH606" s="4">
        <f>IFERROR((AG606*T606*AI606), "NA")</f>
        <v>137.6</v>
      </c>
      <c r="AI606">
        <v>1</v>
      </c>
      <c r="AJ606" s="11" t="s">
        <v>31</v>
      </c>
      <c r="AK606">
        <v>2000</v>
      </c>
      <c r="AL606" t="s">
        <v>784</v>
      </c>
      <c r="AM606" t="s">
        <v>103</v>
      </c>
      <c r="AN606" t="s">
        <v>130</v>
      </c>
      <c r="AO606" t="s">
        <v>795</v>
      </c>
      <c r="AP606">
        <v>7</v>
      </c>
      <c r="AQ606" t="s">
        <v>33</v>
      </c>
      <c r="AR606" t="s">
        <v>33</v>
      </c>
      <c r="AS606" s="6">
        <f>LOG(AVERAGE(10^8, 10^9))</f>
        <v>8.7403626894942441</v>
      </c>
      <c r="AT606" s="3">
        <f>IFERROR(AS606-AU606,"NA")</f>
        <v>4.3033626894942438</v>
      </c>
      <c r="AU606" s="6">
        <v>4.4370000000000003</v>
      </c>
      <c r="AV606" t="b">
        <v>1</v>
      </c>
      <c r="AW606" t="s">
        <v>123</v>
      </c>
      <c r="AX606" t="s">
        <v>88</v>
      </c>
      <c r="AY606" t="s">
        <v>728</v>
      </c>
      <c r="AZ606" t="s">
        <v>33</v>
      </c>
      <c r="BA606" s="18" t="s">
        <v>579</v>
      </c>
      <c r="BB606" s="3" t="b">
        <v>1</v>
      </c>
      <c r="BC606" t="s">
        <v>81</v>
      </c>
      <c r="BD606">
        <v>24</v>
      </c>
      <c r="BE606" t="s">
        <v>80</v>
      </c>
      <c r="BF606">
        <v>48</v>
      </c>
      <c r="BG606" t="s">
        <v>395</v>
      </c>
      <c r="BH606" t="s">
        <v>31</v>
      </c>
      <c r="BI606" t="s">
        <v>31</v>
      </c>
      <c r="BJ606" s="3">
        <f t="shared" si="308"/>
        <v>4.4370000000000003</v>
      </c>
      <c r="BK606" s="3">
        <f t="shared" si="301"/>
        <v>0.64708942871655495</v>
      </c>
      <c r="BL606">
        <v>2</v>
      </c>
      <c r="BM606" s="3">
        <f t="shared" si="314"/>
        <v>1.3966342834102068</v>
      </c>
      <c r="BN606" t="s">
        <v>33</v>
      </c>
      <c r="BO606" s="3">
        <f t="shared" si="304"/>
        <v>24.924949290060855</v>
      </c>
      <c r="BP606" t="s">
        <v>33</v>
      </c>
      <c r="BQ606" t="s">
        <v>33</v>
      </c>
      <c r="BR606" t="s">
        <v>33</v>
      </c>
      <c r="BS606" t="s">
        <v>33</v>
      </c>
      <c r="BT606" t="s">
        <v>32</v>
      </c>
      <c r="BU606" t="s">
        <v>709</v>
      </c>
      <c r="BV606">
        <v>2024</v>
      </c>
      <c r="BW606" t="s">
        <v>710</v>
      </c>
      <c r="BX606" t="s">
        <v>78</v>
      </c>
      <c r="BY606" t="s">
        <v>711</v>
      </c>
      <c r="CA606" t="str">
        <f t="shared" si="305"/>
        <v>low acid</v>
      </c>
    </row>
    <row r="607" spans="1:79">
      <c r="A607" t="s">
        <v>442</v>
      </c>
      <c r="B607" t="s">
        <v>565</v>
      </c>
      <c r="C607" t="s">
        <v>563</v>
      </c>
      <c r="D607" t="s">
        <v>368</v>
      </c>
      <c r="E607" t="s">
        <v>77</v>
      </c>
      <c r="F607" t="s">
        <v>32</v>
      </c>
      <c r="G607">
        <v>23</v>
      </c>
      <c r="H607">
        <v>43</v>
      </c>
      <c r="I607" t="b">
        <v>0</v>
      </c>
      <c r="J607" t="s">
        <v>33</v>
      </c>
      <c r="K607" t="s">
        <v>33</v>
      </c>
      <c r="L607">
        <v>45</v>
      </c>
      <c r="M607" s="4">
        <v>1000</v>
      </c>
      <c r="N607" s="3">
        <f>IFERROR(AF607/((T607*X607/Y607)*O607*AI607),"NA")</f>
        <v>805.8545285219634</v>
      </c>
      <c r="O607">
        <v>1.5</v>
      </c>
      <c r="P607" t="s">
        <v>33</v>
      </c>
      <c r="Q607" s="8">
        <f t="shared" ref="Q607:Q612" si="315">IFERROR(X607/Z607, "NA")</f>
        <v>4.6666666666666669E-2</v>
      </c>
      <c r="R607" t="s">
        <v>183</v>
      </c>
      <c r="S607" t="s">
        <v>613</v>
      </c>
      <c r="T607" s="11">
        <v>1</v>
      </c>
      <c r="U607">
        <v>5</v>
      </c>
      <c r="V607">
        <v>8</v>
      </c>
      <c r="W607" t="s">
        <v>33</v>
      </c>
      <c r="X607" s="9">
        <f>IFERROR(((PI())*(((V607*10^-1)/2)^2)*(U607*10^-1)), "NA")</f>
        <v>0.25132741228718347</v>
      </c>
      <c r="Y607" s="6">
        <v>4.34</v>
      </c>
      <c r="Z607" s="3">
        <f t="shared" si="310"/>
        <v>5.3855874061539311</v>
      </c>
      <c r="AA607">
        <v>46.3</v>
      </c>
      <c r="AB607" s="6">
        <f>IFERROR(((X607*M607)/Y607), "NA")</f>
        <v>57.909542001655183</v>
      </c>
      <c r="AC607" t="str">
        <f t="shared" si="309"/>
        <v>NA</v>
      </c>
      <c r="AD607" s="4">
        <f>AB607*T607*AI607</f>
        <v>57.909542001655183</v>
      </c>
      <c r="AE607" s="3">
        <f t="shared" si="311"/>
        <v>279.2475</v>
      </c>
      <c r="AF607">
        <v>70</v>
      </c>
      <c r="AG607" t="str">
        <f>IFERROR((M607*O607*P607), "NA")</f>
        <v>NA</v>
      </c>
      <c r="AH607" t="str">
        <f>IFERROR((AG607*T607*AI607), "NA")</f>
        <v>NA</v>
      </c>
      <c r="AI607" s="11">
        <v>1</v>
      </c>
      <c r="AJ607" t="s">
        <v>31</v>
      </c>
      <c r="AK607">
        <v>1970</v>
      </c>
      <c r="AL607" t="s">
        <v>558</v>
      </c>
      <c r="AM607" t="s">
        <v>515</v>
      </c>
      <c r="AN607" t="s">
        <v>205</v>
      </c>
      <c r="AO607" t="s">
        <v>788</v>
      </c>
      <c r="AP607" s="4" t="s">
        <v>33</v>
      </c>
      <c r="AQ607" t="s">
        <v>33</v>
      </c>
      <c r="AR607" t="s">
        <v>33</v>
      </c>
      <c r="AS607">
        <f>LOG(10^5)</f>
        <v>5</v>
      </c>
      <c r="AT607" s="3">
        <f>IFERROR(AS607-AU607,"NA")</f>
        <v>4.3070000000000004</v>
      </c>
      <c r="AU607" s="6">
        <v>0.69299999999999995</v>
      </c>
      <c r="AV607" t="b">
        <v>1</v>
      </c>
      <c r="AW607" t="s">
        <v>172</v>
      </c>
      <c r="AX607" t="s">
        <v>173</v>
      </c>
      <c r="AY607" t="s">
        <v>444</v>
      </c>
      <c r="AZ607" t="s">
        <v>33</v>
      </c>
      <c r="BA607" s="18" t="s">
        <v>799</v>
      </c>
      <c r="BB607" t="b">
        <v>0</v>
      </c>
      <c r="BC607" t="s">
        <v>81</v>
      </c>
      <c r="BD607" t="s">
        <v>33</v>
      </c>
      <c r="BE607" t="s">
        <v>33</v>
      </c>
      <c r="BF607" s="11">
        <v>48</v>
      </c>
      <c r="BG607" t="s">
        <v>401</v>
      </c>
      <c r="BH607" t="s">
        <v>31</v>
      </c>
      <c r="BI607" t="s">
        <v>31</v>
      </c>
      <c r="BJ607" s="3">
        <f t="shared" si="308"/>
        <v>0.69299999999999995</v>
      </c>
      <c r="BK607" s="3">
        <f t="shared" si="301"/>
        <v>-0.15926676538819329</v>
      </c>
      <c r="BL607">
        <v>2</v>
      </c>
      <c r="BM607" s="3">
        <f t="shared" si="314"/>
        <v>2.6052560591147302</v>
      </c>
      <c r="BN607" t="s">
        <v>33</v>
      </c>
      <c r="BO607" s="3">
        <f t="shared" si="304"/>
        <v>402.9545454545455</v>
      </c>
      <c r="BP607" t="s">
        <v>33</v>
      </c>
      <c r="BQ607" t="s">
        <v>33</v>
      </c>
      <c r="BR607" t="s">
        <v>33</v>
      </c>
      <c r="BS607" t="s">
        <v>33</v>
      </c>
      <c r="BT607" t="s">
        <v>31</v>
      </c>
      <c r="BU607" t="s">
        <v>445</v>
      </c>
      <c r="BV607">
        <v>2015</v>
      </c>
      <c r="BW607" t="s">
        <v>446</v>
      </c>
      <c r="BX607" t="s">
        <v>78</v>
      </c>
      <c r="BY607" t="s">
        <v>447</v>
      </c>
      <c r="CA607" t="str">
        <f t="shared" si="305"/>
        <v>high acid</v>
      </c>
    </row>
    <row r="608" spans="1:79">
      <c r="A608" t="s">
        <v>590</v>
      </c>
      <c r="B608" t="s">
        <v>565</v>
      </c>
      <c r="C608" t="s">
        <v>564</v>
      </c>
      <c r="D608" t="s">
        <v>609</v>
      </c>
      <c r="E608" t="s">
        <v>77</v>
      </c>
      <c r="F608" t="s">
        <v>32</v>
      </c>
      <c r="G608">
        <v>40</v>
      </c>
      <c r="H608">
        <v>49</v>
      </c>
      <c r="I608" t="b">
        <v>0</v>
      </c>
      <c r="J608" t="s">
        <v>33</v>
      </c>
      <c r="K608" t="s">
        <v>33</v>
      </c>
      <c r="L608">
        <v>21</v>
      </c>
      <c r="M608" s="4">
        <v>120</v>
      </c>
      <c r="N608" t="e">
        <f>(#REF!*Y608)/(T608*X608*O608)</f>
        <v>#REF!</v>
      </c>
      <c r="O608">
        <v>3</v>
      </c>
      <c r="P608" t="s">
        <v>33</v>
      </c>
      <c r="Q608" s="1">
        <f t="shared" si="315"/>
        <v>9.5000000000000001E-2</v>
      </c>
      <c r="R608" t="s">
        <v>183</v>
      </c>
      <c r="S608" t="s">
        <v>612</v>
      </c>
      <c r="T608">
        <v>4</v>
      </c>
      <c r="U608">
        <v>3</v>
      </c>
      <c r="V608">
        <v>2.6</v>
      </c>
      <c r="W608">
        <v>1.5900000000000001E-2</v>
      </c>
      <c r="X608">
        <f>IFERROR(((PI())*(((V608*10^-1)/2)^2)*(U608*10^-1)), "NA")</f>
        <v>1.5927874753700257E-2</v>
      </c>
      <c r="Y608">
        <v>8.3333299999999999E-2</v>
      </c>
      <c r="Z608" s="3">
        <f t="shared" si="310"/>
        <v>0.16766183951263428</v>
      </c>
      <c r="AA608" t="s">
        <v>33</v>
      </c>
      <c r="AB608">
        <f>IFERROR(((X608*M608)/Z608), "NA")</f>
        <v>11.4</v>
      </c>
      <c r="AC608" s="1" t="str">
        <f t="shared" si="309"/>
        <v>NA</v>
      </c>
      <c r="AE608" s="3">
        <f t="shared" si="311"/>
        <v>69.378119999999996</v>
      </c>
      <c r="AF608">
        <v>136.80000000000001</v>
      </c>
      <c r="AG608" s="1" t="str">
        <f>IFERROR((N608*P608*Q608), "NA")</f>
        <v>NA</v>
      </c>
      <c r="AH608" s="1" t="str">
        <f>IFERROR((AG608*U608*AI608), "NA")</f>
        <v>NA</v>
      </c>
      <c r="AI608" s="1">
        <v>1</v>
      </c>
      <c r="AJ608" s="11" t="s">
        <v>31</v>
      </c>
      <c r="AK608">
        <v>1150</v>
      </c>
      <c r="AL608" t="s">
        <v>551</v>
      </c>
      <c r="AM608" t="s">
        <v>86</v>
      </c>
      <c r="AN608" t="s">
        <v>186</v>
      </c>
      <c r="AO608" t="s">
        <v>794</v>
      </c>
      <c r="AP608">
        <v>5.92</v>
      </c>
      <c r="AQ608" t="s">
        <v>33</v>
      </c>
      <c r="AR608" t="s">
        <v>33</v>
      </c>
      <c r="AS608">
        <v>6</v>
      </c>
      <c r="AT608">
        <f>AS608-AU608</f>
        <v>4.3100000000000005</v>
      </c>
      <c r="AU608" s="6">
        <v>1.69</v>
      </c>
      <c r="AV608" t="b">
        <v>1</v>
      </c>
      <c r="AW608" t="s">
        <v>626</v>
      </c>
      <c r="AX608" t="s">
        <v>627</v>
      </c>
      <c r="AY608" t="s">
        <v>631</v>
      </c>
      <c r="AZ608" t="s">
        <v>33</v>
      </c>
      <c r="BA608" s="18" t="s">
        <v>800</v>
      </c>
      <c r="BB608" s="3" t="b">
        <v>0</v>
      </c>
      <c r="BC608" t="s">
        <v>81</v>
      </c>
      <c r="BD608">
        <v>20</v>
      </c>
      <c r="BE608" t="s">
        <v>80</v>
      </c>
      <c r="BF608">
        <v>20</v>
      </c>
      <c r="BG608" t="s">
        <v>695</v>
      </c>
      <c r="BH608" t="s">
        <v>32</v>
      </c>
      <c r="BI608" t="s">
        <v>31</v>
      </c>
      <c r="BJ608">
        <f t="shared" si="308"/>
        <v>1.69</v>
      </c>
      <c r="BK608" s="3">
        <f t="shared" si="301"/>
        <v>0.22788670461367352</v>
      </c>
      <c r="BL608">
        <v>2</v>
      </c>
      <c r="BM608" s="3">
        <f t="shared" si="314"/>
        <v>1.6133358225918741</v>
      </c>
      <c r="BN608" t="s">
        <v>33</v>
      </c>
      <c r="BO608" s="3">
        <f t="shared" si="304"/>
        <v>41.05214201183432</v>
      </c>
      <c r="BP608" t="s">
        <v>33</v>
      </c>
      <c r="BQ608" t="s">
        <v>33</v>
      </c>
      <c r="BR608" t="s">
        <v>33</v>
      </c>
      <c r="BS608" t="s">
        <v>33</v>
      </c>
      <c r="BT608" t="s">
        <v>32</v>
      </c>
      <c r="BU608" s="15" t="s">
        <v>207</v>
      </c>
      <c r="BV608">
        <v>2014</v>
      </c>
      <c r="BW608" t="s">
        <v>242</v>
      </c>
      <c r="BX608" t="s">
        <v>78</v>
      </c>
      <c r="BY608" s="13" t="s">
        <v>678</v>
      </c>
      <c r="CA608" t="str">
        <f t="shared" si="305"/>
        <v>low acid</v>
      </c>
    </row>
    <row r="609" spans="1:79">
      <c r="A609" t="s">
        <v>592</v>
      </c>
      <c r="B609" t="s">
        <v>566</v>
      </c>
      <c r="C609" t="s">
        <v>563</v>
      </c>
      <c r="D609" t="s">
        <v>607</v>
      </c>
      <c r="E609" t="s">
        <v>77</v>
      </c>
      <c r="F609" t="s">
        <v>32</v>
      </c>
      <c r="G609" t="s">
        <v>33</v>
      </c>
      <c r="H609">
        <v>35</v>
      </c>
      <c r="I609" t="b">
        <v>0</v>
      </c>
      <c r="J609">
        <v>30000</v>
      </c>
      <c r="K609">
        <v>200</v>
      </c>
      <c r="L609">
        <v>35</v>
      </c>
      <c r="M609" s="4">
        <v>1</v>
      </c>
      <c r="N609" t="e">
        <f>(#REF!*Y609)/(T609*X609*O609)</f>
        <v>#REF!</v>
      </c>
      <c r="O609">
        <v>3</v>
      </c>
      <c r="P609" t="s">
        <v>33</v>
      </c>
      <c r="Q609" s="1">
        <f t="shared" si="315"/>
        <v>5.3933333333333326</v>
      </c>
      <c r="R609" t="s">
        <v>183</v>
      </c>
      <c r="S609" t="s">
        <v>33</v>
      </c>
      <c r="T609">
        <v>1</v>
      </c>
      <c r="U609">
        <v>2.5</v>
      </c>
      <c r="V609" t="s">
        <v>33</v>
      </c>
      <c r="W609">
        <v>0.50249999999999995</v>
      </c>
      <c r="X609">
        <f>W609</f>
        <v>0.50249999999999995</v>
      </c>
      <c r="Y609" t="s">
        <v>33</v>
      </c>
      <c r="Z609" s="3">
        <f t="shared" si="310"/>
        <v>9.3170580964153274E-2</v>
      </c>
      <c r="AA609" t="s">
        <v>33</v>
      </c>
      <c r="AB609">
        <f>IFERROR(((X609*M609)/Z609), "NA")</f>
        <v>5.3933333333333326</v>
      </c>
      <c r="AC609" s="1" t="str">
        <f t="shared" si="309"/>
        <v>NA</v>
      </c>
      <c r="AE609" s="3">
        <f t="shared" si="311"/>
        <v>19.820499999999996</v>
      </c>
      <c r="AF609">
        <v>16.18</v>
      </c>
      <c r="AG609" s="1" t="str">
        <f>IFERROR((N609*P609*Q609), "NA")</f>
        <v>NA</v>
      </c>
      <c r="AH609" s="1" t="str">
        <f>IFERROR((AG609*U609*AI609), "NA")</f>
        <v>NA</v>
      </c>
      <c r="AI609" s="1">
        <v>1</v>
      </c>
      <c r="AJ609" s="11" t="s">
        <v>31</v>
      </c>
      <c r="AK609">
        <v>1000</v>
      </c>
      <c r="AL609" t="s">
        <v>614</v>
      </c>
      <c r="AM609" s="3" t="s">
        <v>103</v>
      </c>
      <c r="AN609" t="s">
        <v>305</v>
      </c>
      <c r="AO609" t="s">
        <v>790</v>
      </c>
      <c r="AP609">
        <v>4.5</v>
      </c>
      <c r="AQ609" t="s">
        <v>33</v>
      </c>
      <c r="AR609" t="s">
        <v>33</v>
      </c>
      <c r="AS609">
        <v>8</v>
      </c>
      <c r="AT609">
        <f>AS609-AU609</f>
        <v>4.3100000000000005</v>
      </c>
      <c r="AU609" s="6">
        <v>3.69</v>
      </c>
      <c r="AV609" t="b">
        <v>1</v>
      </c>
      <c r="AW609" t="s">
        <v>626</v>
      </c>
      <c r="AX609" t="s">
        <v>627</v>
      </c>
      <c r="AY609" t="s">
        <v>633</v>
      </c>
      <c r="AZ609" t="s">
        <v>33</v>
      </c>
      <c r="BA609" s="18" t="s">
        <v>800</v>
      </c>
      <c r="BB609" s="3" t="b">
        <v>0</v>
      </c>
      <c r="BC609" t="s">
        <v>81</v>
      </c>
      <c r="BD609">
        <v>24</v>
      </c>
      <c r="BE609" t="s">
        <v>80</v>
      </c>
      <c r="BF609">
        <v>48</v>
      </c>
      <c r="BG609" t="s">
        <v>569</v>
      </c>
      <c r="BH609" t="s">
        <v>31</v>
      </c>
      <c r="BI609" t="s">
        <v>31</v>
      </c>
      <c r="BJ609">
        <f t="shared" si="308"/>
        <v>3.69</v>
      </c>
      <c r="BK609" s="3">
        <f t="shared" si="301"/>
        <v>0.56702636615906032</v>
      </c>
      <c r="BL609">
        <v>2</v>
      </c>
      <c r="BM609" s="3">
        <f t="shared" si="314"/>
        <v>0.73008823981774429</v>
      </c>
      <c r="BN609" t="s">
        <v>33</v>
      </c>
      <c r="BO609" s="3">
        <f t="shared" si="304"/>
        <v>5.3714092140921395</v>
      </c>
      <c r="BP609" t="s">
        <v>33</v>
      </c>
      <c r="BQ609" t="s">
        <v>33</v>
      </c>
      <c r="BR609" t="s">
        <v>33</v>
      </c>
      <c r="BS609" t="s">
        <v>33</v>
      </c>
      <c r="BT609" t="s">
        <v>31</v>
      </c>
      <c r="BU609" s="15" t="s">
        <v>255</v>
      </c>
      <c r="BV609">
        <v>2010</v>
      </c>
      <c r="BW609" t="s">
        <v>659</v>
      </c>
      <c r="BX609" t="s">
        <v>78</v>
      </c>
      <c r="BY609" s="13" t="s">
        <v>680</v>
      </c>
      <c r="CA609" t="str">
        <f t="shared" si="305"/>
        <v>high acid</v>
      </c>
    </row>
    <row r="610" spans="1:79">
      <c r="A610" t="s">
        <v>237</v>
      </c>
      <c r="B610" t="s">
        <v>565</v>
      </c>
      <c r="C610" t="s">
        <v>563</v>
      </c>
      <c r="D610" t="s">
        <v>118</v>
      </c>
      <c r="E610" t="s">
        <v>77</v>
      </c>
      <c r="F610" t="s">
        <v>32</v>
      </c>
      <c r="G610">
        <v>4</v>
      </c>
      <c r="H610">
        <v>32.5</v>
      </c>
      <c r="I610" t="b">
        <v>0</v>
      </c>
      <c r="J610" t="s">
        <v>33</v>
      </c>
      <c r="K610" t="s">
        <v>33</v>
      </c>
      <c r="L610">
        <v>30</v>
      </c>
      <c r="M610" s="4">
        <v>200</v>
      </c>
      <c r="N610" s="3">
        <f>IFERROR(AF610/((T610*X610/Y610)*O610*AI610),"NA")</f>
        <v>1545.5137286547574</v>
      </c>
      <c r="O610">
        <v>4</v>
      </c>
      <c r="P610" t="s">
        <v>33</v>
      </c>
      <c r="Q610" s="9">
        <f t="shared" si="315"/>
        <v>9.3749999999999986E-2</v>
      </c>
      <c r="R610" t="s">
        <v>183</v>
      </c>
      <c r="S610" t="s">
        <v>612</v>
      </c>
      <c r="T610" s="11">
        <v>8</v>
      </c>
      <c r="U610">
        <v>2.92</v>
      </c>
      <c r="V610">
        <v>2.2999999999999998</v>
      </c>
      <c r="W610">
        <v>1.2E-2</v>
      </c>
      <c r="X610" s="8">
        <f>IFERROR(((PI())*(((V610*10^-1)/2)^2)*(U610*10^-1)), "NA")</f>
        <v>1.2131888350367701E-2</v>
      </c>
      <c r="Y610" s="6">
        <f>60/60</f>
        <v>1</v>
      </c>
      <c r="Z610" s="3">
        <f t="shared" si="310"/>
        <v>0.12940680907058882</v>
      </c>
      <c r="AA610" t="s">
        <v>33</v>
      </c>
      <c r="AB610" s="6">
        <f>IFERROR(((X610*M610)/Z610), "NA")</f>
        <v>18.749999999999996</v>
      </c>
      <c r="AC610" t="str">
        <f t="shared" si="309"/>
        <v>NA</v>
      </c>
      <c r="AD610" s="4">
        <f>AB610*T610*AI610</f>
        <v>149.99999999999997</v>
      </c>
      <c r="AE610" s="3">
        <f t="shared" si="311"/>
        <v>2289.5999999999995</v>
      </c>
      <c r="AF610">
        <v>600</v>
      </c>
      <c r="AG610" t="str">
        <f>IFERROR((M610*O610*P610), "NA")</f>
        <v>NA</v>
      </c>
      <c r="AH610" t="str">
        <f>IFERROR((AG610*T610*AI610), "NA")</f>
        <v>NA</v>
      </c>
      <c r="AI610">
        <v>1</v>
      </c>
      <c r="AJ610" t="s">
        <v>31</v>
      </c>
      <c r="AK610">
        <v>4240</v>
      </c>
      <c r="AL610" t="s">
        <v>238</v>
      </c>
      <c r="AM610" t="s">
        <v>86</v>
      </c>
      <c r="AN610" t="s">
        <v>205</v>
      </c>
      <c r="AO610" t="s">
        <v>789</v>
      </c>
      <c r="AP610">
        <v>3.56</v>
      </c>
      <c r="AQ610" t="s">
        <v>33</v>
      </c>
      <c r="AR610" t="s">
        <v>33</v>
      </c>
      <c r="AS610">
        <f>LOG(10^8)</f>
        <v>8</v>
      </c>
      <c r="AT610" s="3">
        <f>IFERROR(AS610-AU610,"NA")</f>
        <v>4.3170000000000002</v>
      </c>
      <c r="AU610" s="6">
        <v>3.6829999999999998</v>
      </c>
      <c r="AV610" t="b">
        <v>1</v>
      </c>
      <c r="AW610" t="s">
        <v>172</v>
      </c>
      <c r="AX610" t="s">
        <v>173</v>
      </c>
      <c r="AY610" t="s">
        <v>239</v>
      </c>
      <c r="AZ610" t="s">
        <v>33</v>
      </c>
      <c r="BA610" s="18" t="s">
        <v>799</v>
      </c>
      <c r="BB610" t="b">
        <v>0</v>
      </c>
      <c r="BC610" t="s">
        <v>81</v>
      </c>
      <c r="BD610">
        <v>48</v>
      </c>
      <c r="BE610" t="s">
        <v>80</v>
      </c>
      <c r="BF610" s="11">
        <v>120</v>
      </c>
      <c r="BG610" t="s">
        <v>571</v>
      </c>
      <c r="BH610" t="s">
        <v>31</v>
      </c>
      <c r="BI610" t="s">
        <v>31</v>
      </c>
      <c r="BJ610" s="3">
        <f t="shared" si="308"/>
        <v>3.6829999999999998</v>
      </c>
      <c r="BK610" s="3">
        <f t="shared" si="301"/>
        <v>0.56620171885491288</v>
      </c>
      <c r="BL610">
        <v>2</v>
      </c>
      <c r="BM610" s="3">
        <f t="shared" si="314"/>
        <v>2.7935578975607882</v>
      </c>
      <c r="BN610" t="s">
        <v>33</v>
      </c>
      <c r="BO610" s="3">
        <f t="shared" si="304"/>
        <v>621.66711919630723</v>
      </c>
      <c r="BP610" t="s">
        <v>33</v>
      </c>
      <c r="BQ610" t="s">
        <v>33</v>
      </c>
      <c r="BR610" t="s">
        <v>33</v>
      </c>
      <c r="BS610" t="s">
        <v>33</v>
      </c>
      <c r="BT610" t="s">
        <v>31</v>
      </c>
      <c r="BU610" t="s">
        <v>240</v>
      </c>
      <c r="BV610">
        <v>2004</v>
      </c>
      <c r="BW610" t="s">
        <v>241</v>
      </c>
      <c r="BX610" t="s">
        <v>78</v>
      </c>
      <c r="BY610" t="s">
        <v>33</v>
      </c>
      <c r="BZ610" t="s">
        <v>33</v>
      </c>
      <c r="CA610" t="str">
        <f t="shared" si="305"/>
        <v>high acid</v>
      </c>
    </row>
    <row r="611" spans="1:79">
      <c r="A611" t="s">
        <v>431</v>
      </c>
      <c r="B611" t="s">
        <v>565</v>
      </c>
      <c r="C611" t="s">
        <v>563</v>
      </c>
      <c r="D611" t="s">
        <v>118</v>
      </c>
      <c r="E611" t="s">
        <v>77</v>
      </c>
      <c r="F611" t="s">
        <v>32</v>
      </c>
      <c r="G611">
        <v>20</v>
      </c>
      <c r="H611">
        <v>25</v>
      </c>
      <c r="I611" t="b">
        <v>0</v>
      </c>
      <c r="J611" t="s">
        <v>33</v>
      </c>
      <c r="K611" t="s">
        <v>33</v>
      </c>
      <c r="L611">
        <v>27.4</v>
      </c>
      <c r="M611" s="4">
        <v>667</v>
      </c>
      <c r="N611" s="3" t="str">
        <f>IFERROR(AF611/((T611*X611/Y611)*O611*AI611),"NA")</f>
        <v>NA</v>
      </c>
      <c r="O611">
        <v>2</v>
      </c>
      <c r="P611" t="s">
        <v>33</v>
      </c>
      <c r="Q611" s="8">
        <f t="shared" si="315"/>
        <v>9.9950024987506252E-3</v>
      </c>
      <c r="R611" t="s">
        <v>183</v>
      </c>
      <c r="S611" t="s">
        <v>613</v>
      </c>
      <c r="T611" s="11">
        <v>6</v>
      </c>
      <c r="U611">
        <v>2.92</v>
      </c>
      <c r="V611">
        <v>2.2999999999999998</v>
      </c>
      <c r="W611" t="s">
        <v>33</v>
      </c>
      <c r="X611" s="9">
        <f>IFERROR(((PI())*(((V611*10^-1)/2)^2)*(U611*10^-1)), "NA")</f>
        <v>1.2131888350367701E-2</v>
      </c>
      <c r="Y611" s="6" t="s">
        <v>33</v>
      </c>
      <c r="Z611" s="3">
        <f t="shared" si="310"/>
        <v>1.2137954294542883</v>
      </c>
      <c r="AA611" t="s">
        <v>33</v>
      </c>
      <c r="AB611" s="6" t="str">
        <f>IFERROR(((X611*M611)/Y611), "NA")</f>
        <v>NA</v>
      </c>
      <c r="AC611" t="str">
        <f t="shared" si="309"/>
        <v>NA</v>
      </c>
      <c r="AD611" s="4" t="str">
        <f>IFERROR(AB611*T611*AI611, "NA")</f>
        <v>NA</v>
      </c>
      <c r="AE611" s="3">
        <f t="shared" si="311"/>
        <v>60.060799999999993</v>
      </c>
      <c r="AF611">
        <v>80</v>
      </c>
      <c r="AG611" t="str">
        <f>IFERROR((M611*O611*P611), "NA")</f>
        <v>NA</v>
      </c>
      <c r="AH611" t="str">
        <f>IFERROR((AG611*T611*AI611), "NA")</f>
        <v>NA</v>
      </c>
      <c r="AI611" s="11">
        <v>1</v>
      </c>
      <c r="AJ611" t="s">
        <v>31</v>
      </c>
      <c r="AK611">
        <v>1000</v>
      </c>
      <c r="AL611" t="s">
        <v>430</v>
      </c>
      <c r="AM611" t="s">
        <v>530</v>
      </c>
      <c r="AN611" t="s">
        <v>186</v>
      </c>
      <c r="AO611" t="s">
        <v>796</v>
      </c>
      <c r="AP611" s="4">
        <v>6</v>
      </c>
      <c r="AQ611" t="s">
        <v>33</v>
      </c>
      <c r="AR611" t="s">
        <v>33</v>
      </c>
      <c r="AS611" s="3">
        <f>LOG((10^6+10^7)/2)</f>
        <v>6.7403626894942441</v>
      </c>
      <c r="AT611" s="3">
        <f>IFERROR(AS611-AU611,"NA")</f>
        <v>4.3263626894942444</v>
      </c>
      <c r="AU611" s="6">
        <v>2.4140000000000001</v>
      </c>
      <c r="AV611" t="b">
        <v>1</v>
      </c>
      <c r="AW611" t="s">
        <v>29</v>
      </c>
      <c r="AX611" t="s">
        <v>30</v>
      </c>
      <c r="AY611" t="s">
        <v>216</v>
      </c>
      <c r="AZ611" t="s">
        <v>33</v>
      </c>
      <c r="BA611" s="18" t="s">
        <v>798</v>
      </c>
      <c r="BB611" s="3" t="b">
        <v>0</v>
      </c>
      <c r="BC611" t="s">
        <v>81</v>
      </c>
      <c r="BD611">
        <v>15</v>
      </c>
      <c r="BE611" t="s">
        <v>80</v>
      </c>
      <c r="BF611" s="11">
        <v>240</v>
      </c>
      <c r="BG611" t="s">
        <v>139</v>
      </c>
      <c r="BH611" t="s">
        <v>31</v>
      </c>
      <c r="BI611" t="s">
        <v>31</v>
      </c>
      <c r="BJ611" s="3">
        <f t="shared" si="308"/>
        <v>2.4140000000000001</v>
      </c>
      <c r="BK611" s="3">
        <f t="shared" si="301"/>
        <v>0.38273726576133044</v>
      </c>
      <c r="BL611">
        <v>2</v>
      </c>
      <c r="BM611" s="3">
        <f t="shared" si="314"/>
        <v>1.395853846871389</v>
      </c>
      <c r="BN611" t="s">
        <v>33</v>
      </c>
      <c r="BO611" s="3">
        <f t="shared" si="304"/>
        <v>24.880198840099414</v>
      </c>
      <c r="BP611" t="s">
        <v>33</v>
      </c>
      <c r="BQ611" t="s">
        <v>33</v>
      </c>
      <c r="BR611" t="s">
        <v>33</v>
      </c>
      <c r="BS611" t="s">
        <v>33</v>
      </c>
      <c r="BT611" t="s">
        <v>32</v>
      </c>
      <c r="BU611" t="s">
        <v>344</v>
      </c>
      <c r="BV611">
        <v>2008</v>
      </c>
      <c r="BW611" t="s">
        <v>432</v>
      </c>
      <c r="BX611" t="s">
        <v>78</v>
      </c>
      <c r="BY611" t="s">
        <v>33</v>
      </c>
      <c r="BZ611" t="s">
        <v>33</v>
      </c>
      <c r="CA611" t="str">
        <f t="shared" si="305"/>
        <v>low acid</v>
      </c>
    </row>
    <row r="612" spans="1:79">
      <c r="A612" t="s">
        <v>588</v>
      </c>
      <c r="B612" t="s">
        <v>565</v>
      </c>
      <c r="C612" t="s">
        <v>563</v>
      </c>
      <c r="D612" t="s">
        <v>608</v>
      </c>
      <c r="E612" t="s">
        <v>77</v>
      </c>
      <c r="F612" t="s">
        <v>32</v>
      </c>
      <c r="G612" t="s">
        <v>33</v>
      </c>
      <c r="H612">
        <v>40</v>
      </c>
      <c r="I612" t="b">
        <v>0</v>
      </c>
      <c r="J612" t="s">
        <v>33</v>
      </c>
      <c r="K612" t="s">
        <v>33</v>
      </c>
      <c r="L612">
        <v>35</v>
      </c>
      <c r="M612" s="4">
        <v>250</v>
      </c>
      <c r="N612" t="e">
        <f>(#REF!*Y612)/(T612*X612*O612)</f>
        <v>#REF!</v>
      </c>
      <c r="O612">
        <v>3.7</v>
      </c>
      <c r="P612" t="s">
        <v>33</v>
      </c>
      <c r="Q612" s="1">
        <f t="shared" si="315"/>
        <v>6.4864864864864855E-2</v>
      </c>
      <c r="R612" t="s">
        <v>183</v>
      </c>
      <c r="S612" t="s">
        <v>613</v>
      </c>
      <c r="T612">
        <v>6</v>
      </c>
      <c r="U612">
        <v>1.9</v>
      </c>
      <c r="V612">
        <v>2.2999999999999998</v>
      </c>
      <c r="W612" t="s">
        <v>33</v>
      </c>
      <c r="X612">
        <f>IFERROR(((PI())*(((V612*10^-1)/2)^2)*(U612*10^-1)), "NA")</f>
        <v>7.8940369403077502E-3</v>
      </c>
      <c r="Y612">
        <v>1</v>
      </c>
      <c r="Z612" s="3">
        <f t="shared" si="310"/>
        <v>0.12169973616307783</v>
      </c>
      <c r="AA612" t="s">
        <v>33</v>
      </c>
      <c r="AB612">
        <f>IFERROR(((X612*M612)/Z612), "NA")</f>
        <v>16.216216216216214</v>
      </c>
      <c r="AC612" s="1" t="str">
        <f t="shared" si="309"/>
        <v>NA</v>
      </c>
      <c r="AE612" s="3">
        <f t="shared" si="311"/>
        <v>2116.7999999999997</v>
      </c>
      <c r="AF612">
        <v>360</v>
      </c>
      <c r="AG612" s="1" t="str">
        <f>IFERROR((N612*P612*Q612), "NA")</f>
        <v>NA</v>
      </c>
      <c r="AH612" s="1" t="str">
        <f>IFERROR((AG612*U612*AI612), "NA")</f>
        <v>NA</v>
      </c>
      <c r="AI612" s="1">
        <v>1</v>
      </c>
      <c r="AJ612" s="11" t="s">
        <v>31</v>
      </c>
      <c r="AK612">
        <v>4800</v>
      </c>
      <c r="AL612" t="s">
        <v>156</v>
      </c>
      <c r="AM612" t="s">
        <v>157</v>
      </c>
      <c r="AN612" t="s">
        <v>186</v>
      </c>
      <c r="AO612" t="s">
        <v>792</v>
      </c>
      <c r="AP612">
        <v>6.53</v>
      </c>
      <c r="AQ612" t="s">
        <v>33</v>
      </c>
      <c r="AR612" t="s">
        <v>33</v>
      </c>
      <c r="AS612">
        <v>6.5</v>
      </c>
      <c r="AT612">
        <v>4.33</v>
      </c>
      <c r="AU612" s="6">
        <f>AS612-AT612</f>
        <v>2.17</v>
      </c>
      <c r="AV612" t="b">
        <v>1</v>
      </c>
      <c r="AW612" t="s">
        <v>626</v>
      </c>
      <c r="AX612" t="s">
        <v>627</v>
      </c>
      <c r="AY612" t="s">
        <v>625</v>
      </c>
      <c r="AZ612" t="s">
        <v>33</v>
      </c>
      <c r="BA612" s="18" t="s">
        <v>800</v>
      </c>
      <c r="BB612" s="3" t="b">
        <v>0</v>
      </c>
      <c r="BC612" t="s">
        <v>81</v>
      </c>
      <c r="BD612">
        <v>12</v>
      </c>
      <c r="BE612" t="s">
        <v>80</v>
      </c>
      <c r="BF612">
        <v>48</v>
      </c>
      <c r="BG612" t="s">
        <v>568</v>
      </c>
      <c r="BH612" t="s">
        <v>31</v>
      </c>
      <c r="BI612" t="s">
        <v>31</v>
      </c>
      <c r="BJ612">
        <f t="shared" si="308"/>
        <v>2.17</v>
      </c>
      <c r="BK612" s="3">
        <f t="shared" si="301"/>
        <v>0.33645973384852951</v>
      </c>
      <c r="BL612">
        <v>2</v>
      </c>
      <c r="BM612" s="3">
        <f t="shared" si="314"/>
        <v>2.9892200929948962</v>
      </c>
      <c r="BN612" t="s">
        <v>33</v>
      </c>
      <c r="BO612" s="3">
        <f t="shared" si="304"/>
        <v>975.48387096774184</v>
      </c>
      <c r="BP612" t="s">
        <v>33</v>
      </c>
      <c r="BQ612" t="s">
        <v>33</v>
      </c>
      <c r="BR612" t="s">
        <v>33</v>
      </c>
      <c r="BS612" t="s">
        <v>33</v>
      </c>
      <c r="BT612" t="s">
        <v>31</v>
      </c>
      <c r="BU612" s="13" t="s">
        <v>163</v>
      </c>
      <c r="BV612">
        <v>2004</v>
      </c>
      <c r="BW612" t="s">
        <v>654</v>
      </c>
      <c r="BX612" t="s">
        <v>78</v>
      </c>
      <c r="BY612" s="13" t="s">
        <v>677</v>
      </c>
      <c r="CA612" t="str">
        <f t="shared" si="305"/>
        <v>low acid</v>
      </c>
    </row>
    <row r="613" spans="1:79">
      <c r="A613" t="s">
        <v>722</v>
      </c>
      <c r="B613" t="s">
        <v>566</v>
      </c>
      <c r="C613" t="s">
        <v>563</v>
      </c>
      <c r="D613" t="s">
        <v>699</v>
      </c>
      <c r="E613" t="s">
        <v>77</v>
      </c>
      <c r="F613" t="s">
        <v>32</v>
      </c>
      <c r="G613">
        <v>20</v>
      </c>
      <c r="H613">
        <v>42.5</v>
      </c>
      <c r="I613" t="b">
        <v>1</v>
      </c>
      <c r="J613" t="s">
        <v>33</v>
      </c>
      <c r="K613" t="s">
        <v>33</v>
      </c>
      <c r="L613">
        <v>20</v>
      </c>
      <c r="M613" s="4">
        <v>47</v>
      </c>
      <c r="N613" s="3">
        <f>IFERROR(AF613/((T613*X613/Y613)*O613*AI613),"NA")</f>
        <v>46.759259259259245</v>
      </c>
      <c r="O613">
        <v>5</v>
      </c>
      <c r="P613">
        <v>0.43</v>
      </c>
      <c r="Q613" s="8">
        <f>IFERROR(X613/Y613, "NA")</f>
        <v>0.43200000000000011</v>
      </c>
      <c r="R613" t="s">
        <v>183</v>
      </c>
      <c r="S613" t="s">
        <v>612</v>
      </c>
      <c r="T613" s="11">
        <v>1</v>
      </c>
      <c r="U613">
        <v>4</v>
      </c>
      <c r="V613" t="s">
        <v>33</v>
      </c>
      <c r="W613">
        <f>0.4*3*0.5</f>
        <v>0.60000000000000009</v>
      </c>
      <c r="X613" s="9">
        <f>W613</f>
        <v>0.60000000000000009</v>
      </c>
      <c r="Y613" s="6">
        <f>5000/3600</f>
        <v>1.3888888888888888</v>
      </c>
      <c r="Z613" s="3">
        <f t="shared" si="310"/>
        <v>1.3960396039603959</v>
      </c>
      <c r="AA613" t="s">
        <v>33</v>
      </c>
      <c r="AB613" s="4">
        <f>IFERROR(((X613*M613)/Y613), "NA")</f>
        <v>20.304000000000002</v>
      </c>
      <c r="AC613" s="4">
        <f t="shared" si="309"/>
        <v>20.21</v>
      </c>
      <c r="AD613" s="4">
        <f>AB613*T613*AI613</f>
        <v>20.304000000000002</v>
      </c>
      <c r="AE613" s="3">
        <f t="shared" si="311"/>
        <v>81.216000000000022</v>
      </c>
      <c r="AF613">
        <v>101</v>
      </c>
      <c r="AG613" s="4">
        <f>IFERROR((M613*O613*P613), "NA")</f>
        <v>101.05</v>
      </c>
      <c r="AH613" s="4">
        <f>IFERROR((AG613*T613*AI613), "NA")</f>
        <v>101.05</v>
      </c>
      <c r="AI613">
        <v>1</v>
      </c>
      <c r="AJ613" s="11" t="s">
        <v>31</v>
      </c>
      <c r="AK613">
        <v>2000</v>
      </c>
      <c r="AL613" t="s">
        <v>784</v>
      </c>
      <c r="AM613" t="s">
        <v>103</v>
      </c>
      <c r="AN613" t="s">
        <v>130</v>
      </c>
      <c r="AO613" t="s">
        <v>795</v>
      </c>
      <c r="AP613">
        <v>7</v>
      </c>
      <c r="AQ613" t="s">
        <v>33</v>
      </c>
      <c r="AR613" t="s">
        <v>33</v>
      </c>
      <c r="AS613" s="6">
        <f>LOG(AVERAGE(10^8, 10^9))</f>
        <v>8.7403626894942441</v>
      </c>
      <c r="AT613" s="3">
        <f>IFERROR(AS613-AU613,"NA")</f>
        <v>4.330362689494244</v>
      </c>
      <c r="AU613" s="6">
        <v>4.41</v>
      </c>
      <c r="AV613" t="b">
        <v>1</v>
      </c>
      <c r="AW613" t="s">
        <v>123</v>
      </c>
      <c r="AX613" t="s">
        <v>88</v>
      </c>
      <c r="AY613" t="s">
        <v>723</v>
      </c>
      <c r="AZ613" t="s">
        <v>33</v>
      </c>
      <c r="BA613" s="18" t="s">
        <v>579</v>
      </c>
      <c r="BB613" s="3" t="b">
        <v>1</v>
      </c>
      <c r="BC613" t="s">
        <v>81</v>
      </c>
      <c r="BD613">
        <v>24</v>
      </c>
      <c r="BE613" t="s">
        <v>80</v>
      </c>
      <c r="BF613">
        <v>48</v>
      </c>
      <c r="BG613" t="s">
        <v>395</v>
      </c>
      <c r="BH613" t="s">
        <v>31</v>
      </c>
      <c r="BI613" t="s">
        <v>31</v>
      </c>
      <c r="BJ613" s="3">
        <f t="shared" si="308"/>
        <v>4.41</v>
      </c>
      <c r="BK613" s="3">
        <f t="shared" si="301"/>
        <v>0.6444385894678385</v>
      </c>
      <c r="BL613">
        <v>2</v>
      </c>
      <c r="BM613" s="3">
        <f t="shared" si="314"/>
        <v>1.2652030066107536</v>
      </c>
      <c r="BN613" t="s">
        <v>33</v>
      </c>
      <c r="BO613" s="3">
        <f t="shared" si="304"/>
        <v>18.416326530612249</v>
      </c>
      <c r="BP613" t="s">
        <v>33</v>
      </c>
      <c r="BQ613" t="s">
        <v>33</v>
      </c>
      <c r="BR613" t="s">
        <v>33</v>
      </c>
      <c r="BS613" t="s">
        <v>33</v>
      </c>
      <c r="BT613" t="s">
        <v>32</v>
      </c>
      <c r="BU613" t="s">
        <v>709</v>
      </c>
      <c r="BV613">
        <v>2024</v>
      </c>
      <c r="BW613" t="s">
        <v>710</v>
      </c>
      <c r="BX613" t="s">
        <v>78</v>
      </c>
      <c r="BY613" t="s">
        <v>711</v>
      </c>
      <c r="CA613" t="str">
        <f t="shared" si="305"/>
        <v>low acid</v>
      </c>
    </row>
    <row r="614" spans="1:79">
      <c r="A614" t="s">
        <v>534</v>
      </c>
      <c r="B614" t="s">
        <v>565</v>
      </c>
      <c r="C614" t="s">
        <v>564</v>
      </c>
      <c r="D614" t="s">
        <v>243</v>
      </c>
      <c r="E614" t="s">
        <v>77</v>
      </c>
      <c r="F614" t="s">
        <v>32</v>
      </c>
      <c r="G614">
        <v>40</v>
      </c>
      <c r="H614">
        <v>50.2</v>
      </c>
      <c r="I614" t="b">
        <v>0</v>
      </c>
      <c r="J614" t="s">
        <v>33</v>
      </c>
      <c r="K614" t="s">
        <v>33</v>
      </c>
      <c r="L614">
        <v>27</v>
      </c>
      <c r="M614" s="4">
        <v>120</v>
      </c>
      <c r="N614" s="3">
        <f>IFERROR(AF614/((T614*X614/Y614)*O614*AI614),"NA")</f>
        <v>300.8352803347791</v>
      </c>
      <c r="O614">
        <v>3</v>
      </c>
      <c r="P614" t="s">
        <v>33</v>
      </c>
      <c r="Q614" s="8">
        <f t="shared" ref="Q614:Q620" si="316">IFERROR(X614/Z614, "NA")</f>
        <v>9.5833333333333326E-2</v>
      </c>
      <c r="R614" t="s">
        <v>183</v>
      </c>
      <c r="S614" t="s">
        <v>612</v>
      </c>
      <c r="T614" s="11">
        <v>4</v>
      </c>
      <c r="U614">
        <v>3</v>
      </c>
      <c r="V614">
        <v>2.6</v>
      </c>
      <c r="W614">
        <v>1.5900000000000001E-2</v>
      </c>
      <c r="X614" s="8">
        <f t="shared" ref="X614:X619" si="317">IFERROR(((PI())*(((V614*10^-1)/2)^2)*(U614*10^-1)), "NA")</f>
        <v>1.5927874753700257E-2</v>
      </c>
      <c r="Y614" s="6">
        <f>25/60</f>
        <v>0.41666666666666669</v>
      </c>
      <c r="Z614" s="3">
        <f t="shared" si="310"/>
        <v>0.166203910473394</v>
      </c>
      <c r="AA614" t="s">
        <v>33</v>
      </c>
      <c r="AB614" s="6">
        <f t="shared" ref="AB614:AB619" si="318">IFERROR(((X614*M614)/Z614), "NA")</f>
        <v>11.499999999999998</v>
      </c>
      <c r="AC614" t="str">
        <f t="shared" si="309"/>
        <v>NA</v>
      </c>
      <c r="AD614" s="4">
        <f>IFERROR(AB614*T614*AI614, "NA")</f>
        <v>45.999999999999993</v>
      </c>
      <c r="AE614" s="3">
        <f t="shared" si="311"/>
        <v>92.553839999999994</v>
      </c>
      <c r="AF614">
        <v>138</v>
      </c>
      <c r="AG614" t="str">
        <f>IFERROR((M614*O614*P614), "NA")</f>
        <v>NA</v>
      </c>
      <c r="AH614" t="str">
        <f>IFERROR((AG614*T614*AI614), "NA")</f>
        <v>NA</v>
      </c>
      <c r="AI614" s="11">
        <v>1</v>
      </c>
      <c r="AJ614" t="s">
        <v>31</v>
      </c>
      <c r="AK614">
        <v>920</v>
      </c>
      <c r="AL614" t="s">
        <v>551</v>
      </c>
      <c r="AM614" t="s">
        <v>86</v>
      </c>
      <c r="AN614" t="s">
        <v>186</v>
      </c>
      <c r="AO614" t="s">
        <v>794</v>
      </c>
      <c r="AP614">
        <v>5.92</v>
      </c>
      <c r="AQ614" t="s">
        <v>33</v>
      </c>
      <c r="AR614" t="s">
        <v>33</v>
      </c>
      <c r="AS614" s="6">
        <f>LOG(1.4*10^6)</f>
        <v>6.1461280356782382</v>
      </c>
      <c r="AT614" s="3">
        <f>IFERROR(AS614-AU614,"NA")</f>
        <v>4.337128035678238</v>
      </c>
      <c r="AU614" s="6">
        <v>1.8089999999999999</v>
      </c>
      <c r="AV614" t="b">
        <v>1</v>
      </c>
      <c r="AW614" t="s">
        <v>29</v>
      </c>
      <c r="AX614" t="s">
        <v>30</v>
      </c>
      <c r="AY614" t="s">
        <v>244</v>
      </c>
      <c r="AZ614" t="s">
        <v>33</v>
      </c>
      <c r="BA614" s="18" t="s">
        <v>798</v>
      </c>
      <c r="BB614" t="b">
        <v>0</v>
      </c>
      <c r="BC614" t="s">
        <v>81</v>
      </c>
      <c r="BD614">
        <v>20</v>
      </c>
      <c r="BE614" t="s">
        <v>80</v>
      </c>
      <c r="BF614" s="11">
        <v>20</v>
      </c>
      <c r="BG614" t="s">
        <v>245</v>
      </c>
      <c r="BH614" t="s">
        <v>31</v>
      </c>
      <c r="BI614" t="s">
        <v>31</v>
      </c>
      <c r="BJ614" s="3">
        <f t="shared" si="308"/>
        <v>1.8089999999999999</v>
      </c>
      <c r="BK614" s="3">
        <f t="shared" si="301"/>
        <v>0.25743856685981376</v>
      </c>
      <c r="BL614">
        <v>2</v>
      </c>
      <c r="BM614" s="3">
        <f t="shared" si="314"/>
        <v>1.7089558752049527</v>
      </c>
      <c r="BN614" t="s">
        <v>33</v>
      </c>
      <c r="BO614" s="3">
        <f t="shared" si="304"/>
        <v>51.162985074626867</v>
      </c>
      <c r="BP614" t="s">
        <v>33</v>
      </c>
      <c r="BQ614" t="s">
        <v>33</v>
      </c>
      <c r="BR614" t="s">
        <v>33</v>
      </c>
      <c r="BS614" t="s">
        <v>33</v>
      </c>
      <c r="BT614" t="s">
        <v>32</v>
      </c>
      <c r="BU614" t="s">
        <v>207</v>
      </c>
      <c r="BV614">
        <v>2014</v>
      </c>
      <c r="BW614" s="2" t="s">
        <v>242</v>
      </c>
      <c r="BX614" t="s">
        <v>78</v>
      </c>
      <c r="BY614" t="s">
        <v>33</v>
      </c>
      <c r="BZ614" t="s">
        <v>33</v>
      </c>
      <c r="CA614" t="str">
        <f t="shared" si="305"/>
        <v>low acid</v>
      </c>
    </row>
    <row r="615" spans="1:79">
      <c r="A615" t="s">
        <v>224</v>
      </c>
      <c r="B615" t="s">
        <v>565</v>
      </c>
      <c r="C615" t="s">
        <v>563</v>
      </c>
      <c r="D615" t="s">
        <v>118</v>
      </c>
      <c r="E615" t="s">
        <v>77</v>
      </c>
      <c r="F615" t="s">
        <v>32</v>
      </c>
      <c r="G615">
        <v>5</v>
      </c>
      <c r="H615">
        <v>30.3</v>
      </c>
      <c r="I615" t="b">
        <v>0</v>
      </c>
      <c r="J615" t="s">
        <v>33</v>
      </c>
      <c r="K615" t="s">
        <v>33</v>
      </c>
      <c r="L615">
        <v>35</v>
      </c>
      <c r="M615" s="4">
        <v>175</v>
      </c>
      <c r="N615" s="3">
        <f>IFERROR(AF615/((T615*X615/Y615)*O615*AI615),"NA")</f>
        <v>8586.1873814153205</v>
      </c>
      <c r="O615">
        <v>4</v>
      </c>
      <c r="P615" t="s">
        <v>33</v>
      </c>
      <c r="Q615" s="8">
        <f t="shared" si="316"/>
        <v>0.35714285714285715</v>
      </c>
      <c r="R615" t="s">
        <v>183</v>
      </c>
      <c r="S615" t="s">
        <v>613</v>
      </c>
      <c r="T615" s="11">
        <v>8</v>
      </c>
      <c r="U615">
        <v>2.92</v>
      </c>
      <c r="V615">
        <v>2.2999999999999998</v>
      </c>
      <c r="W615">
        <v>1.21E-2</v>
      </c>
      <c r="X615" s="8">
        <f t="shared" si="317"/>
        <v>1.2131888350367701E-2</v>
      </c>
      <c r="Y615" s="6">
        <f>100/60</f>
        <v>1.6666666666666667</v>
      </c>
      <c r="Z615" s="3">
        <f t="shared" si="310"/>
        <v>3.3969287381029563E-2</v>
      </c>
      <c r="AA615" t="s">
        <v>33</v>
      </c>
      <c r="AB615" s="6">
        <f t="shared" si="318"/>
        <v>62.499999999999993</v>
      </c>
      <c r="AC615" t="str">
        <f t="shared" si="309"/>
        <v>NA</v>
      </c>
      <c r="AD615" s="4">
        <f>AB615*T615*AI615</f>
        <v>499.99999999999994</v>
      </c>
      <c r="AE615" s="3">
        <f t="shared" si="311"/>
        <v>8967</v>
      </c>
      <c r="AF615">
        <v>2000</v>
      </c>
      <c r="AG615" t="str">
        <f>IFERROR((M615*O615*P615), "NA")</f>
        <v>NA</v>
      </c>
      <c r="AH615" t="str">
        <f>IFERROR((AG615*T615*AI615), "NA")</f>
        <v>NA</v>
      </c>
      <c r="AI615">
        <v>1</v>
      </c>
      <c r="AJ615" t="s">
        <v>31</v>
      </c>
      <c r="AK615">
        <v>3660</v>
      </c>
      <c r="AL615" t="s">
        <v>541</v>
      </c>
      <c r="AM615" t="s">
        <v>86</v>
      </c>
      <c r="AN615" t="s">
        <v>186</v>
      </c>
      <c r="AO615" t="s">
        <v>794</v>
      </c>
      <c r="AP615">
        <v>5.46</v>
      </c>
      <c r="AQ615" t="s">
        <v>33</v>
      </c>
      <c r="AR615" t="s">
        <v>33</v>
      </c>
      <c r="AS615" s="6">
        <f>LOG((10^7+10^8)/2)</f>
        <v>7.7403626894942441</v>
      </c>
      <c r="AT615" s="3">
        <f>IFERROR(AS615-AU615,"NA")</f>
        <v>4.338362689494244</v>
      </c>
      <c r="AU615" s="6">
        <v>3.4020000000000001</v>
      </c>
      <c r="AV615" t="b">
        <v>1</v>
      </c>
      <c r="AW615" t="s">
        <v>92</v>
      </c>
      <c r="AX615" t="s">
        <v>93</v>
      </c>
      <c r="AY615" s="10">
        <v>1131</v>
      </c>
      <c r="AZ615" t="s">
        <v>33</v>
      </c>
      <c r="BA615" s="18" t="s">
        <v>801</v>
      </c>
      <c r="BB615" t="b">
        <v>0</v>
      </c>
      <c r="BC615" t="s">
        <v>81</v>
      </c>
      <c r="BD615">
        <f>(16+14)/2</f>
        <v>15</v>
      </c>
      <c r="BE615" t="s">
        <v>80</v>
      </c>
      <c r="BF615" t="s">
        <v>33</v>
      </c>
      <c r="BG615" t="s">
        <v>573</v>
      </c>
      <c r="BH615" t="s">
        <v>31</v>
      </c>
      <c r="BI615" t="s">
        <v>31</v>
      </c>
      <c r="BJ615" s="3">
        <f t="shared" si="308"/>
        <v>3.4020000000000001</v>
      </c>
      <c r="BK615" s="3">
        <f t="shared" si="301"/>
        <v>0.53173430927655019</v>
      </c>
      <c r="BL615">
        <v>2</v>
      </c>
      <c r="BM615" s="3">
        <f t="shared" si="314"/>
        <v>3.4209128604823928</v>
      </c>
      <c r="BN615" t="s">
        <v>33</v>
      </c>
      <c r="BO615" s="3">
        <f t="shared" si="304"/>
        <v>2635.8024691358023</v>
      </c>
      <c r="BP615" t="s">
        <v>33</v>
      </c>
      <c r="BQ615" t="s">
        <v>33</v>
      </c>
      <c r="BR615" t="s">
        <v>33</v>
      </c>
      <c r="BS615" t="s">
        <v>33</v>
      </c>
      <c r="BT615" t="s">
        <v>31</v>
      </c>
      <c r="BU615" t="s">
        <v>219</v>
      </c>
      <c r="BV615">
        <v>2007</v>
      </c>
      <c r="BW615" t="s">
        <v>218</v>
      </c>
      <c r="BX615" t="s">
        <v>78</v>
      </c>
      <c r="BY615" t="s">
        <v>33</v>
      </c>
      <c r="BZ615" t="s">
        <v>33</v>
      </c>
      <c r="CA615" t="str">
        <f t="shared" si="305"/>
        <v>low acid</v>
      </c>
    </row>
    <row r="616" spans="1:79">
      <c r="A616" t="s">
        <v>223</v>
      </c>
      <c r="B616" t="s">
        <v>565</v>
      </c>
      <c r="C616" t="s">
        <v>563</v>
      </c>
      <c r="D616" t="s">
        <v>118</v>
      </c>
      <c r="E616" t="s">
        <v>77</v>
      </c>
      <c r="F616" t="s">
        <v>32</v>
      </c>
      <c r="G616">
        <v>5</v>
      </c>
      <c r="H616">
        <v>39.1</v>
      </c>
      <c r="I616" t="b">
        <v>0</v>
      </c>
      <c r="J616" t="s">
        <v>33</v>
      </c>
      <c r="K616" t="s">
        <v>33</v>
      </c>
      <c r="L616">
        <v>35</v>
      </c>
      <c r="M616" s="4">
        <v>100</v>
      </c>
      <c r="N616" s="3">
        <f>IFERROR(AF616/((T616*X616/Y616)*O616*AI616),"NA")</f>
        <v>5366.3671133845755</v>
      </c>
      <c r="O616">
        <v>4</v>
      </c>
      <c r="P616" t="s">
        <v>33</v>
      </c>
      <c r="Q616" s="8">
        <f t="shared" si="316"/>
        <v>0.39062499999999994</v>
      </c>
      <c r="R616" t="s">
        <v>183</v>
      </c>
      <c r="S616" t="s">
        <v>613</v>
      </c>
      <c r="T616" s="11">
        <v>8</v>
      </c>
      <c r="U616">
        <v>2.92</v>
      </c>
      <c r="V616">
        <v>2.2999999999999998</v>
      </c>
      <c r="W616">
        <v>1.21E-2</v>
      </c>
      <c r="X616" s="8">
        <f t="shared" si="317"/>
        <v>1.2131888350367701E-2</v>
      </c>
      <c r="Y616" s="6">
        <f>100/60</f>
        <v>1.6666666666666667</v>
      </c>
      <c r="Z616" s="3">
        <f t="shared" si="310"/>
        <v>3.1057634176941316E-2</v>
      </c>
      <c r="AA616" t="s">
        <v>33</v>
      </c>
      <c r="AB616" s="6">
        <f t="shared" si="318"/>
        <v>39.0625</v>
      </c>
      <c r="AC616" t="str">
        <f t="shared" si="309"/>
        <v>NA</v>
      </c>
      <c r="AD616" s="4">
        <f>AB616*T616*AI616</f>
        <v>312.5</v>
      </c>
      <c r="AE616" s="3">
        <f t="shared" si="311"/>
        <v>8008.4374999999982</v>
      </c>
      <c r="AF616">
        <v>1250</v>
      </c>
      <c r="AG616" t="str">
        <f>IFERROR((M616*O616*P616), "NA")</f>
        <v>NA</v>
      </c>
      <c r="AH616" t="str">
        <f>IFERROR((AG616*T616*AI616), "NA")</f>
        <v>NA</v>
      </c>
      <c r="AI616">
        <v>1</v>
      </c>
      <c r="AJ616" t="s">
        <v>31</v>
      </c>
      <c r="AK616">
        <v>5230</v>
      </c>
      <c r="AL616" t="s">
        <v>542</v>
      </c>
      <c r="AM616" t="s">
        <v>86</v>
      </c>
      <c r="AN616" t="s">
        <v>186</v>
      </c>
      <c r="AO616" t="s">
        <v>794</v>
      </c>
      <c r="AP616">
        <v>5.82</v>
      </c>
      <c r="AQ616" t="s">
        <v>33</v>
      </c>
      <c r="AR616" t="s">
        <v>33</v>
      </c>
      <c r="AS616" s="6">
        <f>LOG((10^7+10^8)/2)</f>
        <v>7.7403626894942441</v>
      </c>
      <c r="AT616" s="3">
        <f>IFERROR(AS616-AU616,"NA")</f>
        <v>4.346362689494244</v>
      </c>
      <c r="AU616" s="6">
        <v>3.3940000000000001</v>
      </c>
      <c r="AV616" t="b">
        <v>1</v>
      </c>
      <c r="AW616" t="s">
        <v>92</v>
      </c>
      <c r="AX616" t="s">
        <v>93</v>
      </c>
      <c r="AY616" s="10">
        <v>1131</v>
      </c>
      <c r="AZ616" t="s">
        <v>33</v>
      </c>
      <c r="BA616" s="18" t="s">
        <v>801</v>
      </c>
      <c r="BB616" t="b">
        <v>0</v>
      </c>
      <c r="BC616" t="s">
        <v>81</v>
      </c>
      <c r="BD616">
        <f>(16+14)/2</f>
        <v>15</v>
      </c>
      <c r="BE616" t="s">
        <v>80</v>
      </c>
      <c r="BF616" t="s">
        <v>33</v>
      </c>
      <c r="BG616" t="s">
        <v>573</v>
      </c>
      <c r="BH616" t="s">
        <v>31</v>
      </c>
      <c r="BI616" t="s">
        <v>31</v>
      </c>
      <c r="BJ616" s="3">
        <f t="shared" si="308"/>
        <v>3.3940000000000001</v>
      </c>
      <c r="BK616" s="3">
        <f t="shared" si="301"/>
        <v>0.530711837981657</v>
      </c>
      <c r="BL616">
        <v>2</v>
      </c>
      <c r="BM616" s="3">
        <f t="shared" si="314"/>
        <v>3.3728359525942246</v>
      </c>
      <c r="BN616" t="s">
        <v>33</v>
      </c>
      <c r="BO616" s="3">
        <f t="shared" si="304"/>
        <v>2359.5867707719499</v>
      </c>
      <c r="BP616" t="s">
        <v>33</v>
      </c>
      <c r="BQ616" t="s">
        <v>33</v>
      </c>
      <c r="BR616" t="s">
        <v>33</v>
      </c>
      <c r="BS616" t="s">
        <v>33</v>
      </c>
      <c r="BT616" t="s">
        <v>31</v>
      </c>
      <c r="BU616" t="s">
        <v>219</v>
      </c>
      <c r="BV616">
        <v>2007</v>
      </c>
      <c r="BW616" t="s">
        <v>218</v>
      </c>
      <c r="BX616" t="s">
        <v>78</v>
      </c>
      <c r="BY616" t="s">
        <v>33</v>
      </c>
      <c r="BZ616" t="s">
        <v>33</v>
      </c>
      <c r="CA616" t="str">
        <f t="shared" si="305"/>
        <v>low acid</v>
      </c>
    </row>
    <row r="617" spans="1:79">
      <c r="A617" t="s">
        <v>534</v>
      </c>
      <c r="B617" t="s">
        <v>565</v>
      </c>
      <c r="C617" t="s">
        <v>564</v>
      </c>
      <c r="D617" t="s">
        <v>243</v>
      </c>
      <c r="E617" t="s">
        <v>77</v>
      </c>
      <c r="F617" t="s">
        <v>32</v>
      </c>
      <c r="G617">
        <v>40</v>
      </c>
      <c r="H617">
        <v>50.2</v>
      </c>
      <c r="I617" t="b">
        <v>0</v>
      </c>
      <c r="J617" t="s">
        <v>33</v>
      </c>
      <c r="K617" t="s">
        <v>33</v>
      </c>
      <c r="L617">
        <v>24</v>
      </c>
      <c r="M617" s="4">
        <v>120</v>
      </c>
      <c r="N617" s="3">
        <f>IFERROR(AF617/((T617*X617/Y617)*O617*AI617),"NA")</f>
        <v>401.11370711303874</v>
      </c>
      <c r="O617">
        <v>3</v>
      </c>
      <c r="P617" t="s">
        <v>33</v>
      </c>
      <c r="Q617" s="8">
        <f t="shared" si="316"/>
        <v>0.12777777777777777</v>
      </c>
      <c r="R617" t="s">
        <v>183</v>
      </c>
      <c r="S617" t="s">
        <v>612</v>
      </c>
      <c r="T617" s="11">
        <v>4</v>
      </c>
      <c r="U617">
        <v>3</v>
      </c>
      <c r="V617">
        <v>2.6</v>
      </c>
      <c r="W617">
        <v>1.5900000000000001E-2</v>
      </c>
      <c r="X617" s="8">
        <f t="shared" si="317"/>
        <v>1.5927874753700257E-2</v>
      </c>
      <c r="Y617" s="6">
        <f>25/60</f>
        <v>0.41666666666666669</v>
      </c>
      <c r="Z617" s="3">
        <f t="shared" si="310"/>
        <v>0.1246529328550455</v>
      </c>
      <c r="AA617" t="s">
        <v>33</v>
      </c>
      <c r="AB617" s="6">
        <f t="shared" si="318"/>
        <v>15.333333333333332</v>
      </c>
      <c r="AC617" t="str">
        <f t="shared" si="309"/>
        <v>NA</v>
      </c>
      <c r="AD617" s="4">
        <f>IFERROR(AB617*T617*AI617, "NA")</f>
        <v>61.333333333333329</v>
      </c>
      <c r="AE617" s="3">
        <f t="shared" si="311"/>
        <v>97.505279999999985</v>
      </c>
      <c r="AF617">
        <v>184</v>
      </c>
      <c r="AG617" t="str">
        <f>IFERROR((M617*O617*P617), "NA")</f>
        <v>NA</v>
      </c>
      <c r="AH617" t="str">
        <f>IFERROR((AG617*T617*AI617), "NA")</f>
        <v>NA</v>
      </c>
      <c r="AI617" s="11">
        <v>1</v>
      </c>
      <c r="AJ617" t="s">
        <v>31</v>
      </c>
      <c r="AK617">
        <v>920</v>
      </c>
      <c r="AL617" t="s">
        <v>551</v>
      </c>
      <c r="AM617" t="s">
        <v>86</v>
      </c>
      <c r="AN617" t="s">
        <v>186</v>
      </c>
      <c r="AO617" t="s">
        <v>794</v>
      </c>
      <c r="AP617">
        <v>5.92</v>
      </c>
      <c r="AQ617" t="s">
        <v>33</v>
      </c>
      <c r="AR617" t="s">
        <v>33</v>
      </c>
      <c r="AS617" s="6">
        <f>LOG(1.4*10^6)</f>
        <v>6.1461280356782382</v>
      </c>
      <c r="AT617" s="3">
        <f>IFERROR(AS617-AU617,"NA")</f>
        <v>4.3481280356782381</v>
      </c>
      <c r="AU617" s="6">
        <v>1.798</v>
      </c>
      <c r="AV617" t="b">
        <v>1</v>
      </c>
      <c r="AW617" t="s">
        <v>29</v>
      </c>
      <c r="AX617" t="s">
        <v>30</v>
      </c>
      <c r="AY617" t="s">
        <v>244</v>
      </c>
      <c r="AZ617" t="s">
        <v>33</v>
      </c>
      <c r="BA617" s="18" t="s">
        <v>798</v>
      </c>
      <c r="BB617" t="b">
        <v>0</v>
      </c>
      <c r="BC617" t="s">
        <v>81</v>
      </c>
      <c r="BD617">
        <v>20</v>
      </c>
      <c r="BE617" t="s">
        <v>80</v>
      </c>
      <c r="BF617" s="11">
        <v>20</v>
      </c>
      <c r="BG617" t="s">
        <v>245</v>
      </c>
      <c r="BH617" t="s">
        <v>31</v>
      </c>
      <c r="BI617" t="s">
        <v>31</v>
      </c>
      <c r="BJ617" s="3">
        <f t="shared" si="308"/>
        <v>1.798</v>
      </c>
      <c r="BK617" s="3">
        <f t="shared" si="301"/>
        <v>0.25478968739720997</v>
      </c>
      <c r="BL617">
        <v>2</v>
      </c>
      <c r="BM617" s="3">
        <f t="shared" si="314"/>
        <v>1.7342384463810938</v>
      </c>
      <c r="BN617" t="s">
        <v>33</v>
      </c>
      <c r="BO617" s="3">
        <f t="shared" si="304"/>
        <v>54.229855394883195</v>
      </c>
      <c r="BP617" t="s">
        <v>33</v>
      </c>
      <c r="BQ617" t="s">
        <v>33</v>
      </c>
      <c r="BR617" t="s">
        <v>33</v>
      </c>
      <c r="BS617" t="s">
        <v>33</v>
      </c>
      <c r="BT617" t="s">
        <v>32</v>
      </c>
      <c r="BU617" t="s">
        <v>207</v>
      </c>
      <c r="BV617">
        <v>2014</v>
      </c>
      <c r="BW617" s="2" t="s">
        <v>242</v>
      </c>
      <c r="BX617" t="s">
        <v>78</v>
      </c>
      <c r="BY617" t="s">
        <v>33</v>
      </c>
      <c r="BZ617" t="s">
        <v>33</v>
      </c>
      <c r="CA617" t="str">
        <f t="shared" si="305"/>
        <v>low acid</v>
      </c>
    </row>
    <row r="618" spans="1:79">
      <c r="A618" t="s">
        <v>602</v>
      </c>
      <c r="B618" t="s">
        <v>565</v>
      </c>
      <c r="C618" t="s">
        <v>563</v>
      </c>
      <c r="D618" t="s">
        <v>118</v>
      </c>
      <c r="E618" t="s">
        <v>77</v>
      </c>
      <c r="F618" t="s">
        <v>33</v>
      </c>
      <c r="G618">
        <v>35</v>
      </c>
      <c r="H618">
        <v>5</v>
      </c>
      <c r="I618" t="b">
        <v>1</v>
      </c>
      <c r="J618">
        <v>4981</v>
      </c>
      <c r="K618">
        <v>5.8</v>
      </c>
      <c r="L618">
        <v>17</v>
      </c>
      <c r="M618" s="4">
        <v>500</v>
      </c>
      <c r="N618" t="e">
        <f>(#REF!*Y618)/(T618*X618*O618)</f>
        <v>#REF!</v>
      </c>
      <c r="O618">
        <v>3</v>
      </c>
      <c r="P618" t="s">
        <v>33</v>
      </c>
      <c r="Q618" s="1">
        <f t="shared" si="316"/>
        <v>1.2044444444444444E-2</v>
      </c>
      <c r="R618" t="s">
        <v>183</v>
      </c>
      <c r="S618" t="s">
        <v>613</v>
      </c>
      <c r="T618">
        <v>6</v>
      </c>
      <c r="U618">
        <v>2.92</v>
      </c>
      <c r="V618">
        <v>2.2999999999999998</v>
      </c>
      <c r="W618" t="s">
        <v>33</v>
      </c>
      <c r="X618">
        <f t="shared" si="317"/>
        <v>1.2131888350367701E-2</v>
      </c>
      <c r="Y618">
        <v>1</v>
      </c>
      <c r="Z618" s="3">
        <f t="shared" si="310"/>
        <v>1.0072601028903072</v>
      </c>
      <c r="AA618" t="s">
        <v>33</v>
      </c>
      <c r="AB618">
        <f t="shared" si="318"/>
        <v>6.022222222222223</v>
      </c>
      <c r="AC618" s="1" t="str">
        <f t="shared" si="309"/>
        <v>NA</v>
      </c>
      <c r="AE618" s="3">
        <f t="shared" si="311"/>
        <v>162.27696799999998</v>
      </c>
      <c r="AF618">
        <v>108.4</v>
      </c>
      <c r="AG618" s="1" t="str">
        <f>IFERROR((N618*P618*Q618), "NA")</f>
        <v>NA</v>
      </c>
      <c r="AH618" s="1" t="str">
        <f>IFERROR((O618*Q618*R618), "NA")</f>
        <v>NA</v>
      </c>
      <c r="AI618" s="1">
        <v>1</v>
      </c>
      <c r="AJ618" s="11" t="s">
        <v>31</v>
      </c>
      <c r="AK618">
        <v>5180</v>
      </c>
      <c r="AL618" t="s">
        <v>265</v>
      </c>
      <c r="AM618" t="s">
        <v>86</v>
      </c>
      <c r="AN618" t="s">
        <v>205</v>
      </c>
      <c r="AO618" t="s">
        <v>789</v>
      </c>
      <c r="AP618">
        <v>3.27</v>
      </c>
      <c r="AQ618" t="s">
        <v>33</v>
      </c>
      <c r="AR618" t="s">
        <v>33</v>
      </c>
      <c r="AS618">
        <v>6.5</v>
      </c>
      <c r="AT618">
        <v>4.3499999999999996</v>
      </c>
      <c r="AU618" s="6">
        <f>AS618-AT618</f>
        <v>2.1500000000000004</v>
      </c>
      <c r="AV618" t="b">
        <v>1</v>
      </c>
      <c r="AW618" t="s">
        <v>626</v>
      </c>
      <c r="AX618" t="s">
        <v>627</v>
      </c>
      <c r="AY618">
        <v>95047</v>
      </c>
      <c r="AZ618" t="s">
        <v>33</v>
      </c>
      <c r="BA618" s="18" t="s">
        <v>800</v>
      </c>
      <c r="BB618" s="3" t="b">
        <v>0</v>
      </c>
      <c r="BC618" t="s">
        <v>81</v>
      </c>
      <c r="BD618">
        <v>24</v>
      </c>
      <c r="BE618" t="s">
        <v>80</v>
      </c>
      <c r="BF618">
        <v>48</v>
      </c>
      <c r="BG618" t="s">
        <v>697</v>
      </c>
      <c r="BH618" t="s">
        <v>32</v>
      </c>
      <c r="BI618" t="s">
        <v>31</v>
      </c>
      <c r="BJ618" s="3">
        <f t="shared" si="308"/>
        <v>2.1500000000000004</v>
      </c>
      <c r="BK618" s="3">
        <f t="shared" si="301"/>
        <v>0.33243845991560539</v>
      </c>
      <c r="BL618">
        <v>2</v>
      </c>
      <c r="BM618" s="3">
        <f t="shared" si="314"/>
        <v>1.8778184247885434</v>
      </c>
      <c r="BN618" t="s">
        <v>33</v>
      </c>
      <c r="BO618" s="3">
        <f t="shared" si="304"/>
        <v>75.477659534883699</v>
      </c>
      <c r="BP618" t="s">
        <v>33</v>
      </c>
      <c r="BQ618" t="s">
        <v>33</v>
      </c>
      <c r="BR618" t="s">
        <v>33</v>
      </c>
      <c r="BS618" t="s">
        <v>33</v>
      </c>
      <c r="BT618" t="s">
        <v>31</v>
      </c>
      <c r="BU618" s="13" t="s">
        <v>163</v>
      </c>
      <c r="BV618" s="14">
        <v>2017</v>
      </c>
      <c r="BW618" t="s">
        <v>266</v>
      </c>
      <c r="BX618" t="s">
        <v>78</v>
      </c>
      <c r="BY618" s="13" t="s">
        <v>690</v>
      </c>
      <c r="CA618" t="str">
        <f t="shared" si="305"/>
        <v>high acid</v>
      </c>
    </row>
    <row r="619" spans="1:79">
      <c r="A619" t="s">
        <v>586</v>
      </c>
      <c r="B619" t="s">
        <v>565</v>
      </c>
      <c r="C619" t="s">
        <v>563</v>
      </c>
      <c r="D619" t="s">
        <v>118</v>
      </c>
      <c r="E619" t="s">
        <v>77</v>
      </c>
      <c r="F619" t="s">
        <v>32</v>
      </c>
      <c r="G619">
        <v>20</v>
      </c>
      <c r="H619">
        <v>20</v>
      </c>
      <c r="I619" t="b">
        <v>1</v>
      </c>
      <c r="J619" t="s">
        <v>33</v>
      </c>
      <c r="K619" t="s">
        <v>33</v>
      </c>
      <c r="L619">
        <v>30</v>
      </c>
      <c r="M619" s="4">
        <v>100</v>
      </c>
      <c r="N619" t="e">
        <f>(#REF!*Y619)/(T619*X619*O619)</f>
        <v>#REF!</v>
      </c>
      <c r="O619">
        <v>2</v>
      </c>
      <c r="P619" t="s">
        <v>33</v>
      </c>
      <c r="Q619" s="1">
        <f t="shared" si="316"/>
        <v>0.5</v>
      </c>
      <c r="R619" t="s">
        <v>183</v>
      </c>
      <c r="S619" t="s">
        <v>613</v>
      </c>
      <c r="T619">
        <v>6</v>
      </c>
      <c r="U619">
        <v>2.92</v>
      </c>
      <c r="V619">
        <v>2.2999999999999998</v>
      </c>
      <c r="W619" t="s">
        <v>33</v>
      </c>
      <c r="X619">
        <f t="shared" si="317"/>
        <v>1.2131888350367701E-2</v>
      </c>
      <c r="Y619">
        <v>1.4</v>
      </c>
      <c r="Z619" s="3">
        <f t="shared" si="310"/>
        <v>2.4263776700735401E-2</v>
      </c>
      <c r="AA619" t="s">
        <v>33</v>
      </c>
      <c r="AB619">
        <f t="shared" si="318"/>
        <v>50</v>
      </c>
      <c r="AC619" s="1" t="str">
        <f t="shared" si="309"/>
        <v>NA</v>
      </c>
      <c r="AE619" s="3">
        <f t="shared" si="311"/>
        <v>3348</v>
      </c>
      <c r="AF619">
        <v>600</v>
      </c>
      <c r="AG619" s="1" t="str">
        <f>IFERROR((N619*P619*Q619), "NA")</f>
        <v>NA</v>
      </c>
      <c r="AH619" s="1" t="str">
        <f>IFERROR((AG619*U619*AI619), "NA")</f>
        <v>NA</v>
      </c>
      <c r="AI619" s="1">
        <v>1</v>
      </c>
      <c r="AJ619" s="11" t="s">
        <v>31</v>
      </c>
      <c r="AK619">
        <v>6200</v>
      </c>
      <c r="AL619" t="s">
        <v>561</v>
      </c>
      <c r="AM619" s="3" t="s">
        <v>786</v>
      </c>
      <c r="AN619" t="s">
        <v>186</v>
      </c>
      <c r="AO619" t="s">
        <v>793</v>
      </c>
      <c r="AP619">
        <v>7.6</v>
      </c>
      <c r="AQ619" t="s">
        <v>33</v>
      </c>
      <c r="AR619" t="s">
        <v>33</v>
      </c>
      <c r="AS619">
        <v>8</v>
      </c>
      <c r="AT619">
        <f>AS619-AU619</f>
        <v>4.3499999999999996</v>
      </c>
      <c r="AU619" s="6">
        <v>3.65</v>
      </c>
      <c r="AV619" t="b">
        <v>1</v>
      </c>
      <c r="AW619" t="s">
        <v>617</v>
      </c>
      <c r="AX619" t="s">
        <v>624</v>
      </c>
      <c r="AY619" t="s">
        <v>625</v>
      </c>
      <c r="AZ619" t="s">
        <v>33</v>
      </c>
      <c r="BA619" s="18" t="s">
        <v>802</v>
      </c>
      <c r="BB619" s="3" t="b">
        <v>0</v>
      </c>
      <c r="BC619" t="s">
        <v>81</v>
      </c>
      <c r="BD619">
        <v>13</v>
      </c>
      <c r="BE619" t="s">
        <v>80</v>
      </c>
      <c r="BF619">
        <v>48</v>
      </c>
      <c r="BG619" t="s">
        <v>568</v>
      </c>
      <c r="BH619" t="s">
        <v>31</v>
      </c>
      <c r="BI619" t="s">
        <v>31</v>
      </c>
      <c r="BJ619">
        <f t="shared" si="308"/>
        <v>3.65</v>
      </c>
      <c r="BK619" s="3">
        <f t="shared" si="301"/>
        <v>0.56229286445647475</v>
      </c>
      <c r="BL619">
        <v>2</v>
      </c>
      <c r="BM619" s="3">
        <f t="shared" si="314"/>
        <v>2.9624925848647479</v>
      </c>
      <c r="BN619" t="s">
        <v>33</v>
      </c>
      <c r="BO619" s="3">
        <f t="shared" si="304"/>
        <v>917.26027397260282</v>
      </c>
      <c r="BP619" t="s">
        <v>33</v>
      </c>
      <c r="BQ619" t="s">
        <v>33</v>
      </c>
      <c r="BR619" t="s">
        <v>33</v>
      </c>
      <c r="BS619" t="s">
        <v>33</v>
      </c>
      <c r="BT619" t="s">
        <v>31</v>
      </c>
      <c r="BU619" t="s">
        <v>344</v>
      </c>
      <c r="BV619">
        <v>2007</v>
      </c>
      <c r="BW619" t="s">
        <v>345</v>
      </c>
      <c r="BX619" t="s">
        <v>78</v>
      </c>
      <c r="BY619" s="13" t="s">
        <v>676</v>
      </c>
      <c r="CA619" t="str">
        <f t="shared" si="305"/>
        <v>low acid</v>
      </c>
    </row>
    <row r="620" spans="1:79">
      <c r="A620" t="s">
        <v>311</v>
      </c>
      <c r="B620" t="s">
        <v>565</v>
      </c>
      <c r="C620" t="s">
        <v>563</v>
      </c>
      <c r="D620" t="s">
        <v>33</v>
      </c>
      <c r="E620" t="s">
        <v>77</v>
      </c>
      <c r="F620" t="s">
        <v>32</v>
      </c>
      <c r="G620">
        <v>5</v>
      </c>
      <c r="H620">
        <v>52</v>
      </c>
      <c r="I620" t="b">
        <v>0</v>
      </c>
      <c r="J620" t="s">
        <v>33</v>
      </c>
      <c r="K620" t="s">
        <v>33</v>
      </c>
      <c r="L620">
        <v>40</v>
      </c>
      <c r="M620" s="4">
        <v>60</v>
      </c>
      <c r="N620" s="3">
        <f>IFERROR(AF620/((T620*X620/Y620)*O620*AI620),"NA")</f>
        <v>60.185185185185183</v>
      </c>
      <c r="O620">
        <v>3.5</v>
      </c>
      <c r="P620" t="s">
        <v>33</v>
      </c>
      <c r="Q620" s="8">
        <f t="shared" si="316"/>
        <v>5.4166666666666669E-2</v>
      </c>
      <c r="R620" t="s">
        <v>278</v>
      </c>
      <c r="S620" t="s">
        <v>613</v>
      </c>
      <c r="T620" s="11">
        <v>2</v>
      </c>
      <c r="U620" t="s">
        <v>33</v>
      </c>
      <c r="V620" t="s">
        <v>33</v>
      </c>
      <c r="W620">
        <v>1.26E-2</v>
      </c>
      <c r="X620" s="8">
        <f>W620</f>
        <v>1.26E-2</v>
      </c>
      <c r="Y620" s="6">
        <f>14/60</f>
        <v>0.23333333333333334</v>
      </c>
      <c r="Z620" s="3">
        <f t="shared" si="310"/>
        <v>0.23261538461538461</v>
      </c>
      <c r="AA620">
        <f>6.5/2</f>
        <v>3.25</v>
      </c>
      <c r="AB620" s="6">
        <f>IFERROR(((X620*M620)/Y620), "NA")</f>
        <v>3.2399999999999998</v>
      </c>
      <c r="AC620" t="str">
        <f t="shared" ref="AC620:AC628" si="319">IFERROR(M620*P620,"NA")</f>
        <v>NA</v>
      </c>
      <c r="AD620" s="4">
        <f>IFERROR(AB620*T620*AI620, "NA")</f>
        <v>6.4799999999999995</v>
      </c>
      <c r="AE620" s="3">
        <f t="shared" si="311"/>
        <v>85.903999999999996</v>
      </c>
      <c r="AF620">
        <f>AA620*O620*T620</f>
        <v>22.75</v>
      </c>
      <c r="AG620" t="str">
        <f>IFERROR((M620*O620*P620), "NA")</f>
        <v>NA</v>
      </c>
      <c r="AH620" t="str">
        <f>IFERROR((AG620*T620*AI620), "NA")</f>
        <v>NA</v>
      </c>
      <c r="AI620">
        <v>1</v>
      </c>
      <c r="AJ620" t="s">
        <v>31</v>
      </c>
      <c r="AK620">
        <v>2360</v>
      </c>
      <c r="AL620" t="s">
        <v>149</v>
      </c>
      <c r="AM620" t="s">
        <v>86</v>
      </c>
      <c r="AN620" t="s">
        <v>205</v>
      </c>
      <c r="AO620" t="s">
        <v>789</v>
      </c>
      <c r="AP620">
        <v>3.8</v>
      </c>
      <c r="AQ620" t="s">
        <v>33</v>
      </c>
      <c r="AR620" t="s">
        <v>33</v>
      </c>
      <c r="AS620" s="3">
        <f>LOG(10^6)</f>
        <v>6</v>
      </c>
      <c r="AT620" s="3">
        <f>IFERROR(AS620-AU620,"NA")</f>
        <v>4.3520000000000003</v>
      </c>
      <c r="AU620" s="6">
        <v>1.6479999999999999</v>
      </c>
      <c r="AV620" t="b">
        <v>1</v>
      </c>
      <c r="AW620" t="s">
        <v>29</v>
      </c>
      <c r="AX620" t="s">
        <v>30</v>
      </c>
      <c r="AY620" t="s">
        <v>307</v>
      </c>
      <c r="AZ620" t="s">
        <v>33</v>
      </c>
      <c r="BA620" s="18" t="s">
        <v>798</v>
      </c>
      <c r="BB620" t="b">
        <v>0</v>
      </c>
      <c r="BC620" t="s">
        <v>81</v>
      </c>
      <c r="BD620">
        <v>18</v>
      </c>
      <c r="BE620" t="s">
        <v>80</v>
      </c>
      <c r="BF620" s="11">
        <v>48</v>
      </c>
      <c r="BG620" t="s">
        <v>308</v>
      </c>
      <c r="BH620" t="s">
        <v>31</v>
      </c>
      <c r="BI620" t="s">
        <v>31</v>
      </c>
      <c r="BJ620" s="3">
        <f t="shared" si="308"/>
        <v>1.6479999999999999</v>
      </c>
      <c r="BK620" s="3">
        <f t="shared" si="301"/>
        <v>0.21695720736109697</v>
      </c>
      <c r="BL620">
        <v>2</v>
      </c>
      <c r="BM620" s="3">
        <f t="shared" si="314"/>
        <v>1.7170561792580656</v>
      </c>
      <c r="BN620" t="s">
        <v>33</v>
      </c>
      <c r="BO620" s="3">
        <f t="shared" si="304"/>
        <v>52.126213592233007</v>
      </c>
      <c r="BP620" t="s">
        <v>33</v>
      </c>
      <c r="BQ620" t="s">
        <v>33</v>
      </c>
      <c r="BR620" t="s">
        <v>33</v>
      </c>
      <c r="BS620" t="s">
        <v>33</v>
      </c>
      <c r="BT620" t="s">
        <v>31</v>
      </c>
      <c r="BU620" t="s">
        <v>309</v>
      </c>
      <c r="BV620">
        <v>2011</v>
      </c>
      <c r="BW620" s="2" t="s">
        <v>312</v>
      </c>
      <c r="BX620" t="s">
        <v>78</v>
      </c>
      <c r="BY620" t="s">
        <v>310</v>
      </c>
      <c r="BZ620" t="s">
        <v>33</v>
      </c>
      <c r="CA620" t="str">
        <f t="shared" si="305"/>
        <v>high acid</v>
      </c>
    </row>
    <row r="621" spans="1:79">
      <c r="A621" t="s">
        <v>764</v>
      </c>
      <c r="B621" t="s">
        <v>566</v>
      </c>
      <c r="C621" t="s">
        <v>563</v>
      </c>
      <c r="D621" t="s">
        <v>765</v>
      </c>
      <c r="E621" t="s">
        <v>77</v>
      </c>
      <c r="F621" t="s">
        <v>31</v>
      </c>
      <c r="G621">
        <v>20</v>
      </c>
      <c r="H621">
        <v>42</v>
      </c>
      <c r="I621" t="b">
        <v>0</v>
      </c>
      <c r="J621" t="s">
        <v>33</v>
      </c>
      <c r="K621" t="s">
        <v>33</v>
      </c>
      <c r="L621">
        <v>20</v>
      </c>
      <c r="M621" s="4">
        <f>N621</f>
        <v>804.59104938271616</v>
      </c>
      <c r="N621" s="3">
        <f>IFERROR(AF621/((T621*X621/Y621)*O621*AI621),"NA")</f>
        <v>804.59104938271616</v>
      </c>
      <c r="O621">
        <v>3</v>
      </c>
      <c r="P621">
        <v>4.3</v>
      </c>
      <c r="Q621" s="8">
        <f>IFERROR(X621/Y621, "NA")</f>
        <v>4.3199999999999994</v>
      </c>
      <c r="R621" t="s">
        <v>183</v>
      </c>
      <c r="S621" t="s">
        <v>33</v>
      </c>
      <c r="T621" s="11">
        <v>1</v>
      </c>
      <c r="U621">
        <v>8.1000000000000003E-2</v>
      </c>
      <c r="V621" t="s">
        <v>33</v>
      </c>
      <c r="W621">
        <v>7.1999999999999998E-3</v>
      </c>
      <c r="X621">
        <f>W621</f>
        <v>7.1999999999999998E-3</v>
      </c>
      <c r="Y621" s="6">
        <f>0.1/60</f>
        <v>1.6666666666666668E-3</v>
      </c>
      <c r="Z621" s="6">
        <f>Y621</f>
        <v>1.6666666666666668E-3</v>
      </c>
      <c r="AA621" t="s">
        <v>33</v>
      </c>
      <c r="AB621" s="4">
        <f>IFERROR(((X621*M621)/Y621), "NA")</f>
        <v>3475.8333333333335</v>
      </c>
      <c r="AC621" s="4">
        <f t="shared" si="319"/>
        <v>3459.7415123456794</v>
      </c>
      <c r="AD621" s="4">
        <f>AB621*T621*AI621</f>
        <v>3475.8333333333335</v>
      </c>
      <c r="AE621" s="3">
        <f t="shared" si="311"/>
        <v>417.09999999999997</v>
      </c>
      <c r="AF621">
        <v>10427.5</v>
      </c>
      <c r="AG621" s="4">
        <f>IFERROR((M621*O621*P621), "NA")</f>
        <v>10379.224537037038</v>
      </c>
      <c r="AH621" s="4">
        <f>IFERROR((AG621*T621*AI621), "NA")</f>
        <v>10379.224537037038</v>
      </c>
      <c r="AI621">
        <v>1</v>
      </c>
      <c r="AJ621" s="11" t="s">
        <v>31</v>
      </c>
      <c r="AK621">
        <v>100</v>
      </c>
      <c r="AL621" t="s">
        <v>169</v>
      </c>
      <c r="AM621" t="s">
        <v>103</v>
      </c>
      <c r="AN621" t="s">
        <v>130</v>
      </c>
      <c r="AO621" t="s">
        <v>795</v>
      </c>
      <c r="AP621">
        <v>7</v>
      </c>
      <c r="AQ621" t="s">
        <v>33</v>
      </c>
      <c r="AR621" t="s">
        <v>33</v>
      </c>
      <c r="AS621">
        <v>7</v>
      </c>
      <c r="AT621" s="3">
        <f>IFERROR(AS621-AU621,"NA")</f>
        <v>4.3529999999999998</v>
      </c>
      <c r="AU621" s="6">
        <v>2.6469999999999998</v>
      </c>
      <c r="AV621" t="b">
        <v>1</v>
      </c>
      <c r="AW621" t="s">
        <v>29</v>
      </c>
      <c r="AX621" t="s">
        <v>30</v>
      </c>
      <c r="AY621" t="s">
        <v>766</v>
      </c>
      <c r="AZ621" t="s">
        <v>33</v>
      </c>
      <c r="BA621" s="18" t="s">
        <v>798</v>
      </c>
      <c r="BB621" s="3" t="b">
        <v>0</v>
      </c>
      <c r="BC621" t="s">
        <v>81</v>
      </c>
      <c r="BD621">
        <v>16</v>
      </c>
      <c r="BE621" t="s">
        <v>80</v>
      </c>
      <c r="BF621">
        <v>24</v>
      </c>
      <c r="BG621" t="s">
        <v>569</v>
      </c>
      <c r="BH621" t="s">
        <v>31</v>
      </c>
      <c r="BI621" t="s">
        <v>31</v>
      </c>
      <c r="BJ621" s="3">
        <f t="shared" si="308"/>
        <v>2.6469999999999998</v>
      </c>
      <c r="BK621" s="3">
        <f t="shared" si="301"/>
        <v>0.42275394130134819</v>
      </c>
      <c r="BL621">
        <v>2</v>
      </c>
      <c r="BM621" s="3">
        <f t="shared" si="314"/>
        <v>2.1974862485444833</v>
      </c>
      <c r="BN621" t="s">
        <v>33</v>
      </c>
      <c r="BO621" s="3">
        <f t="shared" si="304"/>
        <v>157.57461276917266</v>
      </c>
      <c r="BP621" t="s">
        <v>33</v>
      </c>
      <c r="BQ621" t="s">
        <v>33</v>
      </c>
      <c r="BR621" t="s">
        <v>33</v>
      </c>
      <c r="BS621" t="s">
        <v>33</v>
      </c>
      <c r="BT621" t="s">
        <v>31</v>
      </c>
      <c r="BU621" t="s">
        <v>767</v>
      </c>
      <c r="BV621">
        <v>2021</v>
      </c>
      <c r="BW621" t="s">
        <v>768</v>
      </c>
      <c r="BX621" t="s">
        <v>78</v>
      </c>
      <c r="BY621" t="s">
        <v>769</v>
      </c>
      <c r="CA621" t="str">
        <f t="shared" si="305"/>
        <v>low acid</v>
      </c>
    </row>
    <row r="622" spans="1:79">
      <c r="A622" t="s">
        <v>590</v>
      </c>
      <c r="B622" t="s">
        <v>565</v>
      </c>
      <c r="C622" t="s">
        <v>564</v>
      </c>
      <c r="D622" t="s">
        <v>609</v>
      </c>
      <c r="E622" t="s">
        <v>77</v>
      </c>
      <c r="F622" t="s">
        <v>32</v>
      </c>
      <c r="G622">
        <v>40</v>
      </c>
      <c r="H622">
        <v>49</v>
      </c>
      <c r="I622" t="b">
        <v>0</v>
      </c>
      <c r="J622" t="s">
        <v>33</v>
      </c>
      <c r="K622" t="s">
        <v>33</v>
      </c>
      <c r="L622">
        <v>18</v>
      </c>
      <c r="M622" s="4">
        <v>120</v>
      </c>
      <c r="N622" t="e">
        <f>(#REF!*Y622)/(T622*X622*O622)</f>
        <v>#REF!</v>
      </c>
      <c r="O622">
        <v>3</v>
      </c>
      <c r="P622" t="s">
        <v>33</v>
      </c>
      <c r="Q622" s="1">
        <f t="shared" ref="Q622:Q626" si="320">IFERROR(X622/Z622, "NA")</f>
        <v>0.12743055555555555</v>
      </c>
      <c r="R622" t="s">
        <v>183</v>
      </c>
      <c r="S622" t="s">
        <v>612</v>
      </c>
      <c r="T622">
        <v>4</v>
      </c>
      <c r="U622">
        <v>3</v>
      </c>
      <c r="V622">
        <v>2.6</v>
      </c>
      <c r="W622">
        <v>1.5900000000000001E-2</v>
      </c>
      <c r="X622">
        <f>IFERROR(((PI())*(((V622*10^-1)/2)^2)*(U622*10^-1)), "NA")</f>
        <v>1.5927874753700257E-2</v>
      </c>
      <c r="Y622">
        <v>8.3333299999999999E-2</v>
      </c>
      <c r="Z622" s="3">
        <f t="shared" ref="Z622:Z628" si="321">IFERROR(X622*M622*O622*T622*AI622/AF622, "NA")</f>
        <v>0.1249925866230429</v>
      </c>
      <c r="AA622" t="s">
        <v>33</v>
      </c>
      <c r="AB622">
        <f>IFERROR(((X622*M622)/Z622), "NA")</f>
        <v>15.291666666666666</v>
      </c>
      <c r="AC622" s="1" t="str">
        <f t="shared" si="319"/>
        <v>NA</v>
      </c>
      <c r="AE622" s="3">
        <f t="shared" si="311"/>
        <v>68.372099999999989</v>
      </c>
      <c r="AF622">
        <v>183.5</v>
      </c>
      <c r="AG622" s="1" t="str">
        <f>IFERROR((N622*P622*Q622), "NA")</f>
        <v>NA</v>
      </c>
      <c r="AH622" s="1" t="str">
        <f>IFERROR((AG622*U622*AI622), "NA")</f>
        <v>NA</v>
      </c>
      <c r="AI622" s="1">
        <v>1</v>
      </c>
      <c r="AJ622" s="11" t="s">
        <v>31</v>
      </c>
      <c r="AK622">
        <v>1150</v>
      </c>
      <c r="AL622" t="s">
        <v>551</v>
      </c>
      <c r="AM622" t="s">
        <v>86</v>
      </c>
      <c r="AN622" t="s">
        <v>186</v>
      </c>
      <c r="AO622" t="s">
        <v>794</v>
      </c>
      <c r="AP622">
        <v>5.92</v>
      </c>
      <c r="AQ622" t="s">
        <v>33</v>
      </c>
      <c r="AR622" t="s">
        <v>33</v>
      </c>
      <c r="AS622">
        <v>6</v>
      </c>
      <c r="AT622">
        <f>AS622-AU622</f>
        <v>4.3600000000000003</v>
      </c>
      <c r="AU622" s="6">
        <v>1.64</v>
      </c>
      <c r="AV622" t="b">
        <v>1</v>
      </c>
      <c r="AW622" t="s">
        <v>626</v>
      </c>
      <c r="AX622" t="s">
        <v>627</v>
      </c>
      <c r="AY622" t="s">
        <v>631</v>
      </c>
      <c r="AZ622" t="s">
        <v>33</v>
      </c>
      <c r="BA622" s="18" t="s">
        <v>800</v>
      </c>
      <c r="BB622" s="3" t="b">
        <v>0</v>
      </c>
      <c r="BC622" t="s">
        <v>81</v>
      </c>
      <c r="BD622">
        <v>20</v>
      </c>
      <c r="BE622" t="s">
        <v>80</v>
      </c>
      <c r="BF622">
        <v>20</v>
      </c>
      <c r="BG622" t="s">
        <v>695</v>
      </c>
      <c r="BH622" t="s">
        <v>32</v>
      </c>
      <c r="BI622" t="s">
        <v>31</v>
      </c>
      <c r="BJ622">
        <f t="shared" si="308"/>
        <v>1.64</v>
      </c>
      <c r="BK622" s="3">
        <f t="shared" si="301"/>
        <v>0.21484384804769785</v>
      </c>
      <c r="BL622">
        <v>2</v>
      </c>
      <c r="BM622" s="3">
        <f t="shared" si="314"/>
        <v>1.6200350711006342</v>
      </c>
      <c r="BN622" t="s">
        <v>33</v>
      </c>
      <c r="BO622" s="3">
        <f t="shared" si="304"/>
        <v>41.690304878048778</v>
      </c>
      <c r="BP622" t="s">
        <v>33</v>
      </c>
      <c r="BQ622" t="s">
        <v>33</v>
      </c>
      <c r="BR622" t="s">
        <v>33</v>
      </c>
      <c r="BS622" t="s">
        <v>33</v>
      </c>
      <c r="BT622" t="s">
        <v>32</v>
      </c>
      <c r="BU622" s="15" t="s">
        <v>207</v>
      </c>
      <c r="BV622">
        <v>2014</v>
      </c>
      <c r="BW622" t="s">
        <v>242</v>
      </c>
      <c r="BX622" t="s">
        <v>78</v>
      </c>
      <c r="BY622" s="13" t="s">
        <v>678</v>
      </c>
      <c r="CA622" t="str">
        <f t="shared" si="305"/>
        <v>low acid</v>
      </c>
    </row>
    <row r="623" spans="1:79">
      <c r="A623" t="s">
        <v>193</v>
      </c>
      <c r="B623" t="s">
        <v>565</v>
      </c>
      <c r="C623" t="s">
        <v>563</v>
      </c>
      <c r="D623" t="s">
        <v>118</v>
      </c>
      <c r="E623" t="s">
        <v>77</v>
      </c>
      <c r="F623" t="s">
        <v>32</v>
      </c>
      <c r="G623">
        <v>23</v>
      </c>
      <c r="H623">
        <v>56</v>
      </c>
      <c r="I623" t="b">
        <v>0</v>
      </c>
      <c r="J623" t="s">
        <v>33</v>
      </c>
      <c r="K623" t="s">
        <v>33</v>
      </c>
      <c r="L623">
        <v>25</v>
      </c>
      <c r="M623" s="4">
        <v>1000</v>
      </c>
      <c r="N623" s="3">
        <f t="shared" ref="N623:N629" si="322">IFERROR(AF623/((T623*X623/Y623)*O623*AI623),"NA")</f>
        <v>995.95036417586573</v>
      </c>
      <c r="O623">
        <v>3</v>
      </c>
      <c r="P623" t="s">
        <v>33</v>
      </c>
      <c r="Q623">
        <f t="shared" si="320"/>
        <v>1.2E-2</v>
      </c>
      <c r="R623" t="s">
        <v>183</v>
      </c>
      <c r="S623" t="s">
        <v>613</v>
      </c>
      <c r="T623" s="11">
        <v>4</v>
      </c>
      <c r="U623">
        <v>2.9</v>
      </c>
      <c r="V623">
        <v>2.2999999999999998</v>
      </c>
      <c r="W623" t="s">
        <v>33</v>
      </c>
      <c r="X623" s="8">
        <f>IFERROR(((PI())*(((V623*10^-1)/2)^2)*(U623*10^-1)), "NA")</f>
        <v>1.204879322468025E-2</v>
      </c>
      <c r="Y623">
        <v>1</v>
      </c>
      <c r="Z623" s="3">
        <f t="shared" si="321"/>
        <v>1.0040661020566874</v>
      </c>
      <c r="AA623" t="s">
        <v>33</v>
      </c>
      <c r="AB623" s="6">
        <f>IFERROR(((X623*M623)/Z623), "NA")</f>
        <v>12.000000000000002</v>
      </c>
      <c r="AC623" t="str">
        <f t="shared" si="319"/>
        <v>NA</v>
      </c>
      <c r="AD623" s="4">
        <f>IFERROR(AB623*T623*AI623, "NA")</f>
        <v>48.000000000000007</v>
      </c>
      <c r="AE623" s="3">
        <f t="shared" si="311"/>
        <v>189</v>
      </c>
      <c r="AF623">
        <v>144</v>
      </c>
      <c r="AG623" t="str">
        <f t="shared" ref="AG623:AG628" si="323">IFERROR((M623*O623*P623), "NA")</f>
        <v>NA</v>
      </c>
      <c r="AH623" t="str">
        <f t="shared" ref="AH623:AH629" si="324">IFERROR((AG623*T623*AI623), "NA")</f>
        <v>NA</v>
      </c>
      <c r="AI623" s="11">
        <v>1</v>
      </c>
      <c r="AJ623" t="s">
        <v>31</v>
      </c>
      <c r="AK623">
        <v>2100</v>
      </c>
      <c r="AL623" t="s">
        <v>114</v>
      </c>
      <c r="AM623" t="s">
        <v>103</v>
      </c>
      <c r="AN623" t="s">
        <v>130</v>
      </c>
      <c r="AO623" t="s">
        <v>795</v>
      </c>
      <c r="AP623">
        <v>7</v>
      </c>
      <c r="AQ623" t="s">
        <v>33</v>
      </c>
      <c r="AR623" t="s">
        <v>33</v>
      </c>
      <c r="AS623">
        <f>LOG(10^8)</f>
        <v>8</v>
      </c>
      <c r="AT623" s="3">
        <f t="shared" ref="AT623:AT629" si="325">IFERROR(AS623-AU623,"NA")</f>
        <v>4.3610000000000007</v>
      </c>
      <c r="AU623" s="6">
        <v>3.6389999999999998</v>
      </c>
      <c r="AV623" t="b">
        <v>1</v>
      </c>
      <c r="AW623" t="s">
        <v>92</v>
      </c>
      <c r="AX623" t="s">
        <v>93</v>
      </c>
      <c r="AY623" t="s">
        <v>94</v>
      </c>
      <c r="AZ623" t="s">
        <v>33</v>
      </c>
      <c r="BA623" s="18" t="s">
        <v>801</v>
      </c>
      <c r="BB623" t="b">
        <v>0</v>
      </c>
      <c r="BC623" t="s">
        <v>81</v>
      </c>
      <c r="BD623">
        <v>18</v>
      </c>
      <c r="BE623" t="s">
        <v>80</v>
      </c>
      <c r="BF623" t="s">
        <v>33</v>
      </c>
      <c r="BG623" t="s">
        <v>568</v>
      </c>
      <c r="BH623" t="s">
        <v>31</v>
      </c>
      <c r="BI623" t="s">
        <v>31</v>
      </c>
      <c r="BJ623" s="3">
        <f t="shared" si="308"/>
        <v>3.6389999999999998</v>
      </c>
      <c r="BK623" s="3">
        <f t="shared" si="301"/>
        <v>0.56098205558623537</v>
      </c>
      <c r="BL623">
        <v>2</v>
      </c>
      <c r="BM623" s="3">
        <f t="shared" si="314"/>
        <v>1.7154797485870088</v>
      </c>
      <c r="BN623" t="s">
        <v>33</v>
      </c>
      <c r="BO623" s="3">
        <f t="shared" si="304"/>
        <v>51.937345424567191</v>
      </c>
      <c r="BP623" t="s">
        <v>33</v>
      </c>
      <c r="BQ623" t="s">
        <v>33</v>
      </c>
      <c r="BR623" t="s">
        <v>33</v>
      </c>
      <c r="BS623" t="s">
        <v>33</v>
      </c>
      <c r="BT623" t="s">
        <v>31</v>
      </c>
      <c r="BU623" t="s">
        <v>187</v>
      </c>
      <c r="BV623">
        <v>2003</v>
      </c>
      <c r="BW623" t="s">
        <v>192</v>
      </c>
      <c r="BX623" t="s">
        <v>78</v>
      </c>
      <c r="BY623" t="s">
        <v>33</v>
      </c>
      <c r="BZ623" t="s">
        <v>33</v>
      </c>
      <c r="CA623" t="str">
        <f t="shared" si="305"/>
        <v>low acid</v>
      </c>
    </row>
    <row r="624" spans="1:79">
      <c r="A624" t="s">
        <v>502</v>
      </c>
      <c r="B624" t="s">
        <v>565</v>
      </c>
      <c r="C624" t="s">
        <v>563</v>
      </c>
      <c r="D624" t="s">
        <v>118</v>
      </c>
      <c r="E624" t="s">
        <v>77</v>
      </c>
      <c r="F624" t="s">
        <v>32</v>
      </c>
      <c r="G624">
        <v>4</v>
      </c>
      <c r="H624">
        <v>40</v>
      </c>
      <c r="I624" t="b">
        <v>0</v>
      </c>
      <c r="J624" t="s">
        <v>33</v>
      </c>
      <c r="K624" t="s">
        <v>33</v>
      </c>
      <c r="L624">
        <v>35</v>
      </c>
      <c r="M624" s="4">
        <v>200</v>
      </c>
      <c r="N624" s="3" t="str">
        <f t="shared" si="322"/>
        <v>NA</v>
      </c>
      <c r="O624">
        <v>4</v>
      </c>
      <c r="P624" s="9" t="s">
        <v>33</v>
      </c>
      <c r="Q624" s="8">
        <f t="shared" si="320"/>
        <v>7.8125E-2</v>
      </c>
      <c r="R624" t="s">
        <v>183</v>
      </c>
      <c r="S624" t="s">
        <v>613</v>
      </c>
      <c r="T624" s="11">
        <v>8</v>
      </c>
      <c r="U624">
        <v>2.92</v>
      </c>
      <c r="V624">
        <v>2.2999999999999998</v>
      </c>
      <c r="W624">
        <v>1.21E-2</v>
      </c>
      <c r="X624" s="9">
        <f>IFERROR(((PI())*(((V624*10^-1)/2)^2)*(U624*10^-1)), "NA")</f>
        <v>1.2131888350367701E-2</v>
      </c>
      <c r="Y624" s="6" t="s">
        <v>33</v>
      </c>
      <c r="Z624" s="3">
        <f t="shared" si="321"/>
        <v>0.15528817088470656</v>
      </c>
      <c r="AA624" t="s">
        <v>33</v>
      </c>
      <c r="AB624" s="4" t="str">
        <f>IFERROR(((X624*M624)/Y624), "NA")</f>
        <v>NA</v>
      </c>
      <c r="AC624" s="4" t="str">
        <f t="shared" si="319"/>
        <v>NA</v>
      </c>
      <c r="AD624" s="4" t="e">
        <f>AB624*T624*AI624</f>
        <v>#VALUE!</v>
      </c>
      <c r="AE624" s="3">
        <f t="shared" si="311"/>
        <v>2315.25</v>
      </c>
      <c r="AF624">
        <v>500</v>
      </c>
      <c r="AG624" s="4" t="str">
        <f t="shared" si="323"/>
        <v>NA</v>
      </c>
      <c r="AH624" s="4" t="str">
        <f t="shared" si="324"/>
        <v>NA</v>
      </c>
      <c r="AI624">
        <v>1</v>
      </c>
      <c r="AJ624" t="s">
        <v>31</v>
      </c>
      <c r="AK624">
        <v>3780</v>
      </c>
      <c r="AL624" t="s">
        <v>552</v>
      </c>
      <c r="AM624" t="s">
        <v>86</v>
      </c>
      <c r="AN624" t="s">
        <v>205</v>
      </c>
      <c r="AO624" t="s">
        <v>789</v>
      </c>
      <c r="AP624">
        <v>3.32</v>
      </c>
      <c r="AQ624" t="s">
        <v>33</v>
      </c>
      <c r="AR624" t="s">
        <v>33</v>
      </c>
      <c r="AS624" s="6">
        <f>LOG((10^7+10^8)/2)</f>
        <v>7.7403626894942441</v>
      </c>
      <c r="AT624" s="3">
        <f t="shared" si="325"/>
        <v>4.3643626894942447</v>
      </c>
      <c r="AU624" s="6">
        <v>3.3759999999999999</v>
      </c>
      <c r="AV624" t="b">
        <v>1</v>
      </c>
      <c r="AW624" t="s">
        <v>92</v>
      </c>
      <c r="AX624" t="s">
        <v>119</v>
      </c>
      <c r="AY624" t="s">
        <v>425</v>
      </c>
      <c r="AZ624" t="s">
        <v>33</v>
      </c>
      <c r="BA624" s="18" t="s">
        <v>801</v>
      </c>
      <c r="BB624" t="b">
        <v>0</v>
      </c>
      <c r="BC624" t="s">
        <v>81</v>
      </c>
      <c r="BD624">
        <v>15</v>
      </c>
      <c r="BE624" t="s">
        <v>80</v>
      </c>
      <c r="BF624" s="11">
        <v>36</v>
      </c>
      <c r="BG624" t="s">
        <v>573</v>
      </c>
      <c r="BH624" t="s">
        <v>31</v>
      </c>
      <c r="BI624" t="s">
        <v>31</v>
      </c>
      <c r="BJ624" s="3">
        <f t="shared" si="308"/>
        <v>3.3759999999999999</v>
      </c>
      <c r="BK624" s="3">
        <f t="shared" si="301"/>
        <v>0.52840243795361741</v>
      </c>
      <c r="BL624">
        <v>2</v>
      </c>
      <c r="BM624" s="3">
        <f t="shared" si="314"/>
        <v>2.836195454920178</v>
      </c>
      <c r="BN624" t="s">
        <v>33</v>
      </c>
      <c r="BO624" s="3">
        <f t="shared" si="304"/>
        <v>685.79680094786727</v>
      </c>
      <c r="BP624" t="s">
        <v>33</v>
      </c>
      <c r="BQ624" t="s">
        <v>33</v>
      </c>
      <c r="BR624" t="s">
        <v>33</v>
      </c>
      <c r="BS624" t="s">
        <v>33</v>
      </c>
      <c r="BT624" t="s">
        <v>31</v>
      </c>
      <c r="BU624" t="s">
        <v>503</v>
      </c>
      <c r="BV624">
        <v>2011</v>
      </c>
      <c r="BW624" t="s">
        <v>504</v>
      </c>
      <c r="BX624" t="s">
        <v>78</v>
      </c>
      <c r="BY624" t="s">
        <v>33</v>
      </c>
      <c r="BZ624" t="s">
        <v>33</v>
      </c>
      <c r="CA624" t="str">
        <f t="shared" si="305"/>
        <v>high acid</v>
      </c>
    </row>
    <row r="625" spans="1:79">
      <c r="A625" t="s">
        <v>429</v>
      </c>
      <c r="B625" t="s">
        <v>565</v>
      </c>
      <c r="C625" t="s">
        <v>563</v>
      </c>
      <c r="D625" t="s">
        <v>118</v>
      </c>
      <c r="E625" t="s">
        <v>77</v>
      </c>
      <c r="F625" t="s">
        <v>32</v>
      </c>
      <c r="G625">
        <v>4</v>
      </c>
      <c r="H625">
        <v>40</v>
      </c>
      <c r="I625" t="b">
        <v>0</v>
      </c>
      <c r="J625" t="s">
        <v>33</v>
      </c>
      <c r="K625" t="s">
        <v>33</v>
      </c>
      <c r="L625">
        <v>35</v>
      </c>
      <c r="M625" s="4">
        <v>200</v>
      </c>
      <c r="N625" s="3">
        <f t="shared" si="322"/>
        <v>515.35244104620972</v>
      </c>
      <c r="O625">
        <v>4</v>
      </c>
      <c r="P625" t="s">
        <v>33</v>
      </c>
      <c r="Q625" s="8">
        <f t="shared" si="320"/>
        <v>3.1046874999999998E-2</v>
      </c>
      <c r="R625" t="s">
        <v>183</v>
      </c>
      <c r="S625" t="s">
        <v>613</v>
      </c>
      <c r="T625" s="11">
        <v>8</v>
      </c>
      <c r="U625">
        <v>2.9</v>
      </c>
      <c r="V625">
        <v>2.2999999999999998</v>
      </c>
      <c r="W625" t="s">
        <v>33</v>
      </c>
      <c r="X625" s="9">
        <f>IFERROR(((PI())*(((V625*10^-1)/2)^2)*(U625*10^-1)), "NA")</f>
        <v>1.204879322468025E-2</v>
      </c>
      <c r="Y625" s="6">
        <f>60/60</f>
        <v>1</v>
      </c>
      <c r="Z625" s="3">
        <f t="shared" si="321"/>
        <v>0.38808392872649022</v>
      </c>
      <c r="AA625" t="s">
        <v>33</v>
      </c>
      <c r="AB625" s="6">
        <f>IFERROR(((X625*M625)/Y625), "NA")</f>
        <v>2.40975864493605</v>
      </c>
      <c r="AC625" t="str">
        <f t="shared" si="319"/>
        <v>NA</v>
      </c>
      <c r="AD625" s="4">
        <f>AB625*T625*AI625</f>
        <v>19.2780691594884</v>
      </c>
      <c r="AE625" s="3">
        <f t="shared" si="311"/>
        <v>374.84754999999996</v>
      </c>
      <c r="AF625">
        <v>198.7</v>
      </c>
      <c r="AG625" t="str">
        <f t="shared" si="323"/>
        <v>NA</v>
      </c>
      <c r="AH625" t="str">
        <f t="shared" si="324"/>
        <v>NA</v>
      </c>
      <c r="AI625" s="11">
        <v>1</v>
      </c>
      <c r="AJ625" t="s">
        <v>31</v>
      </c>
      <c r="AK625">
        <v>1540</v>
      </c>
      <c r="AL625" t="s">
        <v>424</v>
      </c>
      <c r="AM625" t="s">
        <v>86</v>
      </c>
      <c r="AN625" t="s">
        <v>205</v>
      </c>
      <c r="AO625" t="s">
        <v>789</v>
      </c>
      <c r="AP625" s="4">
        <v>3.67</v>
      </c>
      <c r="AQ625" t="s">
        <v>33</v>
      </c>
      <c r="AR625" t="s">
        <v>33</v>
      </c>
      <c r="AS625" s="3">
        <v>7.54</v>
      </c>
      <c r="AT625" s="3">
        <f t="shared" si="325"/>
        <v>4.3680000000000003</v>
      </c>
      <c r="AU625" s="6">
        <v>3.1720000000000002</v>
      </c>
      <c r="AV625" t="b">
        <v>1</v>
      </c>
      <c r="AW625" t="s">
        <v>92</v>
      </c>
      <c r="AX625" t="s">
        <v>119</v>
      </c>
      <c r="AY625" t="s">
        <v>425</v>
      </c>
      <c r="AZ625" t="s">
        <v>33</v>
      </c>
      <c r="BA625" s="18" t="s">
        <v>801</v>
      </c>
      <c r="BB625" t="b">
        <v>0</v>
      </c>
      <c r="BC625" t="s">
        <v>81</v>
      </c>
      <c r="BD625">
        <v>15</v>
      </c>
      <c r="BE625" t="s">
        <v>80</v>
      </c>
      <c r="BF625" s="11">
        <v>36</v>
      </c>
      <c r="BG625" t="s">
        <v>573</v>
      </c>
      <c r="BH625" t="s">
        <v>31</v>
      </c>
      <c r="BI625" t="s">
        <v>31</v>
      </c>
      <c r="BJ625" s="3">
        <f t="shared" si="308"/>
        <v>3.1720000000000002</v>
      </c>
      <c r="BK625" s="3">
        <f t="shared" si="301"/>
        <v>0.50133317864556626</v>
      </c>
      <c r="BL625">
        <v>2</v>
      </c>
      <c r="BM625" s="3">
        <f t="shared" si="314"/>
        <v>2.0725214980012634</v>
      </c>
      <c r="BN625" t="s">
        <v>33</v>
      </c>
      <c r="BO625" s="3">
        <f t="shared" si="304"/>
        <v>118.17388083228245</v>
      </c>
      <c r="BP625" t="s">
        <v>33</v>
      </c>
      <c r="BQ625" t="s">
        <v>33</v>
      </c>
      <c r="BR625" t="s">
        <v>33</v>
      </c>
      <c r="BS625" t="s">
        <v>33</v>
      </c>
      <c r="BT625" t="s">
        <v>31</v>
      </c>
      <c r="BU625" t="s">
        <v>426</v>
      </c>
      <c r="BV625">
        <v>2017</v>
      </c>
      <c r="BW625" t="s">
        <v>427</v>
      </c>
      <c r="BX625" t="s">
        <v>78</v>
      </c>
      <c r="BY625" t="s">
        <v>428</v>
      </c>
      <c r="BZ625" t="s">
        <v>33</v>
      </c>
      <c r="CA625" t="str">
        <f t="shared" si="305"/>
        <v>high acid</v>
      </c>
    </row>
    <row r="626" spans="1:79">
      <c r="A626" t="s">
        <v>221</v>
      </c>
      <c r="B626" t="s">
        <v>565</v>
      </c>
      <c r="C626" t="s">
        <v>563</v>
      </c>
      <c r="D626" t="s">
        <v>118</v>
      </c>
      <c r="E626" t="s">
        <v>77</v>
      </c>
      <c r="F626" t="s">
        <v>32</v>
      </c>
      <c r="G626">
        <v>5</v>
      </c>
      <c r="H626">
        <v>30.3</v>
      </c>
      <c r="I626" t="b">
        <v>0</v>
      </c>
      <c r="J626" t="s">
        <v>33</v>
      </c>
      <c r="K626" t="s">
        <v>33</v>
      </c>
      <c r="L626">
        <v>35</v>
      </c>
      <c r="M626" s="4">
        <v>250</v>
      </c>
      <c r="N626" s="3">
        <f t="shared" si="322"/>
        <v>5366.3671133845755</v>
      </c>
      <c r="O626">
        <v>4</v>
      </c>
      <c r="P626" t="s">
        <v>33</v>
      </c>
      <c r="Q626">
        <f t="shared" si="320"/>
        <v>0.15625</v>
      </c>
      <c r="R626" t="s">
        <v>183</v>
      </c>
      <c r="S626" t="s">
        <v>613</v>
      </c>
      <c r="T626" s="11">
        <v>8</v>
      </c>
      <c r="U626">
        <v>2.92</v>
      </c>
      <c r="V626">
        <v>2.2999999999999998</v>
      </c>
      <c r="W626">
        <v>1.21E-2</v>
      </c>
      <c r="X626" s="8">
        <f>IFERROR(((PI())*(((V626*10^-1)/2)^2)*(U626*10^-1)), "NA")</f>
        <v>1.2131888350367701E-2</v>
      </c>
      <c r="Y626" s="6">
        <f>100/60</f>
        <v>1.6666666666666667</v>
      </c>
      <c r="Z626" s="3">
        <f t="shared" si="321"/>
        <v>7.7644085442353281E-2</v>
      </c>
      <c r="AA626" t="s">
        <v>33</v>
      </c>
      <c r="AB626" s="6">
        <f>IFERROR(((X626*M626)/Z626), "NA")</f>
        <v>39.0625</v>
      </c>
      <c r="AC626" t="str">
        <f t="shared" si="319"/>
        <v>NA</v>
      </c>
      <c r="AD626" s="4">
        <f>AB626*T626*AI626</f>
        <v>312.5</v>
      </c>
      <c r="AE626" s="3">
        <f t="shared" si="311"/>
        <v>5604.375</v>
      </c>
      <c r="AF626">
        <v>1250</v>
      </c>
      <c r="AG626" t="str">
        <f t="shared" si="323"/>
        <v>NA</v>
      </c>
      <c r="AH626" t="str">
        <f t="shared" si="324"/>
        <v>NA</v>
      </c>
      <c r="AI626">
        <v>1</v>
      </c>
      <c r="AJ626" t="s">
        <v>31</v>
      </c>
      <c r="AK626">
        <v>3660</v>
      </c>
      <c r="AL626" t="s">
        <v>541</v>
      </c>
      <c r="AM626" t="s">
        <v>86</v>
      </c>
      <c r="AN626" t="s">
        <v>186</v>
      </c>
      <c r="AO626" t="s">
        <v>794</v>
      </c>
      <c r="AP626">
        <v>5.46</v>
      </c>
      <c r="AQ626" t="s">
        <v>33</v>
      </c>
      <c r="AR626" t="s">
        <v>33</v>
      </c>
      <c r="AS626" s="6">
        <f>LOG((10^7+10^8)/2)</f>
        <v>7.7403626894942441</v>
      </c>
      <c r="AT626" s="3">
        <f t="shared" si="325"/>
        <v>4.3683626894942442</v>
      </c>
      <c r="AU626" s="6">
        <v>3.3719999999999999</v>
      </c>
      <c r="AV626" t="b">
        <v>1</v>
      </c>
      <c r="AW626" t="s">
        <v>29</v>
      </c>
      <c r="AX626" t="s">
        <v>30</v>
      </c>
      <c r="AY626" s="10">
        <v>1107</v>
      </c>
      <c r="AZ626" t="s">
        <v>33</v>
      </c>
      <c r="BA626" s="18" t="s">
        <v>798</v>
      </c>
      <c r="BB626" t="b">
        <v>0</v>
      </c>
      <c r="BC626" t="s">
        <v>81</v>
      </c>
      <c r="BD626">
        <f>(16+14)/2</f>
        <v>15</v>
      </c>
      <c r="BE626" t="s">
        <v>80</v>
      </c>
      <c r="BF626" t="s">
        <v>33</v>
      </c>
      <c r="BG626" t="s">
        <v>222</v>
      </c>
      <c r="BH626" t="s">
        <v>31</v>
      </c>
      <c r="BI626" t="s">
        <v>31</v>
      </c>
      <c r="BJ626" s="3">
        <f t="shared" si="308"/>
        <v>3.3719999999999999</v>
      </c>
      <c r="BK626" s="3">
        <f t="shared" si="301"/>
        <v>0.5278875659527047</v>
      </c>
      <c r="BL626">
        <v>2</v>
      </c>
      <c r="BM626" s="3">
        <f t="shared" si="314"/>
        <v>3.2206396211503137</v>
      </c>
      <c r="BN626" t="s">
        <v>33</v>
      </c>
      <c r="BO626" s="3">
        <f t="shared" si="304"/>
        <v>1662.0329181494662</v>
      </c>
      <c r="BP626" t="s">
        <v>33</v>
      </c>
      <c r="BQ626" t="s">
        <v>33</v>
      </c>
      <c r="BR626" t="s">
        <v>33</v>
      </c>
      <c r="BS626" t="s">
        <v>33</v>
      </c>
      <c r="BT626" t="s">
        <v>31</v>
      </c>
      <c r="BU626" t="s">
        <v>219</v>
      </c>
      <c r="BV626">
        <v>2007</v>
      </c>
      <c r="BW626" t="s">
        <v>218</v>
      </c>
      <c r="BX626" t="s">
        <v>78</v>
      </c>
      <c r="BY626" t="s">
        <v>33</v>
      </c>
      <c r="BZ626" t="s">
        <v>33</v>
      </c>
      <c r="CA626" t="str">
        <f t="shared" si="305"/>
        <v>low acid</v>
      </c>
    </row>
    <row r="627" spans="1:79">
      <c r="A627" t="s">
        <v>733</v>
      </c>
      <c r="B627" t="s">
        <v>566</v>
      </c>
      <c r="C627" t="s">
        <v>563</v>
      </c>
      <c r="D627" t="s">
        <v>699</v>
      </c>
      <c r="E627" t="s">
        <v>77</v>
      </c>
      <c r="F627" t="s">
        <v>32</v>
      </c>
      <c r="G627">
        <v>20</v>
      </c>
      <c r="H627">
        <v>42.5</v>
      </c>
      <c r="I627" t="b">
        <v>1</v>
      </c>
      <c r="J627" t="s">
        <v>33</v>
      </c>
      <c r="K627" t="s">
        <v>33</v>
      </c>
      <c r="L627">
        <v>20</v>
      </c>
      <c r="M627" s="4">
        <v>47</v>
      </c>
      <c r="N627" s="3">
        <f t="shared" si="322"/>
        <v>46.759259259259245</v>
      </c>
      <c r="O627">
        <v>5</v>
      </c>
      <c r="P627">
        <v>0.43</v>
      </c>
      <c r="Q627" s="8">
        <f>IFERROR(X627/Y627, "NA")</f>
        <v>0.43200000000000011</v>
      </c>
      <c r="R627" t="s">
        <v>183</v>
      </c>
      <c r="S627" t="s">
        <v>612</v>
      </c>
      <c r="T627" s="11">
        <v>1</v>
      </c>
      <c r="U627">
        <v>4</v>
      </c>
      <c r="V627" t="s">
        <v>33</v>
      </c>
      <c r="W627">
        <f>0.4*3*0.5</f>
        <v>0.60000000000000009</v>
      </c>
      <c r="X627" s="9">
        <f>W627</f>
        <v>0.60000000000000009</v>
      </c>
      <c r="Y627" s="6">
        <f>5000/3600</f>
        <v>1.3888888888888888</v>
      </c>
      <c r="Z627" s="3">
        <f t="shared" si="321"/>
        <v>1.3960396039603959</v>
      </c>
      <c r="AA627" t="s">
        <v>33</v>
      </c>
      <c r="AB627" s="4">
        <f>IFERROR(((X627*M627)/Y627), "NA")</f>
        <v>20.304000000000002</v>
      </c>
      <c r="AC627" s="4">
        <f t="shared" si="319"/>
        <v>20.21</v>
      </c>
      <c r="AD627" s="4">
        <f>AB627*T627*AI627</f>
        <v>20.304000000000002</v>
      </c>
      <c r="AE627" s="3">
        <f t="shared" si="311"/>
        <v>81.216000000000022</v>
      </c>
      <c r="AF627">
        <v>101</v>
      </c>
      <c r="AG627" s="4">
        <f t="shared" si="323"/>
        <v>101.05</v>
      </c>
      <c r="AH627" s="4">
        <f t="shared" si="324"/>
        <v>101.05</v>
      </c>
      <c r="AI627">
        <v>1</v>
      </c>
      <c r="AJ627" s="11" t="s">
        <v>31</v>
      </c>
      <c r="AK627">
        <v>2000</v>
      </c>
      <c r="AL627" t="s">
        <v>784</v>
      </c>
      <c r="AM627" t="s">
        <v>103</v>
      </c>
      <c r="AN627" t="s">
        <v>130</v>
      </c>
      <c r="AO627" t="s">
        <v>795</v>
      </c>
      <c r="AP627">
        <v>7</v>
      </c>
      <c r="AQ627" t="s">
        <v>33</v>
      </c>
      <c r="AR627" t="s">
        <v>33</v>
      </c>
      <c r="AS627" s="6">
        <f>LOG(AVERAGE(10^8, 10^9))</f>
        <v>8.7403626894942441</v>
      </c>
      <c r="AT627" s="3">
        <f t="shared" si="325"/>
        <v>4.370362689494244</v>
      </c>
      <c r="AU627" s="6">
        <v>4.37</v>
      </c>
      <c r="AV627" t="b">
        <v>1</v>
      </c>
      <c r="AW627" t="s">
        <v>172</v>
      </c>
      <c r="AX627" t="s">
        <v>173</v>
      </c>
      <c r="AY627">
        <v>77.000100000000003</v>
      </c>
      <c r="AZ627" t="s">
        <v>33</v>
      </c>
      <c r="BA627" s="18" t="s">
        <v>799</v>
      </c>
      <c r="BB627" s="3" t="b">
        <v>0</v>
      </c>
      <c r="BC627" t="s">
        <v>81</v>
      </c>
      <c r="BD627">
        <v>24</v>
      </c>
      <c r="BE627" t="s">
        <v>80</v>
      </c>
      <c r="BF627">
        <v>48</v>
      </c>
      <c r="BG627" t="s">
        <v>734</v>
      </c>
      <c r="BH627" t="s">
        <v>31</v>
      </c>
      <c r="BI627" t="s">
        <v>31</v>
      </c>
      <c r="BJ627" s="3">
        <f t="shared" si="308"/>
        <v>4.37</v>
      </c>
      <c r="BK627" s="3">
        <f t="shared" si="301"/>
        <v>0.64048143697042181</v>
      </c>
      <c r="BL627">
        <v>2</v>
      </c>
      <c r="BM627" s="3">
        <f t="shared" si="314"/>
        <v>1.2691601591081703</v>
      </c>
      <c r="BN627" t="s">
        <v>33</v>
      </c>
      <c r="BO627" s="3">
        <f t="shared" si="304"/>
        <v>18.584897025171628</v>
      </c>
      <c r="BP627" t="s">
        <v>33</v>
      </c>
      <c r="BQ627" t="s">
        <v>33</v>
      </c>
      <c r="BR627" t="s">
        <v>33</v>
      </c>
      <c r="BS627" t="s">
        <v>33</v>
      </c>
      <c r="BT627" t="s">
        <v>32</v>
      </c>
      <c r="BU627" t="s">
        <v>709</v>
      </c>
      <c r="BV627">
        <v>2024</v>
      </c>
      <c r="BW627" t="s">
        <v>710</v>
      </c>
      <c r="BX627" t="s">
        <v>78</v>
      </c>
      <c r="BY627" t="s">
        <v>711</v>
      </c>
      <c r="CA627" t="str">
        <f t="shared" si="305"/>
        <v>low acid</v>
      </c>
    </row>
    <row r="628" spans="1:79">
      <c r="A628" t="s">
        <v>532</v>
      </c>
      <c r="B628" t="s">
        <v>565</v>
      </c>
      <c r="C628" t="s">
        <v>564</v>
      </c>
      <c r="D628" t="s">
        <v>209</v>
      </c>
      <c r="E628" t="s">
        <v>77</v>
      </c>
      <c r="F628" t="s">
        <v>32</v>
      </c>
      <c r="G628">
        <v>30</v>
      </c>
      <c r="H628">
        <v>38.200000000000003</v>
      </c>
      <c r="I628" t="b">
        <v>0</v>
      </c>
      <c r="J628" t="s">
        <v>33</v>
      </c>
      <c r="K628" t="s">
        <v>33</v>
      </c>
      <c r="L628">
        <v>12</v>
      </c>
      <c r="M628" s="4">
        <v>120</v>
      </c>
      <c r="N628" s="3">
        <f t="shared" si="322"/>
        <v>79.525152366758988</v>
      </c>
      <c r="O628">
        <v>3</v>
      </c>
      <c r="P628" t="s">
        <v>33</v>
      </c>
      <c r="Q628" s="9">
        <f t="shared" ref="Q628:Q635" si="326">IFERROR(X628/Z628, "NA")</f>
        <v>8.3333333333333329E-2</v>
      </c>
      <c r="R628" t="s">
        <v>183</v>
      </c>
      <c r="S628" t="s">
        <v>612</v>
      </c>
      <c r="T628" s="11">
        <v>4</v>
      </c>
      <c r="U628">
        <v>3</v>
      </c>
      <c r="V628">
        <v>2.6</v>
      </c>
      <c r="W628" t="s">
        <v>33</v>
      </c>
      <c r="X628" s="8">
        <f>IFERROR(((PI())*(((V628*10^-1)/2)^2)*(U628*10^-1)), "NA")</f>
        <v>1.5927874753700257E-2</v>
      </c>
      <c r="Y628" s="6">
        <f>7.6/60</f>
        <v>0.12666666666666665</v>
      </c>
      <c r="Z628" s="3">
        <f t="shared" si="321"/>
        <v>0.19113449704440308</v>
      </c>
      <c r="AA628" t="s">
        <v>33</v>
      </c>
      <c r="AB628" s="6">
        <f>IFERROR(((X628*M628)/Z628), "NA")</f>
        <v>10</v>
      </c>
      <c r="AC628" t="str">
        <f t="shared" si="319"/>
        <v>NA</v>
      </c>
      <c r="AD628" s="4">
        <f>IFERROR(AB628*T628*AI628, "NA")</f>
        <v>40</v>
      </c>
      <c r="AE628" s="3">
        <f t="shared" si="311"/>
        <v>16.934399999999997</v>
      </c>
      <c r="AF628">
        <v>120</v>
      </c>
      <c r="AG628" t="str">
        <f t="shared" si="323"/>
        <v>NA</v>
      </c>
      <c r="AH628" t="str">
        <f t="shared" si="324"/>
        <v>NA</v>
      </c>
      <c r="AI628" s="11">
        <v>1</v>
      </c>
      <c r="AJ628" t="s">
        <v>31</v>
      </c>
      <c r="AK628">
        <v>980</v>
      </c>
      <c r="AL628" t="s">
        <v>551</v>
      </c>
      <c r="AM628" t="s">
        <v>86</v>
      </c>
      <c r="AN628" t="s">
        <v>186</v>
      </c>
      <c r="AO628" t="s">
        <v>794</v>
      </c>
      <c r="AP628">
        <v>5.98</v>
      </c>
      <c r="AQ628" t="s">
        <v>33</v>
      </c>
      <c r="AR628" t="s">
        <v>33</v>
      </c>
      <c r="AS628" s="6">
        <v>6.5</v>
      </c>
      <c r="AT628" s="3">
        <f t="shared" si="325"/>
        <v>4.375</v>
      </c>
      <c r="AU628" s="6">
        <v>2.125</v>
      </c>
      <c r="AV628" t="b">
        <v>1</v>
      </c>
      <c r="AW628" t="s">
        <v>172</v>
      </c>
      <c r="AX628" t="s">
        <v>173</v>
      </c>
      <c r="AY628" t="s">
        <v>246</v>
      </c>
      <c r="AZ628" t="s">
        <v>33</v>
      </c>
      <c r="BA628" s="18" t="s">
        <v>799</v>
      </c>
      <c r="BB628" t="b">
        <v>0</v>
      </c>
      <c r="BC628" t="s">
        <v>81</v>
      </c>
      <c r="BD628">
        <v>72</v>
      </c>
      <c r="BE628" t="s">
        <v>80</v>
      </c>
      <c r="BF628" s="11">
        <v>72</v>
      </c>
      <c r="BG628" t="s">
        <v>522</v>
      </c>
      <c r="BH628" t="s">
        <v>31</v>
      </c>
      <c r="BI628" t="s">
        <v>31</v>
      </c>
      <c r="BJ628" s="3">
        <f t="shared" si="308"/>
        <v>2.125</v>
      </c>
      <c r="BK628" s="3">
        <f t="shared" si="301"/>
        <v>0.32735893438633035</v>
      </c>
      <c r="BL628">
        <v>2</v>
      </c>
      <c r="BM628" s="3">
        <f t="shared" ref="BM628:BM651" si="327">IFERROR(LOG(BO628),"NA")</f>
        <v>0.90141087944903897</v>
      </c>
      <c r="BN628" t="s">
        <v>33</v>
      </c>
      <c r="BO628" s="3">
        <f t="shared" si="304"/>
        <v>7.9691294117647047</v>
      </c>
      <c r="BP628" t="s">
        <v>33</v>
      </c>
      <c r="BQ628" t="s">
        <v>33</v>
      </c>
      <c r="BR628" t="s">
        <v>33</v>
      </c>
      <c r="BS628" t="s">
        <v>33</v>
      </c>
      <c r="BT628" t="s">
        <v>32</v>
      </c>
      <c r="BU628" t="s">
        <v>207</v>
      </c>
      <c r="BV628">
        <v>2014</v>
      </c>
      <c r="BW628" t="s">
        <v>208</v>
      </c>
      <c r="BX628" t="s">
        <v>78</v>
      </c>
      <c r="BY628" t="s">
        <v>33</v>
      </c>
      <c r="BZ628" t="s">
        <v>33</v>
      </c>
      <c r="CA628" t="str">
        <f t="shared" si="305"/>
        <v>low acid</v>
      </c>
    </row>
    <row r="629" spans="1:79">
      <c r="A629" t="s">
        <v>451</v>
      </c>
      <c r="B629" t="s">
        <v>565</v>
      </c>
      <c r="C629" t="s">
        <v>563</v>
      </c>
      <c r="D629" t="s">
        <v>182</v>
      </c>
      <c r="E629" t="s">
        <v>77</v>
      </c>
      <c r="F629" t="s">
        <v>32</v>
      </c>
      <c r="G629">
        <v>18</v>
      </c>
      <c r="H629">
        <v>49</v>
      </c>
      <c r="I629" t="b">
        <v>1</v>
      </c>
      <c r="J629" t="s">
        <v>33</v>
      </c>
      <c r="K629" t="s">
        <v>33</v>
      </c>
      <c r="L629">
        <v>33</v>
      </c>
      <c r="M629" s="4" t="s">
        <v>33</v>
      </c>
      <c r="N629" s="3">
        <f t="shared" si="322"/>
        <v>281.42752925843115</v>
      </c>
      <c r="O629">
        <v>8</v>
      </c>
      <c r="P629">
        <f>0.047/2</f>
        <v>2.35E-2</v>
      </c>
      <c r="Q629" s="8">
        <f t="shared" si="326"/>
        <v>2.3318614270936313E-2</v>
      </c>
      <c r="R629" t="s">
        <v>183</v>
      </c>
      <c r="S629" t="s">
        <v>613</v>
      </c>
      <c r="T629" s="11">
        <v>2</v>
      </c>
      <c r="U629">
        <v>5.6</v>
      </c>
      <c r="V629">
        <v>4.5</v>
      </c>
      <c r="W629" t="s">
        <v>33</v>
      </c>
      <c r="X629" s="9">
        <f>IFERROR(((PI())*(((V629*10^-1)/2)^2)*(U629*10^-1)), "NA")</f>
        <v>8.9064151729270638E-2</v>
      </c>
      <c r="Y629" s="6">
        <f>13750/3600</f>
        <v>3.8194444444444446</v>
      </c>
      <c r="Z629" s="3">
        <f>IFERROR(X629*N629*O629*T629*AI629/AF629, "NA")</f>
        <v>3.8194444444444442</v>
      </c>
      <c r="AA629" t="s">
        <v>33</v>
      </c>
      <c r="AB629" s="4">
        <f>IFERROR(((X629*N629)/Y629), "NA")</f>
        <v>6.5624999999999991</v>
      </c>
      <c r="AC629" s="4">
        <f>IFERROR(N629*P629,"NA")</f>
        <v>6.6135469375731324</v>
      </c>
      <c r="AD629" s="4">
        <f>AB629*T629*AI629</f>
        <v>13.124999999999998</v>
      </c>
      <c r="AE629" s="3">
        <f>IFERROR(((L629^2)*N629*O629*AK629*10^-6*Q629*T629*AI629), "NA")</f>
        <v>262.99349999999998</v>
      </c>
      <c r="AF629">
        <v>105</v>
      </c>
      <c r="AG629" s="4">
        <f>IFERROR((N629*O629*P629), "NA")</f>
        <v>52.908375500585059</v>
      </c>
      <c r="AH629" s="4">
        <f t="shared" si="324"/>
        <v>105.81675100117012</v>
      </c>
      <c r="AI629" s="11">
        <v>1</v>
      </c>
      <c r="AJ629" t="s">
        <v>31</v>
      </c>
      <c r="AK629">
        <v>2300</v>
      </c>
      <c r="AL629" t="s">
        <v>805</v>
      </c>
      <c r="AM629" t="s">
        <v>515</v>
      </c>
      <c r="AN629" t="s">
        <v>205</v>
      </c>
      <c r="AO629" t="s">
        <v>788</v>
      </c>
      <c r="AP629">
        <v>3.68</v>
      </c>
      <c r="AQ629" t="s">
        <v>33</v>
      </c>
      <c r="AR629" t="s">
        <v>33</v>
      </c>
      <c r="AS629">
        <f>LOG(10^8)</f>
        <v>8</v>
      </c>
      <c r="AT629" s="3">
        <f t="shared" si="325"/>
        <v>4.38</v>
      </c>
      <c r="AU629" s="6">
        <v>3.62</v>
      </c>
      <c r="AV629" t="b">
        <v>1</v>
      </c>
      <c r="AW629" t="s">
        <v>123</v>
      </c>
      <c r="AX629" t="s">
        <v>462</v>
      </c>
      <c r="AY629" t="s">
        <v>520</v>
      </c>
      <c r="AZ629" t="s">
        <v>33</v>
      </c>
      <c r="BA629" s="18" t="s">
        <v>579</v>
      </c>
      <c r="BB629" t="b">
        <v>1</v>
      </c>
      <c r="BC629" t="s">
        <v>81</v>
      </c>
      <c r="BD629" t="s">
        <v>33</v>
      </c>
      <c r="BE629" t="s">
        <v>80</v>
      </c>
      <c r="BF629" t="s">
        <v>33</v>
      </c>
      <c r="BG629" t="s">
        <v>395</v>
      </c>
      <c r="BH629" t="s">
        <v>31</v>
      </c>
      <c r="BI629" t="s">
        <v>31</v>
      </c>
      <c r="BJ629" s="3">
        <f t="shared" si="308"/>
        <v>3.62</v>
      </c>
      <c r="BK629" s="3">
        <f t="shared" si="301"/>
        <v>0.55870857053316569</v>
      </c>
      <c r="BL629">
        <v>2</v>
      </c>
      <c r="BM629" s="3">
        <f t="shared" si="327"/>
        <v>1.8612364443101401</v>
      </c>
      <c r="BN629" t="s">
        <v>33</v>
      </c>
      <c r="BO629" s="3">
        <f t="shared" si="304"/>
        <v>72.650138121546959</v>
      </c>
      <c r="BP629" t="s">
        <v>33</v>
      </c>
      <c r="BQ629" t="s">
        <v>33</v>
      </c>
      <c r="BR629" t="s">
        <v>33</v>
      </c>
      <c r="BS629" t="s">
        <v>33</v>
      </c>
      <c r="BT629" t="s">
        <v>32</v>
      </c>
      <c r="BU629" t="s">
        <v>484</v>
      </c>
      <c r="BV629">
        <v>2015</v>
      </c>
      <c r="BW629" t="s">
        <v>485</v>
      </c>
      <c r="BX629" t="s">
        <v>78</v>
      </c>
      <c r="BY629" t="s">
        <v>486</v>
      </c>
      <c r="CA629" t="str">
        <f t="shared" si="305"/>
        <v>high acid</v>
      </c>
    </row>
    <row r="630" spans="1:79">
      <c r="A630" t="s">
        <v>584</v>
      </c>
      <c r="B630" t="s">
        <v>566</v>
      </c>
      <c r="C630" t="s">
        <v>563</v>
      </c>
      <c r="D630" t="s">
        <v>607</v>
      </c>
      <c r="E630" t="s">
        <v>77</v>
      </c>
      <c r="F630" t="s">
        <v>33</v>
      </c>
      <c r="G630">
        <v>20</v>
      </c>
      <c r="H630">
        <v>35</v>
      </c>
      <c r="I630" t="b">
        <v>0</v>
      </c>
      <c r="J630">
        <v>1000</v>
      </c>
      <c r="K630">
        <v>200</v>
      </c>
      <c r="L630">
        <v>20</v>
      </c>
      <c r="M630" s="4">
        <v>1</v>
      </c>
      <c r="N630" t="e">
        <f>(#REF!*Y630)/(T630*X630*O630)</f>
        <v>#REF!</v>
      </c>
      <c r="O630">
        <v>3</v>
      </c>
      <c r="P630" t="s">
        <v>33</v>
      </c>
      <c r="Q630" s="1">
        <f t="shared" si="326"/>
        <v>50.000000000000007</v>
      </c>
      <c r="R630" t="s">
        <v>183</v>
      </c>
      <c r="S630" t="s">
        <v>33</v>
      </c>
      <c r="T630">
        <v>1</v>
      </c>
      <c r="U630">
        <v>2.5</v>
      </c>
      <c r="V630" t="s">
        <v>33</v>
      </c>
      <c r="W630">
        <v>0.50249999999999995</v>
      </c>
      <c r="X630">
        <f>W630</f>
        <v>0.50249999999999995</v>
      </c>
      <c r="Y630" t="s">
        <v>33</v>
      </c>
      <c r="Z630" s="3">
        <f t="shared" ref="Z630:Z673" si="328">IFERROR(X630*M630*O630*T630*AI630/AF630, "NA")</f>
        <v>1.0049999999999998E-2</v>
      </c>
      <c r="AA630" t="s">
        <v>33</v>
      </c>
      <c r="AB630">
        <f t="shared" ref="AB630:AB635" si="329">IFERROR(((X630*M630)/Z630), "NA")</f>
        <v>50.000000000000007</v>
      </c>
      <c r="AC630" s="1" t="str">
        <f t="shared" ref="AC630:AC661" si="330">IFERROR(M630*P630,"NA")</f>
        <v>NA</v>
      </c>
      <c r="AE630" s="3">
        <f t="shared" ref="AE630:AE661" si="331">IFERROR(((L630^2)*M630*O630*AK630*10^-6*Q630*T630*AI630), "NA")</f>
        <v>60.000000000000007</v>
      </c>
      <c r="AF630">
        <v>150</v>
      </c>
      <c r="AG630" s="1" t="str">
        <f>IFERROR((N630*P630*Q630), "NA")</f>
        <v>NA</v>
      </c>
      <c r="AH630" s="1" t="str">
        <f>IFERROR((AG630*U630*AI630), "NA")</f>
        <v>NA</v>
      </c>
      <c r="AI630" s="1">
        <v>1</v>
      </c>
      <c r="AJ630" s="11" t="s">
        <v>31</v>
      </c>
      <c r="AK630">
        <v>1000</v>
      </c>
      <c r="AL630" t="s">
        <v>614</v>
      </c>
      <c r="AM630" s="3" t="s">
        <v>103</v>
      </c>
      <c r="AN630" t="s">
        <v>305</v>
      </c>
      <c r="AO630" t="s">
        <v>790</v>
      </c>
      <c r="AP630">
        <v>3.5</v>
      </c>
      <c r="AQ630" t="s">
        <v>33</v>
      </c>
      <c r="AR630" t="s">
        <v>33</v>
      </c>
      <c r="AS630">
        <v>8</v>
      </c>
      <c r="AT630">
        <f>AS630-AU630</f>
        <v>4.38</v>
      </c>
      <c r="AU630" s="6">
        <v>3.62</v>
      </c>
      <c r="AV630" t="b">
        <v>1</v>
      </c>
      <c r="AW630" t="s">
        <v>617</v>
      </c>
      <c r="AX630" t="s">
        <v>33</v>
      </c>
      <c r="AY630" t="s">
        <v>623</v>
      </c>
      <c r="AZ630" t="s">
        <v>621</v>
      </c>
      <c r="BA630" s="18" t="s">
        <v>802</v>
      </c>
      <c r="BB630" s="3" t="b">
        <v>0</v>
      </c>
      <c r="BC630" t="s">
        <v>81</v>
      </c>
      <c r="BD630">
        <v>18</v>
      </c>
      <c r="BE630" t="s">
        <v>80</v>
      </c>
      <c r="BF630">
        <v>24</v>
      </c>
      <c r="BG630" t="s">
        <v>642</v>
      </c>
      <c r="BH630" t="s">
        <v>32</v>
      </c>
      <c r="BI630" t="s">
        <v>31</v>
      </c>
      <c r="BJ630">
        <f t="shared" si="308"/>
        <v>3.62</v>
      </c>
      <c r="BK630" s="3">
        <f t="shared" si="301"/>
        <v>0.55870857053316569</v>
      </c>
      <c r="BL630">
        <v>2</v>
      </c>
      <c r="BM630" s="3">
        <f t="shared" si="327"/>
        <v>1.2194426798504781</v>
      </c>
      <c r="BN630" t="s">
        <v>33</v>
      </c>
      <c r="BO630" s="3">
        <f t="shared" si="304"/>
        <v>16.574585635359117</v>
      </c>
      <c r="BP630" t="s">
        <v>33</v>
      </c>
      <c r="BQ630" t="s">
        <v>33</v>
      </c>
      <c r="BR630" t="s">
        <v>33</v>
      </c>
      <c r="BS630" t="s">
        <v>33</v>
      </c>
      <c r="BT630" t="s">
        <v>31</v>
      </c>
      <c r="BU630" t="s">
        <v>255</v>
      </c>
      <c r="BV630">
        <v>2010</v>
      </c>
      <c r="BW630" t="s">
        <v>651</v>
      </c>
      <c r="BX630" t="s">
        <v>78</v>
      </c>
      <c r="BY630" s="13" t="s">
        <v>674</v>
      </c>
      <c r="BZ630" t="s">
        <v>780</v>
      </c>
      <c r="CA630" t="str">
        <f t="shared" si="305"/>
        <v>high acid</v>
      </c>
    </row>
    <row r="631" spans="1:79">
      <c r="A631" t="s">
        <v>220</v>
      </c>
      <c r="B631" t="s">
        <v>565</v>
      </c>
      <c r="C631" t="s">
        <v>563</v>
      </c>
      <c r="D631" t="s">
        <v>118</v>
      </c>
      <c r="E631" t="s">
        <v>77</v>
      </c>
      <c r="F631" t="s">
        <v>32</v>
      </c>
      <c r="G631">
        <v>5</v>
      </c>
      <c r="H631">
        <v>39.1</v>
      </c>
      <c r="I631" t="b">
        <v>0</v>
      </c>
      <c r="J631" t="s">
        <v>33</v>
      </c>
      <c r="K631" t="s">
        <v>33</v>
      </c>
      <c r="L631">
        <v>35</v>
      </c>
      <c r="M631" s="4">
        <v>100</v>
      </c>
      <c r="N631" s="3">
        <f>IFERROR(AF631/((T631*X631/Y631)*O631*AI631),"NA")</f>
        <v>8586.1873814153205</v>
      </c>
      <c r="O631">
        <v>4</v>
      </c>
      <c r="P631" t="s">
        <v>33</v>
      </c>
      <c r="Q631">
        <f t="shared" si="326"/>
        <v>0.625</v>
      </c>
      <c r="R631" t="s">
        <v>183</v>
      </c>
      <c r="S631" t="s">
        <v>613</v>
      </c>
      <c r="T631" s="11">
        <v>8</v>
      </c>
      <c r="U631">
        <v>2.92</v>
      </c>
      <c r="V631">
        <v>2.2999999999999998</v>
      </c>
      <c r="W631">
        <v>1.21E-2</v>
      </c>
      <c r="X631" s="8">
        <f>IFERROR(((PI())*(((V631*10^-1)/2)^2)*(U631*10^-1)), "NA")</f>
        <v>1.2131888350367701E-2</v>
      </c>
      <c r="Y631" s="6">
        <f>100/60</f>
        <v>1.6666666666666667</v>
      </c>
      <c r="Z631" s="3">
        <f t="shared" si="328"/>
        <v>1.941102136058832E-2</v>
      </c>
      <c r="AA631" t="s">
        <v>33</v>
      </c>
      <c r="AB631" s="6">
        <f t="shared" si="329"/>
        <v>62.500000000000007</v>
      </c>
      <c r="AC631" t="str">
        <f t="shared" si="330"/>
        <v>NA</v>
      </c>
      <c r="AD631" s="4">
        <f>AB631*T631*AI631</f>
        <v>500.00000000000006</v>
      </c>
      <c r="AE631" s="3">
        <f t="shared" si="331"/>
        <v>12813.5</v>
      </c>
      <c r="AF631">
        <v>2000</v>
      </c>
      <c r="AG631" t="str">
        <f>IFERROR((M631*O631*P631), "NA")</f>
        <v>NA</v>
      </c>
      <c r="AH631" t="str">
        <f>IFERROR((AG631*T631*AI631), "NA")</f>
        <v>NA</v>
      </c>
      <c r="AI631">
        <v>1</v>
      </c>
      <c r="AJ631" t="s">
        <v>31</v>
      </c>
      <c r="AK631">
        <v>5230</v>
      </c>
      <c r="AL631" t="s">
        <v>542</v>
      </c>
      <c r="AM631" t="s">
        <v>86</v>
      </c>
      <c r="AN631" t="s">
        <v>186</v>
      </c>
      <c r="AO631" t="s">
        <v>794</v>
      </c>
      <c r="AP631">
        <v>5.82</v>
      </c>
      <c r="AQ631" t="s">
        <v>33</v>
      </c>
      <c r="AR631" t="s">
        <v>33</v>
      </c>
      <c r="AS631" s="6">
        <f>LOG((10^7+10^8)/2)</f>
        <v>7.7403626894942441</v>
      </c>
      <c r="AT631" s="3">
        <f>IFERROR(AS631-AU631,"NA")</f>
        <v>4.3823626894942436</v>
      </c>
      <c r="AU631" s="6">
        <v>3.3580000000000001</v>
      </c>
      <c r="AV631" t="b">
        <v>1</v>
      </c>
      <c r="AW631" t="s">
        <v>29</v>
      </c>
      <c r="AX631" t="s">
        <v>30</v>
      </c>
      <c r="AY631" s="10">
        <v>1107</v>
      </c>
      <c r="AZ631" t="s">
        <v>33</v>
      </c>
      <c r="BA631" s="18" t="s">
        <v>798</v>
      </c>
      <c r="BB631" t="b">
        <v>0</v>
      </c>
      <c r="BC631" t="s">
        <v>81</v>
      </c>
      <c r="BD631">
        <f>(16+14)/2</f>
        <v>15</v>
      </c>
      <c r="BE631" t="s">
        <v>80</v>
      </c>
      <c r="BF631" t="s">
        <v>33</v>
      </c>
      <c r="BG631" t="s">
        <v>222</v>
      </c>
      <c r="BH631" t="s">
        <v>31</v>
      </c>
      <c r="BI631" t="s">
        <v>31</v>
      </c>
      <c r="BJ631" s="3">
        <f t="shared" si="308"/>
        <v>3.3580000000000001</v>
      </c>
      <c r="BK631" s="3">
        <f t="shared" si="301"/>
        <v>0.52608069180202999</v>
      </c>
      <c r="BL631">
        <v>2</v>
      </c>
      <c r="BM631" s="3">
        <f t="shared" si="327"/>
        <v>3.5815870814297766</v>
      </c>
      <c r="BN631" t="s">
        <v>33</v>
      </c>
      <c r="BO631" s="3">
        <f t="shared" si="304"/>
        <v>3815.8129839189992</v>
      </c>
      <c r="BP631" t="s">
        <v>33</v>
      </c>
      <c r="BQ631" t="s">
        <v>33</v>
      </c>
      <c r="BR631" t="s">
        <v>33</v>
      </c>
      <c r="BS631" t="s">
        <v>33</v>
      </c>
      <c r="BT631" t="s">
        <v>31</v>
      </c>
      <c r="BU631" t="s">
        <v>219</v>
      </c>
      <c r="BV631">
        <v>2007</v>
      </c>
      <c r="BW631" t="s">
        <v>218</v>
      </c>
      <c r="BX631" t="s">
        <v>78</v>
      </c>
      <c r="BY631" t="s">
        <v>33</v>
      </c>
      <c r="BZ631" t="s">
        <v>33</v>
      </c>
      <c r="CA631" t="str">
        <f t="shared" si="305"/>
        <v>low acid</v>
      </c>
    </row>
    <row r="632" spans="1:79">
      <c r="A632" t="s">
        <v>220</v>
      </c>
      <c r="B632" t="s">
        <v>565</v>
      </c>
      <c r="C632" t="s">
        <v>563</v>
      </c>
      <c r="D632" t="s">
        <v>118</v>
      </c>
      <c r="E632" t="s">
        <v>77</v>
      </c>
      <c r="F632" t="s">
        <v>32</v>
      </c>
      <c r="G632">
        <v>5</v>
      </c>
      <c r="H632">
        <v>39.1</v>
      </c>
      <c r="I632" t="b">
        <v>0</v>
      </c>
      <c r="J632" t="s">
        <v>33</v>
      </c>
      <c r="K632" t="s">
        <v>33</v>
      </c>
      <c r="L632">
        <v>35</v>
      </c>
      <c r="M632" s="4">
        <v>100</v>
      </c>
      <c r="N632" s="3">
        <f>IFERROR(AF632/((T632*X632/Y632)*O632*AI632),"NA")</f>
        <v>5366.3671133845755</v>
      </c>
      <c r="O632">
        <v>4</v>
      </c>
      <c r="P632" t="s">
        <v>33</v>
      </c>
      <c r="Q632" s="8">
        <f t="shared" si="326"/>
        <v>0.39062499999999994</v>
      </c>
      <c r="R632" t="s">
        <v>183</v>
      </c>
      <c r="S632" t="s">
        <v>613</v>
      </c>
      <c r="T632" s="11">
        <v>8</v>
      </c>
      <c r="U632">
        <v>2.92</v>
      </c>
      <c r="V632">
        <v>2.2999999999999998</v>
      </c>
      <c r="W632">
        <v>1.21E-2</v>
      </c>
      <c r="X632" s="8">
        <f>IFERROR(((PI())*(((V632*10^-1)/2)^2)*(U632*10^-1)), "NA")</f>
        <v>1.2131888350367701E-2</v>
      </c>
      <c r="Y632" s="6">
        <f>100/60</f>
        <v>1.6666666666666667</v>
      </c>
      <c r="Z632" s="3">
        <f t="shared" si="328"/>
        <v>3.1057634176941316E-2</v>
      </c>
      <c r="AA632" t="s">
        <v>33</v>
      </c>
      <c r="AB632" s="6">
        <f t="shared" si="329"/>
        <v>39.0625</v>
      </c>
      <c r="AC632" t="str">
        <f t="shared" si="330"/>
        <v>NA</v>
      </c>
      <c r="AD632" s="4">
        <f>AB632*T632*AI632</f>
        <v>312.5</v>
      </c>
      <c r="AE632" s="3">
        <f t="shared" si="331"/>
        <v>8008.4374999999982</v>
      </c>
      <c r="AF632">
        <v>1250</v>
      </c>
      <c r="AG632" t="str">
        <f>IFERROR((M632*O632*P632), "NA")</f>
        <v>NA</v>
      </c>
      <c r="AH632" t="str">
        <f>IFERROR((AG632*T632*AI632), "NA")</f>
        <v>NA</v>
      </c>
      <c r="AI632">
        <v>1</v>
      </c>
      <c r="AJ632" t="s">
        <v>31</v>
      </c>
      <c r="AK632">
        <v>5230</v>
      </c>
      <c r="AL632" t="s">
        <v>542</v>
      </c>
      <c r="AM632" t="s">
        <v>86</v>
      </c>
      <c r="AN632" t="s">
        <v>186</v>
      </c>
      <c r="AO632" t="s">
        <v>794</v>
      </c>
      <c r="AP632">
        <v>5.82</v>
      </c>
      <c r="AQ632" t="s">
        <v>33</v>
      </c>
      <c r="AR632" t="s">
        <v>33</v>
      </c>
      <c r="AS632" s="6">
        <f>LOG((10^7+10^8)/2)</f>
        <v>7.7403626894942441</v>
      </c>
      <c r="AT632" s="3">
        <f>IFERROR(AS632-AU632,"NA")</f>
        <v>4.3823626894942436</v>
      </c>
      <c r="AU632" s="6">
        <v>3.3580000000000001</v>
      </c>
      <c r="AV632" t="b">
        <v>1</v>
      </c>
      <c r="AW632" t="s">
        <v>29</v>
      </c>
      <c r="AX632" t="s">
        <v>30</v>
      </c>
      <c r="AY632" s="10">
        <v>1107</v>
      </c>
      <c r="AZ632" t="s">
        <v>33</v>
      </c>
      <c r="BA632" s="18" t="s">
        <v>798</v>
      </c>
      <c r="BB632" t="b">
        <v>0</v>
      </c>
      <c r="BC632" t="s">
        <v>81</v>
      </c>
      <c r="BD632">
        <f>(16+14)/2</f>
        <v>15</v>
      </c>
      <c r="BE632" t="s">
        <v>80</v>
      </c>
      <c r="BF632" t="s">
        <v>33</v>
      </c>
      <c r="BG632" t="s">
        <v>222</v>
      </c>
      <c r="BH632" t="s">
        <v>31</v>
      </c>
      <c r="BI632" t="s">
        <v>31</v>
      </c>
      <c r="BJ632" s="3">
        <f t="shared" si="308"/>
        <v>3.3580000000000001</v>
      </c>
      <c r="BK632" s="3">
        <f t="shared" si="301"/>
        <v>0.52608069180202999</v>
      </c>
      <c r="BL632">
        <v>2</v>
      </c>
      <c r="BM632" s="3">
        <f t="shared" si="327"/>
        <v>3.377467098773852</v>
      </c>
      <c r="BN632" t="s">
        <v>33</v>
      </c>
      <c r="BO632" s="3">
        <f t="shared" si="304"/>
        <v>2384.883114949374</v>
      </c>
      <c r="BP632" t="s">
        <v>33</v>
      </c>
      <c r="BQ632" t="s">
        <v>33</v>
      </c>
      <c r="BR632" t="s">
        <v>33</v>
      </c>
      <c r="BS632" t="s">
        <v>33</v>
      </c>
      <c r="BT632" t="s">
        <v>31</v>
      </c>
      <c r="BU632" t="s">
        <v>219</v>
      </c>
      <c r="BV632">
        <v>2007</v>
      </c>
      <c r="BW632" t="s">
        <v>218</v>
      </c>
      <c r="BX632" t="s">
        <v>78</v>
      </c>
      <c r="BY632" t="s">
        <v>33</v>
      </c>
      <c r="BZ632" t="s">
        <v>33</v>
      </c>
      <c r="CA632" t="str">
        <f t="shared" si="305"/>
        <v>low acid</v>
      </c>
    </row>
    <row r="633" spans="1:79">
      <c r="A633" t="s">
        <v>261</v>
      </c>
      <c r="B633" t="s">
        <v>565</v>
      </c>
      <c r="C633" t="s">
        <v>563</v>
      </c>
      <c r="D633" t="s">
        <v>118</v>
      </c>
      <c r="E633" t="s">
        <v>77</v>
      </c>
      <c r="F633" t="s">
        <v>32</v>
      </c>
      <c r="G633">
        <v>5</v>
      </c>
      <c r="H633">
        <v>40</v>
      </c>
      <c r="I633" t="b">
        <v>0</v>
      </c>
      <c r="J633" t="s">
        <v>33</v>
      </c>
      <c r="K633" t="s">
        <v>33</v>
      </c>
      <c r="L633">
        <v>35</v>
      </c>
      <c r="M633" s="4">
        <v>250</v>
      </c>
      <c r="N633" s="3">
        <f>IFERROR(AF633/((T633*X633/Y633)*O633*AI633),"NA")</f>
        <v>5903.0038247230323</v>
      </c>
      <c r="O633">
        <v>4</v>
      </c>
      <c r="P633" t="s">
        <v>33</v>
      </c>
      <c r="Q633">
        <f t="shared" si="326"/>
        <v>0.15625</v>
      </c>
      <c r="R633" t="s">
        <v>183</v>
      </c>
      <c r="S633" t="s">
        <v>613</v>
      </c>
      <c r="T633" s="11">
        <v>8</v>
      </c>
      <c r="U633">
        <v>2.92</v>
      </c>
      <c r="V633">
        <v>2.2999999999999998</v>
      </c>
      <c r="W633">
        <v>1.21E-2</v>
      </c>
      <c r="X633" s="8">
        <f>IFERROR(((PI())*(((V633*10^-1)/2)^2)*(U633*10^-1)), "NA")</f>
        <v>1.2131888350367701E-2</v>
      </c>
      <c r="Y633" s="6">
        <f>110/60</f>
        <v>1.8333333333333333</v>
      </c>
      <c r="Z633" s="3">
        <f t="shared" si="328"/>
        <v>7.7644085442353281E-2</v>
      </c>
      <c r="AA633" t="s">
        <v>33</v>
      </c>
      <c r="AB633" s="6">
        <f t="shared" si="329"/>
        <v>39.0625</v>
      </c>
      <c r="AC633" t="str">
        <f t="shared" si="330"/>
        <v>NA</v>
      </c>
      <c r="AD633" s="4">
        <f>AB633*T633*AI633</f>
        <v>312.5</v>
      </c>
      <c r="AE633" s="3">
        <f t="shared" si="331"/>
        <v>7855.3125</v>
      </c>
      <c r="AF633">
        <v>1250</v>
      </c>
      <c r="AG633" t="str">
        <f>IFERROR((M633*O633*P633), "NA")</f>
        <v>NA</v>
      </c>
      <c r="AH633" t="str">
        <f>IFERROR((AG633*T633*AI633), "NA")</f>
        <v>NA</v>
      </c>
      <c r="AI633">
        <v>1</v>
      </c>
      <c r="AJ633" t="s">
        <v>31</v>
      </c>
      <c r="AK633">
        <v>5130</v>
      </c>
      <c r="AL633" t="s">
        <v>547</v>
      </c>
      <c r="AM633" t="s">
        <v>86</v>
      </c>
      <c r="AN633" t="s">
        <v>205</v>
      </c>
      <c r="AO633" t="s">
        <v>789</v>
      </c>
      <c r="AP633">
        <v>3.16</v>
      </c>
      <c r="AQ633" t="s">
        <v>33</v>
      </c>
      <c r="AR633" t="s">
        <v>33</v>
      </c>
      <c r="AS633" s="6">
        <f>LOG((10^7+10^8)/2)</f>
        <v>7.7403626894942441</v>
      </c>
      <c r="AT633" s="3">
        <f>IFERROR(AS633-AU633,"NA")</f>
        <v>4.3953626894942435</v>
      </c>
      <c r="AU633" s="6">
        <v>3.3450000000000002</v>
      </c>
      <c r="AV633" t="b">
        <v>1</v>
      </c>
      <c r="AW633" t="s">
        <v>29</v>
      </c>
      <c r="AX633" t="s">
        <v>30</v>
      </c>
      <c r="AY633" t="s">
        <v>33</v>
      </c>
      <c r="AZ633" t="s">
        <v>134</v>
      </c>
      <c r="BA633" s="18" t="s">
        <v>798</v>
      </c>
      <c r="BB633" t="b">
        <v>0</v>
      </c>
      <c r="BC633" t="s">
        <v>81</v>
      </c>
      <c r="BD633">
        <v>15</v>
      </c>
      <c r="BE633" t="s">
        <v>80</v>
      </c>
      <c r="BF633" s="11">
        <v>24</v>
      </c>
      <c r="BG633" t="s">
        <v>262</v>
      </c>
      <c r="BH633" t="s">
        <v>31</v>
      </c>
      <c r="BI633" t="s">
        <v>31</v>
      </c>
      <c r="BJ633" s="3">
        <f t="shared" si="308"/>
        <v>3.3450000000000002</v>
      </c>
      <c r="BK633" s="3">
        <f t="shared" si="301"/>
        <v>0.5243961221038419</v>
      </c>
      <c r="BL633">
        <v>2</v>
      </c>
      <c r="BM633" s="3">
        <f t="shared" si="327"/>
        <v>3.3707673447165822</v>
      </c>
      <c r="BN633" t="s">
        <v>33</v>
      </c>
      <c r="BO633" s="3">
        <f t="shared" si="304"/>
        <v>2348.3744394618834</v>
      </c>
      <c r="BP633" t="s">
        <v>33</v>
      </c>
      <c r="BQ633" t="s">
        <v>33</v>
      </c>
      <c r="BR633" t="s">
        <v>33</v>
      </c>
      <c r="BS633" t="s">
        <v>33</v>
      </c>
      <c r="BT633" t="s">
        <v>31</v>
      </c>
      <c r="BU633" t="s">
        <v>219</v>
      </c>
      <c r="BV633">
        <v>2008</v>
      </c>
      <c r="BW633" s="2" t="s">
        <v>257</v>
      </c>
      <c r="BX633" t="s">
        <v>78</v>
      </c>
      <c r="BY633" t="s">
        <v>33</v>
      </c>
      <c r="BZ633" t="s">
        <v>33</v>
      </c>
      <c r="CA633" t="str">
        <f t="shared" si="305"/>
        <v>high acid</v>
      </c>
    </row>
    <row r="634" spans="1:79">
      <c r="A634" t="s">
        <v>605</v>
      </c>
      <c r="B634" t="s">
        <v>565</v>
      </c>
      <c r="C634" t="s">
        <v>563</v>
      </c>
      <c r="D634" t="s">
        <v>118</v>
      </c>
      <c r="E634" t="s">
        <v>77</v>
      </c>
      <c r="F634" t="s">
        <v>33</v>
      </c>
      <c r="G634" t="s">
        <v>33</v>
      </c>
      <c r="H634" t="s">
        <v>33</v>
      </c>
      <c r="I634" t="b">
        <v>0</v>
      </c>
      <c r="J634" t="s">
        <v>33</v>
      </c>
      <c r="K634" t="s">
        <v>33</v>
      </c>
      <c r="L634">
        <v>17</v>
      </c>
      <c r="M634" s="4">
        <v>500</v>
      </c>
      <c r="N634" t="e">
        <f>(#REF!*Y634)/(T634*X634*O634)</f>
        <v>#REF!</v>
      </c>
      <c r="O634">
        <v>3</v>
      </c>
      <c r="P634" t="s">
        <v>33</v>
      </c>
      <c r="Q634" s="1">
        <f t="shared" si="326"/>
        <v>2.3333333333333334E-2</v>
      </c>
      <c r="R634" t="s">
        <v>183</v>
      </c>
      <c r="S634" t="s">
        <v>613</v>
      </c>
      <c r="T634">
        <v>6</v>
      </c>
      <c r="U634">
        <v>2.9</v>
      </c>
      <c r="V634">
        <v>2.2999999999999998</v>
      </c>
      <c r="W634" t="s">
        <v>33</v>
      </c>
      <c r="X634">
        <f>IFERROR(((PI())*(((V634*10^-1)/2)^2)*(U634*10^-1)), "NA")</f>
        <v>1.204879322468025E-2</v>
      </c>
      <c r="Y634">
        <v>0.83333299999999999</v>
      </c>
      <c r="Z634" s="3">
        <f t="shared" si="328"/>
        <v>0.51637685248629639</v>
      </c>
      <c r="AA634" t="s">
        <v>33</v>
      </c>
      <c r="AB634">
        <f t="shared" si="329"/>
        <v>11.666666666666668</v>
      </c>
      <c r="AC634" s="1" t="str">
        <f t="shared" si="330"/>
        <v>NA</v>
      </c>
      <c r="AE634" s="3">
        <f t="shared" si="331"/>
        <v>71.007300000000001</v>
      </c>
      <c r="AF634">
        <v>210</v>
      </c>
      <c r="AG634" s="1" t="str">
        <f>IFERROR((N634*P634*Q634), "NA")</f>
        <v>NA</v>
      </c>
      <c r="AH634" s="1" t="str">
        <f>IFERROR((AG634*U634*AI634), "NA")</f>
        <v>NA</v>
      </c>
      <c r="AI634" s="1">
        <v>1</v>
      </c>
      <c r="AJ634" s="11" t="s">
        <v>31</v>
      </c>
      <c r="AK634">
        <f>1.17*10^3</f>
        <v>1170</v>
      </c>
      <c r="AL634" t="s">
        <v>138</v>
      </c>
      <c r="AM634" t="s">
        <v>86</v>
      </c>
      <c r="AN634" t="s">
        <v>205</v>
      </c>
      <c r="AO634" t="s">
        <v>789</v>
      </c>
      <c r="AP634">
        <v>3.85</v>
      </c>
      <c r="AQ634" t="s">
        <v>33</v>
      </c>
      <c r="AR634" t="s">
        <v>33</v>
      </c>
      <c r="AS634">
        <v>7.52</v>
      </c>
      <c r="AT634">
        <v>4.4000000000000004</v>
      </c>
      <c r="AU634" s="6">
        <f>AS634-AT634</f>
        <v>3.1199999999999992</v>
      </c>
      <c r="AV634" t="b">
        <v>1</v>
      </c>
      <c r="AW634" t="s">
        <v>626</v>
      </c>
      <c r="AX634" t="s">
        <v>627</v>
      </c>
      <c r="AY634">
        <v>95047</v>
      </c>
      <c r="AZ634" t="s">
        <v>33</v>
      </c>
      <c r="BA634" s="18" t="s">
        <v>800</v>
      </c>
      <c r="BB634" s="3" t="b">
        <v>0</v>
      </c>
      <c r="BC634" t="s">
        <v>81</v>
      </c>
      <c r="BD634">
        <f>AVERAGE(24,48)</f>
        <v>36</v>
      </c>
      <c r="BE634" t="s">
        <v>80</v>
      </c>
      <c r="BF634">
        <v>48</v>
      </c>
      <c r="BG634" t="s">
        <v>647</v>
      </c>
      <c r="BH634" t="s">
        <v>31</v>
      </c>
      <c r="BI634" t="s">
        <v>31</v>
      </c>
      <c r="BJ634" s="3">
        <f t="shared" si="308"/>
        <v>3.1199999999999992</v>
      </c>
      <c r="BK634" s="3">
        <f t="shared" si="301"/>
        <v>0.49415459401844269</v>
      </c>
      <c r="BL634">
        <v>2</v>
      </c>
      <c r="BM634" s="3">
        <f t="shared" si="327"/>
        <v>1.3571484052181861</v>
      </c>
      <c r="BN634" t="s">
        <v>33</v>
      </c>
      <c r="BO634" s="3">
        <f t="shared" si="304"/>
        <v>22.758750000000006</v>
      </c>
      <c r="BP634" t="s">
        <v>33</v>
      </c>
      <c r="BQ634" t="s">
        <v>33</v>
      </c>
      <c r="BR634" t="s">
        <v>33</v>
      </c>
      <c r="BS634" t="s">
        <v>33</v>
      </c>
      <c r="BT634" t="s">
        <v>31</v>
      </c>
      <c r="BU634" s="13" t="s">
        <v>135</v>
      </c>
      <c r="BV634" s="14">
        <v>2009</v>
      </c>
      <c r="BW634" s="13" t="s">
        <v>136</v>
      </c>
      <c r="BX634" t="s">
        <v>78</v>
      </c>
      <c r="BY634" s="13" t="s">
        <v>692</v>
      </c>
      <c r="CA634" t="str">
        <f t="shared" si="305"/>
        <v>high acid</v>
      </c>
    </row>
    <row r="635" spans="1:79">
      <c r="A635" t="s">
        <v>254</v>
      </c>
      <c r="B635" t="s">
        <v>566</v>
      </c>
      <c r="C635" t="s">
        <v>563</v>
      </c>
      <c r="D635" t="s">
        <v>33</v>
      </c>
      <c r="E635" t="s">
        <v>77</v>
      </c>
      <c r="F635" t="s">
        <v>32</v>
      </c>
      <c r="G635">
        <v>20</v>
      </c>
      <c r="H635">
        <v>54.5</v>
      </c>
      <c r="I635" t="b">
        <v>1</v>
      </c>
      <c r="J635" t="s">
        <v>33</v>
      </c>
      <c r="K635" t="s">
        <v>33</v>
      </c>
      <c r="L635">
        <v>30</v>
      </c>
      <c r="M635" s="4">
        <v>52</v>
      </c>
      <c r="N635" s="3">
        <f>IFERROR(AF635/((T635*X635/Y635)*O635*AI635),"NA")</f>
        <v>22.843705383387924</v>
      </c>
      <c r="O635">
        <v>3</v>
      </c>
      <c r="P635" t="s">
        <v>33</v>
      </c>
      <c r="Q635" s="8">
        <f t="shared" si="326"/>
        <v>0.34871794871794876</v>
      </c>
      <c r="R635" t="s">
        <v>183</v>
      </c>
      <c r="S635" t="s">
        <v>612</v>
      </c>
      <c r="T635" s="11">
        <v>1</v>
      </c>
      <c r="U635">
        <v>4.5</v>
      </c>
      <c r="V635" t="s">
        <v>33</v>
      </c>
      <c r="W635" t="s">
        <v>33</v>
      </c>
      <c r="X635">
        <f>U635*0.1*1.47</f>
        <v>0.66149999999999998</v>
      </c>
      <c r="Y635" s="6">
        <f>3000/3600</f>
        <v>0.83333333333333337</v>
      </c>
      <c r="Z635" s="3">
        <f t="shared" si="328"/>
        <v>1.8969485294117645</v>
      </c>
      <c r="AA635" t="s">
        <v>33</v>
      </c>
      <c r="AB635" s="6">
        <f t="shared" si="329"/>
        <v>18.133333333333333</v>
      </c>
      <c r="AC635" t="str">
        <f t="shared" si="330"/>
        <v>NA</v>
      </c>
      <c r="AD635" s="4">
        <f>IFERROR(AB635*T635*AI635, "NA")</f>
        <v>18.133333333333333</v>
      </c>
      <c r="AE635" s="3">
        <f t="shared" si="331"/>
        <v>132.19200000000001</v>
      </c>
      <c r="AF635">
        <v>54.4</v>
      </c>
      <c r="AG635" t="str">
        <f>IFERROR((M635*O635*P635), "NA")</f>
        <v>NA</v>
      </c>
      <c r="AH635" t="str">
        <f>IFERROR((AG635*T635*AI635), "NA")</f>
        <v>NA</v>
      </c>
      <c r="AI635" s="11">
        <v>1</v>
      </c>
      <c r="AJ635" t="s">
        <v>31</v>
      </c>
      <c r="AK635" s="11">
        <v>2700</v>
      </c>
      <c r="AL635" t="s">
        <v>149</v>
      </c>
      <c r="AM635" t="s">
        <v>86</v>
      </c>
      <c r="AN635" t="s">
        <v>205</v>
      </c>
      <c r="AO635" t="s">
        <v>789</v>
      </c>
      <c r="AP635">
        <v>3.5</v>
      </c>
      <c r="AQ635" t="s">
        <v>33</v>
      </c>
      <c r="AR635" t="s">
        <v>33</v>
      </c>
      <c r="AS635" s="6">
        <f>LOG(10^8)</f>
        <v>8</v>
      </c>
      <c r="AT635" s="3">
        <f>IFERROR(AS635-AU635,"NA")</f>
        <v>4.4000000000000004</v>
      </c>
      <c r="AU635" s="6">
        <v>3.6</v>
      </c>
      <c r="AV635" t="b">
        <v>1</v>
      </c>
      <c r="AW635" t="s">
        <v>29</v>
      </c>
      <c r="AX635" t="s">
        <v>30</v>
      </c>
      <c r="AY635" t="s">
        <v>33</v>
      </c>
      <c r="AZ635" t="s">
        <v>134</v>
      </c>
      <c r="BA635" s="18" t="s">
        <v>798</v>
      </c>
      <c r="BB635" t="b">
        <v>0</v>
      </c>
      <c r="BC635" t="s">
        <v>81</v>
      </c>
      <c r="BD635">
        <v>12</v>
      </c>
      <c r="BE635" t="s">
        <v>80</v>
      </c>
      <c r="BF635" s="11">
        <v>48</v>
      </c>
      <c r="BG635" t="s">
        <v>569</v>
      </c>
      <c r="BH635" t="s">
        <v>31</v>
      </c>
      <c r="BI635" t="s">
        <v>31</v>
      </c>
      <c r="BJ635" s="3">
        <f t="shared" si="308"/>
        <v>3.6</v>
      </c>
      <c r="BK635" s="3">
        <f t="shared" ref="BK635:BK696" si="332">LOG10(BJ635)</f>
        <v>0.55630250076728727</v>
      </c>
      <c r="BL635">
        <v>2</v>
      </c>
      <c r="BM635" s="3">
        <f t="shared" si="327"/>
        <v>1.5649026725292048</v>
      </c>
      <c r="BN635" t="s">
        <v>33</v>
      </c>
      <c r="BO635" s="3">
        <f t="shared" si="304"/>
        <v>36.72</v>
      </c>
      <c r="BP635" t="s">
        <v>33</v>
      </c>
      <c r="BQ635" t="s">
        <v>33</v>
      </c>
      <c r="BR635" t="s">
        <v>33</v>
      </c>
      <c r="BS635" t="s">
        <v>33</v>
      </c>
      <c r="BT635" t="s">
        <v>32</v>
      </c>
      <c r="BU635" t="s">
        <v>255</v>
      </c>
      <c r="BV635">
        <v>2011</v>
      </c>
      <c r="BW635" s="2" t="s">
        <v>256</v>
      </c>
      <c r="BX635" t="s">
        <v>78</v>
      </c>
      <c r="BY635" t="s">
        <v>33</v>
      </c>
      <c r="BZ635" t="s">
        <v>33</v>
      </c>
      <c r="CA635" t="str">
        <f t="shared" si="305"/>
        <v>high acid</v>
      </c>
    </row>
    <row r="636" spans="1:79">
      <c r="A636" t="s">
        <v>698</v>
      </c>
      <c r="B636" t="s">
        <v>566</v>
      </c>
      <c r="C636" t="s">
        <v>563</v>
      </c>
      <c r="D636" t="s">
        <v>699</v>
      </c>
      <c r="E636" t="s">
        <v>77</v>
      </c>
      <c r="F636" t="s">
        <v>32</v>
      </c>
      <c r="G636">
        <v>20</v>
      </c>
      <c r="H636">
        <v>64</v>
      </c>
      <c r="I636" t="b">
        <v>1</v>
      </c>
      <c r="J636" t="s">
        <v>33</v>
      </c>
      <c r="K636" t="s">
        <v>33</v>
      </c>
      <c r="L636">
        <v>20</v>
      </c>
      <c r="M636" s="4">
        <v>64</v>
      </c>
      <c r="N636" s="3">
        <f>IFERROR(AF636/((T636*X636/Y636)*O636*AI636),"NA")</f>
        <v>63.657407407407391</v>
      </c>
      <c r="O636">
        <v>5</v>
      </c>
      <c r="P636">
        <v>0.43</v>
      </c>
      <c r="Q636" s="8">
        <f>IFERROR(X636/Y636, "NA")</f>
        <v>0.43200000000000011</v>
      </c>
      <c r="R636" t="s">
        <v>183</v>
      </c>
      <c r="S636" t="s">
        <v>612</v>
      </c>
      <c r="T636" s="11">
        <v>1</v>
      </c>
      <c r="U636">
        <v>4</v>
      </c>
      <c r="V636" t="s">
        <v>33</v>
      </c>
      <c r="W636">
        <f>0.4*3*0.5</f>
        <v>0.60000000000000009</v>
      </c>
      <c r="X636" s="9">
        <f>W636</f>
        <v>0.60000000000000009</v>
      </c>
      <c r="Y636" s="6">
        <f>5000/3600</f>
        <v>1.3888888888888888</v>
      </c>
      <c r="Z636" s="3">
        <f t="shared" si="328"/>
        <v>1.3963636363636365</v>
      </c>
      <c r="AA636" t="s">
        <v>33</v>
      </c>
      <c r="AB636" s="4">
        <f>IFERROR(((X636*M636)/Y636), "NA")</f>
        <v>27.648000000000007</v>
      </c>
      <c r="AC636" s="4">
        <f t="shared" si="330"/>
        <v>27.52</v>
      </c>
      <c r="AD636" s="4">
        <f>AB636*T636*AI636</f>
        <v>27.648000000000007</v>
      </c>
      <c r="AE636" s="3">
        <f t="shared" si="331"/>
        <v>110.59200000000003</v>
      </c>
      <c r="AF636">
        <v>137.5</v>
      </c>
      <c r="AG636" s="4">
        <f>IFERROR((M636*O636*P636), "NA")</f>
        <v>137.6</v>
      </c>
      <c r="AH636" s="4">
        <f>IFERROR((AG636*T636*AI636), "NA")</f>
        <v>137.6</v>
      </c>
      <c r="AI636">
        <v>1</v>
      </c>
      <c r="AJ636" s="11" t="s">
        <v>31</v>
      </c>
      <c r="AK636">
        <v>2000</v>
      </c>
      <c r="AL636" t="s">
        <v>784</v>
      </c>
      <c r="AM636" t="s">
        <v>103</v>
      </c>
      <c r="AN636" t="s">
        <v>130</v>
      </c>
      <c r="AO636" t="s">
        <v>795</v>
      </c>
      <c r="AP636">
        <v>7</v>
      </c>
      <c r="AQ636" t="s">
        <v>33</v>
      </c>
      <c r="AR636" t="s">
        <v>33</v>
      </c>
      <c r="AS636" s="6">
        <f>LOG(AVERAGE(10^8, 10^9))</f>
        <v>8.7403626894942441</v>
      </c>
      <c r="AT636" s="3">
        <f>IFERROR(AS636-AU636,"NA")</f>
        <v>4.4013626894942437</v>
      </c>
      <c r="AU636" s="6">
        <v>4.3390000000000004</v>
      </c>
      <c r="AV636" t="b">
        <v>1</v>
      </c>
      <c r="AW636" t="s">
        <v>29</v>
      </c>
      <c r="AX636" t="s">
        <v>30</v>
      </c>
      <c r="AY636" t="s">
        <v>361</v>
      </c>
      <c r="AZ636" t="s">
        <v>33</v>
      </c>
      <c r="BA636" s="18" t="s">
        <v>798</v>
      </c>
      <c r="BB636" s="3" t="b">
        <v>0</v>
      </c>
      <c r="BC636" t="s">
        <v>81</v>
      </c>
      <c r="BD636">
        <v>24</v>
      </c>
      <c r="BE636" t="s">
        <v>80</v>
      </c>
      <c r="BF636">
        <v>24</v>
      </c>
      <c r="BG636" t="s">
        <v>568</v>
      </c>
      <c r="BH636" t="s">
        <v>31</v>
      </c>
      <c r="BI636" t="s">
        <v>31</v>
      </c>
      <c r="BJ636" s="3">
        <f t="shared" si="308"/>
        <v>4.3390000000000004</v>
      </c>
      <c r="BK636" s="3">
        <f t="shared" si="332"/>
        <v>0.637389650129212</v>
      </c>
      <c r="BL636">
        <v>2</v>
      </c>
      <c r="BM636" s="3">
        <f t="shared" si="327"/>
        <v>1.4063340619975497</v>
      </c>
      <c r="BN636" t="s">
        <v>33</v>
      </c>
      <c r="BO636" s="3">
        <f t="shared" si="304"/>
        <v>25.487900437888918</v>
      </c>
      <c r="BP636" t="s">
        <v>33</v>
      </c>
      <c r="BQ636" t="s">
        <v>33</v>
      </c>
      <c r="BR636" t="s">
        <v>33</v>
      </c>
      <c r="BS636" t="s">
        <v>33</v>
      </c>
      <c r="BT636" t="s">
        <v>32</v>
      </c>
      <c r="BU636" t="s">
        <v>709</v>
      </c>
      <c r="BV636">
        <v>2024</v>
      </c>
      <c r="BW636" t="s">
        <v>710</v>
      </c>
      <c r="BX636" t="s">
        <v>78</v>
      </c>
      <c r="BY636" t="s">
        <v>711</v>
      </c>
      <c r="CA636" t="str">
        <f t="shared" si="305"/>
        <v>low acid</v>
      </c>
    </row>
    <row r="637" spans="1:79">
      <c r="A637" t="s">
        <v>535</v>
      </c>
      <c r="B637" t="s">
        <v>565</v>
      </c>
      <c r="C637" t="s">
        <v>564</v>
      </c>
      <c r="D637" t="s">
        <v>243</v>
      </c>
      <c r="E637" t="s">
        <v>77</v>
      </c>
      <c r="F637" t="s">
        <v>32</v>
      </c>
      <c r="G637">
        <v>40</v>
      </c>
      <c r="H637">
        <v>43</v>
      </c>
      <c r="I637" t="b">
        <v>0</v>
      </c>
      <c r="J637" t="s">
        <v>33</v>
      </c>
      <c r="K637" t="s">
        <v>33</v>
      </c>
      <c r="L637">
        <v>18</v>
      </c>
      <c r="M637" s="4">
        <v>120</v>
      </c>
      <c r="N637" s="3">
        <f>IFERROR(AF637/((T637*X637/Y637)*O637*AI637),"NA")</f>
        <v>85.018666181567994</v>
      </c>
      <c r="O637">
        <v>3</v>
      </c>
      <c r="P637" t="s">
        <v>33</v>
      </c>
      <c r="Q637" s="9">
        <f>IFERROR(X637/Z637, "NA")</f>
        <v>2.7083333333333331E-2</v>
      </c>
      <c r="R637" t="s">
        <v>183</v>
      </c>
      <c r="S637" t="s">
        <v>612</v>
      </c>
      <c r="T637" s="11">
        <v>4</v>
      </c>
      <c r="U637">
        <v>3</v>
      </c>
      <c r="V637">
        <v>2.6</v>
      </c>
      <c r="W637">
        <v>1.5900000000000001E-2</v>
      </c>
      <c r="X637" s="8">
        <f>IFERROR(((PI())*(((V637*10^-1)/2)^2)*(U637*10^-1)), "NA")</f>
        <v>1.5927874753700257E-2</v>
      </c>
      <c r="Y637" s="6">
        <f>25/60</f>
        <v>0.41666666666666669</v>
      </c>
      <c r="Z637" s="3">
        <f t="shared" si="328"/>
        <v>0.58810614475200951</v>
      </c>
      <c r="AA637" t="s">
        <v>33</v>
      </c>
      <c r="AB637" s="6">
        <f>IFERROR(((X637*M637)/Z637), "NA")</f>
        <v>3.25</v>
      </c>
      <c r="AC637" t="str">
        <f t="shared" si="330"/>
        <v>NA</v>
      </c>
      <c r="AD637" s="4">
        <f>IFERROR(AB637*T637*AI637, "NA")</f>
        <v>13</v>
      </c>
      <c r="AE637" s="3">
        <f t="shared" si="331"/>
        <v>11.625119999999997</v>
      </c>
      <c r="AF637">
        <v>39</v>
      </c>
      <c r="AG637" t="str">
        <f>IFERROR((M637*O637*P637), "NA")</f>
        <v>NA</v>
      </c>
      <c r="AH637" t="str">
        <f>IFERROR((AG637*T637*AI637), "NA")</f>
        <v>NA</v>
      </c>
      <c r="AI637" s="11">
        <v>1</v>
      </c>
      <c r="AJ637" t="s">
        <v>31</v>
      </c>
      <c r="AK637">
        <v>920</v>
      </c>
      <c r="AL637" t="s">
        <v>551</v>
      </c>
      <c r="AM637" t="s">
        <v>86</v>
      </c>
      <c r="AN637" t="s">
        <v>186</v>
      </c>
      <c r="AO637" t="s">
        <v>794</v>
      </c>
      <c r="AP637">
        <v>5.92</v>
      </c>
      <c r="AQ637" t="s">
        <v>33</v>
      </c>
      <c r="AR637" t="s">
        <v>33</v>
      </c>
      <c r="AS637" s="6">
        <f>LOG(1.1*10^7)</f>
        <v>7.0413926851582254</v>
      </c>
      <c r="AT637" s="3">
        <f>IFERROR(AS637-AU637,"NA")</f>
        <v>4.4053926851582252</v>
      </c>
      <c r="AU637" s="6">
        <v>2.6360000000000001</v>
      </c>
      <c r="AV637" t="b">
        <v>1</v>
      </c>
      <c r="AW637" t="s">
        <v>172</v>
      </c>
      <c r="AX637" t="s">
        <v>173</v>
      </c>
      <c r="AY637" t="s">
        <v>246</v>
      </c>
      <c r="AZ637" t="s">
        <v>33</v>
      </c>
      <c r="BA637" s="18" t="s">
        <v>799</v>
      </c>
      <c r="BB637" t="b">
        <v>0</v>
      </c>
      <c r="BC637" t="s">
        <v>81</v>
      </c>
      <c r="BD637">
        <v>72</v>
      </c>
      <c r="BE637" t="s">
        <v>80</v>
      </c>
      <c r="BF637" s="11">
        <v>72</v>
      </c>
      <c r="BG637" t="s">
        <v>522</v>
      </c>
      <c r="BH637" t="s">
        <v>31</v>
      </c>
      <c r="BI637" t="s">
        <v>31</v>
      </c>
      <c r="BJ637" s="3">
        <f t="shared" si="308"/>
        <v>2.6360000000000001</v>
      </c>
      <c r="BK637" s="3">
        <f t="shared" si="332"/>
        <v>0.42094540592197227</v>
      </c>
      <c r="BL637">
        <v>2</v>
      </c>
      <c r="BM637" s="3">
        <f t="shared" si="327"/>
        <v>0.6444520386566942</v>
      </c>
      <c r="BN637" t="s">
        <v>33</v>
      </c>
      <c r="BO637" s="3">
        <f t="shared" si="304"/>
        <v>4.4101365705614555</v>
      </c>
      <c r="BP637" t="s">
        <v>33</v>
      </c>
      <c r="BQ637" t="s">
        <v>33</v>
      </c>
      <c r="BR637" t="s">
        <v>33</v>
      </c>
      <c r="BS637" t="s">
        <v>33</v>
      </c>
      <c r="BT637" t="s">
        <v>32</v>
      </c>
      <c r="BU637" t="s">
        <v>207</v>
      </c>
      <c r="BV637">
        <v>2014</v>
      </c>
      <c r="BW637" s="2" t="s">
        <v>242</v>
      </c>
      <c r="BX637" t="s">
        <v>78</v>
      </c>
      <c r="BY637" t="s">
        <v>33</v>
      </c>
      <c r="BZ637" t="s">
        <v>33</v>
      </c>
      <c r="CA637" t="str">
        <f t="shared" si="305"/>
        <v>low acid</v>
      </c>
    </row>
    <row r="638" spans="1:79">
      <c r="A638" t="s">
        <v>733</v>
      </c>
      <c r="B638" t="s">
        <v>566</v>
      </c>
      <c r="C638" t="s">
        <v>563</v>
      </c>
      <c r="D638" t="s">
        <v>699</v>
      </c>
      <c r="E638" t="s">
        <v>77</v>
      </c>
      <c r="F638" t="s">
        <v>32</v>
      </c>
      <c r="G638">
        <v>20</v>
      </c>
      <c r="H638">
        <v>42.5</v>
      </c>
      <c r="I638" t="b">
        <v>1</v>
      </c>
      <c r="J638" t="s">
        <v>33</v>
      </c>
      <c r="K638" t="s">
        <v>33</v>
      </c>
      <c r="L638">
        <v>20</v>
      </c>
      <c r="M638" s="4">
        <v>47</v>
      </c>
      <c r="N638" s="3">
        <f>IFERROR(AF638/((T638*X638/Y638)*O638*AI638),"NA")</f>
        <v>46.759259259259245</v>
      </c>
      <c r="O638">
        <v>5</v>
      </c>
      <c r="P638">
        <v>0.43</v>
      </c>
      <c r="Q638" s="8">
        <f>IFERROR(X638/Y638, "NA")</f>
        <v>0.43200000000000011</v>
      </c>
      <c r="R638" t="s">
        <v>183</v>
      </c>
      <c r="S638" t="s">
        <v>612</v>
      </c>
      <c r="T638" s="11">
        <v>1</v>
      </c>
      <c r="U638">
        <v>4</v>
      </c>
      <c r="V638" t="s">
        <v>33</v>
      </c>
      <c r="W638">
        <f>0.4*3*0.5</f>
        <v>0.60000000000000009</v>
      </c>
      <c r="X638" s="9">
        <f>W638</f>
        <v>0.60000000000000009</v>
      </c>
      <c r="Y638" s="6">
        <f>5000/3600</f>
        <v>1.3888888888888888</v>
      </c>
      <c r="Z638" s="3">
        <f t="shared" si="328"/>
        <v>1.3960396039603959</v>
      </c>
      <c r="AA638" t="s">
        <v>33</v>
      </c>
      <c r="AB638" s="4">
        <f>IFERROR(((X638*M638)/Y638), "NA")</f>
        <v>20.304000000000002</v>
      </c>
      <c r="AC638" s="4">
        <f t="shared" si="330"/>
        <v>20.21</v>
      </c>
      <c r="AD638" s="4">
        <f>AB638*T638*AI638</f>
        <v>20.304000000000002</v>
      </c>
      <c r="AE638" s="3">
        <f t="shared" si="331"/>
        <v>81.216000000000022</v>
      </c>
      <c r="AF638">
        <v>101</v>
      </c>
      <c r="AG638" s="4">
        <f>IFERROR((M638*O638*P638), "NA")</f>
        <v>101.05</v>
      </c>
      <c r="AH638" s="4">
        <f>IFERROR((AG638*T638*AI638), "NA")</f>
        <v>101.05</v>
      </c>
      <c r="AI638">
        <v>1</v>
      </c>
      <c r="AJ638" s="11" t="s">
        <v>31</v>
      </c>
      <c r="AK638">
        <v>2000</v>
      </c>
      <c r="AL638" t="s">
        <v>784</v>
      </c>
      <c r="AM638" t="s">
        <v>103</v>
      </c>
      <c r="AN638" t="s">
        <v>130</v>
      </c>
      <c r="AO638" t="s">
        <v>795</v>
      </c>
      <c r="AP638">
        <v>7</v>
      </c>
      <c r="AQ638" t="s">
        <v>33</v>
      </c>
      <c r="AR638" t="s">
        <v>33</v>
      </c>
      <c r="AS638" s="6">
        <f>LOG(AVERAGE(10^8, 10^9))</f>
        <v>8.7403626894942441</v>
      </c>
      <c r="AT638" s="3">
        <f>IFERROR(AS638-AU638,"NA")</f>
        <v>4.4063626894942445</v>
      </c>
      <c r="AU638" s="6">
        <v>4.3339999999999996</v>
      </c>
      <c r="AV638" t="b">
        <v>1</v>
      </c>
      <c r="AW638" t="s">
        <v>172</v>
      </c>
      <c r="AX638" t="s">
        <v>173</v>
      </c>
      <c r="AY638">
        <v>28.031500000000001</v>
      </c>
      <c r="AZ638" t="s">
        <v>33</v>
      </c>
      <c r="BA638" s="18" t="s">
        <v>799</v>
      </c>
      <c r="BB638" s="3" t="b">
        <v>0</v>
      </c>
      <c r="BC638" t="s">
        <v>81</v>
      </c>
      <c r="BD638">
        <v>24</v>
      </c>
      <c r="BE638" t="s">
        <v>80</v>
      </c>
      <c r="BF638">
        <v>48</v>
      </c>
      <c r="BG638" t="s">
        <v>734</v>
      </c>
      <c r="BH638" t="s">
        <v>31</v>
      </c>
      <c r="BI638" t="s">
        <v>31</v>
      </c>
      <c r="BJ638" s="3">
        <f t="shared" si="308"/>
        <v>4.3339999999999996</v>
      </c>
      <c r="BK638" s="3">
        <f t="shared" si="332"/>
        <v>0.63688890698379907</v>
      </c>
      <c r="BL638">
        <v>2</v>
      </c>
      <c r="BM638" s="3">
        <f t="shared" si="327"/>
        <v>1.2727526890947929</v>
      </c>
      <c r="BN638" t="s">
        <v>33</v>
      </c>
      <c r="BO638" s="3">
        <f t="shared" si="304"/>
        <v>18.739270881402867</v>
      </c>
      <c r="BP638" t="s">
        <v>33</v>
      </c>
      <c r="BQ638" t="s">
        <v>33</v>
      </c>
      <c r="BR638" t="s">
        <v>33</v>
      </c>
      <c r="BS638" t="s">
        <v>33</v>
      </c>
      <c r="BT638" t="s">
        <v>32</v>
      </c>
      <c r="BU638" t="s">
        <v>709</v>
      </c>
      <c r="BV638">
        <v>2024</v>
      </c>
      <c r="BW638" t="s">
        <v>710</v>
      </c>
      <c r="BX638" t="s">
        <v>78</v>
      </c>
      <c r="BY638" t="s">
        <v>711</v>
      </c>
      <c r="CA638" t="str">
        <f t="shared" si="305"/>
        <v>low acid</v>
      </c>
    </row>
    <row r="639" spans="1:79">
      <c r="A639" t="s">
        <v>595</v>
      </c>
      <c r="B639" t="s">
        <v>565</v>
      </c>
      <c r="C639" t="s">
        <v>564</v>
      </c>
      <c r="D639" t="s">
        <v>609</v>
      </c>
      <c r="E639" t="s">
        <v>77</v>
      </c>
      <c r="F639" t="s">
        <v>32</v>
      </c>
      <c r="G639">
        <v>30</v>
      </c>
      <c r="H639">
        <v>38.200000000000003</v>
      </c>
      <c r="I639" t="b">
        <v>0</v>
      </c>
      <c r="J639" t="s">
        <v>33</v>
      </c>
      <c r="K639" t="s">
        <v>33</v>
      </c>
      <c r="L639">
        <v>18</v>
      </c>
      <c r="M639" s="4">
        <v>120</v>
      </c>
      <c r="N639" t="e">
        <f>(#REF!*Y639)/(T639*X639*O639)</f>
        <v>#REF!</v>
      </c>
      <c r="O639">
        <v>3</v>
      </c>
      <c r="P639" t="s">
        <v>33</v>
      </c>
      <c r="Q639" s="1">
        <f>IFERROR(X639/Z639, "NA")</f>
        <v>0.125</v>
      </c>
      <c r="R639" t="s">
        <v>183</v>
      </c>
      <c r="S639" t="s">
        <v>612</v>
      </c>
      <c r="T639">
        <v>4</v>
      </c>
      <c r="U639">
        <v>3</v>
      </c>
      <c r="V639">
        <v>2.6</v>
      </c>
      <c r="W639" t="s">
        <v>33</v>
      </c>
      <c r="X639">
        <f>IFERROR(((PI())*(((V639*10^-1)/2)^2)*(U639*10^-1)), "NA")</f>
        <v>1.5927874753700257E-2</v>
      </c>
      <c r="Y639">
        <v>0.126667</v>
      </c>
      <c r="Z639" s="3">
        <f t="shared" si="328"/>
        <v>0.12742299802960205</v>
      </c>
      <c r="AA639" t="s">
        <v>33</v>
      </c>
      <c r="AB639">
        <f>IFERROR(((X639*M639)/Z639), "NA")</f>
        <v>15</v>
      </c>
      <c r="AC639" s="1" t="str">
        <f t="shared" si="330"/>
        <v>NA</v>
      </c>
      <c r="AE639" s="3">
        <f t="shared" si="331"/>
        <v>57.153599999999997</v>
      </c>
      <c r="AF639">
        <v>180</v>
      </c>
      <c r="AG639" s="1" t="str">
        <f>IFERROR((N639*P639*Q639), "NA")</f>
        <v>NA</v>
      </c>
      <c r="AH639" s="1" t="str">
        <f>IFERROR((AG639*U639*AI639), "NA")</f>
        <v>NA</v>
      </c>
      <c r="AI639" s="1">
        <v>1</v>
      </c>
      <c r="AJ639" s="11" t="s">
        <v>31</v>
      </c>
      <c r="AK639">
        <v>980</v>
      </c>
      <c r="AL639" t="s">
        <v>551</v>
      </c>
      <c r="AM639" t="s">
        <v>86</v>
      </c>
      <c r="AN639" t="s">
        <v>186</v>
      </c>
      <c r="AO639" t="s">
        <v>794</v>
      </c>
      <c r="AP639">
        <v>5.98</v>
      </c>
      <c r="AQ639" t="s">
        <v>33</v>
      </c>
      <c r="AR639" t="s">
        <v>33</v>
      </c>
      <c r="AS639">
        <v>6</v>
      </c>
      <c r="AT639">
        <f>AS639-AU639</f>
        <v>4.41</v>
      </c>
      <c r="AU639" s="6">
        <v>1.59</v>
      </c>
      <c r="AV639" t="b">
        <v>1</v>
      </c>
      <c r="AW639" t="s">
        <v>626</v>
      </c>
      <c r="AX639" t="s">
        <v>627</v>
      </c>
      <c r="AY639" t="s">
        <v>631</v>
      </c>
      <c r="AZ639" t="s">
        <v>33</v>
      </c>
      <c r="BA639" s="18" t="s">
        <v>800</v>
      </c>
      <c r="BB639" s="3" t="b">
        <v>0</v>
      </c>
      <c r="BC639" t="s">
        <v>81</v>
      </c>
      <c r="BD639">
        <v>20</v>
      </c>
      <c r="BE639" t="s">
        <v>80</v>
      </c>
      <c r="BF639">
        <v>20</v>
      </c>
      <c r="BG639" t="s">
        <v>695</v>
      </c>
      <c r="BH639" t="s">
        <v>32</v>
      </c>
      <c r="BI639" t="s">
        <v>31</v>
      </c>
      <c r="BJ639">
        <f t="shared" si="308"/>
        <v>1.59</v>
      </c>
      <c r="BK639" s="3">
        <f t="shared" si="332"/>
        <v>0.20139712432045151</v>
      </c>
      <c r="BL639">
        <v>2</v>
      </c>
      <c r="BM639" s="3">
        <f t="shared" si="327"/>
        <v>1.5556464666819616</v>
      </c>
      <c r="BN639" t="s">
        <v>33</v>
      </c>
      <c r="BO639" s="3">
        <f t="shared" si="304"/>
        <v>35.945660377358486</v>
      </c>
      <c r="BP639" t="s">
        <v>33</v>
      </c>
      <c r="BQ639" t="s">
        <v>33</v>
      </c>
      <c r="BR639" t="s">
        <v>33</v>
      </c>
      <c r="BS639" t="s">
        <v>33</v>
      </c>
      <c r="BT639" t="s">
        <v>32</v>
      </c>
      <c r="BU639" t="s">
        <v>207</v>
      </c>
      <c r="BV639">
        <v>2014</v>
      </c>
      <c r="BW639" t="s">
        <v>208</v>
      </c>
      <c r="BX639" t="s">
        <v>78</v>
      </c>
      <c r="BY639" s="13" t="s">
        <v>683</v>
      </c>
      <c r="CA639" t="str">
        <f t="shared" si="305"/>
        <v>low acid</v>
      </c>
    </row>
    <row r="640" spans="1:79">
      <c r="A640" t="s">
        <v>698</v>
      </c>
      <c r="B640" t="s">
        <v>566</v>
      </c>
      <c r="C640" t="s">
        <v>563</v>
      </c>
      <c r="D640" t="s">
        <v>699</v>
      </c>
      <c r="E640" t="s">
        <v>77</v>
      </c>
      <c r="F640" t="s">
        <v>32</v>
      </c>
      <c r="G640">
        <v>20</v>
      </c>
      <c r="H640">
        <v>42.5</v>
      </c>
      <c r="I640" t="b">
        <v>1</v>
      </c>
      <c r="J640" t="s">
        <v>33</v>
      </c>
      <c r="K640" t="s">
        <v>33</v>
      </c>
      <c r="L640">
        <v>20</v>
      </c>
      <c r="M640" s="4">
        <v>47</v>
      </c>
      <c r="N640" s="3">
        <f t="shared" ref="N640:N645" si="333">IFERROR(AF640/((T640*X640/Y640)*O640*AI640),"NA")</f>
        <v>46.759259259259245</v>
      </c>
      <c r="O640">
        <v>5</v>
      </c>
      <c r="P640">
        <v>0.43</v>
      </c>
      <c r="Q640" s="8">
        <f>IFERROR(X640/Y640, "NA")</f>
        <v>0.43200000000000011</v>
      </c>
      <c r="R640" t="s">
        <v>183</v>
      </c>
      <c r="S640" t="s">
        <v>612</v>
      </c>
      <c r="T640" s="11">
        <v>1</v>
      </c>
      <c r="U640">
        <v>4</v>
      </c>
      <c r="V640" t="s">
        <v>33</v>
      </c>
      <c r="W640">
        <f>0.4*3*0.5</f>
        <v>0.60000000000000009</v>
      </c>
      <c r="X640" s="9">
        <f>W640</f>
        <v>0.60000000000000009</v>
      </c>
      <c r="Y640" s="6">
        <f>5000/3600</f>
        <v>1.3888888888888888</v>
      </c>
      <c r="Z640" s="3">
        <f t="shared" si="328"/>
        <v>1.3960396039603959</v>
      </c>
      <c r="AA640" t="s">
        <v>33</v>
      </c>
      <c r="AB640" s="4">
        <f>IFERROR(((X640*M640)/Y640), "NA")</f>
        <v>20.304000000000002</v>
      </c>
      <c r="AC640" s="4">
        <f t="shared" si="330"/>
        <v>20.21</v>
      </c>
      <c r="AD640" s="4">
        <f>AB640*T640*AI640</f>
        <v>20.304000000000002</v>
      </c>
      <c r="AE640" s="3">
        <f t="shared" si="331"/>
        <v>81.216000000000022</v>
      </c>
      <c r="AF640">
        <v>101</v>
      </c>
      <c r="AG640" s="4">
        <f t="shared" ref="AG640:AG645" si="334">IFERROR((M640*O640*P640), "NA")</f>
        <v>101.05</v>
      </c>
      <c r="AH640" s="4">
        <f t="shared" ref="AH640:AH645" si="335">IFERROR((AG640*T640*AI640), "NA")</f>
        <v>101.05</v>
      </c>
      <c r="AI640">
        <v>1</v>
      </c>
      <c r="AJ640" s="11" t="s">
        <v>31</v>
      </c>
      <c r="AK640">
        <v>2000</v>
      </c>
      <c r="AL640" t="s">
        <v>784</v>
      </c>
      <c r="AM640" t="s">
        <v>103</v>
      </c>
      <c r="AN640" t="s">
        <v>130</v>
      </c>
      <c r="AO640" t="s">
        <v>795</v>
      </c>
      <c r="AP640">
        <v>7</v>
      </c>
      <c r="AQ640" t="s">
        <v>33</v>
      </c>
      <c r="AR640" t="s">
        <v>33</v>
      </c>
      <c r="AS640" s="6">
        <f>LOG(AVERAGE(10^8, 10^9))</f>
        <v>8.7403626894942441</v>
      </c>
      <c r="AT640" s="3">
        <f t="shared" ref="AT640:AT645" si="336">IFERROR(AS640-AU640,"NA")</f>
        <v>4.4123626894942438</v>
      </c>
      <c r="AU640" s="6">
        <v>4.3280000000000003</v>
      </c>
      <c r="AV640" t="b">
        <v>1</v>
      </c>
      <c r="AW640" t="s">
        <v>29</v>
      </c>
      <c r="AX640" t="s">
        <v>30</v>
      </c>
      <c r="AY640" t="s">
        <v>703</v>
      </c>
      <c r="AZ640" t="s">
        <v>33</v>
      </c>
      <c r="BA640" s="18" t="s">
        <v>798</v>
      </c>
      <c r="BB640" s="3" t="b">
        <v>0</v>
      </c>
      <c r="BC640" t="s">
        <v>81</v>
      </c>
      <c r="BD640">
        <v>24</v>
      </c>
      <c r="BE640" t="s">
        <v>80</v>
      </c>
      <c r="BF640">
        <v>24</v>
      </c>
      <c r="BG640" t="s">
        <v>568</v>
      </c>
      <c r="BH640" t="s">
        <v>31</v>
      </c>
      <c r="BI640" t="s">
        <v>31</v>
      </c>
      <c r="BJ640" s="3">
        <f t="shared" si="308"/>
        <v>4.3280000000000003</v>
      </c>
      <c r="BK640" s="3">
        <f t="shared" si="332"/>
        <v>0.636287252098513</v>
      </c>
      <c r="BL640">
        <v>2</v>
      </c>
      <c r="BM640" s="3">
        <f t="shared" si="327"/>
        <v>1.273354343980079</v>
      </c>
      <c r="BN640" t="s">
        <v>33</v>
      </c>
      <c r="BO640" s="3">
        <f t="shared" si="304"/>
        <v>18.765249537892796</v>
      </c>
      <c r="BP640" t="s">
        <v>33</v>
      </c>
      <c r="BQ640" t="s">
        <v>33</v>
      </c>
      <c r="BR640" t="s">
        <v>33</v>
      </c>
      <c r="BS640" t="s">
        <v>33</v>
      </c>
      <c r="BT640" t="s">
        <v>32</v>
      </c>
      <c r="BU640" t="s">
        <v>709</v>
      </c>
      <c r="BV640">
        <v>2024</v>
      </c>
      <c r="BW640" t="s">
        <v>710</v>
      </c>
      <c r="BX640" t="s">
        <v>78</v>
      </c>
      <c r="BY640" t="s">
        <v>711</v>
      </c>
      <c r="CA640" t="str">
        <f t="shared" si="305"/>
        <v>low acid</v>
      </c>
    </row>
    <row r="641" spans="1:79">
      <c r="A641" t="s">
        <v>733</v>
      </c>
      <c r="B641" t="s">
        <v>566</v>
      </c>
      <c r="C641" t="s">
        <v>563</v>
      </c>
      <c r="D641" t="s">
        <v>699</v>
      </c>
      <c r="E641" t="s">
        <v>77</v>
      </c>
      <c r="F641" t="s">
        <v>32</v>
      </c>
      <c r="G641">
        <v>20</v>
      </c>
      <c r="H641">
        <v>64</v>
      </c>
      <c r="I641" t="b">
        <v>1</v>
      </c>
      <c r="J641" t="s">
        <v>33</v>
      </c>
      <c r="K641" t="s">
        <v>33</v>
      </c>
      <c r="L641">
        <v>20</v>
      </c>
      <c r="M641" s="4">
        <v>64</v>
      </c>
      <c r="N641" s="3">
        <f t="shared" si="333"/>
        <v>63.657407407407391</v>
      </c>
      <c r="O641">
        <v>5</v>
      </c>
      <c r="P641">
        <v>0.43</v>
      </c>
      <c r="Q641" s="8">
        <f>IFERROR(X641/Y641, "NA")</f>
        <v>0.43200000000000011</v>
      </c>
      <c r="R641" t="s">
        <v>183</v>
      </c>
      <c r="S641" t="s">
        <v>612</v>
      </c>
      <c r="T641" s="11">
        <v>1</v>
      </c>
      <c r="U641">
        <v>4</v>
      </c>
      <c r="V641" t="s">
        <v>33</v>
      </c>
      <c r="W641">
        <f>0.4*3*0.5</f>
        <v>0.60000000000000009</v>
      </c>
      <c r="X641" s="9">
        <f>W641</f>
        <v>0.60000000000000009</v>
      </c>
      <c r="Y641" s="6">
        <f>5000/3600</f>
        <v>1.3888888888888888</v>
      </c>
      <c r="Z641" s="3">
        <f t="shared" si="328"/>
        <v>1.3963636363636365</v>
      </c>
      <c r="AA641" t="s">
        <v>33</v>
      </c>
      <c r="AB641" s="4">
        <f>IFERROR(((X641*M641)/Y641), "NA")</f>
        <v>27.648000000000007</v>
      </c>
      <c r="AC641" s="4">
        <f t="shared" si="330"/>
        <v>27.52</v>
      </c>
      <c r="AD641" s="4">
        <f>AB641*T641*AI641</f>
        <v>27.648000000000007</v>
      </c>
      <c r="AE641" s="3">
        <f t="shared" si="331"/>
        <v>110.59200000000003</v>
      </c>
      <c r="AF641">
        <v>137.5</v>
      </c>
      <c r="AG641" s="4">
        <f t="shared" si="334"/>
        <v>137.6</v>
      </c>
      <c r="AH641" s="4">
        <f t="shared" si="335"/>
        <v>137.6</v>
      </c>
      <c r="AI641">
        <v>1</v>
      </c>
      <c r="AJ641" s="11" t="s">
        <v>31</v>
      </c>
      <c r="AK641">
        <v>2000</v>
      </c>
      <c r="AL641" t="s">
        <v>784</v>
      </c>
      <c r="AM641" t="s">
        <v>103</v>
      </c>
      <c r="AN641" t="s">
        <v>130</v>
      </c>
      <c r="AO641" t="s">
        <v>795</v>
      </c>
      <c r="AP641">
        <v>7</v>
      </c>
      <c r="AQ641" t="s">
        <v>33</v>
      </c>
      <c r="AR641" t="s">
        <v>33</v>
      </c>
      <c r="AS641" s="6">
        <f>LOG(AVERAGE(10^8, 10^9))</f>
        <v>8.7403626894942441</v>
      </c>
      <c r="AT641" s="3">
        <f t="shared" si="336"/>
        <v>4.4153626894942439</v>
      </c>
      <c r="AU641" s="6">
        <v>4.3250000000000002</v>
      </c>
      <c r="AV641" t="b">
        <v>1</v>
      </c>
      <c r="AW641" t="s">
        <v>172</v>
      </c>
      <c r="AX641" t="s">
        <v>173</v>
      </c>
      <c r="AY641" t="s">
        <v>738</v>
      </c>
      <c r="AZ641" t="s">
        <v>33</v>
      </c>
      <c r="BA641" s="18" t="s">
        <v>799</v>
      </c>
      <c r="BB641" s="3" t="b">
        <v>0</v>
      </c>
      <c r="BC641" t="s">
        <v>81</v>
      </c>
      <c r="BD641">
        <v>24</v>
      </c>
      <c r="BE641" t="s">
        <v>80</v>
      </c>
      <c r="BF641">
        <v>48</v>
      </c>
      <c r="BG641" t="s">
        <v>734</v>
      </c>
      <c r="BH641" t="s">
        <v>31</v>
      </c>
      <c r="BI641" t="s">
        <v>31</v>
      </c>
      <c r="BJ641" s="3">
        <f t="shared" si="308"/>
        <v>4.3250000000000002</v>
      </c>
      <c r="BK641" s="3">
        <f t="shared" si="332"/>
        <v>0.63598611180083309</v>
      </c>
      <c r="BL641">
        <v>2</v>
      </c>
      <c r="BM641" s="3">
        <f t="shared" si="327"/>
        <v>1.4077376003259288</v>
      </c>
      <c r="BN641" t="s">
        <v>33</v>
      </c>
      <c r="BO641" s="3">
        <f t="shared" si="304"/>
        <v>25.570404624277462</v>
      </c>
      <c r="BP641" t="s">
        <v>33</v>
      </c>
      <c r="BQ641" t="s">
        <v>33</v>
      </c>
      <c r="BR641" t="s">
        <v>33</v>
      </c>
      <c r="BS641" t="s">
        <v>33</v>
      </c>
      <c r="BT641" t="s">
        <v>32</v>
      </c>
      <c r="BU641" t="s">
        <v>709</v>
      </c>
      <c r="BV641">
        <v>2024</v>
      </c>
      <c r="BW641" t="s">
        <v>710</v>
      </c>
      <c r="BX641" t="s">
        <v>78</v>
      </c>
      <c r="BY641" t="s">
        <v>711</v>
      </c>
      <c r="CA641" t="str">
        <f t="shared" si="305"/>
        <v>low acid</v>
      </c>
    </row>
    <row r="642" spans="1:79">
      <c r="A642" t="s">
        <v>325</v>
      </c>
      <c r="B642" t="s">
        <v>565</v>
      </c>
      <c r="C642" t="s">
        <v>563</v>
      </c>
      <c r="D642" t="s">
        <v>304</v>
      </c>
      <c r="E642" t="s">
        <v>77</v>
      </c>
      <c r="F642" t="s">
        <v>32</v>
      </c>
      <c r="G642">
        <v>30</v>
      </c>
      <c r="H642">
        <v>32.4</v>
      </c>
      <c r="I642" t="b">
        <v>1</v>
      </c>
      <c r="J642">
        <v>12600</v>
      </c>
      <c r="K642">
        <v>50.4</v>
      </c>
      <c r="L642">
        <v>29.4</v>
      </c>
      <c r="M642" s="4">
        <v>99</v>
      </c>
      <c r="N642" s="3">
        <f t="shared" si="333"/>
        <v>99.861925077267628</v>
      </c>
      <c r="O642">
        <v>5</v>
      </c>
      <c r="P642">
        <v>2.4E-2</v>
      </c>
      <c r="Q642" s="8">
        <f>IFERROR(X642/Z642, "NA")</f>
        <v>2.4242424242424246E-2</v>
      </c>
      <c r="R642" t="s">
        <v>183</v>
      </c>
      <c r="S642" t="s">
        <v>612</v>
      </c>
      <c r="T642" s="11">
        <v>1</v>
      </c>
      <c r="U642">
        <v>3.4</v>
      </c>
      <c r="V642">
        <v>3</v>
      </c>
      <c r="W642">
        <v>2.4E-2</v>
      </c>
      <c r="X642" s="8">
        <f>IFERROR(((PI())*(((V642*10^-1)/2)^2)*(U642*10^-1)), "NA")</f>
        <v>2.4033183799961926E-2</v>
      </c>
      <c r="Y642" s="6">
        <f>1</f>
        <v>1</v>
      </c>
      <c r="Z642" s="3">
        <f t="shared" si="328"/>
        <v>0.99136883174842938</v>
      </c>
      <c r="AA642">
        <v>2.4</v>
      </c>
      <c r="AB642" s="6">
        <f>IFERROR(((X642*M642)/Z642), "NA")</f>
        <v>2.4000000000000004</v>
      </c>
      <c r="AC642">
        <f t="shared" si="330"/>
        <v>2.3759999999999999</v>
      </c>
      <c r="AD642" s="4">
        <f>IFERROR(AB642*T642*AI642, "NA")</f>
        <v>2.4000000000000004</v>
      </c>
      <c r="AE642" s="3">
        <f t="shared" si="331"/>
        <v>10.372319999999998</v>
      </c>
      <c r="AF642">
        <v>12</v>
      </c>
      <c r="AG642">
        <f t="shared" si="334"/>
        <v>11.88</v>
      </c>
      <c r="AH642">
        <f t="shared" si="335"/>
        <v>11.88</v>
      </c>
      <c r="AI642">
        <v>1</v>
      </c>
      <c r="AJ642" t="s">
        <v>31</v>
      </c>
      <c r="AK642">
        <v>1000</v>
      </c>
      <c r="AL642" t="s">
        <v>169</v>
      </c>
      <c r="AM642" t="s">
        <v>103</v>
      </c>
      <c r="AN642" t="s">
        <v>305</v>
      </c>
      <c r="AO642" t="s">
        <v>790</v>
      </c>
      <c r="AP642">
        <v>4.5</v>
      </c>
      <c r="AQ642" t="s">
        <v>33</v>
      </c>
      <c r="AR642" t="s">
        <v>33</v>
      </c>
      <c r="AS642" s="6">
        <f>LOG(3*10^7)</f>
        <v>7.4771212547196626</v>
      </c>
      <c r="AT642" s="3">
        <f t="shared" si="336"/>
        <v>4.4171212547196621</v>
      </c>
      <c r="AU642" s="6">
        <v>3.06</v>
      </c>
      <c r="AV642" t="b">
        <v>1</v>
      </c>
      <c r="AW642" t="s">
        <v>123</v>
      </c>
      <c r="AX642" t="s">
        <v>88</v>
      </c>
      <c r="AY642" t="s">
        <v>306</v>
      </c>
      <c r="AZ642" t="s">
        <v>33</v>
      </c>
      <c r="BA642" s="18" t="s">
        <v>579</v>
      </c>
      <c r="BB642" t="b">
        <v>1</v>
      </c>
      <c r="BC642" t="s">
        <v>81</v>
      </c>
      <c r="BD642">
        <v>48</v>
      </c>
      <c r="BE642" t="s">
        <v>80</v>
      </c>
      <c r="BF642" s="11">
        <v>120</v>
      </c>
      <c r="BG642" t="s">
        <v>395</v>
      </c>
      <c r="BH642" t="s">
        <v>31</v>
      </c>
      <c r="BI642" t="s">
        <v>31</v>
      </c>
      <c r="BJ642" s="3">
        <f t="shared" si="308"/>
        <v>3.06</v>
      </c>
      <c r="BK642" s="3">
        <f t="shared" si="332"/>
        <v>0.48572142648158001</v>
      </c>
      <c r="BL642">
        <v>2</v>
      </c>
      <c r="BM642" s="3">
        <f t="shared" si="327"/>
        <v>0.53015448039035928</v>
      </c>
      <c r="BN642" t="s">
        <v>33</v>
      </c>
      <c r="BO642" s="3">
        <f t="shared" ref="BO642:BO705" si="337">IFERROR((AE642/BJ642),"NA")</f>
        <v>3.3896470588235288</v>
      </c>
      <c r="BP642" t="s">
        <v>33</v>
      </c>
      <c r="BQ642" t="s">
        <v>33</v>
      </c>
      <c r="BR642" t="s">
        <v>33</v>
      </c>
      <c r="BS642" t="s">
        <v>33</v>
      </c>
      <c r="BT642" t="s">
        <v>32</v>
      </c>
      <c r="BU642" t="s">
        <v>323</v>
      </c>
      <c r="BV642">
        <v>2003</v>
      </c>
      <c r="BW642" s="2" t="s">
        <v>322</v>
      </c>
      <c r="BX642" t="s">
        <v>78</v>
      </c>
      <c r="BY642" t="s">
        <v>33</v>
      </c>
      <c r="BZ642" t="s">
        <v>33</v>
      </c>
      <c r="CA642" t="str">
        <f t="shared" si="305"/>
        <v>high acid</v>
      </c>
    </row>
    <row r="643" spans="1:79">
      <c r="A643" t="s">
        <v>392</v>
      </c>
      <c r="B643" t="s">
        <v>565</v>
      </c>
      <c r="C643" t="s">
        <v>563</v>
      </c>
      <c r="D643" t="s">
        <v>118</v>
      </c>
      <c r="E643" t="s">
        <v>77</v>
      </c>
      <c r="F643" t="s">
        <v>32</v>
      </c>
      <c r="G643">
        <v>25</v>
      </c>
      <c r="H643">
        <v>36</v>
      </c>
      <c r="I643" t="b">
        <v>0</v>
      </c>
      <c r="J643" t="s">
        <v>33</v>
      </c>
      <c r="K643" t="s">
        <v>33</v>
      </c>
      <c r="L643">
        <v>35</v>
      </c>
      <c r="M643" s="4">
        <v>200</v>
      </c>
      <c r="N643" s="3" t="str">
        <f t="shared" si="333"/>
        <v>NA</v>
      </c>
      <c r="O643">
        <v>4</v>
      </c>
      <c r="P643" t="s">
        <v>33</v>
      </c>
      <c r="Q643" s="8">
        <f>IFERROR(X643/Z643, "NA")</f>
        <v>4.6875000000000007E-2</v>
      </c>
      <c r="R643" t="s">
        <v>183</v>
      </c>
      <c r="S643" t="s">
        <v>613</v>
      </c>
      <c r="T643" s="11">
        <v>8</v>
      </c>
      <c r="U643">
        <v>2.9</v>
      </c>
      <c r="V643">
        <v>2.2999999999999998</v>
      </c>
      <c r="W643">
        <v>1.2E-2</v>
      </c>
      <c r="X643" s="8">
        <f>IFERROR(((PI())*(((V643*10^-1)/2)^2)*(U643*10^-1)), "NA")</f>
        <v>1.204879322468025E-2</v>
      </c>
      <c r="Y643" t="s">
        <v>33</v>
      </c>
      <c r="Z643" s="3">
        <f t="shared" si="328"/>
        <v>0.25704092212651197</v>
      </c>
      <c r="AA643" t="s">
        <v>33</v>
      </c>
      <c r="AB643" s="6">
        <f>IFERROR(((X643*M643)/Z643), "NA")</f>
        <v>9.375</v>
      </c>
      <c r="AC643" t="str">
        <f t="shared" si="330"/>
        <v>NA</v>
      </c>
      <c r="AD643" s="4">
        <f>AB643*T643*AI643</f>
        <v>75</v>
      </c>
      <c r="AE643" s="3">
        <f t="shared" si="331"/>
        <v>1558.2000000000003</v>
      </c>
      <c r="AF643">
        <v>300</v>
      </c>
      <c r="AG643" t="str">
        <f t="shared" si="334"/>
        <v>NA</v>
      </c>
      <c r="AH643" t="str">
        <f t="shared" si="335"/>
        <v>NA</v>
      </c>
      <c r="AI643">
        <v>1</v>
      </c>
      <c r="AJ643" t="s">
        <v>31</v>
      </c>
      <c r="AK643">
        <v>4240</v>
      </c>
      <c r="AL643" t="s">
        <v>238</v>
      </c>
      <c r="AM643" t="s">
        <v>86</v>
      </c>
      <c r="AN643" t="s">
        <v>205</v>
      </c>
      <c r="AO643" t="s">
        <v>789</v>
      </c>
      <c r="AP643">
        <v>3.56</v>
      </c>
      <c r="AQ643" t="s">
        <v>33</v>
      </c>
      <c r="AR643" t="s">
        <v>33</v>
      </c>
      <c r="AS643" s="6">
        <f>LOG(10^8)</f>
        <v>8</v>
      </c>
      <c r="AT643" s="3">
        <f t="shared" si="336"/>
        <v>4.423</v>
      </c>
      <c r="AU643" s="6">
        <v>3.577</v>
      </c>
      <c r="AV643" t="b">
        <v>1</v>
      </c>
      <c r="AW643" t="s">
        <v>123</v>
      </c>
      <c r="AX643" t="s">
        <v>393</v>
      </c>
      <c r="AY643" t="s">
        <v>394</v>
      </c>
      <c r="AZ643" t="s">
        <v>33</v>
      </c>
      <c r="BA643" s="18" t="s">
        <v>579</v>
      </c>
      <c r="BB643" t="b">
        <v>1</v>
      </c>
      <c r="BC643" t="s">
        <v>81</v>
      </c>
      <c r="BD643">
        <v>72</v>
      </c>
      <c r="BE643" t="s">
        <v>80</v>
      </c>
      <c r="BF643" s="11">
        <v>72</v>
      </c>
      <c r="BG643" t="s">
        <v>395</v>
      </c>
      <c r="BH643" t="s">
        <v>31</v>
      </c>
      <c r="BI643" t="s">
        <v>31</v>
      </c>
      <c r="BJ643" s="3">
        <f t="shared" si="308"/>
        <v>3.577</v>
      </c>
      <c r="BK643" s="3">
        <f t="shared" si="332"/>
        <v>0.55351894014896952</v>
      </c>
      <c r="BL643">
        <v>2</v>
      </c>
      <c r="BM643" s="3">
        <f t="shared" si="327"/>
        <v>2.6391042598639767</v>
      </c>
      <c r="BN643" t="s">
        <v>33</v>
      </c>
      <c r="BO643" s="3">
        <f t="shared" si="337"/>
        <v>435.61643835616445</v>
      </c>
      <c r="BP643" t="s">
        <v>33</v>
      </c>
      <c r="BQ643" t="s">
        <v>33</v>
      </c>
      <c r="BR643" t="s">
        <v>33</v>
      </c>
      <c r="BS643" t="s">
        <v>33</v>
      </c>
      <c r="BT643" t="s">
        <v>31</v>
      </c>
      <c r="BU643" t="s">
        <v>240</v>
      </c>
      <c r="BV643">
        <v>2005</v>
      </c>
      <c r="BW643" t="s">
        <v>396</v>
      </c>
      <c r="BX643" t="s">
        <v>78</v>
      </c>
      <c r="BY643" t="s">
        <v>33</v>
      </c>
      <c r="BZ643" t="s">
        <v>33</v>
      </c>
      <c r="CA643" t="str">
        <f t="shared" ref="CA643:CA706" si="338">IF(OR(AN643="low acidic liquid medium", AN643="low acidic food product"), "low acid",
    IF(OR(AN643="high acidic food product", AN643="high acidic liquid medium"), "high acid", "NA"))</f>
        <v>high acid</v>
      </c>
    </row>
    <row r="644" spans="1:79">
      <c r="A644" t="s">
        <v>698</v>
      </c>
      <c r="B644" t="s">
        <v>566</v>
      </c>
      <c r="C644" t="s">
        <v>563</v>
      </c>
      <c r="D644" t="s">
        <v>699</v>
      </c>
      <c r="E644" t="s">
        <v>77</v>
      </c>
      <c r="F644" t="s">
        <v>32</v>
      </c>
      <c r="G644">
        <v>20</v>
      </c>
      <c r="H644">
        <v>64</v>
      </c>
      <c r="I644" t="b">
        <v>1</v>
      </c>
      <c r="J644" t="s">
        <v>33</v>
      </c>
      <c r="K644" t="s">
        <v>33</v>
      </c>
      <c r="L644">
        <v>20</v>
      </c>
      <c r="M644" s="4">
        <v>64</v>
      </c>
      <c r="N644" s="3">
        <f t="shared" si="333"/>
        <v>63.657407407407391</v>
      </c>
      <c r="O644">
        <v>5</v>
      </c>
      <c r="P644">
        <v>0.43</v>
      </c>
      <c r="Q644" s="8">
        <f>IFERROR(X644/Y644, "NA")</f>
        <v>0.43200000000000011</v>
      </c>
      <c r="R644" t="s">
        <v>183</v>
      </c>
      <c r="S644" t="s">
        <v>612</v>
      </c>
      <c r="T644" s="11">
        <v>1</v>
      </c>
      <c r="U644">
        <v>4</v>
      </c>
      <c r="V644" t="s">
        <v>33</v>
      </c>
      <c r="W644">
        <f>0.4*3*0.5</f>
        <v>0.60000000000000009</v>
      </c>
      <c r="X644" s="9">
        <f>W644</f>
        <v>0.60000000000000009</v>
      </c>
      <c r="Y644" s="6">
        <f>5000/3600</f>
        <v>1.3888888888888888</v>
      </c>
      <c r="Z644" s="3">
        <f t="shared" si="328"/>
        <v>1.3963636363636365</v>
      </c>
      <c r="AA644" t="s">
        <v>33</v>
      </c>
      <c r="AB644" s="4">
        <f>IFERROR(((X644*M644)/Y644), "NA")</f>
        <v>27.648000000000007</v>
      </c>
      <c r="AC644" s="4">
        <f t="shared" si="330"/>
        <v>27.52</v>
      </c>
      <c r="AD644" s="4">
        <f>AB644*T644*AI644</f>
        <v>27.648000000000007</v>
      </c>
      <c r="AE644" s="3">
        <f t="shared" si="331"/>
        <v>110.59200000000003</v>
      </c>
      <c r="AF644">
        <v>137.5</v>
      </c>
      <c r="AG644" s="4">
        <f t="shared" si="334"/>
        <v>137.6</v>
      </c>
      <c r="AH644" s="4">
        <f t="shared" si="335"/>
        <v>137.6</v>
      </c>
      <c r="AI644">
        <v>1</v>
      </c>
      <c r="AJ644" s="11" t="s">
        <v>31</v>
      </c>
      <c r="AK644">
        <v>2000</v>
      </c>
      <c r="AL644" t="s">
        <v>784</v>
      </c>
      <c r="AM644" t="s">
        <v>103</v>
      </c>
      <c r="AN644" t="s">
        <v>130</v>
      </c>
      <c r="AO644" t="s">
        <v>795</v>
      </c>
      <c r="AP644">
        <v>7</v>
      </c>
      <c r="AQ644" t="s">
        <v>33</v>
      </c>
      <c r="AR644" t="s">
        <v>33</v>
      </c>
      <c r="AS644" s="6">
        <f>LOG(AVERAGE(10^8, 10^9))</f>
        <v>8.7403626894942441</v>
      </c>
      <c r="AT644" s="3">
        <f t="shared" si="336"/>
        <v>4.4243626894942443</v>
      </c>
      <c r="AU644" s="6">
        <v>4.3159999999999998</v>
      </c>
      <c r="AV644" t="b">
        <v>1</v>
      </c>
      <c r="AW644" t="s">
        <v>29</v>
      </c>
      <c r="AX644" t="s">
        <v>30</v>
      </c>
      <c r="AY644" t="s">
        <v>706</v>
      </c>
      <c r="AZ644" t="s">
        <v>33</v>
      </c>
      <c r="BA644" s="18" t="s">
        <v>798</v>
      </c>
      <c r="BB644" s="3" t="b">
        <v>0</v>
      </c>
      <c r="BC644" t="s">
        <v>81</v>
      </c>
      <c r="BD644">
        <v>24</v>
      </c>
      <c r="BE644" t="s">
        <v>80</v>
      </c>
      <c r="BF644">
        <v>24</v>
      </c>
      <c r="BG644" t="s">
        <v>568</v>
      </c>
      <c r="BH644" t="s">
        <v>31</v>
      </c>
      <c r="BI644" t="s">
        <v>31</v>
      </c>
      <c r="BJ644" s="3">
        <f t="shared" si="308"/>
        <v>4.3159999999999998</v>
      </c>
      <c r="BK644" s="3">
        <f t="shared" si="332"/>
        <v>0.63508143601087308</v>
      </c>
      <c r="BL644">
        <v>2</v>
      </c>
      <c r="BM644" s="3">
        <f t="shared" si="327"/>
        <v>1.4086422761158888</v>
      </c>
      <c r="BN644" t="s">
        <v>33</v>
      </c>
      <c r="BO644" s="3">
        <f t="shared" si="337"/>
        <v>25.62372567191845</v>
      </c>
      <c r="BP644" t="s">
        <v>33</v>
      </c>
      <c r="BQ644" t="s">
        <v>33</v>
      </c>
      <c r="BR644" t="s">
        <v>33</v>
      </c>
      <c r="BS644" t="s">
        <v>33</v>
      </c>
      <c r="BT644" t="s">
        <v>32</v>
      </c>
      <c r="BU644" t="s">
        <v>709</v>
      </c>
      <c r="BV644">
        <v>2024</v>
      </c>
      <c r="BW644" t="s">
        <v>710</v>
      </c>
      <c r="BX644" t="s">
        <v>78</v>
      </c>
      <c r="BY644" t="s">
        <v>711</v>
      </c>
      <c r="CA644" t="str">
        <f t="shared" si="338"/>
        <v>low acid</v>
      </c>
    </row>
    <row r="645" spans="1:79">
      <c r="A645" t="s">
        <v>151</v>
      </c>
      <c r="B645" t="s">
        <v>565</v>
      </c>
      <c r="C645" t="s">
        <v>563</v>
      </c>
      <c r="D645" t="s">
        <v>118</v>
      </c>
      <c r="E645" t="s">
        <v>77</v>
      </c>
      <c r="F645" t="s">
        <v>32</v>
      </c>
      <c r="G645">
        <v>20</v>
      </c>
      <c r="H645" t="s">
        <v>33</v>
      </c>
      <c r="I645" t="b">
        <v>0</v>
      </c>
      <c r="J645" t="s">
        <v>33</v>
      </c>
      <c r="K645" t="s">
        <v>33</v>
      </c>
      <c r="L645">
        <v>23</v>
      </c>
      <c r="M645" s="4">
        <v>500</v>
      </c>
      <c r="N645" s="3">
        <f t="shared" si="333"/>
        <v>503.35454362283343</v>
      </c>
      <c r="O645">
        <v>3</v>
      </c>
      <c r="P645" t="s">
        <v>33</v>
      </c>
      <c r="Q645" s="8">
        <f>IFERROR(X645/Z645, "NA")</f>
        <v>1.4555555555555556E-2</v>
      </c>
      <c r="R645" t="s">
        <v>183</v>
      </c>
      <c r="S645" t="s">
        <v>613</v>
      </c>
      <c r="T645" s="11">
        <v>6</v>
      </c>
      <c r="U645">
        <v>2.9</v>
      </c>
      <c r="V645">
        <v>2.2999999999999998</v>
      </c>
      <c r="W645" t="s">
        <v>33</v>
      </c>
      <c r="X645" s="8">
        <f>IFERROR(((PI())*(((V645*10^-1)/2)^2)*(U645*10^-1)), "NA")</f>
        <v>1.204879322468025E-2</v>
      </c>
      <c r="Y645" s="6">
        <f>50/60</f>
        <v>0.83333333333333337</v>
      </c>
      <c r="Z645" s="3">
        <f t="shared" si="328"/>
        <v>0.82777968719177286</v>
      </c>
      <c r="AA645" t="s">
        <v>33</v>
      </c>
      <c r="AB645" s="6">
        <f>IFERROR(((X645*M645)/Z645), "NA")</f>
        <v>7.2777777777777786</v>
      </c>
      <c r="AC645" t="str">
        <f t="shared" si="330"/>
        <v>NA</v>
      </c>
      <c r="AD645" s="4">
        <f>AB645*T645*AI645</f>
        <v>43.666666666666671</v>
      </c>
      <c r="AE645" s="3">
        <f t="shared" si="331"/>
        <v>267.49414000000002</v>
      </c>
      <c r="AF645">
        <v>131</v>
      </c>
      <c r="AG645" t="str">
        <f t="shared" si="334"/>
        <v>NA</v>
      </c>
      <c r="AH645" t="str">
        <f t="shared" si="335"/>
        <v>NA</v>
      </c>
      <c r="AI645">
        <v>1</v>
      </c>
      <c r="AJ645" t="s">
        <v>31</v>
      </c>
      <c r="AK645">
        <v>3860</v>
      </c>
      <c r="AL645" t="s">
        <v>138</v>
      </c>
      <c r="AM645" t="s">
        <v>86</v>
      </c>
      <c r="AN645" t="s">
        <v>205</v>
      </c>
      <c r="AO645" t="s">
        <v>789</v>
      </c>
      <c r="AP645">
        <v>3.9</v>
      </c>
      <c r="AQ645" t="s">
        <v>33</v>
      </c>
      <c r="AR645" t="s">
        <v>33</v>
      </c>
      <c r="AS645" s="3">
        <v>7.2050000000000001</v>
      </c>
      <c r="AT645" s="3">
        <f t="shared" si="336"/>
        <v>4.4370000000000003</v>
      </c>
      <c r="AU645" s="6">
        <v>2.7679999999999998</v>
      </c>
      <c r="AV645" t="b">
        <v>1</v>
      </c>
      <c r="AW645" t="s">
        <v>29</v>
      </c>
      <c r="AX645" t="s">
        <v>30</v>
      </c>
      <c r="AY645" t="s">
        <v>33</v>
      </c>
      <c r="AZ645" t="s">
        <v>134</v>
      </c>
      <c r="BA645" s="18" t="s">
        <v>798</v>
      </c>
      <c r="BB645" t="b">
        <v>0</v>
      </c>
      <c r="BC645" t="s">
        <v>81</v>
      </c>
      <c r="BD645">
        <f>(48+24)/2</f>
        <v>36</v>
      </c>
      <c r="BE645" t="s">
        <v>80</v>
      </c>
      <c r="BF645" s="11">
        <f>(48+24)/2</f>
        <v>36</v>
      </c>
      <c r="BG645" t="s">
        <v>139</v>
      </c>
      <c r="BH645" t="s">
        <v>31</v>
      </c>
      <c r="BI645" t="s">
        <v>31</v>
      </c>
      <c r="BJ645" s="3">
        <f t="shared" si="308"/>
        <v>2.7679999999999998</v>
      </c>
      <c r="BK645" s="3">
        <f t="shared" si="332"/>
        <v>0.44216608578472016</v>
      </c>
      <c r="BL645">
        <v>2</v>
      </c>
      <c r="BM645" s="3">
        <f t="shared" si="327"/>
        <v>1.9851481865779848</v>
      </c>
      <c r="BN645" t="s">
        <v>33</v>
      </c>
      <c r="BO645" s="3">
        <f t="shared" si="337"/>
        <v>96.638056358381519</v>
      </c>
      <c r="BP645" t="s">
        <v>33</v>
      </c>
      <c r="BQ645" t="s">
        <v>33</v>
      </c>
      <c r="BR645" t="s">
        <v>33</v>
      </c>
      <c r="BS645" t="s">
        <v>33</v>
      </c>
      <c r="BT645" t="s">
        <v>31</v>
      </c>
      <c r="BU645" t="s">
        <v>135</v>
      </c>
      <c r="BV645">
        <v>2011</v>
      </c>
      <c r="BW645" s="7" t="s">
        <v>136</v>
      </c>
      <c r="BX645" t="s">
        <v>78</v>
      </c>
      <c r="BY645" t="s">
        <v>33</v>
      </c>
      <c r="BZ645" t="s">
        <v>33</v>
      </c>
      <c r="CA645" t="str">
        <f t="shared" si="338"/>
        <v>high acid</v>
      </c>
    </row>
    <row r="646" spans="1:79">
      <c r="A646" t="s">
        <v>590</v>
      </c>
      <c r="B646" t="s">
        <v>565</v>
      </c>
      <c r="C646" t="s">
        <v>564</v>
      </c>
      <c r="D646" t="s">
        <v>609</v>
      </c>
      <c r="E646" t="s">
        <v>77</v>
      </c>
      <c r="F646" t="s">
        <v>32</v>
      </c>
      <c r="G646">
        <v>40</v>
      </c>
      <c r="H646">
        <v>49</v>
      </c>
      <c r="I646" t="b">
        <v>0</v>
      </c>
      <c r="J646" t="s">
        <v>33</v>
      </c>
      <c r="K646" t="s">
        <v>33</v>
      </c>
      <c r="L646">
        <v>24</v>
      </c>
      <c r="M646" s="4">
        <v>120</v>
      </c>
      <c r="N646" t="e">
        <f>(#REF!*Y646)/(T646*X646*O646)</f>
        <v>#REF!</v>
      </c>
      <c r="O646">
        <v>3</v>
      </c>
      <c r="P646" t="s">
        <v>33</v>
      </c>
      <c r="Q646" s="1">
        <f>IFERROR(X646/Z646, "NA")</f>
        <v>4.715277777777778E-2</v>
      </c>
      <c r="R646" t="s">
        <v>183</v>
      </c>
      <c r="S646" t="s">
        <v>612</v>
      </c>
      <c r="T646">
        <v>4</v>
      </c>
      <c r="U646">
        <v>3</v>
      </c>
      <c r="V646">
        <v>2.6</v>
      </c>
      <c r="W646">
        <v>1.5900000000000001E-2</v>
      </c>
      <c r="X646">
        <f>IFERROR(((PI())*(((V646*10^-1)/2)^2)*(U646*10^-1)), "NA")</f>
        <v>1.5927874753700257E-2</v>
      </c>
      <c r="Y646">
        <v>8.3333299999999999E-2</v>
      </c>
      <c r="Z646" s="3">
        <f t="shared" si="328"/>
        <v>0.33779292555711882</v>
      </c>
      <c r="AA646" t="s">
        <v>33</v>
      </c>
      <c r="AB646">
        <f>IFERROR(((X646*M646)/Z646), "NA")</f>
        <v>5.6583333333333341</v>
      </c>
      <c r="AC646" s="1" t="str">
        <f t="shared" si="330"/>
        <v>NA</v>
      </c>
      <c r="AE646" s="3">
        <f t="shared" si="331"/>
        <v>44.976959999999998</v>
      </c>
      <c r="AF646">
        <v>67.900000000000006</v>
      </c>
      <c r="AG646" s="1" t="str">
        <f>IFERROR((N646*P646*Q646), "NA")</f>
        <v>NA</v>
      </c>
      <c r="AH646" s="1" t="str">
        <f>IFERROR((AG646*U646*AI646), "NA")</f>
        <v>NA</v>
      </c>
      <c r="AI646" s="1">
        <v>1</v>
      </c>
      <c r="AJ646" s="11" t="s">
        <v>31</v>
      </c>
      <c r="AK646">
        <v>1150</v>
      </c>
      <c r="AL646" t="s">
        <v>551</v>
      </c>
      <c r="AM646" t="s">
        <v>86</v>
      </c>
      <c r="AN646" t="s">
        <v>186</v>
      </c>
      <c r="AO646" t="s">
        <v>794</v>
      </c>
      <c r="AP646">
        <v>5.92</v>
      </c>
      <c r="AQ646" t="s">
        <v>33</v>
      </c>
      <c r="AR646" t="s">
        <v>33</v>
      </c>
      <c r="AS646">
        <v>6</v>
      </c>
      <c r="AT646">
        <f>AS646-AU646</f>
        <v>4.4399999999999995</v>
      </c>
      <c r="AU646" s="6">
        <v>1.56</v>
      </c>
      <c r="AV646" t="b">
        <v>1</v>
      </c>
      <c r="AW646" t="s">
        <v>626</v>
      </c>
      <c r="AX646" t="s">
        <v>627</v>
      </c>
      <c r="AY646" t="s">
        <v>631</v>
      </c>
      <c r="AZ646" t="s">
        <v>33</v>
      </c>
      <c r="BA646" s="18" t="s">
        <v>800</v>
      </c>
      <c r="BB646" s="3" t="b">
        <v>0</v>
      </c>
      <c r="BC646" t="s">
        <v>81</v>
      </c>
      <c r="BD646">
        <v>20</v>
      </c>
      <c r="BE646" t="s">
        <v>80</v>
      </c>
      <c r="BF646">
        <v>20</v>
      </c>
      <c r="BG646" t="s">
        <v>695</v>
      </c>
      <c r="BH646" t="s">
        <v>32</v>
      </c>
      <c r="BI646" t="s">
        <v>31</v>
      </c>
      <c r="BJ646">
        <f t="shared" si="308"/>
        <v>1.56</v>
      </c>
      <c r="BK646" s="3">
        <f t="shared" si="332"/>
        <v>0.19312459835446161</v>
      </c>
      <c r="BL646">
        <v>2</v>
      </c>
      <c r="BM646" s="3">
        <f t="shared" si="327"/>
        <v>1.4598654997028637</v>
      </c>
      <c r="BN646" t="s">
        <v>33</v>
      </c>
      <c r="BO646" s="3">
        <f t="shared" si="337"/>
        <v>28.831384615384614</v>
      </c>
      <c r="BP646" t="s">
        <v>33</v>
      </c>
      <c r="BQ646" t="s">
        <v>33</v>
      </c>
      <c r="BR646" t="s">
        <v>33</v>
      </c>
      <c r="BS646" t="s">
        <v>33</v>
      </c>
      <c r="BT646" t="s">
        <v>32</v>
      </c>
      <c r="BU646" s="15" t="s">
        <v>207</v>
      </c>
      <c r="BV646">
        <v>2014</v>
      </c>
      <c r="BW646" t="s">
        <v>242</v>
      </c>
      <c r="BX646" t="s">
        <v>78</v>
      </c>
      <c r="BY646" s="13" t="s">
        <v>678</v>
      </c>
      <c r="CA646" t="str">
        <f t="shared" si="338"/>
        <v>low acid</v>
      </c>
    </row>
    <row r="647" spans="1:79">
      <c r="A647" t="s">
        <v>698</v>
      </c>
      <c r="B647" t="s">
        <v>566</v>
      </c>
      <c r="C647" t="s">
        <v>563</v>
      </c>
      <c r="D647" t="s">
        <v>699</v>
      </c>
      <c r="E647" t="s">
        <v>77</v>
      </c>
      <c r="F647" t="s">
        <v>32</v>
      </c>
      <c r="G647">
        <v>20</v>
      </c>
      <c r="H647">
        <v>42.5</v>
      </c>
      <c r="I647" t="b">
        <v>1</v>
      </c>
      <c r="J647" t="s">
        <v>33</v>
      </c>
      <c r="K647" t="s">
        <v>33</v>
      </c>
      <c r="L647">
        <v>20</v>
      </c>
      <c r="M647" s="4">
        <v>47</v>
      </c>
      <c r="N647" s="3">
        <f>IFERROR(AF647/((T647*X647/Y647)*O647*AI647),"NA")</f>
        <v>46.759259259259245</v>
      </c>
      <c r="O647">
        <v>5</v>
      </c>
      <c r="P647">
        <v>0.43</v>
      </c>
      <c r="Q647" s="8">
        <f>IFERROR(X647/Y647, "NA")</f>
        <v>0.43200000000000011</v>
      </c>
      <c r="R647" t="s">
        <v>183</v>
      </c>
      <c r="S647" t="s">
        <v>612</v>
      </c>
      <c r="T647" s="11">
        <v>1</v>
      </c>
      <c r="U647">
        <v>4</v>
      </c>
      <c r="V647" t="s">
        <v>33</v>
      </c>
      <c r="W647">
        <f>0.4*3*0.5</f>
        <v>0.60000000000000009</v>
      </c>
      <c r="X647" s="9">
        <f>W647</f>
        <v>0.60000000000000009</v>
      </c>
      <c r="Y647" s="6">
        <f>5000/3600</f>
        <v>1.3888888888888888</v>
      </c>
      <c r="Z647" s="3">
        <f t="shared" si="328"/>
        <v>1.3960396039603959</v>
      </c>
      <c r="AA647" t="s">
        <v>33</v>
      </c>
      <c r="AB647" s="4">
        <f>IFERROR(((X647*M647)/Y647), "NA")</f>
        <v>20.304000000000002</v>
      </c>
      <c r="AC647" s="4">
        <f t="shared" si="330"/>
        <v>20.21</v>
      </c>
      <c r="AD647" s="4">
        <f>AB647*T647*AI647</f>
        <v>20.304000000000002</v>
      </c>
      <c r="AE647" s="3">
        <f t="shared" si="331"/>
        <v>81.216000000000022</v>
      </c>
      <c r="AF647">
        <v>101</v>
      </c>
      <c r="AG647" s="4">
        <f>IFERROR((M647*O647*P647), "NA")</f>
        <v>101.05</v>
      </c>
      <c r="AH647" s="4">
        <f>IFERROR((AG647*T647*AI647), "NA")</f>
        <v>101.05</v>
      </c>
      <c r="AI647">
        <v>1</v>
      </c>
      <c r="AJ647" s="11" t="s">
        <v>31</v>
      </c>
      <c r="AK647">
        <v>2000</v>
      </c>
      <c r="AL647" t="s">
        <v>784</v>
      </c>
      <c r="AM647" t="s">
        <v>103</v>
      </c>
      <c r="AN647" t="s">
        <v>130</v>
      </c>
      <c r="AO647" t="s">
        <v>795</v>
      </c>
      <c r="AP647">
        <v>7</v>
      </c>
      <c r="AQ647" t="s">
        <v>33</v>
      </c>
      <c r="AR647" t="s">
        <v>33</v>
      </c>
      <c r="AS647" s="6">
        <f>LOG(AVERAGE(10^8, 10^9))</f>
        <v>8.7403626894942441</v>
      </c>
      <c r="AT647" s="3">
        <f>IFERROR(AS647-AU647,"NA")</f>
        <v>4.4463626894942445</v>
      </c>
      <c r="AU647" s="6">
        <v>4.2939999999999996</v>
      </c>
      <c r="AV647" t="b">
        <v>1</v>
      </c>
      <c r="AW647" t="s">
        <v>29</v>
      </c>
      <c r="AX647" t="s">
        <v>30</v>
      </c>
      <c r="AY647" t="s">
        <v>704</v>
      </c>
      <c r="AZ647" t="s">
        <v>33</v>
      </c>
      <c r="BA647" s="18" t="s">
        <v>798</v>
      </c>
      <c r="BB647" s="3" t="b">
        <v>0</v>
      </c>
      <c r="BC647" t="s">
        <v>81</v>
      </c>
      <c r="BD647">
        <v>24</v>
      </c>
      <c r="BE647" t="s">
        <v>80</v>
      </c>
      <c r="BF647">
        <v>24</v>
      </c>
      <c r="BG647" t="s">
        <v>568</v>
      </c>
      <c r="BH647" t="s">
        <v>31</v>
      </c>
      <c r="BI647" t="s">
        <v>31</v>
      </c>
      <c r="BJ647" s="3">
        <f t="shared" ref="BJ647:BJ708" si="339">AU647</f>
        <v>4.2939999999999996</v>
      </c>
      <c r="BK647" s="3">
        <f t="shared" si="332"/>
        <v>0.63286204010022984</v>
      </c>
      <c r="BL647">
        <v>2</v>
      </c>
      <c r="BM647" s="3">
        <f t="shared" si="327"/>
        <v>1.2767795559783623</v>
      </c>
      <c r="BN647" t="s">
        <v>33</v>
      </c>
      <c r="BO647" s="3">
        <f t="shared" si="337"/>
        <v>18.913833255705644</v>
      </c>
      <c r="BP647" t="s">
        <v>33</v>
      </c>
      <c r="BQ647" t="s">
        <v>33</v>
      </c>
      <c r="BR647" t="s">
        <v>33</v>
      </c>
      <c r="BS647" t="s">
        <v>33</v>
      </c>
      <c r="BT647" t="s">
        <v>32</v>
      </c>
      <c r="BU647" t="s">
        <v>709</v>
      </c>
      <c r="BV647">
        <v>2024</v>
      </c>
      <c r="BW647" t="s">
        <v>710</v>
      </c>
      <c r="BX647" t="s">
        <v>78</v>
      </c>
      <c r="BY647" t="s">
        <v>711</v>
      </c>
      <c r="CA647" t="str">
        <f t="shared" si="338"/>
        <v>low acid</v>
      </c>
    </row>
    <row r="648" spans="1:79">
      <c r="A648" t="s">
        <v>698</v>
      </c>
      <c r="B648" t="s">
        <v>566</v>
      </c>
      <c r="C648" t="s">
        <v>563</v>
      </c>
      <c r="D648" t="s">
        <v>699</v>
      </c>
      <c r="E648" t="s">
        <v>77</v>
      </c>
      <c r="F648" t="s">
        <v>32</v>
      </c>
      <c r="G648">
        <v>20</v>
      </c>
      <c r="H648">
        <v>42.5</v>
      </c>
      <c r="I648" t="b">
        <v>1</v>
      </c>
      <c r="J648" t="s">
        <v>33</v>
      </c>
      <c r="K648" t="s">
        <v>33</v>
      </c>
      <c r="L648">
        <v>20</v>
      </c>
      <c r="M648" s="4">
        <v>47</v>
      </c>
      <c r="N648" s="3">
        <f>IFERROR(AF648/((T648*X648/Y648)*O648*AI648),"NA")</f>
        <v>46.759259259259245</v>
      </c>
      <c r="O648">
        <v>5</v>
      </c>
      <c r="P648">
        <v>0.43</v>
      </c>
      <c r="Q648" s="8">
        <f>IFERROR(X648/Y648, "NA")</f>
        <v>0.43200000000000011</v>
      </c>
      <c r="R648" t="s">
        <v>183</v>
      </c>
      <c r="S648" t="s">
        <v>612</v>
      </c>
      <c r="T648" s="11">
        <v>1</v>
      </c>
      <c r="U648">
        <v>4</v>
      </c>
      <c r="V648" t="s">
        <v>33</v>
      </c>
      <c r="W648">
        <f>0.4*3*0.5</f>
        <v>0.60000000000000009</v>
      </c>
      <c r="X648" s="9">
        <f>W648</f>
        <v>0.60000000000000009</v>
      </c>
      <c r="Y648" s="6">
        <f>5000/3600</f>
        <v>1.3888888888888888</v>
      </c>
      <c r="Z648" s="3">
        <f t="shared" si="328"/>
        <v>1.3960396039603959</v>
      </c>
      <c r="AA648" t="s">
        <v>33</v>
      </c>
      <c r="AB648" s="4">
        <f>IFERROR(((X648*M648)/Y648), "NA")</f>
        <v>20.304000000000002</v>
      </c>
      <c r="AC648" s="4">
        <f t="shared" si="330"/>
        <v>20.21</v>
      </c>
      <c r="AD648" s="4">
        <f>AB648*T648*AI648</f>
        <v>20.304000000000002</v>
      </c>
      <c r="AE648" s="3">
        <f t="shared" si="331"/>
        <v>81.216000000000022</v>
      </c>
      <c r="AF648">
        <v>101</v>
      </c>
      <c r="AG648" s="4">
        <f>IFERROR((M648*O648*P648), "NA")</f>
        <v>101.05</v>
      </c>
      <c r="AH648" s="4">
        <f>IFERROR((AG648*T648*AI648), "NA")</f>
        <v>101.05</v>
      </c>
      <c r="AI648">
        <v>1</v>
      </c>
      <c r="AJ648" s="11" t="s">
        <v>31</v>
      </c>
      <c r="AK648">
        <v>2000</v>
      </c>
      <c r="AL648" t="s">
        <v>784</v>
      </c>
      <c r="AM648" t="s">
        <v>103</v>
      </c>
      <c r="AN648" t="s">
        <v>130</v>
      </c>
      <c r="AO648" t="s">
        <v>795</v>
      </c>
      <c r="AP648">
        <v>7</v>
      </c>
      <c r="AQ648" t="s">
        <v>33</v>
      </c>
      <c r="AR648" t="s">
        <v>33</v>
      </c>
      <c r="AS648" s="6">
        <f>LOG(AVERAGE(10^8, 10^9))</f>
        <v>8.7403626894942441</v>
      </c>
      <c r="AT648" s="3">
        <f>IFERROR(AS648-AU648,"NA")</f>
        <v>4.4463626894942445</v>
      </c>
      <c r="AU648" s="6">
        <v>4.2939999999999996</v>
      </c>
      <c r="AV648" t="b">
        <v>1</v>
      </c>
      <c r="AW648" t="s">
        <v>29</v>
      </c>
      <c r="AX648" t="s">
        <v>30</v>
      </c>
      <c r="AY648" t="s">
        <v>705</v>
      </c>
      <c r="AZ648" t="s">
        <v>33</v>
      </c>
      <c r="BA648" s="18" t="s">
        <v>798</v>
      </c>
      <c r="BB648" s="3" t="b">
        <v>0</v>
      </c>
      <c r="BC648" t="s">
        <v>81</v>
      </c>
      <c r="BD648">
        <v>24</v>
      </c>
      <c r="BE648" t="s">
        <v>80</v>
      </c>
      <c r="BF648">
        <v>24</v>
      </c>
      <c r="BG648" t="s">
        <v>568</v>
      </c>
      <c r="BH648" t="s">
        <v>31</v>
      </c>
      <c r="BI648" t="s">
        <v>31</v>
      </c>
      <c r="BJ648" s="3">
        <f t="shared" si="339"/>
        <v>4.2939999999999996</v>
      </c>
      <c r="BK648" s="3">
        <f t="shared" si="332"/>
        <v>0.63286204010022984</v>
      </c>
      <c r="BL648">
        <v>2</v>
      </c>
      <c r="BM648" s="3">
        <f t="shared" si="327"/>
        <v>1.2767795559783623</v>
      </c>
      <c r="BN648" t="s">
        <v>33</v>
      </c>
      <c r="BO648" s="3">
        <f t="shared" si="337"/>
        <v>18.913833255705644</v>
      </c>
      <c r="BP648" t="s">
        <v>33</v>
      </c>
      <c r="BQ648" t="s">
        <v>33</v>
      </c>
      <c r="BR648" t="s">
        <v>33</v>
      </c>
      <c r="BS648" t="s">
        <v>33</v>
      </c>
      <c r="BT648" t="s">
        <v>32</v>
      </c>
      <c r="BU648" t="s">
        <v>709</v>
      </c>
      <c r="BV648">
        <v>2024</v>
      </c>
      <c r="BW648" t="s">
        <v>710</v>
      </c>
      <c r="BX648" t="s">
        <v>78</v>
      </c>
      <c r="BY648" t="s">
        <v>711</v>
      </c>
      <c r="CA648" t="str">
        <f t="shared" si="338"/>
        <v>low acid</v>
      </c>
    </row>
    <row r="649" spans="1:79">
      <c r="A649" t="s">
        <v>254</v>
      </c>
      <c r="B649" t="s">
        <v>566</v>
      </c>
      <c r="C649" t="s">
        <v>563</v>
      </c>
      <c r="D649" t="s">
        <v>33</v>
      </c>
      <c r="E649" t="s">
        <v>77</v>
      </c>
      <c r="F649" t="s">
        <v>32</v>
      </c>
      <c r="G649">
        <v>20</v>
      </c>
      <c r="H649">
        <v>51.05</v>
      </c>
      <c r="I649" t="b">
        <v>1</v>
      </c>
      <c r="J649" t="s">
        <v>33</v>
      </c>
      <c r="K649" t="s">
        <v>33</v>
      </c>
      <c r="L649">
        <v>30</v>
      </c>
      <c r="M649" s="4">
        <v>52</v>
      </c>
      <c r="N649" s="3">
        <f>IFERROR(AF649/((T649*X649/Y649)*O649*AI649),"NA")</f>
        <v>20.492147476274461</v>
      </c>
      <c r="O649">
        <v>3</v>
      </c>
      <c r="P649" t="s">
        <v>33</v>
      </c>
      <c r="Q649" s="8">
        <f>IFERROR(X649/Z649, "NA")</f>
        <v>0.31282051282051282</v>
      </c>
      <c r="R649" t="s">
        <v>183</v>
      </c>
      <c r="S649" t="s">
        <v>612</v>
      </c>
      <c r="T649" s="11">
        <v>1</v>
      </c>
      <c r="U649">
        <v>4.5</v>
      </c>
      <c r="V649" t="s">
        <v>33</v>
      </c>
      <c r="W649" t="s">
        <v>33</v>
      </c>
      <c r="X649">
        <f>U649*0.1*1.47</f>
        <v>0.66149999999999998</v>
      </c>
      <c r="Y649" s="6">
        <f>3000/3600</f>
        <v>0.83333333333333337</v>
      </c>
      <c r="Z649" s="3">
        <f t="shared" si="328"/>
        <v>2.1146311475409836</v>
      </c>
      <c r="AA649" t="s">
        <v>33</v>
      </c>
      <c r="AB649" s="6">
        <f>IFERROR(((X649*M649)/Z649), "NA")</f>
        <v>16.266666666666666</v>
      </c>
      <c r="AC649" t="str">
        <f t="shared" si="330"/>
        <v>NA</v>
      </c>
      <c r="AD649" s="4">
        <f>IFERROR(AB649*T649*AI649, "NA")</f>
        <v>16.266666666666666</v>
      </c>
      <c r="AE649" s="3">
        <f t="shared" si="331"/>
        <v>118.58399999999999</v>
      </c>
      <c r="AF649">
        <v>48.8</v>
      </c>
      <c r="AG649" t="str">
        <f>IFERROR((M649*O649*P649), "NA")</f>
        <v>NA</v>
      </c>
      <c r="AH649" t="str">
        <f>IFERROR((AG649*T649*AI649), "NA")</f>
        <v>NA</v>
      </c>
      <c r="AI649" s="11">
        <v>1</v>
      </c>
      <c r="AJ649" t="s">
        <v>31</v>
      </c>
      <c r="AK649" s="11">
        <v>2700</v>
      </c>
      <c r="AL649" t="s">
        <v>149</v>
      </c>
      <c r="AM649" t="s">
        <v>86</v>
      </c>
      <c r="AN649" t="s">
        <v>205</v>
      </c>
      <c r="AO649" t="s">
        <v>789</v>
      </c>
      <c r="AP649">
        <v>3.5</v>
      </c>
      <c r="AQ649" t="s">
        <v>33</v>
      </c>
      <c r="AR649" t="s">
        <v>33</v>
      </c>
      <c r="AS649" s="6">
        <f>LOG(10^8)</f>
        <v>8</v>
      </c>
      <c r="AT649" s="3">
        <f>IFERROR(AS649-AU649,"NA")</f>
        <v>4.46</v>
      </c>
      <c r="AU649" s="6">
        <v>3.54</v>
      </c>
      <c r="AV649" t="b">
        <v>1</v>
      </c>
      <c r="AW649" t="s">
        <v>29</v>
      </c>
      <c r="AX649" t="s">
        <v>30</v>
      </c>
      <c r="AY649" t="s">
        <v>33</v>
      </c>
      <c r="AZ649" t="s">
        <v>134</v>
      </c>
      <c r="BA649" s="18" t="s">
        <v>798</v>
      </c>
      <c r="BB649" t="b">
        <v>0</v>
      </c>
      <c r="BC649" t="s">
        <v>81</v>
      </c>
      <c r="BD649">
        <v>12</v>
      </c>
      <c r="BE649" t="s">
        <v>80</v>
      </c>
      <c r="BF649" s="11">
        <v>48</v>
      </c>
      <c r="BG649" t="s">
        <v>569</v>
      </c>
      <c r="BH649" t="s">
        <v>31</v>
      </c>
      <c r="BI649" t="s">
        <v>31</v>
      </c>
      <c r="BJ649" s="3">
        <f t="shared" si="339"/>
        <v>3.54</v>
      </c>
      <c r="BK649" s="3">
        <f t="shared" si="332"/>
        <v>0.54900326202578786</v>
      </c>
      <c r="BL649">
        <v>2</v>
      </c>
      <c r="BM649" s="3">
        <f t="shared" si="327"/>
        <v>1.5250228335752349</v>
      </c>
      <c r="BN649" t="s">
        <v>33</v>
      </c>
      <c r="BO649" s="3">
        <f t="shared" si="337"/>
        <v>33.498305084745759</v>
      </c>
      <c r="BP649" t="s">
        <v>33</v>
      </c>
      <c r="BQ649" t="s">
        <v>33</v>
      </c>
      <c r="BR649" t="s">
        <v>33</v>
      </c>
      <c r="BS649" t="s">
        <v>33</v>
      </c>
      <c r="BT649" t="s">
        <v>32</v>
      </c>
      <c r="BU649" t="s">
        <v>255</v>
      </c>
      <c r="BV649">
        <v>2011</v>
      </c>
      <c r="BW649" s="2" t="s">
        <v>256</v>
      </c>
      <c r="BX649" t="s">
        <v>78</v>
      </c>
      <c r="BY649" t="s">
        <v>33</v>
      </c>
      <c r="BZ649" t="s">
        <v>33</v>
      </c>
      <c r="CA649" t="str">
        <f t="shared" si="338"/>
        <v>high acid</v>
      </c>
    </row>
    <row r="650" spans="1:79">
      <c r="A650" t="s">
        <v>593</v>
      </c>
      <c r="B650" t="s">
        <v>565</v>
      </c>
      <c r="C650" t="s">
        <v>563</v>
      </c>
      <c r="D650" t="s">
        <v>118</v>
      </c>
      <c r="E650" t="s">
        <v>77</v>
      </c>
      <c r="F650" t="s">
        <v>32</v>
      </c>
      <c r="G650" t="s">
        <v>33</v>
      </c>
      <c r="H650">
        <v>35</v>
      </c>
      <c r="I650" t="b">
        <v>0</v>
      </c>
      <c r="J650" t="s">
        <v>33</v>
      </c>
      <c r="K650" t="s">
        <v>33</v>
      </c>
      <c r="L650">
        <v>30</v>
      </c>
      <c r="M650" s="4">
        <v>400</v>
      </c>
      <c r="N650" t="e">
        <f>(#REF!*Y650)/(T650*X650*O650)</f>
        <v>#REF!</v>
      </c>
      <c r="O650">
        <v>2</v>
      </c>
      <c r="P650" t="s">
        <v>33</v>
      </c>
      <c r="Q650" s="1">
        <f>IFERROR(X650/Z650, "NA")</f>
        <v>0.09</v>
      </c>
      <c r="R650" t="s">
        <v>183</v>
      </c>
      <c r="S650" t="s">
        <v>613</v>
      </c>
      <c r="T650">
        <v>6</v>
      </c>
      <c r="U650">
        <v>2.92</v>
      </c>
      <c r="V650">
        <v>2.2999999999999998</v>
      </c>
      <c r="W650" t="s">
        <v>33</v>
      </c>
      <c r="X650">
        <f>IFERROR(((PI())*(((V650*10^-1)/2)^2)*(U650*10^-1)), "NA")</f>
        <v>1.2131888350367701E-2</v>
      </c>
      <c r="Y650">
        <v>1</v>
      </c>
      <c r="Z650" s="3">
        <f t="shared" si="328"/>
        <v>0.13479875944853001</v>
      </c>
      <c r="AA650" t="s">
        <v>33</v>
      </c>
      <c r="AB650">
        <f>IFERROR(((X650*M650)/Z650), "NA")</f>
        <v>36</v>
      </c>
      <c r="AC650" s="1" t="str">
        <f t="shared" si="330"/>
        <v>NA</v>
      </c>
      <c r="AE650" s="3">
        <f t="shared" si="331"/>
        <v>855.36</v>
      </c>
      <c r="AF650">
        <v>432</v>
      </c>
      <c r="AG650" s="1" t="str">
        <f>IFERROR((N650*P650*Q650), "NA")</f>
        <v>NA</v>
      </c>
      <c r="AH650" s="1" t="str">
        <f>IFERROR((AG650*U650*AI650), "NA")</f>
        <v>NA</v>
      </c>
      <c r="AI650">
        <v>1</v>
      </c>
      <c r="AJ650" s="11" t="s">
        <v>31</v>
      </c>
      <c r="AK650">
        <v>2200</v>
      </c>
      <c r="AL650" t="s">
        <v>693</v>
      </c>
      <c r="AM650" t="s">
        <v>530</v>
      </c>
      <c r="AN650" t="s">
        <v>186</v>
      </c>
      <c r="AO650" t="s">
        <v>796</v>
      </c>
      <c r="AP650">
        <v>7.09</v>
      </c>
      <c r="AQ650" t="s">
        <v>33</v>
      </c>
      <c r="AR650" t="s">
        <v>33</v>
      </c>
      <c r="AS650">
        <v>6.5</v>
      </c>
      <c r="AT650">
        <f>AS650-AU650</f>
        <v>4.46</v>
      </c>
      <c r="AU650" s="6">
        <v>2.04</v>
      </c>
      <c r="AV650" t="b">
        <v>1</v>
      </c>
      <c r="AW650" t="s">
        <v>626</v>
      </c>
      <c r="AX650" t="s">
        <v>627</v>
      </c>
      <c r="AY650" t="s">
        <v>625</v>
      </c>
      <c r="AZ650" t="s">
        <v>33</v>
      </c>
      <c r="BA650" s="18" t="s">
        <v>800</v>
      </c>
      <c r="BB650" s="3" t="b">
        <v>0</v>
      </c>
      <c r="BC650" t="s">
        <v>81</v>
      </c>
      <c r="BD650">
        <f>AVERAGE(14, 16)</f>
        <v>15</v>
      </c>
      <c r="BE650" t="s">
        <v>80</v>
      </c>
      <c r="BF650">
        <v>48</v>
      </c>
      <c r="BG650" t="s">
        <v>568</v>
      </c>
      <c r="BH650" t="s">
        <v>31</v>
      </c>
      <c r="BI650" t="s">
        <v>31</v>
      </c>
      <c r="BJ650">
        <f t="shared" si="339"/>
        <v>2.04</v>
      </c>
      <c r="BK650" s="3">
        <f t="shared" si="332"/>
        <v>0.30963016742589877</v>
      </c>
      <c r="BL650">
        <v>2</v>
      </c>
      <c r="BM650" s="3">
        <f t="shared" si="327"/>
        <v>2.6225187696505445</v>
      </c>
      <c r="BN650" t="s">
        <v>33</v>
      </c>
      <c r="BO650" s="3">
        <f t="shared" si="337"/>
        <v>419.29411764705884</v>
      </c>
      <c r="BP650" t="s">
        <v>33</v>
      </c>
      <c r="BQ650" t="s">
        <v>33</v>
      </c>
      <c r="BR650" t="s">
        <v>33</v>
      </c>
      <c r="BS650" t="s">
        <v>33</v>
      </c>
      <c r="BT650" t="s">
        <v>31</v>
      </c>
      <c r="BU650" s="15" t="s">
        <v>217</v>
      </c>
      <c r="BV650">
        <v>2012</v>
      </c>
      <c r="BW650" t="s">
        <v>660</v>
      </c>
      <c r="BX650" t="s">
        <v>78</v>
      </c>
      <c r="BY650" s="13" t="s">
        <v>681</v>
      </c>
      <c r="CA650" t="str">
        <f t="shared" si="338"/>
        <v>low acid</v>
      </c>
    </row>
    <row r="651" spans="1:79">
      <c r="A651" t="s">
        <v>261</v>
      </c>
      <c r="B651" t="s">
        <v>565</v>
      </c>
      <c r="C651" t="s">
        <v>563</v>
      </c>
      <c r="D651" t="s">
        <v>118</v>
      </c>
      <c r="E651" t="s">
        <v>77</v>
      </c>
      <c r="F651" t="s">
        <v>32</v>
      </c>
      <c r="G651">
        <v>5</v>
      </c>
      <c r="H651">
        <v>40</v>
      </c>
      <c r="I651" t="b">
        <v>0</v>
      </c>
      <c r="J651" t="s">
        <v>33</v>
      </c>
      <c r="K651" t="s">
        <v>33</v>
      </c>
      <c r="L651">
        <v>35</v>
      </c>
      <c r="M651" s="4">
        <v>250</v>
      </c>
      <c r="N651" s="3">
        <f>IFERROR(AF651/((T651*X651/Y651)*O651*AI651),"NA")</f>
        <v>2361.2015298892129</v>
      </c>
      <c r="O651">
        <v>4</v>
      </c>
      <c r="P651" t="s">
        <v>33</v>
      </c>
      <c r="Q651">
        <f>IFERROR(X651/Z651, "NA")</f>
        <v>6.25E-2</v>
      </c>
      <c r="R651" t="s">
        <v>183</v>
      </c>
      <c r="S651" t="s">
        <v>613</v>
      </c>
      <c r="T651" s="11">
        <v>8</v>
      </c>
      <c r="U651">
        <v>2.92</v>
      </c>
      <c r="V651">
        <v>2.2999999999999998</v>
      </c>
      <c r="W651">
        <v>1.21E-2</v>
      </c>
      <c r="X651" s="8">
        <f>IFERROR(((PI())*(((V651*10^-1)/2)^2)*(U651*10^-1)), "NA")</f>
        <v>1.2131888350367701E-2</v>
      </c>
      <c r="Y651" s="6">
        <f>110/60</f>
        <v>1.8333333333333333</v>
      </c>
      <c r="Z651" s="3">
        <f t="shared" si="328"/>
        <v>0.19411021360588321</v>
      </c>
      <c r="AA651" t="s">
        <v>33</v>
      </c>
      <c r="AB651" s="6">
        <f>IFERROR(((X651*M651)/Z651), "NA")</f>
        <v>15.625</v>
      </c>
      <c r="AC651" t="str">
        <f t="shared" si="330"/>
        <v>NA</v>
      </c>
      <c r="AD651" s="4">
        <f>AB651*T651*AI651</f>
        <v>125</v>
      </c>
      <c r="AE651" s="3">
        <f t="shared" si="331"/>
        <v>3142.125</v>
      </c>
      <c r="AF651">
        <v>500</v>
      </c>
      <c r="AG651" t="str">
        <f>IFERROR((M651*O651*P651), "NA")</f>
        <v>NA</v>
      </c>
      <c r="AH651" t="str">
        <f>IFERROR((AG651*T651*AI651), "NA")</f>
        <v>NA</v>
      </c>
      <c r="AI651">
        <v>1</v>
      </c>
      <c r="AJ651" t="s">
        <v>31</v>
      </c>
      <c r="AK651">
        <v>5130</v>
      </c>
      <c r="AL651" t="s">
        <v>547</v>
      </c>
      <c r="AM651" t="s">
        <v>86</v>
      </c>
      <c r="AN651" t="s">
        <v>205</v>
      </c>
      <c r="AO651" t="s">
        <v>789</v>
      </c>
      <c r="AP651">
        <v>3.16</v>
      </c>
      <c r="AQ651" t="s">
        <v>33</v>
      </c>
      <c r="AR651" t="s">
        <v>33</v>
      </c>
      <c r="AS651" s="6">
        <f>LOG((10^7+10^8)/2)</f>
        <v>7.7403626894942441</v>
      </c>
      <c r="AT651" s="3">
        <f>IFERROR(AS651-AU651,"NA")</f>
        <v>4.4683626894942439</v>
      </c>
      <c r="AU651" s="6">
        <v>3.2719999999999998</v>
      </c>
      <c r="AV651" t="b">
        <v>1</v>
      </c>
      <c r="AW651" t="s">
        <v>29</v>
      </c>
      <c r="AX651" t="s">
        <v>30</v>
      </c>
      <c r="AY651" t="s">
        <v>33</v>
      </c>
      <c r="AZ651" t="s">
        <v>134</v>
      </c>
      <c r="BA651" s="18" t="s">
        <v>798</v>
      </c>
      <c r="BB651" t="b">
        <v>0</v>
      </c>
      <c r="BC651" t="s">
        <v>81</v>
      </c>
      <c r="BD651">
        <v>15</v>
      </c>
      <c r="BE651" t="s">
        <v>80</v>
      </c>
      <c r="BF651" s="11">
        <v>24</v>
      </c>
      <c r="BG651" t="s">
        <v>262</v>
      </c>
      <c r="BH651" t="s">
        <v>31</v>
      </c>
      <c r="BI651" t="s">
        <v>31</v>
      </c>
      <c r="BJ651" s="3">
        <f t="shared" si="339"/>
        <v>3.2719999999999998</v>
      </c>
      <c r="BK651" s="3">
        <f t="shared" si="332"/>
        <v>0.51481329499928541</v>
      </c>
      <c r="BL651">
        <v>2</v>
      </c>
      <c r="BM651" s="3">
        <f t="shared" si="327"/>
        <v>2.9824101631491011</v>
      </c>
      <c r="BN651" t="s">
        <v>33</v>
      </c>
      <c r="BO651" s="3">
        <f t="shared" si="337"/>
        <v>960.30715158924215</v>
      </c>
      <c r="BP651" t="s">
        <v>33</v>
      </c>
      <c r="BQ651" t="s">
        <v>33</v>
      </c>
      <c r="BR651" t="s">
        <v>33</v>
      </c>
      <c r="BS651" t="s">
        <v>33</v>
      </c>
      <c r="BT651" t="s">
        <v>31</v>
      </c>
      <c r="BU651" t="s">
        <v>219</v>
      </c>
      <c r="BV651">
        <v>2008</v>
      </c>
      <c r="BW651" s="2" t="s">
        <v>257</v>
      </c>
      <c r="BX651" t="s">
        <v>78</v>
      </c>
      <c r="BY651" t="s">
        <v>33</v>
      </c>
      <c r="BZ651" t="s">
        <v>33</v>
      </c>
      <c r="CA651" t="str">
        <f t="shared" si="338"/>
        <v>high acid</v>
      </c>
    </row>
    <row r="652" spans="1:79">
      <c r="A652" t="s">
        <v>121</v>
      </c>
      <c r="B652" t="s">
        <v>565</v>
      </c>
      <c r="C652" t="s">
        <v>563</v>
      </c>
      <c r="D652" t="s">
        <v>118</v>
      </c>
      <c r="E652" t="s">
        <v>77</v>
      </c>
      <c r="F652" t="s">
        <v>32</v>
      </c>
      <c r="G652">
        <v>23</v>
      </c>
      <c r="H652">
        <v>56</v>
      </c>
      <c r="I652" t="b">
        <v>0</v>
      </c>
      <c r="J652" t="s">
        <v>33</v>
      </c>
      <c r="K652" t="s">
        <v>33</v>
      </c>
      <c r="L652">
        <v>25</v>
      </c>
      <c r="M652" s="4">
        <v>1000</v>
      </c>
      <c r="N652" s="3">
        <f>IFERROR(AF652/((T652*X652/Y652)*O652*AI652),"NA")</f>
        <v>1991.9007283517315</v>
      </c>
      <c r="O652">
        <v>3</v>
      </c>
      <c r="P652" t="s">
        <v>33</v>
      </c>
      <c r="Q652">
        <f>IFERROR(X652/Z652, "NA")</f>
        <v>1.2E-2</v>
      </c>
      <c r="R652" t="s">
        <v>183</v>
      </c>
      <c r="S652" t="s">
        <v>613</v>
      </c>
      <c r="T652" s="11">
        <v>4</v>
      </c>
      <c r="U652">
        <v>2.9</v>
      </c>
      <c r="V652">
        <v>2.2999999999999998</v>
      </c>
      <c r="W652" t="s">
        <v>33</v>
      </c>
      <c r="X652">
        <f>IFERROR(((PI())*(((V652*10^-1)/2)^2)*(U652*10^-1)), "NA")</f>
        <v>1.204879322468025E-2</v>
      </c>
      <c r="Y652">
        <v>2</v>
      </c>
      <c r="Z652" s="9">
        <f t="shared" si="328"/>
        <v>1.0040661020566874</v>
      </c>
      <c r="AA652" t="s">
        <v>33</v>
      </c>
      <c r="AB652" s="6">
        <f>IFERROR(((X652*M652)/Z652), "NA")</f>
        <v>12.000000000000002</v>
      </c>
      <c r="AC652" t="str">
        <f t="shared" si="330"/>
        <v>NA</v>
      </c>
      <c r="AD652" s="4">
        <f>IFERROR(AB652*T652*AI652, "NA")</f>
        <v>48.000000000000007</v>
      </c>
      <c r="AE652">
        <f t="shared" si="331"/>
        <v>189</v>
      </c>
      <c r="AF652">
        <v>144</v>
      </c>
      <c r="AG652" t="str">
        <f>IFERROR((M652*O652*P652), "NA")</f>
        <v>NA</v>
      </c>
      <c r="AH652" t="str">
        <f>IFERROR((AG652*T652*AI652), "NA")</f>
        <v>NA</v>
      </c>
      <c r="AI652" s="11">
        <v>1</v>
      </c>
      <c r="AJ652" t="s">
        <v>31</v>
      </c>
      <c r="AK652">
        <v>2100</v>
      </c>
      <c r="AL652" t="s">
        <v>114</v>
      </c>
      <c r="AM652" t="s">
        <v>103</v>
      </c>
      <c r="AN652" t="s">
        <v>130</v>
      </c>
      <c r="AO652" t="s">
        <v>795</v>
      </c>
      <c r="AP652">
        <v>7</v>
      </c>
      <c r="AQ652" t="s">
        <v>33</v>
      </c>
      <c r="AR652" t="s">
        <v>33</v>
      </c>
      <c r="AS652" s="3">
        <v>8</v>
      </c>
      <c r="AT652" s="3">
        <f>IFERROR(AS652-AU652,"NA")</f>
        <v>6.0529999999999999</v>
      </c>
      <c r="AU652" s="6">
        <v>1.9470000000000001</v>
      </c>
      <c r="AV652" t="b">
        <v>1</v>
      </c>
      <c r="AW652" t="s">
        <v>92</v>
      </c>
      <c r="AX652" t="s">
        <v>119</v>
      </c>
      <c r="AY652" t="s">
        <v>120</v>
      </c>
      <c r="AZ652" t="s">
        <v>33</v>
      </c>
      <c r="BA652" s="18" t="s">
        <v>801</v>
      </c>
      <c r="BB652" t="b">
        <v>0</v>
      </c>
      <c r="BC652" t="s">
        <v>81</v>
      </c>
      <c r="BD652">
        <v>18</v>
      </c>
      <c r="BE652" t="s">
        <v>80</v>
      </c>
      <c r="BF652" t="s">
        <v>33</v>
      </c>
      <c r="BG652" t="s">
        <v>568</v>
      </c>
      <c r="BH652" t="s">
        <v>31</v>
      </c>
      <c r="BI652" t="s">
        <v>31</v>
      </c>
      <c r="BJ652">
        <f t="shared" si="339"/>
        <v>1.9470000000000001</v>
      </c>
      <c r="BK652" s="3">
        <f t="shared" si="332"/>
        <v>0.28936595152003169</v>
      </c>
      <c r="BL652">
        <v>2</v>
      </c>
      <c r="BM652" s="3">
        <f>LOG(BO652)</f>
        <v>1.9870958526532125</v>
      </c>
      <c r="BN652" t="s">
        <v>33</v>
      </c>
      <c r="BO652" s="3">
        <f t="shared" si="337"/>
        <v>97.072419106317412</v>
      </c>
      <c r="BP652" t="s">
        <v>33</v>
      </c>
      <c r="BQ652" t="s">
        <v>33</v>
      </c>
      <c r="BR652" t="s">
        <v>33</v>
      </c>
      <c r="BS652" t="s">
        <v>33</v>
      </c>
      <c r="BT652" t="s">
        <v>32</v>
      </c>
      <c r="BU652" t="s">
        <v>116</v>
      </c>
      <c r="BV652">
        <v>2011</v>
      </c>
      <c r="BW652" t="s">
        <v>91</v>
      </c>
      <c r="BX652" t="s">
        <v>78</v>
      </c>
      <c r="BY652" t="s">
        <v>33</v>
      </c>
      <c r="BZ652" t="s">
        <v>33</v>
      </c>
      <c r="CA652" t="str">
        <f t="shared" si="338"/>
        <v>low acid</v>
      </c>
    </row>
    <row r="653" spans="1:79">
      <c r="A653" t="s">
        <v>722</v>
      </c>
      <c r="B653" t="s">
        <v>566</v>
      </c>
      <c r="C653" t="s">
        <v>563</v>
      </c>
      <c r="D653" t="s">
        <v>699</v>
      </c>
      <c r="E653" t="s">
        <v>77</v>
      </c>
      <c r="F653" t="s">
        <v>32</v>
      </c>
      <c r="G653">
        <v>20</v>
      </c>
      <c r="H653">
        <v>42.5</v>
      </c>
      <c r="I653" t="b">
        <v>1</v>
      </c>
      <c r="J653" t="s">
        <v>33</v>
      </c>
      <c r="K653" t="s">
        <v>33</v>
      </c>
      <c r="L653">
        <v>20</v>
      </c>
      <c r="M653" s="4">
        <v>47</v>
      </c>
      <c r="N653" s="3">
        <f>IFERROR(AF653/((T653*X653/Y653)*O653*AI653),"NA")</f>
        <v>46.759259259259245</v>
      </c>
      <c r="O653">
        <v>5</v>
      </c>
      <c r="P653">
        <v>0.43</v>
      </c>
      <c r="Q653" s="8">
        <f>IFERROR(X653/Y653, "NA")</f>
        <v>0.43200000000000011</v>
      </c>
      <c r="R653" t="s">
        <v>183</v>
      </c>
      <c r="S653" t="s">
        <v>612</v>
      </c>
      <c r="T653" s="11">
        <v>1</v>
      </c>
      <c r="U653">
        <v>4</v>
      </c>
      <c r="V653" t="s">
        <v>33</v>
      </c>
      <c r="W653">
        <f>0.4*3*0.5</f>
        <v>0.60000000000000009</v>
      </c>
      <c r="X653" s="9">
        <f>W653</f>
        <v>0.60000000000000009</v>
      </c>
      <c r="Y653" s="6">
        <f>5000/3600</f>
        <v>1.3888888888888888</v>
      </c>
      <c r="Z653" s="3">
        <f t="shared" si="328"/>
        <v>1.3960396039603959</v>
      </c>
      <c r="AA653" t="s">
        <v>33</v>
      </c>
      <c r="AB653" s="4">
        <f>IFERROR(((X653*M653)/Y653), "NA")</f>
        <v>20.304000000000002</v>
      </c>
      <c r="AC653" s="4">
        <f t="shared" si="330"/>
        <v>20.21</v>
      </c>
      <c r="AD653" s="4">
        <f>AB653*T653*AI653</f>
        <v>20.304000000000002</v>
      </c>
      <c r="AE653" s="3">
        <f t="shared" si="331"/>
        <v>81.216000000000022</v>
      </c>
      <c r="AF653">
        <v>101</v>
      </c>
      <c r="AG653" s="4">
        <f>IFERROR((M653*O653*P653), "NA")</f>
        <v>101.05</v>
      </c>
      <c r="AH653" s="4">
        <f>IFERROR((AG653*T653*AI653), "NA")</f>
        <v>101.05</v>
      </c>
      <c r="AI653">
        <v>1</v>
      </c>
      <c r="AJ653" s="11" t="s">
        <v>31</v>
      </c>
      <c r="AK653">
        <v>2000</v>
      </c>
      <c r="AL653" t="s">
        <v>784</v>
      </c>
      <c r="AM653" t="s">
        <v>103</v>
      </c>
      <c r="AN653" t="s">
        <v>130</v>
      </c>
      <c r="AO653" t="s">
        <v>795</v>
      </c>
      <c r="AP653">
        <v>7</v>
      </c>
      <c r="AQ653" t="s">
        <v>33</v>
      </c>
      <c r="AR653" t="s">
        <v>33</v>
      </c>
      <c r="AS653" s="6">
        <f>LOG(AVERAGE(10^8, 10^9))</f>
        <v>8.7403626894942441</v>
      </c>
      <c r="AT653" s="3">
        <f>IFERROR(AS653-AU653,"NA")</f>
        <v>4.4753626894942444</v>
      </c>
      <c r="AU653" s="6">
        <v>4.2649999999999997</v>
      </c>
      <c r="AV653" t="b">
        <v>1</v>
      </c>
      <c r="AW653" t="s">
        <v>123</v>
      </c>
      <c r="AX653" t="s">
        <v>88</v>
      </c>
      <c r="AY653" t="s">
        <v>724</v>
      </c>
      <c r="AZ653" t="s">
        <v>33</v>
      </c>
      <c r="BA653" s="18" t="s">
        <v>579</v>
      </c>
      <c r="BB653" s="3" t="b">
        <v>1</v>
      </c>
      <c r="BC653" t="s">
        <v>81</v>
      </c>
      <c r="BD653">
        <v>24</v>
      </c>
      <c r="BE653" t="s">
        <v>80</v>
      </c>
      <c r="BF653">
        <v>48</v>
      </c>
      <c r="BG653" t="s">
        <v>395</v>
      </c>
      <c r="BH653" t="s">
        <v>31</v>
      </c>
      <c r="BI653" t="s">
        <v>31</v>
      </c>
      <c r="BJ653" s="3">
        <f t="shared" si="339"/>
        <v>4.2649999999999997</v>
      </c>
      <c r="BK653" s="3">
        <f t="shared" si="332"/>
        <v>0.62991903550354178</v>
      </c>
      <c r="BL653">
        <v>2</v>
      </c>
      <c r="BM653" s="3">
        <f t="shared" ref="BM653:BM682" si="340">IFERROR(LOG(BO653),"NA")</f>
        <v>1.2797225605750502</v>
      </c>
      <c r="BN653" t="s">
        <v>33</v>
      </c>
      <c r="BO653" s="3">
        <f t="shared" si="337"/>
        <v>19.042438452520521</v>
      </c>
      <c r="BP653" t="s">
        <v>33</v>
      </c>
      <c r="BQ653" t="s">
        <v>33</v>
      </c>
      <c r="BR653" t="s">
        <v>33</v>
      </c>
      <c r="BS653" t="s">
        <v>33</v>
      </c>
      <c r="BT653" t="s">
        <v>32</v>
      </c>
      <c r="BU653" t="s">
        <v>709</v>
      </c>
      <c r="BV653">
        <v>2024</v>
      </c>
      <c r="BW653" t="s">
        <v>710</v>
      </c>
      <c r="BX653" t="s">
        <v>78</v>
      </c>
      <c r="BY653" t="s">
        <v>711</v>
      </c>
      <c r="CA653" t="str">
        <f t="shared" si="338"/>
        <v>low acid</v>
      </c>
    </row>
    <row r="654" spans="1:79">
      <c r="A654" t="s">
        <v>325</v>
      </c>
      <c r="B654" t="s">
        <v>565</v>
      </c>
      <c r="C654" t="s">
        <v>563</v>
      </c>
      <c r="D654" t="s">
        <v>304</v>
      </c>
      <c r="E654" t="s">
        <v>77</v>
      </c>
      <c r="F654" t="s">
        <v>32</v>
      </c>
      <c r="G654">
        <v>30</v>
      </c>
      <c r="H654">
        <v>31.9</v>
      </c>
      <c r="I654" t="b">
        <v>1</v>
      </c>
      <c r="J654">
        <v>12600</v>
      </c>
      <c r="K654">
        <v>50.4</v>
      </c>
      <c r="L654">
        <v>35.6</v>
      </c>
      <c r="M654" s="4">
        <v>170</v>
      </c>
      <c r="N654" s="3">
        <f>IFERROR(AF654/((T654*X654/Y654)*O654*AI654),"NA")</f>
        <v>187.2411095198768</v>
      </c>
      <c r="O654">
        <v>2</v>
      </c>
      <c r="P654">
        <v>2.4E-2</v>
      </c>
      <c r="Q654" s="8">
        <f t="shared" ref="Q654:Q663" si="341">IFERROR(X654/Z654, "NA")</f>
        <v>2.6470588235294117E-2</v>
      </c>
      <c r="R654" t="s">
        <v>183</v>
      </c>
      <c r="S654" t="s">
        <v>612</v>
      </c>
      <c r="T654" s="11">
        <v>1</v>
      </c>
      <c r="U654">
        <v>3.4</v>
      </c>
      <c r="V654">
        <v>3</v>
      </c>
      <c r="W654">
        <v>2.4E-2</v>
      </c>
      <c r="X654" s="8">
        <f>IFERROR(((PI())*(((V654*10^-1)/2)^2)*(U654*10^-1)), "NA")</f>
        <v>2.4033183799961926E-2</v>
      </c>
      <c r="Y654" s="6">
        <f>1</f>
        <v>1</v>
      </c>
      <c r="Z654" s="3">
        <f t="shared" si="328"/>
        <v>0.90792027688745058</v>
      </c>
      <c r="AA654">
        <v>4.0999999999999996</v>
      </c>
      <c r="AB654" s="6">
        <f>IFERROR(((X654*M654)/Z654), "NA")</f>
        <v>4.5</v>
      </c>
      <c r="AC654">
        <f t="shared" si="330"/>
        <v>4.08</v>
      </c>
      <c r="AD654" s="4">
        <f>IFERROR(AB654*T654*AI654, "NA")</f>
        <v>4.5</v>
      </c>
      <c r="AE654" s="3">
        <f t="shared" si="331"/>
        <v>11.40624</v>
      </c>
      <c r="AF654">
        <v>9</v>
      </c>
      <c r="AG654">
        <f>IFERROR((M654*O654*P654), "NA")</f>
        <v>8.16</v>
      </c>
      <c r="AH654">
        <f>IFERROR((AG654*T654*AI654), "NA")</f>
        <v>8.16</v>
      </c>
      <c r="AI654" s="11">
        <v>1</v>
      </c>
      <c r="AJ654" t="s">
        <v>31</v>
      </c>
      <c r="AK654">
        <v>1000</v>
      </c>
      <c r="AL654" t="s">
        <v>169</v>
      </c>
      <c r="AM654" t="s">
        <v>103</v>
      </c>
      <c r="AN654" t="s">
        <v>305</v>
      </c>
      <c r="AO654" t="s">
        <v>790</v>
      </c>
      <c r="AP654">
        <v>4.5</v>
      </c>
      <c r="AQ654" t="s">
        <v>33</v>
      </c>
      <c r="AR654" t="s">
        <v>33</v>
      </c>
      <c r="AS654" s="6">
        <f>LOG(3*10^7)</f>
        <v>7.4771212547196626</v>
      </c>
      <c r="AT654" s="3">
        <f>IFERROR(AS654-AU654,"NA")</f>
        <v>4.4771212547196626</v>
      </c>
      <c r="AU654" s="6">
        <v>3</v>
      </c>
      <c r="AV654" t="b">
        <v>1</v>
      </c>
      <c r="AW654" t="s">
        <v>123</v>
      </c>
      <c r="AX654" t="s">
        <v>88</v>
      </c>
      <c r="AY654" t="s">
        <v>306</v>
      </c>
      <c r="AZ654" t="s">
        <v>33</v>
      </c>
      <c r="BA654" s="18" t="s">
        <v>579</v>
      </c>
      <c r="BB654" t="b">
        <v>1</v>
      </c>
      <c r="BC654" t="s">
        <v>81</v>
      </c>
      <c r="BD654">
        <v>48</v>
      </c>
      <c r="BE654" t="s">
        <v>80</v>
      </c>
      <c r="BF654" s="11">
        <v>120</v>
      </c>
      <c r="BG654" t="s">
        <v>395</v>
      </c>
      <c r="BH654" t="s">
        <v>31</v>
      </c>
      <c r="BI654" t="s">
        <v>31</v>
      </c>
      <c r="BJ654" s="3">
        <f t="shared" si="339"/>
        <v>3</v>
      </c>
      <c r="BK654" s="3">
        <f t="shared" si="332"/>
        <v>0.47712125471966244</v>
      </c>
      <c r="BL654">
        <v>2</v>
      </c>
      <c r="BM654" s="3">
        <f t="shared" si="340"/>
        <v>0.58002125066541277</v>
      </c>
      <c r="BN654" t="s">
        <v>33</v>
      </c>
      <c r="BO654" s="3">
        <f t="shared" si="337"/>
        <v>3.8020800000000001</v>
      </c>
      <c r="BP654" t="s">
        <v>33</v>
      </c>
      <c r="BQ654" t="s">
        <v>33</v>
      </c>
      <c r="BR654" t="s">
        <v>33</v>
      </c>
      <c r="BS654" t="s">
        <v>33</v>
      </c>
      <c r="BT654" t="s">
        <v>32</v>
      </c>
      <c r="BU654" t="s">
        <v>323</v>
      </c>
      <c r="BV654">
        <v>2003</v>
      </c>
      <c r="BW654" s="2" t="s">
        <v>322</v>
      </c>
      <c r="BX654" t="s">
        <v>78</v>
      </c>
      <c r="BY654" t="s">
        <v>33</v>
      </c>
      <c r="BZ654" t="s">
        <v>33</v>
      </c>
      <c r="CA654" t="str">
        <f t="shared" si="338"/>
        <v>high acid</v>
      </c>
    </row>
    <row r="655" spans="1:79">
      <c r="A655" t="s">
        <v>79</v>
      </c>
      <c r="B655" t="s">
        <v>565</v>
      </c>
      <c r="C655" t="s">
        <v>563</v>
      </c>
      <c r="D655" t="s">
        <v>76</v>
      </c>
      <c r="E655" t="s">
        <v>77</v>
      </c>
      <c r="F655" t="s">
        <v>32</v>
      </c>
      <c r="G655">
        <v>4</v>
      </c>
      <c r="H655">
        <f>30</f>
        <v>30</v>
      </c>
      <c r="I655" t="b">
        <v>0</v>
      </c>
      <c r="J655" t="s">
        <v>33</v>
      </c>
      <c r="K655" t="s">
        <v>33</v>
      </c>
      <c r="L655">
        <v>35</v>
      </c>
      <c r="M655" s="4">
        <v>1000</v>
      </c>
      <c r="N655" s="3">
        <f>IFERROR(AF655/((T655*X655/Y655)*O655*AI655),"NA")</f>
        <v>1497.3326532020833</v>
      </c>
      <c r="O655">
        <v>8</v>
      </c>
      <c r="P655" t="s">
        <v>33</v>
      </c>
      <c r="Q655" s="8">
        <f t="shared" si="341"/>
        <v>1.6249999999999999E-3</v>
      </c>
      <c r="R655" t="s">
        <v>183</v>
      </c>
      <c r="S655" t="s">
        <v>612</v>
      </c>
      <c r="T655" s="11">
        <v>1</v>
      </c>
      <c r="U655">
        <f>4.7</f>
        <v>4.7</v>
      </c>
      <c r="V655">
        <v>3.5</v>
      </c>
      <c r="W655" t="s">
        <v>33</v>
      </c>
      <c r="X655" s="8">
        <f>IFERROR(((PI())*(((V655*10^-1)/2)^2)*(U655*10^-1)), "NA")</f>
        <v>4.5219299257608099E-2</v>
      </c>
      <c r="Y655" s="6">
        <f>2.5*1000/60</f>
        <v>41.666666666666664</v>
      </c>
      <c r="Z655" s="3">
        <f t="shared" si="328"/>
        <v>27.827261081604984</v>
      </c>
      <c r="AA655" t="s">
        <v>33</v>
      </c>
      <c r="AB655" s="6">
        <f>IFERROR(((X655*M655)/Z655), "NA")</f>
        <v>1.625</v>
      </c>
      <c r="AC655" t="str">
        <f t="shared" si="330"/>
        <v>NA</v>
      </c>
      <c r="AD655" s="4">
        <f>IFERROR(AB655*T655*AI655, "NA")</f>
        <v>1.625</v>
      </c>
      <c r="AE655" s="3">
        <f t="shared" si="331"/>
        <v>87.587499999999991</v>
      </c>
      <c r="AF655">
        <v>13</v>
      </c>
      <c r="AG655" t="str">
        <f>IFERROR((M655*O655*P655), "NA")</f>
        <v>NA</v>
      </c>
      <c r="AH655" t="str">
        <f>IFERROR((AG655*T655*AI655), "NA")</f>
        <v>NA</v>
      </c>
      <c r="AI655" s="11">
        <v>1</v>
      </c>
      <c r="AJ655" t="s">
        <v>31</v>
      </c>
      <c r="AK655">
        <v>5500</v>
      </c>
      <c r="AL655" t="s">
        <v>540</v>
      </c>
      <c r="AM655" t="s">
        <v>157</v>
      </c>
      <c r="AN655" t="s">
        <v>186</v>
      </c>
      <c r="AO655" t="s">
        <v>792</v>
      </c>
      <c r="AP655" s="3">
        <f>(6.53+6.6)/2</f>
        <v>6.5649999999999995</v>
      </c>
      <c r="AQ655" t="s">
        <v>33</v>
      </c>
      <c r="AR655" t="s">
        <v>33</v>
      </c>
      <c r="AS655">
        <v>8</v>
      </c>
      <c r="AT655" s="3">
        <f>IFERROR(AS655-AU655,"NA")</f>
        <v>4.4800000000000004</v>
      </c>
      <c r="AU655" s="6">
        <v>3.52</v>
      </c>
      <c r="AV655" t="b">
        <v>1</v>
      </c>
      <c r="AW655" t="s">
        <v>29</v>
      </c>
      <c r="AX655" t="s">
        <v>30</v>
      </c>
      <c r="AY655" t="s">
        <v>216</v>
      </c>
      <c r="AZ655" t="s">
        <v>33</v>
      </c>
      <c r="BA655" s="18" t="s">
        <v>798</v>
      </c>
      <c r="BB655" t="b">
        <v>0</v>
      </c>
      <c r="BC655" t="s">
        <v>81</v>
      </c>
      <c r="BD655">
        <v>24</v>
      </c>
      <c r="BE655" t="s">
        <v>80</v>
      </c>
      <c r="BF655" s="11">
        <v>24</v>
      </c>
      <c r="BG655" t="s">
        <v>572</v>
      </c>
      <c r="BH655" t="s">
        <v>31</v>
      </c>
      <c r="BI655" t="s">
        <v>31</v>
      </c>
      <c r="BJ655" s="3">
        <f t="shared" si="339"/>
        <v>3.52</v>
      </c>
      <c r="BK655" s="3">
        <f t="shared" si="332"/>
        <v>0.54654266347813107</v>
      </c>
      <c r="BL655">
        <v>2</v>
      </c>
      <c r="BM655" s="3">
        <f t="shared" si="340"/>
        <v>1.3958994670235008</v>
      </c>
      <c r="BN655" t="s">
        <v>33</v>
      </c>
      <c r="BO655" s="3">
        <f t="shared" si="337"/>
        <v>24.882812499999996</v>
      </c>
      <c r="BP655" t="s">
        <v>33</v>
      </c>
      <c r="BQ655" t="s">
        <v>33</v>
      </c>
      <c r="BR655" t="s">
        <v>33</v>
      </c>
      <c r="BS655" t="s">
        <v>33</v>
      </c>
      <c r="BT655" t="s">
        <v>32</v>
      </c>
      <c r="BU655" t="s">
        <v>117</v>
      </c>
      <c r="BV655">
        <v>2021</v>
      </c>
      <c r="BW655" s="2" t="s">
        <v>82</v>
      </c>
      <c r="BX655" t="s">
        <v>78</v>
      </c>
      <c r="BY655" t="s">
        <v>90</v>
      </c>
      <c r="CA655" t="str">
        <f t="shared" si="338"/>
        <v>low acid</v>
      </c>
    </row>
    <row r="656" spans="1:79">
      <c r="A656" t="s">
        <v>592</v>
      </c>
      <c r="B656" t="s">
        <v>566</v>
      </c>
      <c r="C656" t="s">
        <v>563</v>
      </c>
      <c r="D656" t="s">
        <v>607</v>
      </c>
      <c r="E656" t="s">
        <v>77</v>
      </c>
      <c r="F656" t="s">
        <v>32</v>
      </c>
      <c r="G656" t="s">
        <v>33</v>
      </c>
      <c r="H656">
        <v>35</v>
      </c>
      <c r="I656" t="b">
        <v>0</v>
      </c>
      <c r="J656">
        <v>30000</v>
      </c>
      <c r="K656">
        <v>200</v>
      </c>
      <c r="L656">
        <v>25</v>
      </c>
      <c r="M656" s="4">
        <v>1</v>
      </c>
      <c r="N656" t="e">
        <f>(#REF!*Y656)/(T656*X656*O656)</f>
        <v>#REF!</v>
      </c>
      <c r="O656">
        <v>3</v>
      </c>
      <c r="P656" t="s">
        <v>33</v>
      </c>
      <c r="Q656" s="1">
        <f t="shared" si="341"/>
        <v>25.933333333333334</v>
      </c>
      <c r="R656" t="s">
        <v>183</v>
      </c>
      <c r="S656" t="s">
        <v>33</v>
      </c>
      <c r="T656">
        <v>1</v>
      </c>
      <c r="U656">
        <v>2.5</v>
      </c>
      <c r="V656" t="s">
        <v>33</v>
      </c>
      <c r="W656">
        <v>0.50249999999999995</v>
      </c>
      <c r="X656">
        <f>W656</f>
        <v>0.50249999999999995</v>
      </c>
      <c r="Y656" t="s">
        <v>33</v>
      </c>
      <c r="Z656" s="3">
        <f t="shared" si="328"/>
        <v>1.9376606683804625E-2</v>
      </c>
      <c r="AA656" t="s">
        <v>33</v>
      </c>
      <c r="AB656">
        <f>IFERROR(((X656*M656)/Z656), "NA")</f>
        <v>25.933333333333334</v>
      </c>
      <c r="AC656" s="1" t="str">
        <f t="shared" si="330"/>
        <v>NA</v>
      </c>
      <c r="AE656" s="3">
        <f t="shared" si="331"/>
        <v>48.625</v>
      </c>
      <c r="AF656">
        <v>77.8</v>
      </c>
      <c r="AG656" s="1" t="str">
        <f>IFERROR((N656*P656*Q656), "NA")</f>
        <v>NA</v>
      </c>
      <c r="AH656" s="1" t="str">
        <f>IFERROR((AG656*U656*AI656), "NA")</f>
        <v>NA</v>
      </c>
      <c r="AI656" s="1">
        <v>1</v>
      </c>
      <c r="AJ656" s="11" t="s">
        <v>31</v>
      </c>
      <c r="AK656">
        <v>1000</v>
      </c>
      <c r="AL656" t="s">
        <v>614</v>
      </c>
      <c r="AM656" s="3" t="s">
        <v>103</v>
      </c>
      <c r="AN656" t="s">
        <v>130</v>
      </c>
      <c r="AO656" t="s">
        <v>795</v>
      </c>
      <c r="AP656">
        <v>7</v>
      </c>
      <c r="AQ656" t="s">
        <v>33</v>
      </c>
      <c r="AR656" t="s">
        <v>33</v>
      </c>
      <c r="AS656">
        <v>8</v>
      </c>
      <c r="AT656">
        <f>AS656-AU656</f>
        <v>4.4800000000000004</v>
      </c>
      <c r="AU656" s="6">
        <v>3.52</v>
      </c>
      <c r="AV656" t="b">
        <v>1</v>
      </c>
      <c r="AW656" t="s">
        <v>626</v>
      </c>
      <c r="AX656" t="s">
        <v>627</v>
      </c>
      <c r="AY656" t="s">
        <v>633</v>
      </c>
      <c r="AZ656" t="s">
        <v>33</v>
      </c>
      <c r="BA656" s="18" t="s">
        <v>800</v>
      </c>
      <c r="BB656" s="3" t="b">
        <v>0</v>
      </c>
      <c r="BC656" t="s">
        <v>81</v>
      </c>
      <c r="BD656">
        <v>24</v>
      </c>
      <c r="BE656" t="s">
        <v>80</v>
      </c>
      <c r="BF656">
        <v>48</v>
      </c>
      <c r="BG656" t="s">
        <v>569</v>
      </c>
      <c r="BH656" t="s">
        <v>31</v>
      </c>
      <c r="BI656" t="s">
        <v>31</v>
      </c>
      <c r="BJ656">
        <f t="shared" si="339"/>
        <v>3.52</v>
      </c>
      <c r="BK656" s="3">
        <f t="shared" si="332"/>
        <v>0.54654266347813107</v>
      </c>
      <c r="BL656">
        <v>2</v>
      </c>
      <c r="BM656" s="3">
        <f t="shared" si="340"/>
        <v>1.1403169508556332</v>
      </c>
      <c r="BN656" t="s">
        <v>33</v>
      </c>
      <c r="BO656" s="3">
        <f t="shared" si="337"/>
        <v>13.813920454545455</v>
      </c>
      <c r="BP656" t="s">
        <v>33</v>
      </c>
      <c r="BQ656" t="s">
        <v>33</v>
      </c>
      <c r="BR656" t="s">
        <v>33</v>
      </c>
      <c r="BS656" t="s">
        <v>33</v>
      </c>
      <c r="BT656" t="s">
        <v>31</v>
      </c>
      <c r="BU656" s="15" t="s">
        <v>255</v>
      </c>
      <c r="BV656">
        <v>2010</v>
      </c>
      <c r="BW656" t="s">
        <v>659</v>
      </c>
      <c r="BX656" t="s">
        <v>78</v>
      </c>
      <c r="BY656" s="13" t="s">
        <v>680</v>
      </c>
      <c r="CA656" t="str">
        <f t="shared" si="338"/>
        <v>low acid</v>
      </c>
    </row>
    <row r="657" spans="1:79">
      <c r="A657" t="s">
        <v>221</v>
      </c>
      <c r="B657" t="s">
        <v>565</v>
      </c>
      <c r="C657" t="s">
        <v>563</v>
      </c>
      <c r="D657" t="s">
        <v>118</v>
      </c>
      <c r="E657" t="s">
        <v>77</v>
      </c>
      <c r="F657" t="s">
        <v>32</v>
      </c>
      <c r="G657">
        <v>5</v>
      </c>
      <c r="H657">
        <v>30.3</v>
      </c>
      <c r="I657" t="b">
        <v>0</v>
      </c>
      <c r="J657" t="s">
        <v>33</v>
      </c>
      <c r="K657" t="s">
        <v>33</v>
      </c>
      <c r="L657">
        <v>35</v>
      </c>
      <c r="M657" s="4">
        <v>250</v>
      </c>
      <c r="N657" s="3">
        <f>IFERROR(AF657/((T657*X657/Y657)*O657*AI657),"NA")</f>
        <v>2146.5468453538301</v>
      </c>
      <c r="O657">
        <v>4</v>
      </c>
      <c r="P657" t="s">
        <v>33</v>
      </c>
      <c r="Q657">
        <f t="shared" si="341"/>
        <v>6.25E-2</v>
      </c>
      <c r="R657" t="s">
        <v>183</v>
      </c>
      <c r="S657" t="s">
        <v>613</v>
      </c>
      <c r="T657" s="11">
        <v>8</v>
      </c>
      <c r="U657">
        <v>2.92</v>
      </c>
      <c r="V657">
        <v>2.2999999999999998</v>
      </c>
      <c r="W657">
        <v>1.21E-2</v>
      </c>
      <c r="X657" s="8">
        <f>IFERROR(((PI())*(((V657*10^-1)/2)^2)*(U657*10^-1)), "NA")</f>
        <v>1.2131888350367701E-2</v>
      </c>
      <c r="Y657" s="6">
        <f>100/60</f>
        <v>1.6666666666666667</v>
      </c>
      <c r="Z657" s="3">
        <f t="shared" si="328"/>
        <v>0.19411021360588321</v>
      </c>
      <c r="AA657" t="s">
        <v>33</v>
      </c>
      <c r="AB657" s="6">
        <f>IFERROR(((X657*M657)/Z657), "NA")</f>
        <v>15.625</v>
      </c>
      <c r="AC657" t="str">
        <f t="shared" si="330"/>
        <v>NA</v>
      </c>
      <c r="AD657" s="4">
        <f>AB657*T657*AI657</f>
        <v>125</v>
      </c>
      <c r="AE657" s="3">
        <f t="shared" si="331"/>
        <v>2241.75</v>
      </c>
      <c r="AF657">
        <v>500</v>
      </c>
      <c r="AG657" t="str">
        <f>IFERROR((M657*O657*P657), "NA")</f>
        <v>NA</v>
      </c>
      <c r="AH657" t="str">
        <f>IFERROR((AG657*T657*AI657), "NA")</f>
        <v>NA</v>
      </c>
      <c r="AI657">
        <v>1</v>
      </c>
      <c r="AJ657" t="s">
        <v>31</v>
      </c>
      <c r="AK657">
        <v>3660</v>
      </c>
      <c r="AL657" t="s">
        <v>541</v>
      </c>
      <c r="AM657" t="s">
        <v>86</v>
      </c>
      <c r="AN657" t="s">
        <v>186</v>
      </c>
      <c r="AO657" t="s">
        <v>794</v>
      </c>
      <c r="AP657">
        <v>5.46</v>
      </c>
      <c r="AQ657" t="s">
        <v>33</v>
      </c>
      <c r="AR657" t="s">
        <v>33</v>
      </c>
      <c r="AS657" s="6">
        <f>LOG((10^7+10^8)/2)</f>
        <v>7.7403626894942441</v>
      </c>
      <c r="AT657" s="3">
        <f>IFERROR(AS657-AU657,"NA")</f>
        <v>4.4803626894942443</v>
      </c>
      <c r="AU657" s="6">
        <v>3.26</v>
      </c>
      <c r="AV657" t="b">
        <v>1</v>
      </c>
      <c r="AW657" t="s">
        <v>29</v>
      </c>
      <c r="AX657" t="s">
        <v>30</v>
      </c>
      <c r="AY657" s="10">
        <v>1107</v>
      </c>
      <c r="AZ657" t="s">
        <v>33</v>
      </c>
      <c r="BA657" s="18" t="s">
        <v>798</v>
      </c>
      <c r="BB657" t="b">
        <v>0</v>
      </c>
      <c r="BC657" t="s">
        <v>81</v>
      </c>
      <c r="BD657">
        <f>(16+14)/2</f>
        <v>15</v>
      </c>
      <c r="BE657" t="s">
        <v>80</v>
      </c>
      <c r="BF657" t="s">
        <v>33</v>
      </c>
      <c r="BG657" t="s">
        <v>222</v>
      </c>
      <c r="BH657" t="s">
        <v>31</v>
      </c>
      <c r="BI657" t="s">
        <v>31</v>
      </c>
      <c r="BJ657" s="3">
        <f t="shared" si="339"/>
        <v>3.26</v>
      </c>
      <c r="BK657" s="3">
        <f t="shared" si="332"/>
        <v>0.51321760006793893</v>
      </c>
      <c r="BL657">
        <v>2</v>
      </c>
      <c r="BM657" s="3">
        <f t="shared" si="340"/>
        <v>2.8373695783630417</v>
      </c>
      <c r="BN657" t="s">
        <v>33</v>
      </c>
      <c r="BO657" s="3">
        <f t="shared" si="337"/>
        <v>687.65337423312883</v>
      </c>
      <c r="BP657" t="s">
        <v>33</v>
      </c>
      <c r="BQ657" t="s">
        <v>33</v>
      </c>
      <c r="BR657" t="s">
        <v>33</v>
      </c>
      <c r="BS657" t="s">
        <v>33</v>
      </c>
      <c r="BT657" t="s">
        <v>31</v>
      </c>
      <c r="BU657" t="s">
        <v>219</v>
      </c>
      <c r="BV657">
        <v>2007</v>
      </c>
      <c r="BW657" t="s">
        <v>218</v>
      </c>
      <c r="BX657" t="s">
        <v>78</v>
      </c>
      <c r="BY657" t="s">
        <v>33</v>
      </c>
      <c r="BZ657" t="s">
        <v>33</v>
      </c>
      <c r="CA657" t="str">
        <f t="shared" si="338"/>
        <v>low acid</v>
      </c>
    </row>
    <row r="658" spans="1:79">
      <c r="A658" t="s">
        <v>487</v>
      </c>
      <c r="B658" t="s">
        <v>566</v>
      </c>
      <c r="C658" t="s">
        <v>564</v>
      </c>
      <c r="D658" t="s">
        <v>321</v>
      </c>
      <c r="E658" t="s">
        <v>77</v>
      </c>
      <c r="F658" t="s">
        <v>32</v>
      </c>
      <c r="G658">
        <v>4</v>
      </c>
      <c r="H658" t="s">
        <v>33</v>
      </c>
      <c r="I658" t="b">
        <v>0</v>
      </c>
      <c r="J658" t="s">
        <v>33</v>
      </c>
      <c r="K658" t="s">
        <v>33</v>
      </c>
      <c r="L658">
        <v>20</v>
      </c>
      <c r="M658" s="4">
        <v>10</v>
      </c>
      <c r="N658" s="3">
        <f>IFERROR(AF658/((T658*X658/Y658)*O658*AI658),"NA")</f>
        <v>10</v>
      </c>
      <c r="O658">
        <v>1.5</v>
      </c>
      <c r="P658" s="3">
        <f>6/(52.5/60)</f>
        <v>6.8571428571428568</v>
      </c>
      <c r="Q658" s="8">
        <f t="shared" si="341"/>
        <v>6.8571428571428568</v>
      </c>
      <c r="R658" t="s">
        <v>278</v>
      </c>
      <c r="S658" t="s">
        <v>613</v>
      </c>
      <c r="T658" s="11">
        <v>1</v>
      </c>
      <c r="U658">
        <v>100</v>
      </c>
      <c r="V658" t="s">
        <v>33</v>
      </c>
      <c r="W658">
        <v>6</v>
      </c>
      <c r="X658" s="9">
        <f>W658</f>
        <v>6</v>
      </c>
      <c r="Y658" s="6">
        <f>52.5/60</f>
        <v>0.875</v>
      </c>
      <c r="Z658" s="3">
        <f t="shared" si="328"/>
        <v>0.875</v>
      </c>
      <c r="AA658" t="s">
        <v>33</v>
      </c>
      <c r="AB658" s="4">
        <f>IFERROR(((X658*M658)/Y658), "NA")</f>
        <v>68.571428571428569</v>
      </c>
      <c r="AC658" s="4">
        <f t="shared" si="330"/>
        <v>68.571428571428569</v>
      </c>
      <c r="AD658" s="4">
        <f>AB658*T658*AI658</f>
        <v>828</v>
      </c>
      <c r="AE658" s="3">
        <f t="shared" si="331"/>
        <v>2533.6799999999998</v>
      </c>
      <c r="AF658">
        <f>828*O658</f>
        <v>1242</v>
      </c>
      <c r="AG658" s="4">
        <f>IFERROR((M658*O658*P658), "NA")</f>
        <v>102.85714285714285</v>
      </c>
      <c r="AH658" s="4">
        <f>IFERROR((AG658*T658*AI658), "NA")</f>
        <v>1242</v>
      </c>
      <c r="AI658" s="3">
        <f>AF658/(AG658*T658)</f>
        <v>12.075000000000001</v>
      </c>
      <c r="AJ658" s="11" t="s">
        <v>32</v>
      </c>
      <c r="AK658">
        <v>5100</v>
      </c>
      <c r="AL658" t="s">
        <v>319</v>
      </c>
      <c r="AM658" t="s">
        <v>86</v>
      </c>
      <c r="AN658" t="s">
        <v>186</v>
      </c>
      <c r="AO658" t="s">
        <v>794</v>
      </c>
      <c r="AP658">
        <v>6.05</v>
      </c>
      <c r="AQ658" t="s">
        <v>33</v>
      </c>
      <c r="AR658" t="s">
        <v>33</v>
      </c>
      <c r="AS658" s="6">
        <f>LOG((10^7+10^8)/2)</f>
        <v>7.7403626894942441</v>
      </c>
      <c r="AT658" s="3">
        <f>IFERROR(AS658-AU658,"NA")</f>
        <v>4.4823626894942441</v>
      </c>
      <c r="AU658" s="6">
        <v>3.258</v>
      </c>
      <c r="AV658" t="b">
        <v>1</v>
      </c>
      <c r="AW658" t="s">
        <v>29</v>
      </c>
      <c r="AX658" t="s">
        <v>30</v>
      </c>
      <c r="AY658" t="s">
        <v>320</v>
      </c>
      <c r="AZ658" t="s">
        <v>33</v>
      </c>
      <c r="BA658" s="18" t="s">
        <v>798</v>
      </c>
      <c r="BB658" s="3" t="b">
        <v>0</v>
      </c>
      <c r="BC658" t="s">
        <v>81</v>
      </c>
      <c r="BD658">
        <v>12</v>
      </c>
      <c r="BE658" t="s">
        <v>80</v>
      </c>
      <c r="BF658" t="s">
        <v>33</v>
      </c>
      <c r="BG658" t="s">
        <v>488</v>
      </c>
      <c r="BH658" t="s">
        <v>31</v>
      </c>
      <c r="BI658" t="s">
        <v>31</v>
      </c>
      <c r="BJ658" s="3">
        <f t="shared" si="339"/>
        <v>3.258</v>
      </c>
      <c r="BK658" s="3">
        <f t="shared" si="332"/>
        <v>0.51295107997249056</v>
      </c>
      <c r="BL658">
        <v>2</v>
      </c>
      <c r="BM658" s="3">
        <f t="shared" si="340"/>
        <v>2.8908006832939694</v>
      </c>
      <c r="BN658" t="s">
        <v>33</v>
      </c>
      <c r="BO658" s="3">
        <f t="shared" si="337"/>
        <v>777.67955801104972</v>
      </c>
      <c r="BP658" t="s">
        <v>33</v>
      </c>
      <c r="BQ658" t="s">
        <v>33</v>
      </c>
      <c r="BR658" t="s">
        <v>33</v>
      </c>
      <c r="BS658" t="s">
        <v>33</v>
      </c>
      <c r="BT658" t="s">
        <v>31</v>
      </c>
      <c r="BU658" t="s">
        <v>318</v>
      </c>
      <c r="BV658">
        <v>2005</v>
      </c>
      <c r="BW658" t="s">
        <v>489</v>
      </c>
      <c r="BX658" t="s">
        <v>78</v>
      </c>
      <c r="BY658" t="s">
        <v>33</v>
      </c>
      <c r="BZ658" t="s">
        <v>490</v>
      </c>
      <c r="CA658" t="str">
        <f t="shared" si="338"/>
        <v>low acid</v>
      </c>
    </row>
    <row r="659" spans="1:79">
      <c r="A659" t="s">
        <v>532</v>
      </c>
      <c r="B659" t="s">
        <v>565</v>
      </c>
      <c r="C659" t="s">
        <v>564</v>
      </c>
      <c r="D659" t="s">
        <v>209</v>
      </c>
      <c r="E659" t="s">
        <v>77</v>
      </c>
      <c r="F659" t="s">
        <v>32</v>
      </c>
      <c r="G659">
        <v>30</v>
      </c>
      <c r="H659">
        <v>38.200000000000003</v>
      </c>
      <c r="I659" t="b">
        <v>0</v>
      </c>
      <c r="J659" t="s">
        <v>33</v>
      </c>
      <c r="K659" t="s">
        <v>33</v>
      </c>
      <c r="L659">
        <v>24</v>
      </c>
      <c r="M659" s="4">
        <v>120</v>
      </c>
      <c r="N659" s="3">
        <f>IFERROR(AF659/((T659*X659/Y659)*O659*AI659),"NA")</f>
        <v>19.881288091689747</v>
      </c>
      <c r="O659">
        <v>3</v>
      </c>
      <c r="P659" t="s">
        <v>33</v>
      </c>
      <c r="Q659" s="9">
        <f t="shared" si="341"/>
        <v>2.0833333333333332E-2</v>
      </c>
      <c r="R659" t="s">
        <v>183</v>
      </c>
      <c r="S659" t="s">
        <v>612</v>
      </c>
      <c r="T659" s="11">
        <v>4</v>
      </c>
      <c r="U659">
        <v>3</v>
      </c>
      <c r="V659">
        <v>2.6</v>
      </c>
      <c r="W659" t="s">
        <v>33</v>
      </c>
      <c r="X659" s="8">
        <f>IFERROR(((PI())*(((V659*10^-1)/2)^2)*(U659*10^-1)), "NA")</f>
        <v>1.5927874753700257E-2</v>
      </c>
      <c r="Y659" s="6">
        <f>7.6/60</f>
        <v>0.12666666666666665</v>
      </c>
      <c r="Z659" s="3">
        <f t="shared" si="328"/>
        <v>0.76453798817761232</v>
      </c>
      <c r="AA659" t="s">
        <v>33</v>
      </c>
      <c r="AB659" s="6">
        <f>IFERROR(((X659*M659)/Z659), "NA")</f>
        <v>2.5</v>
      </c>
      <c r="AC659" t="str">
        <f t="shared" si="330"/>
        <v>NA</v>
      </c>
      <c r="AD659" s="4">
        <f>IFERROR(AB659*T659*AI659, "NA")</f>
        <v>10</v>
      </c>
      <c r="AE659" s="3">
        <f t="shared" si="331"/>
        <v>16.934399999999997</v>
      </c>
      <c r="AF659">
        <v>30</v>
      </c>
      <c r="AG659" t="str">
        <f>IFERROR((M659*O659*P659), "NA")</f>
        <v>NA</v>
      </c>
      <c r="AH659" t="str">
        <f>IFERROR((AG659*T659*AI659), "NA")</f>
        <v>NA</v>
      </c>
      <c r="AI659" s="11">
        <v>1</v>
      </c>
      <c r="AJ659" t="s">
        <v>31</v>
      </c>
      <c r="AK659">
        <v>980</v>
      </c>
      <c r="AL659" t="s">
        <v>551</v>
      </c>
      <c r="AM659" t="s">
        <v>86</v>
      </c>
      <c r="AN659" t="s">
        <v>186</v>
      </c>
      <c r="AO659" t="s">
        <v>794</v>
      </c>
      <c r="AP659">
        <v>5.98</v>
      </c>
      <c r="AQ659" t="s">
        <v>33</v>
      </c>
      <c r="AR659" t="s">
        <v>33</v>
      </c>
      <c r="AS659" s="6">
        <v>6.5</v>
      </c>
      <c r="AT659" s="3">
        <f>IFERROR(AS659-AU659,"NA")</f>
        <v>4.4879999999999995</v>
      </c>
      <c r="AU659" s="6">
        <v>2.012</v>
      </c>
      <c r="AV659" t="b">
        <v>1</v>
      </c>
      <c r="AW659" t="s">
        <v>172</v>
      </c>
      <c r="AX659" t="s">
        <v>173</v>
      </c>
      <c r="AY659" t="s">
        <v>246</v>
      </c>
      <c r="AZ659" t="s">
        <v>33</v>
      </c>
      <c r="BA659" s="18" t="s">
        <v>799</v>
      </c>
      <c r="BB659" t="b">
        <v>0</v>
      </c>
      <c r="BC659" t="s">
        <v>81</v>
      </c>
      <c r="BD659">
        <v>72</v>
      </c>
      <c r="BE659" t="s">
        <v>80</v>
      </c>
      <c r="BF659" s="11">
        <v>72</v>
      </c>
      <c r="BG659" t="s">
        <v>522</v>
      </c>
      <c r="BH659" t="s">
        <v>31</v>
      </c>
      <c r="BI659" t="s">
        <v>31</v>
      </c>
      <c r="BJ659" s="3">
        <f t="shared" si="339"/>
        <v>2.012</v>
      </c>
      <c r="BK659" s="3">
        <f t="shared" si="332"/>
        <v>0.30362797638388977</v>
      </c>
      <c r="BL659">
        <v>2</v>
      </c>
      <c r="BM659" s="3">
        <f t="shared" si="340"/>
        <v>0.92514183745147949</v>
      </c>
      <c r="BN659" t="s">
        <v>33</v>
      </c>
      <c r="BO659" s="3">
        <f t="shared" si="337"/>
        <v>8.4166998011928413</v>
      </c>
      <c r="BP659" t="s">
        <v>33</v>
      </c>
      <c r="BQ659" t="s">
        <v>33</v>
      </c>
      <c r="BR659" t="s">
        <v>33</v>
      </c>
      <c r="BS659" t="s">
        <v>33</v>
      </c>
      <c r="BT659" t="s">
        <v>32</v>
      </c>
      <c r="BU659" t="s">
        <v>207</v>
      </c>
      <c r="BV659">
        <v>2014</v>
      </c>
      <c r="BW659" t="s">
        <v>208</v>
      </c>
      <c r="BX659" t="s">
        <v>78</v>
      </c>
      <c r="BY659" t="s">
        <v>33</v>
      </c>
      <c r="BZ659" t="s">
        <v>33</v>
      </c>
      <c r="CA659" t="str">
        <f t="shared" si="338"/>
        <v>low acid</v>
      </c>
    </row>
    <row r="660" spans="1:79">
      <c r="A660" t="s">
        <v>223</v>
      </c>
      <c r="B660" t="s">
        <v>565</v>
      </c>
      <c r="C660" t="s">
        <v>563</v>
      </c>
      <c r="D660" t="s">
        <v>118</v>
      </c>
      <c r="E660" t="s">
        <v>77</v>
      </c>
      <c r="F660" t="s">
        <v>32</v>
      </c>
      <c r="G660">
        <v>5</v>
      </c>
      <c r="H660">
        <v>39.1</v>
      </c>
      <c r="I660" t="b">
        <v>0</v>
      </c>
      <c r="J660" t="s">
        <v>33</v>
      </c>
      <c r="K660" t="s">
        <v>33</v>
      </c>
      <c r="L660">
        <v>35</v>
      </c>
      <c r="M660" s="4">
        <v>250</v>
      </c>
      <c r="N660" s="3">
        <f>IFERROR(AF660/((T660*X660/Y660)*O660*AI660),"NA")</f>
        <v>5366.3671133845755</v>
      </c>
      <c r="O660">
        <v>4</v>
      </c>
      <c r="P660" t="s">
        <v>33</v>
      </c>
      <c r="Q660">
        <f t="shared" si="341"/>
        <v>0.15625</v>
      </c>
      <c r="R660" t="s">
        <v>183</v>
      </c>
      <c r="S660" t="s">
        <v>613</v>
      </c>
      <c r="T660" s="11">
        <v>8</v>
      </c>
      <c r="U660">
        <v>2.92</v>
      </c>
      <c r="V660">
        <v>2.2999999999999998</v>
      </c>
      <c r="W660">
        <v>1.21E-2</v>
      </c>
      <c r="X660" s="8">
        <f>IFERROR(((PI())*(((V660*10^-1)/2)^2)*(U660*10^-1)), "NA")</f>
        <v>1.2131888350367701E-2</v>
      </c>
      <c r="Y660" s="6">
        <f>100/60</f>
        <v>1.6666666666666667</v>
      </c>
      <c r="Z660" s="3">
        <f t="shared" si="328"/>
        <v>7.7644085442353281E-2</v>
      </c>
      <c r="AA660" t="s">
        <v>33</v>
      </c>
      <c r="AB660" s="6">
        <f>IFERROR(((X660*M660)/Z660), "NA")</f>
        <v>39.0625</v>
      </c>
      <c r="AC660" t="str">
        <f t="shared" si="330"/>
        <v>NA</v>
      </c>
      <c r="AD660" s="4">
        <f>AB660*T660*AI660</f>
        <v>312.5</v>
      </c>
      <c r="AE660" s="3">
        <f t="shared" si="331"/>
        <v>8008.4375</v>
      </c>
      <c r="AF660">
        <v>1250</v>
      </c>
      <c r="AG660" t="str">
        <f>IFERROR((M660*O660*P660), "NA")</f>
        <v>NA</v>
      </c>
      <c r="AH660" t="str">
        <f>IFERROR((AG660*T660*AI660), "NA")</f>
        <v>NA</v>
      </c>
      <c r="AI660">
        <v>1</v>
      </c>
      <c r="AJ660" t="s">
        <v>31</v>
      </c>
      <c r="AK660">
        <v>5230</v>
      </c>
      <c r="AL660" t="s">
        <v>542</v>
      </c>
      <c r="AM660" t="s">
        <v>86</v>
      </c>
      <c r="AN660" t="s">
        <v>186</v>
      </c>
      <c r="AO660" t="s">
        <v>794</v>
      </c>
      <c r="AP660">
        <v>5.82</v>
      </c>
      <c r="AQ660" t="s">
        <v>33</v>
      </c>
      <c r="AR660" t="s">
        <v>33</v>
      </c>
      <c r="AS660" s="6">
        <f>LOG((10^7+10^8)/2)</f>
        <v>7.7403626894942441</v>
      </c>
      <c r="AT660" s="3">
        <f>IFERROR(AS660-AU660,"NA")</f>
        <v>4.4903626894942441</v>
      </c>
      <c r="AU660" s="6">
        <v>3.25</v>
      </c>
      <c r="AV660" t="b">
        <v>1</v>
      </c>
      <c r="AW660" t="s">
        <v>92</v>
      </c>
      <c r="AX660" t="s">
        <v>93</v>
      </c>
      <c r="AY660" s="10">
        <v>1131</v>
      </c>
      <c r="AZ660" t="s">
        <v>33</v>
      </c>
      <c r="BA660" s="18" t="s">
        <v>801</v>
      </c>
      <c r="BB660" t="b">
        <v>0</v>
      </c>
      <c r="BC660" t="s">
        <v>81</v>
      </c>
      <c r="BD660">
        <f>(16+14)/2</f>
        <v>15</v>
      </c>
      <c r="BE660" t="s">
        <v>80</v>
      </c>
      <c r="BF660" t="s">
        <v>33</v>
      </c>
      <c r="BG660" t="s">
        <v>573</v>
      </c>
      <c r="BH660" t="s">
        <v>31</v>
      </c>
      <c r="BI660" t="s">
        <v>31</v>
      </c>
      <c r="BJ660" s="3">
        <f t="shared" si="339"/>
        <v>3.25</v>
      </c>
      <c r="BK660" s="3">
        <f t="shared" si="332"/>
        <v>0.51188336097887432</v>
      </c>
      <c r="BL660">
        <v>2</v>
      </c>
      <c r="BM660" s="3">
        <f t="shared" si="340"/>
        <v>3.3916644295970073</v>
      </c>
      <c r="BN660" t="s">
        <v>33</v>
      </c>
      <c r="BO660" s="3">
        <f t="shared" si="337"/>
        <v>2464.1346153846152</v>
      </c>
      <c r="BP660" t="s">
        <v>33</v>
      </c>
      <c r="BQ660" t="s">
        <v>33</v>
      </c>
      <c r="BR660" t="s">
        <v>33</v>
      </c>
      <c r="BS660" t="s">
        <v>33</v>
      </c>
      <c r="BT660" t="s">
        <v>31</v>
      </c>
      <c r="BU660" t="s">
        <v>219</v>
      </c>
      <c r="BV660">
        <v>2007</v>
      </c>
      <c r="BW660" t="s">
        <v>218</v>
      </c>
      <c r="BX660" t="s">
        <v>78</v>
      </c>
      <c r="BY660" t="s">
        <v>33</v>
      </c>
      <c r="BZ660" t="s">
        <v>33</v>
      </c>
      <c r="CA660" t="str">
        <f t="shared" si="338"/>
        <v>low acid</v>
      </c>
    </row>
    <row r="661" spans="1:79">
      <c r="A661" t="s">
        <v>580</v>
      </c>
      <c r="B661" t="s">
        <v>565</v>
      </c>
      <c r="C661" t="s">
        <v>563</v>
      </c>
      <c r="D661" t="s">
        <v>118</v>
      </c>
      <c r="E661" t="s">
        <v>77</v>
      </c>
      <c r="F661" t="s">
        <v>32</v>
      </c>
      <c r="G661">
        <v>22</v>
      </c>
      <c r="H661">
        <v>40</v>
      </c>
      <c r="I661" t="b">
        <v>0</v>
      </c>
      <c r="J661">
        <v>10220</v>
      </c>
      <c r="K661">
        <v>59.68</v>
      </c>
      <c r="L661">
        <v>35</v>
      </c>
      <c r="M661" s="4">
        <v>175</v>
      </c>
      <c r="N661" t="e">
        <f>(#REF!*Y661)/(T661*X661*O661)</f>
        <v>#REF!</v>
      </c>
      <c r="O661">
        <v>4</v>
      </c>
      <c r="P661">
        <f>AVERAGE(0.0066, 0.0091)</f>
        <v>7.8499999999999993E-3</v>
      </c>
      <c r="Q661" s="1">
        <f t="shared" si="341"/>
        <v>0.22321428571428573</v>
      </c>
      <c r="R661" t="s">
        <v>183</v>
      </c>
      <c r="S661" t="s">
        <v>613</v>
      </c>
      <c r="T661">
        <v>8</v>
      </c>
      <c r="U661">
        <v>2.92</v>
      </c>
      <c r="V661">
        <v>2.2999999999999998</v>
      </c>
      <c r="W661">
        <v>1.21E-2</v>
      </c>
      <c r="X661">
        <f>IFERROR(((PI())*(((V661*10^-1)/2)^2)*(U661*10^-1)), "NA")</f>
        <v>1.2131888350367701E-2</v>
      </c>
      <c r="Y661">
        <v>1.3333299999999999</v>
      </c>
      <c r="Z661" s="3">
        <f t="shared" si="328"/>
        <v>5.4350859809647295E-2</v>
      </c>
      <c r="AA661" t="s">
        <v>33</v>
      </c>
      <c r="AB661">
        <f>IFERROR(((X661*M661)/Z661), "NA")</f>
        <v>39.0625</v>
      </c>
      <c r="AC661" s="1">
        <f t="shared" si="330"/>
        <v>1.3737499999999998</v>
      </c>
      <c r="AE661" s="3">
        <f t="shared" si="331"/>
        <v>7855.3124999999991</v>
      </c>
      <c r="AF661">
        <v>1250</v>
      </c>
      <c r="AG661" s="1" t="str">
        <f>IFERROR((N661*P661*Q661), "NA")</f>
        <v>NA</v>
      </c>
      <c r="AH661" s="1" t="str">
        <f>IFERROR((AG661*U661*AI661), "NA")</f>
        <v>NA</v>
      </c>
      <c r="AI661" s="1">
        <v>1</v>
      </c>
      <c r="AJ661" s="11" t="s">
        <v>31</v>
      </c>
      <c r="AK661">
        <v>5130</v>
      </c>
      <c r="AL661" t="s">
        <v>547</v>
      </c>
      <c r="AM661" t="s">
        <v>86</v>
      </c>
      <c r="AN661" t="s">
        <v>205</v>
      </c>
      <c r="AO661" t="s">
        <v>789</v>
      </c>
      <c r="AP661">
        <v>3.16</v>
      </c>
      <c r="AQ661" t="s">
        <v>33</v>
      </c>
      <c r="AR661" t="s">
        <v>33</v>
      </c>
      <c r="AS661">
        <v>7.5</v>
      </c>
      <c r="AT661">
        <f>AS661-AU661</f>
        <v>4.5</v>
      </c>
      <c r="AU661" s="6">
        <v>3</v>
      </c>
      <c r="AV661" t="b">
        <v>1</v>
      </c>
      <c r="AW661" t="s">
        <v>617</v>
      </c>
      <c r="AX661" t="s">
        <v>33</v>
      </c>
      <c r="AY661" t="s">
        <v>33</v>
      </c>
      <c r="AZ661" t="s">
        <v>619</v>
      </c>
      <c r="BA661" s="18" t="s">
        <v>802</v>
      </c>
      <c r="BB661" s="3" t="b">
        <v>0</v>
      </c>
      <c r="BC661" t="s">
        <v>81</v>
      </c>
      <c r="BD661">
        <v>15</v>
      </c>
      <c r="BE661" t="s">
        <v>80</v>
      </c>
      <c r="BF661">
        <v>24</v>
      </c>
      <c r="BG661" t="s">
        <v>697</v>
      </c>
      <c r="BH661" t="s">
        <v>32</v>
      </c>
      <c r="BI661" t="s">
        <v>31</v>
      </c>
      <c r="BJ661">
        <f t="shared" si="339"/>
        <v>3</v>
      </c>
      <c r="BK661" s="3">
        <f t="shared" si="332"/>
        <v>0.47712125471966244</v>
      </c>
      <c r="BL661">
        <v>2</v>
      </c>
      <c r="BM661" s="3">
        <f t="shared" si="340"/>
        <v>3.4180422121007616</v>
      </c>
      <c r="BN661" t="s">
        <v>33</v>
      </c>
      <c r="BO661" s="3">
        <f t="shared" si="337"/>
        <v>2618.4374999999995</v>
      </c>
      <c r="BP661" t="s">
        <v>33</v>
      </c>
      <c r="BQ661" t="s">
        <v>33</v>
      </c>
      <c r="BR661" t="s">
        <v>33</v>
      </c>
      <c r="BS661" t="s">
        <v>33</v>
      </c>
      <c r="BT661" t="s">
        <v>31</v>
      </c>
      <c r="BU661" t="s">
        <v>219</v>
      </c>
      <c r="BV661" s="14">
        <v>2008</v>
      </c>
      <c r="BW661" t="s">
        <v>257</v>
      </c>
      <c r="BX661" t="s">
        <v>78</v>
      </c>
      <c r="BY661" s="13" t="s">
        <v>670</v>
      </c>
      <c r="CA661" t="str">
        <f t="shared" si="338"/>
        <v>high acid</v>
      </c>
    </row>
    <row r="662" spans="1:79">
      <c r="A662" t="s">
        <v>225</v>
      </c>
      <c r="B662" t="s">
        <v>565</v>
      </c>
      <c r="C662" t="s">
        <v>563</v>
      </c>
      <c r="D662" t="s">
        <v>33</v>
      </c>
      <c r="E662" t="s">
        <v>77</v>
      </c>
      <c r="F662" t="s">
        <v>32</v>
      </c>
      <c r="G662">
        <v>30</v>
      </c>
      <c r="H662">
        <v>61</v>
      </c>
      <c r="I662" t="b">
        <v>1</v>
      </c>
      <c r="J662" t="s">
        <v>33</v>
      </c>
      <c r="K662" t="s">
        <v>33</v>
      </c>
      <c r="L662">
        <v>30</v>
      </c>
      <c r="M662" s="4">
        <v>500</v>
      </c>
      <c r="N662" s="3">
        <f>IFERROR(AF662/((T662*X662/Y662)*O662*AI662),"NA")</f>
        <v>521.04864189465479</v>
      </c>
      <c r="O662">
        <v>2</v>
      </c>
      <c r="P662" t="s">
        <v>33</v>
      </c>
      <c r="Q662" s="8">
        <f t="shared" si="341"/>
        <v>1.3333333333333332E-2</v>
      </c>
      <c r="R662" t="s">
        <v>183</v>
      </c>
      <c r="S662" t="s">
        <v>613</v>
      </c>
      <c r="T662" s="11">
        <v>6</v>
      </c>
      <c r="U662">
        <v>2.2999999999999998</v>
      </c>
      <c r="V662">
        <v>2.2000000000000002</v>
      </c>
      <c r="W662" t="s">
        <v>33</v>
      </c>
      <c r="X662" s="8">
        <f>IFERROR(((PI())*(((V662*10^-1)/2)^2)*(U662*10^-1)), "NA")</f>
        <v>8.7430523549403959E-3</v>
      </c>
      <c r="Y662" s="6">
        <f>41/60</f>
        <v>0.68333333333333335</v>
      </c>
      <c r="Z662" s="3">
        <f t="shared" si="328"/>
        <v>0.65572892662052973</v>
      </c>
      <c r="AA662" s="3">
        <f>40/6</f>
        <v>6.666666666666667</v>
      </c>
      <c r="AB662" s="6">
        <f>IFERROR(((X662*M662)/Z662), "NA")</f>
        <v>6.6666666666666661</v>
      </c>
      <c r="AC662" t="str">
        <f t="shared" ref="AC662:AC678" si="342">IFERROR(M662*P662,"NA")</f>
        <v>NA</v>
      </c>
      <c r="AD662" s="4">
        <f>AB662*T662*AI662</f>
        <v>40</v>
      </c>
      <c r="AE662" s="3">
        <f t="shared" ref="AE662:AE678" si="343">IFERROR(((L662^2)*M662*O662*AK662*10^-6*Q662*T662*AI662), "NA")</f>
        <v>288</v>
      </c>
      <c r="AF662">
        <v>80</v>
      </c>
      <c r="AG662" t="str">
        <f>IFERROR((M662*O662*P662), "NA")</f>
        <v>NA</v>
      </c>
      <c r="AH662" t="str">
        <f>IFERROR((AG662*T662*AI662), "NA")</f>
        <v>NA</v>
      </c>
      <c r="AI662">
        <v>1</v>
      </c>
      <c r="AJ662" t="s">
        <v>31</v>
      </c>
      <c r="AK662">
        <v>4000</v>
      </c>
      <c r="AL662" t="s">
        <v>546</v>
      </c>
      <c r="AM662" t="s">
        <v>103</v>
      </c>
      <c r="AN662" t="s">
        <v>130</v>
      </c>
      <c r="AO662" t="s">
        <v>795</v>
      </c>
      <c r="AP662">
        <v>5</v>
      </c>
      <c r="AQ662" t="s">
        <v>33</v>
      </c>
      <c r="AR662" t="s">
        <v>33</v>
      </c>
      <c r="AS662" s="6">
        <v>8.1</v>
      </c>
      <c r="AT662" s="3">
        <f>IFERROR(AS662-AU662,"NA")</f>
        <v>4.5</v>
      </c>
      <c r="AU662" s="6">
        <v>3.6</v>
      </c>
      <c r="AV662" t="b">
        <v>1</v>
      </c>
      <c r="AW662" t="s">
        <v>29</v>
      </c>
      <c r="AX662" t="s">
        <v>30</v>
      </c>
      <c r="AY662" t="s">
        <v>226</v>
      </c>
      <c r="AZ662" t="s">
        <v>33</v>
      </c>
      <c r="BA662" s="18" t="s">
        <v>798</v>
      </c>
      <c r="BB662" t="b">
        <v>0</v>
      </c>
      <c r="BC662" t="s">
        <v>81</v>
      </c>
      <c r="BD662">
        <v>14</v>
      </c>
      <c r="BE662" t="s">
        <v>80</v>
      </c>
      <c r="BF662" s="11">
        <v>120</v>
      </c>
      <c r="BG662" t="s">
        <v>139</v>
      </c>
      <c r="BH662" t="s">
        <v>31</v>
      </c>
      <c r="BI662" t="s">
        <v>31</v>
      </c>
      <c r="BJ662" s="3">
        <f t="shared" si="339"/>
        <v>3.6</v>
      </c>
      <c r="BK662" s="3">
        <f t="shared" si="332"/>
        <v>0.55630250076728727</v>
      </c>
      <c r="BL662">
        <v>2</v>
      </c>
      <c r="BM662" s="3">
        <f t="shared" si="340"/>
        <v>1.9030899869919435</v>
      </c>
      <c r="BN662" t="s">
        <v>33</v>
      </c>
      <c r="BO662" s="3">
        <f t="shared" si="337"/>
        <v>80</v>
      </c>
      <c r="BP662" t="s">
        <v>33</v>
      </c>
      <c r="BQ662" t="s">
        <v>33</v>
      </c>
      <c r="BR662" t="s">
        <v>33</v>
      </c>
      <c r="BS662" t="s">
        <v>33</v>
      </c>
      <c r="BT662" t="s">
        <v>31</v>
      </c>
      <c r="BU662" t="s">
        <v>227</v>
      </c>
      <c r="BV662">
        <v>2001</v>
      </c>
      <c r="BW662" t="s">
        <v>228</v>
      </c>
      <c r="BX662" t="s">
        <v>78</v>
      </c>
      <c r="BY662" t="s">
        <v>33</v>
      </c>
      <c r="BZ662" t="s">
        <v>33</v>
      </c>
      <c r="CA662" t="str">
        <f t="shared" si="338"/>
        <v>low acid</v>
      </c>
    </row>
    <row r="663" spans="1:79">
      <c r="A663" t="s">
        <v>200</v>
      </c>
      <c r="B663" t="s">
        <v>565</v>
      </c>
      <c r="C663" t="s">
        <v>563</v>
      </c>
      <c r="D663" t="s">
        <v>118</v>
      </c>
      <c r="E663" t="s">
        <v>77</v>
      </c>
      <c r="F663" t="s">
        <v>32</v>
      </c>
      <c r="G663">
        <v>23</v>
      </c>
      <c r="H663">
        <v>56</v>
      </c>
      <c r="I663" t="b">
        <v>0</v>
      </c>
      <c r="J663" t="s">
        <v>33</v>
      </c>
      <c r="K663" t="s">
        <v>33</v>
      </c>
      <c r="L663">
        <v>25</v>
      </c>
      <c r="M663" s="4">
        <v>1000</v>
      </c>
      <c r="N663" s="3">
        <f>IFERROR(AF663/((T663*X663/Y663)*O663*AI663),"NA")</f>
        <v>995.95036417586573</v>
      </c>
      <c r="O663">
        <v>3</v>
      </c>
      <c r="P663" t="s">
        <v>33</v>
      </c>
      <c r="Q663">
        <f t="shared" si="341"/>
        <v>1.2E-2</v>
      </c>
      <c r="R663" t="s">
        <v>183</v>
      </c>
      <c r="S663" t="s">
        <v>613</v>
      </c>
      <c r="T663" s="11">
        <v>4</v>
      </c>
      <c r="U663">
        <v>2.9</v>
      </c>
      <c r="V663">
        <v>2.2999999999999998</v>
      </c>
      <c r="W663" t="s">
        <v>33</v>
      </c>
      <c r="X663" s="8">
        <f>IFERROR(((PI())*(((V663*10^-1)/2)^2)*(U663*10^-1)), "NA")</f>
        <v>1.204879322468025E-2</v>
      </c>
      <c r="Y663">
        <v>1</v>
      </c>
      <c r="Z663" s="3">
        <f t="shared" si="328"/>
        <v>1.0040661020566874</v>
      </c>
      <c r="AA663" t="s">
        <v>33</v>
      </c>
      <c r="AB663" s="6">
        <f>IFERROR(((X663*M663)/Z663), "NA")</f>
        <v>12.000000000000002</v>
      </c>
      <c r="AC663" t="str">
        <f t="shared" si="342"/>
        <v>NA</v>
      </c>
      <c r="AD663" s="4">
        <f>IFERROR(AB663*T663*AI663, "NA")</f>
        <v>48.000000000000007</v>
      </c>
      <c r="AE663" s="3">
        <f t="shared" si="343"/>
        <v>189</v>
      </c>
      <c r="AF663">
        <v>144</v>
      </c>
      <c r="AG663" t="str">
        <f>IFERROR((M663*O663*P663), "NA")</f>
        <v>NA</v>
      </c>
      <c r="AH663" t="str">
        <f>IFERROR((AG663*T663*AI663), "NA")</f>
        <v>NA</v>
      </c>
      <c r="AI663" s="11">
        <v>1</v>
      </c>
      <c r="AJ663" t="s">
        <v>31</v>
      </c>
      <c r="AK663">
        <v>2100</v>
      </c>
      <c r="AL663" t="s">
        <v>114</v>
      </c>
      <c r="AM663" t="s">
        <v>103</v>
      </c>
      <c r="AN663" t="s">
        <v>130</v>
      </c>
      <c r="AO663" t="s">
        <v>795</v>
      </c>
      <c r="AP663">
        <v>7</v>
      </c>
      <c r="AQ663" t="s">
        <v>33</v>
      </c>
      <c r="AR663" t="s">
        <v>33</v>
      </c>
      <c r="AS663">
        <f>LOG(10^8)</f>
        <v>8</v>
      </c>
      <c r="AT663" s="3">
        <f>IFERROR(AS663-AU663,"NA")</f>
        <v>4.5030000000000001</v>
      </c>
      <c r="AU663" s="6">
        <v>3.4969999999999999</v>
      </c>
      <c r="AV663" t="b">
        <v>1</v>
      </c>
      <c r="AW663" t="s">
        <v>92</v>
      </c>
      <c r="AX663" t="s">
        <v>93</v>
      </c>
      <c r="AY663" t="s">
        <v>102</v>
      </c>
      <c r="AZ663" t="s">
        <v>33</v>
      </c>
      <c r="BA663" s="18" t="s">
        <v>801</v>
      </c>
      <c r="BB663" t="b">
        <v>0</v>
      </c>
      <c r="BC663" t="s">
        <v>81</v>
      </c>
      <c r="BD663">
        <v>18</v>
      </c>
      <c r="BE663" t="s">
        <v>80</v>
      </c>
      <c r="BF663" t="s">
        <v>33</v>
      </c>
      <c r="BG663" t="s">
        <v>568</v>
      </c>
      <c r="BH663" t="s">
        <v>31</v>
      </c>
      <c r="BI663" t="s">
        <v>31</v>
      </c>
      <c r="BJ663" s="3">
        <f t="shared" si="339"/>
        <v>3.4969999999999999</v>
      </c>
      <c r="BK663" s="3">
        <f t="shared" si="332"/>
        <v>0.54369563230924478</v>
      </c>
      <c r="BL663">
        <v>2</v>
      </c>
      <c r="BM663" s="3">
        <f t="shared" si="340"/>
        <v>1.7327661718639995</v>
      </c>
      <c r="BN663" t="s">
        <v>33</v>
      </c>
      <c r="BO663" s="3">
        <f t="shared" si="337"/>
        <v>54.046325421790108</v>
      </c>
      <c r="BP663" t="s">
        <v>33</v>
      </c>
      <c r="BQ663" t="s">
        <v>33</v>
      </c>
      <c r="BR663" t="s">
        <v>33</v>
      </c>
      <c r="BS663" t="s">
        <v>33</v>
      </c>
      <c r="BT663" t="s">
        <v>31</v>
      </c>
      <c r="BU663" t="s">
        <v>187</v>
      </c>
      <c r="BV663">
        <v>2003</v>
      </c>
      <c r="BW663" t="s">
        <v>192</v>
      </c>
      <c r="BX663" t="s">
        <v>78</v>
      </c>
      <c r="BY663" t="s">
        <v>33</v>
      </c>
      <c r="BZ663" t="s">
        <v>33</v>
      </c>
      <c r="CA663" t="str">
        <f t="shared" si="338"/>
        <v>low acid</v>
      </c>
    </row>
    <row r="664" spans="1:79">
      <c r="A664" t="s">
        <v>698</v>
      </c>
      <c r="B664" t="s">
        <v>566</v>
      </c>
      <c r="C664" t="s">
        <v>563</v>
      </c>
      <c r="D664" t="s">
        <v>699</v>
      </c>
      <c r="E664" t="s">
        <v>77</v>
      </c>
      <c r="F664" t="s">
        <v>32</v>
      </c>
      <c r="G664">
        <v>20</v>
      </c>
      <c r="H664">
        <v>41</v>
      </c>
      <c r="I664" t="b">
        <v>1</v>
      </c>
      <c r="J664" t="s">
        <v>33</v>
      </c>
      <c r="K664" t="s">
        <v>33</v>
      </c>
      <c r="L664">
        <v>20</v>
      </c>
      <c r="M664" s="4">
        <v>30</v>
      </c>
      <c r="N664" s="3">
        <f>IFERROR(AF664/((T664*X664/Y664)*O664*AI664),"NA")</f>
        <v>29.861111111111104</v>
      </c>
      <c r="O664">
        <v>5</v>
      </c>
      <c r="P664">
        <v>0.43</v>
      </c>
      <c r="Q664" s="8">
        <f>IFERROR(X664/Y664, "NA")</f>
        <v>0.43200000000000011</v>
      </c>
      <c r="R664" t="s">
        <v>183</v>
      </c>
      <c r="S664" t="s">
        <v>612</v>
      </c>
      <c r="T664" s="11">
        <v>1</v>
      </c>
      <c r="U664">
        <v>4</v>
      </c>
      <c r="V664" t="s">
        <v>33</v>
      </c>
      <c r="W664">
        <f>0.4*3*0.5</f>
        <v>0.60000000000000009</v>
      </c>
      <c r="X664" s="9">
        <f>W664</f>
        <v>0.60000000000000009</v>
      </c>
      <c r="Y664" s="6">
        <f>5000/3600</f>
        <v>1.3888888888888888</v>
      </c>
      <c r="Z664" s="3">
        <f t="shared" si="328"/>
        <v>1.3953488372093026</v>
      </c>
      <c r="AA664" t="s">
        <v>33</v>
      </c>
      <c r="AB664" s="4">
        <f>IFERROR(((X664*M664)/Y664), "NA")</f>
        <v>12.960000000000003</v>
      </c>
      <c r="AC664" s="4">
        <f t="shared" si="342"/>
        <v>12.9</v>
      </c>
      <c r="AD664" s="4">
        <f>AB664*T664*AI664</f>
        <v>12.960000000000003</v>
      </c>
      <c r="AE664" s="3">
        <f t="shared" si="343"/>
        <v>51.840000000000011</v>
      </c>
      <c r="AF664">
        <v>64.5</v>
      </c>
      <c r="AG664" s="4">
        <f>IFERROR((M664*O664*P664), "NA")</f>
        <v>64.5</v>
      </c>
      <c r="AH664" s="4">
        <f>IFERROR((AG664*T664*AI664), "NA")</f>
        <v>64.5</v>
      </c>
      <c r="AI664">
        <v>1</v>
      </c>
      <c r="AJ664" s="11" t="s">
        <v>31</v>
      </c>
      <c r="AK664">
        <v>2000</v>
      </c>
      <c r="AL664" t="s">
        <v>784</v>
      </c>
      <c r="AM664" t="s">
        <v>103</v>
      </c>
      <c r="AN664" t="s">
        <v>130</v>
      </c>
      <c r="AO664" t="s">
        <v>795</v>
      </c>
      <c r="AP664">
        <v>7</v>
      </c>
      <c r="AQ664" t="s">
        <v>33</v>
      </c>
      <c r="AR664" t="s">
        <v>33</v>
      </c>
      <c r="AS664" s="6">
        <f>LOG(AVERAGE(10^8, 10^9))</f>
        <v>8.7403626894942441</v>
      </c>
      <c r="AT664" s="3">
        <f>IFERROR(AS664-AU664,"NA")</f>
        <v>4.503362689494244</v>
      </c>
      <c r="AU664" s="6">
        <v>4.2370000000000001</v>
      </c>
      <c r="AV664" t="b">
        <v>1</v>
      </c>
      <c r="AW664" t="s">
        <v>29</v>
      </c>
      <c r="AX664" t="s">
        <v>30</v>
      </c>
      <c r="AY664" t="s">
        <v>703</v>
      </c>
      <c r="AZ664" t="s">
        <v>33</v>
      </c>
      <c r="BA664" s="18" t="s">
        <v>798</v>
      </c>
      <c r="BB664" s="3" t="b">
        <v>0</v>
      </c>
      <c r="BC664" t="s">
        <v>81</v>
      </c>
      <c r="BD664">
        <v>24</v>
      </c>
      <c r="BE664" t="s">
        <v>80</v>
      </c>
      <c r="BF664">
        <v>24</v>
      </c>
      <c r="BG664" t="s">
        <v>568</v>
      </c>
      <c r="BH664" t="s">
        <v>31</v>
      </c>
      <c r="BI664" t="s">
        <v>31</v>
      </c>
      <c r="BJ664" s="3">
        <f t="shared" si="339"/>
        <v>4.2370000000000001</v>
      </c>
      <c r="BK664" s="3">
        <f t="shared" si="332"/>
        <v>0.62705846400098963</v>
      </c>
      <c r="BL664">
        <v>2</v>
      </c>
      <c r="BM664" s="3">
        <f t="shared" si="340"/>
        <v>1.0876065288615473</v>
      </c>
      <c r="BN664" t="s">
        <v>33</v>
      </c>
      <c r="BO664" s="3">
        <f t="shared" si="337"/>
        <v>12.235071984894976</v>
      </c>
      <c r="BP664" t="s">
        <v>33</v>
      </c>
      <c r="BQ664" t="s">
        <v>33</v>
      </c>
      <c r="BR664" t="s">
        <v>33</v>
      </c>
      <c r="BS664" t="s">
        <v>33</v>
      </c>
      <c r="BT664" t="s">
        <v>32</v>
      </c>
      <c r="BU664" t="s">
        <v>709</v>
      </c>
      <c r="BV664">
        <v>2024</v>
      </c>
      <c r="BW664" t="s">
        <v>710</v>
      </c>
      <c r="BX664" t="s">
        <v>78</v>
      </c>
      <c r="BY664" t="s">
        <v>711</v>
      </c>
      <c r="CA664" t="str">
        <f t="shared" si="338"/>
        <v>low acid</v>
      </c>
    </row>
    <row r="665" spans="1:79">
      <c r="A665" t="s">
        <v>431</v>
      </c>
      <c r="B665" t="s">
        <v>565</v>
      </c>
      <c r="C665" t="s">
        <v>563</v>
      </c>
      <c r="D665" t="s">
        <v>118</v>
      </c>
      <c r="E665" t="s">
        <v>77</v>
      </c>
      <c r="F665" t="s">
        <v>32</v>
      </c>
      <c r="G665">
        <v>20</v>
      </c>
      <c r="H665">
        <v>25</v>
      </c>
      <c r="I665" t="b">
        <v>0</v>
      </c>
      <c r="J665" t="s">
        <v>33</v>
      </c>
      <c r="K665" t="s">
        <v>33</v>
      </c>
      <c r="L665">
        <v>18.100000000000001</v>
      </c>
      <c r="M665" s="4">
        <v>667</v>
      </c>
      <c r="N665" s="3" t="str">
        <f>IFERROR(AF665/((T665*X665/Y665)*O665*AI665),"NA")</f>
        <v>NA</v>
      </c>
      <c r="O665">
        <v>2</v>
      </c>
      <c r="P665" t="s">
        <v>33</v>
      </c>
      <c r="Q665" s="8">
        <f t="shared" ref="Q665:Q669" si="344">IFERROR(X665/Z665, "NA")</f>
        <v>1.999000499750125E-2</v>
      </c>
      <c r="R665" t="s">
        <v>183</v>
      </c>
      <c r="S665" t="s">
        <v>613</v>
      </c>
      <c r="T665" s="11">
        <v>6</v>
      </c>
      <c r="U665">
        <v>2.92</v>
      </c>
      <c r="V665">
        <v>2.2999999999999998</v>
      </c>
      <c r="W665" t="s">
        <v>33</v>
      </c>
      <c r="X665" s="9">
        <f>IFERROR(((PI())*(((V665*10^-1)/2)^2)*(U665*10^-1)), "NA")</f>
        <v>1.2131888350367701E-2</v>
      </c>
      <c r="Y665" s="6" t="s">
        <v>33</v>
      </c>
      <c r="Z665" s="3">
        <f t="shared" si="328"/>
        <v>0.60689771472714416</v>
      </c>
      <c r="AA665" t="s">
        <v>33</v>
      </c>
      <c r="AB665" s="6" t="str">
        <f>IFERROR(((X665*M665)/Y665), "NA")</f>
        <v>NA</v>
      </c>
      <c r="AC665" t="str">
        <f t="shared" si="342"/>
        <v>NA</v>
      </c>
      <c r="AD665" s="4" t="str">
        <f>IFERROR(AB665*T665*AI665, "NA")</f>
        <v>NA</v>
      </c>
      <c r="AE665" s="3">
        <f t="shared" si="343"/>
        <v>52.417600000000014</v>
      </c>
      <c r="AF665">
        <v>160</v>
      </c>
      <c r="AG665" t="str">
        <f>IFERROR((M665*O665*P665), "NA")</f>
        <v>NA</v>
      </c>
      <c r="AH665" t="str">
        <f>IFERROR((AG665*T665*AI665), "NA")</f>
        <v>NA</v>
      </c>
      <c r="AI665" s="11">
        <v>1</v>
      </c>
      <c r="AJ665" t="s">
        <v>31</v>
      </c>
      <c r="AK665">
        <v>1000</v>
      </c>
      <c r="AL665" t="s">
        <v>430</v>
      </c>
      <c r="AM665" t="s">
        <v>530</v>
      </c>
      <c r="AN665" t="s">
        <v>186</v>
      </c>
      <c r="AO665" t="s">
        <v>796</v>
      </c>
      <c r="AP665" s="4">
        <v>6</v>
      </c>
      <c r="AQ665" t="s">
        <v>33</v>
      </c>
      <c r="AR665" t="s">
        <v>33</v>
      </c>
      <c r="AS665" s="3">
        <f>LOG((10^6+10^7)/2)</f>
        <v>6.7403626894942441</v>
      </c>
      <c r="AT665" s="3">
        <f>IFERROR(AS665-AU665,"NA")</f>
        <v>4.5083626894942439</v>
      </c>
      <c r="AU665" s="6">
        <v>2.2320000000000002</v>
      </c>
      <c r="AV665" t="b">
        <v>1</v>
      </c>
      <c r="AW665" t="s">
        <v>29</v>
      </c>
      <c r="AX665" t="s">
        <v>30</v>
      </c>
      <c r="AY665" t="s">
        <v>216</v>
      </c>
      <c r="AZ665" t="s">
        <v>33</v>
      </c>
      <c r="BA665" s="18" t="s">
        <v>798</v>
      </c>
      <c r="BB665" s="3" t="b">
        <v>0</v>
      </c>
      <c r="BC665" t="s">
        <v>81</v>
      </c>
      <c r="BD665">
        <v>15</v>
      </c>
      <c r="BE665" t="s">
        <v>80</v>
      </c>
      <c r="BF665" s="11">
        <v>240</v>
      </c>
      <c r="BG665" t="s">
        <v>139</v>
      </c>
      <c r="BH665" t="s">
        <v>31</v>
      </c>
      <c r="BI665" t="s">
        <v>31</v>
      </c>
      <c r="BJ665" s="3">
        <f t="shared" si="339"/>
        <v>2.2320000000000002</v>
      </c>
      <c r="BK665" s="3">
        <f t="shared" si="332"/>
        <v>0.34869419026554116</v>
      </c>
      <c r="BL665">
        <v>2</v>
      </c>
      <c r="BM665" s="3">
        <f t="shared" si="340"/>
        <v>1.3707829421287527</v>
      </c>
      <c r="BN665" t="s">
        <v>33</v>
      </c>
      <c r="BO665" s="3">
        <f t="shared" si="337"/>
        <v>23.484587813620077</v>
      </c>
      <c r="BP665" t="s">
        <v>33</v>
      </c>
      <c r="BQ665" t="s">
        <v>33</v>
      </c>
      <c r="BR665" t="s">
        <v>33</v>
      </c>
      <c r="BS665" t="s">
        <v>33</v>
      </c>
      <c r="BT665" t="s">
        <v>32</v>
      </c>
      <c r="BU665" t="s">
        <v>344</v>
      </c>
      <c r="BV665">
        <v>2008</v>
      </c>
      <c r="BW665" t="s">
        <v>432</v>
      </c>
      <c r="BX665" t="s">
        <v>78</v>
      </c>
      <c r="BY665" t="s">
        <v>33</v>
      </c>
      <c r="BZ665" t="s">
        <v>33</v>
      </c>
      <c r="CA665" t="str">
        <f t="shared" si="338"/>
        <v>low acid</v>
      </c>
    </row>
    <row r="666" spans="1:79">
      <c r="A666" t="s">
        <v>595</v>
      </c>
      <c r="B666" t="s">
        <v>565</v>
      </c>
      <c r="C666" t="s">
        <v>564</v>
      </c>
      <c r="D666" t="s">
        <v>609</v>
      </c>
      <c r="E666" t="s">
        <v>77</v>
      </c>
      <c r="F666" t="s">
        <v>32</v>
      </c>
      <c r="G666">
        <v>30</v>
      </c>
      <c r="H666">
        <v>38.200000000000003</v>
      </c>
      <c r="I666" t="b">
        <v>0</v>
      </c>
      <c r="J666" t="s">
        <v>33</v>
      </c>
      <c r="K666" t="s">
        <v>33</v>
      </c>
      <c r="L666">
        <v>18</v>
      </c>
      <c r="M666" s="4">
        <v>120</v>
      </c>
      <c r="N666" t="e">
        <f>(#REF!*Y666)/(T666*X666*O666)</f>
        <v>#REF!</v>
      </c>
      <c r="O666">
        <v>3</v>
      </c>
      <c r="P666" t="s">
        <v>33</v>
      </c>
      <c r="Q666" s="1">
        <f t="shared" si="344"/>
        <v>0.10416666666666666</v>
      </c>
      <c r="R666" t="s">
        <v>183</v>
      </c>
      <c r="S666" t="s">
        <v>612</v>
      </c>
      <c r="T666">
        <v>4</v>
      </c>
      <c r="U666">
        <v>3</v>
      </c>
      <c r="V666">
        <v>2.6</v>
      </c>
      <c r="W666" t="s">
        <v>33</v>
      </c>
      <c r="X666">
        <f>IFERROR(((PI())*(((V666*10^-1)/2)^2)*(U666*10^-1)), "NA")</f>
        <v>1.5927874753700257E-2</v>
      </c>
      <c r="Y666">
        <v>0.126667</v>
      </c>
      <c r="Z666" s="3">
        <f t="shared" si="328"/>
        <v>0.15290759763552247</v>
      </c>
      <c r="AA666" t="s">
        <v>33</v>
      </c>
      <c r="AB666">
        <f>IFERROR(((X666*M666)/Z666), "NA")</f>
        <v>12.5</v>
      </c>
      <c r="AC666" s="1" t="str">
        <f t="shared" si="342"/>
        <v>NA</v>
      </c>
      <c r="AE666" s="3">
        <f t="shared" si="343"/>
        <v>47.627999999999993</v>
      </c>
      <c r="AF666">
        <v>150</v>
      </c>
      <c r="AG666" s="1" t="str">
        <f>IFERROR((N666*P666*Q666), "NA")</f>
        <v>NA</v>
      </c>
      <c r="AH666" s="1" t="str">
        <f>IFERROR((AG666*U666*AI666), "NA")</f>
        <v>NA</v>
      </c>
      <c r="AI666" s="1">
        <v>1</v>
      </c>
      <c r="AJ666" s="11" t="s">
        <v>31</v>
      </c>
      <c r="AK666">
        <v>980</v>
      </c>
      <c r="AL666" t="s">
        <v>551</v>
      </c>
      <c r="AM666" t="s">
        <v>86</v>
      </c>
      <c r="AN666" t="s">
        <v>186</v>
      </c>
      <c r="AO666" t="s">
        <v>794</v>
      </c>
      <c r="AP666">
        <v>5.98</v>
      </c>
      <c r="AQ666" t="s">
        <v>33</v>
      </c>
      <c r="AR666" t="s">
        <v>33</v>
      </c>
      <c r="AS666">
        <v>6</v>
      </c>
      <c r="AT666">
        <f>AS666-AU666</f>
        <v>4.51</v>
      </c>
      <c r="AU666" s="6">
        <v>1.49</v>
      </c>
      <c r="AV666" t="b">
        <v>1</v>
      </c>
      <c r="AW666" t="s">
        <v>626</v>
      </c>
      <c r="AX666" t="s">
        <v>627</v>
      </c>
      <c r="AY666" t="s">
        <v>631</v>
      </c>
      <c r="AZ666" t="s">
        <v>33</v>
      </c>
      <c r="BA666" s="18" t="s">
        <v>800</v>
      </c>
      <c r="BB666" s="3" t="b">
        <v>0</v>
      </c>
      <c r="BC666" t="s">
        <v>81</v>
      </c>
      <c r="BD666">
        <v>20</v>
      </c>
      <c r="BE666" t="s">
        <v>80</v>
      </c>
      <c r="BF666">
        <v>20</v>
      </c>
      <c r="BG666" t="s">
        <v>695</v>
      </c>
      <c r="BH666" t="s">
        <v>32</v>
      </c>
      <c r="BI666" t="s">
        <v>31</v>
      </c>
      <c r="BJ666">
        <f t="shared" si="339"/>
        <v>1.49</v>
      </c>
      <c r="BK666" s="3">
        <f t="shared" si="332"/>
        <v>0.17318626841227402</v>
      </c>
      <c r="BL666">
        <v>2</v>
      </c>
      <c r="BM666" s="3">
        <f t="shared" si="340"/>
        <v>1.5046760765425142</v>
      </c>
      <c r="BN666" t="s">
        <v>33</v>
      </c>
      <c r="BO666" s="3">
        <f t="shared" si="337"/>
        <v>31.965100671140934</v>
      </c>
      <c r="BP666" t="s">
        <v>33</v>
      </c>
      <c r="BQ666" t="s">
        <v>33</v>
      </c>
      <c r="BR666" t="s">
        <v>33</v>
      </c>
      <c r="BS666" t="s">
        <v>33</v>
      </c>
      <c r="BT666" t="s">
        <v>32</v>
      </c>
      <c r="BU666" t="s">
        <v>207</v>
      </c>
      <c r="BV666">
        <v>2014</v>
      </c>
      <c r="BW666" t="s">
        <v>208</v>
      </c>
      <c r="BX666" t="s">
        <v>78</v>
      </c>
      <c r="BY666" s="13" t="s">
        <v>683</v>
      </c>
      <c r="CA666" t="str">
        <f t="shared" si="338"/>
        <v>low acid</v>
      </c>
    </row>
    <row r="667" spans="1:79">
      <c r="A667" t="s">
        <v>596</v>
      </c>
      <c r="B667" t="s">
        <v>565</v>
      </c>
      <c r="C667" t="s">
        <v>563</v>
      </c>
      <c r="D667" t="s">
        <v>610</v>
      </c>
      <c r="E667" t="s">
        <v>77</v>
      </c>
      <c r="F667" t="s">
        <v>33</v>
      </c>
      <c r="G667">
        <v>20</v>
      </c>
      <c r="H667" t="s">
        <v>33</v>
      </c>
      <c r="I667" t="b">
        <v>0</v>
      </c>
      <c r="J667">
        <v>10000</v>
      </c>
      <c r="K667" t="s">
        <v>33</v>
      </c>
      <c r="L667">
        <v>25</v>
      </c>
      <c r="M667" s="4">
        <v>31.831088090218493</v>
      </c>
      <c r="N667" t="e">
        <f>(#REF!*Y667)/(T667*X667*O667)</f>
        <v>#REF!</v>
      </c>
      <c r="O667">
        <v>5</v>
      </c>
      <c r="P667" t="s">
        <v>33</v>
      </c>
      <c r="Q667" s="1">
        <f t="shared" si="344"/>
        <v>0.4712374254215147</v>
      </c>
      <c r="R667" t="s">
        <v>183</v>
      </c>
      <c r="S667" t="s">
        <v>613</v>
      </c>
      <c r="T667">
        <v>1</v>
      </c>
      <c r="U667">
        <v>4</v>
      </c>
      <c r="V667">
        <v>4</v>
      </c>
      <c r="W667" t="s">
        <v>33</v>
      </c>
      <c r="X667">
        <f>IFERROR(((PI())*(((V667*10^-1)/2)^2)*(U667*10^-1)), "NA")</f>
        <v>5.02654824574367E-2</v>
      </c>
      <c r="Y667">
        <v>0.106667</v>
      </c>
      <c r="Z667" s="3">
        <f t="shared" si="328"/>
        <v>0.10666699999999998</v>
      </c>
      <c r="AA667" t="s">
        <v>33</v>
      </c>
      <c r="AB667">
        <f>IFERROR(((X667*M667)/Z667), "NA")</f>
        <v>15.000000000000002</v>
      </c>
      <c r="AC667" s="1" t="str">
        <f t="shared" si="342"/>
        <v>NA</v>
      </c>
      <c r="AE667" s="3">
        <f t="shared" si="343"/>
        <v>117.1875</v>
      </c>
      <c r="AF667">
        <v>75</v>
      </c>
      <c r="AG667" s="1" t="str">
        <f>IFERROR((N667*P667*Q667), "NA")</f>
        <v>NA</v>
      </c>
      <c r="AH667" s="1" t="str">
        <f>IFERROR((AG667*U667*AI667), "NA")</f>
        <v>NA</v>
      </c>
      <c r="AI667" s="1">
        <v>1</v>
      </c>
      <c r="AJ667" s="11" t="s">
        <v>31</v>
      </c>
      <c r="AK667">
        <v>2500</v>
      </c>
      <c r="AL667" t="s">
        <v>149</v>
      </c>
      <c r="AM667" t="s">
        <v>86</v>
      </c>
      <c r="AN667" t="s">
        <v>205</v>
      </c>
      <c r="AO667" t="s">
        <v>789</v>
      </c>
      <c r="AP667" t="s">
        <v>33</v>
      </c>
      <c r="AQ667" t="s">
        <v>33</v>
      </c>
      <c r="AR667" t="s">
        <v>33</v>
      </c>
      <c r="AS667">
        <f>AVERAGE(6,8)</f>
        <v>7</v>
      </c>
      <c r="AT667">
        <f>AS667-AU667</f>
        <v>4.51</v>
      </c>
      <c r="AU667" s="6">
        <v>2.4900000000000002</v>
      </c>
      <c r="AV667" t="b">
        <v>1</v>
      </c>
      <c r="AW667" t="s">
        <v>626</v>
      </c>
      <c r="AX667" t="s">
        <v>627</v>
      </c>
      <c r="AY667" t="s">
        <v>634</v>
      </c>
      <c r="AZ667" t="s">
        <v>33</v>
      </c>
      <c r="BA667" s="18" t="s">
        <v>800</v>
      </c>
      <c r="BB667" s="3" t="b">
        <v>0</v>
      </c>
      <c r="BC667" t="s">
        <v>81</v>
      </c>
      <c r="BD667">
        <v>18</v>
      </c>
      <c r="BE667" t="s">
        <v>80</v>
      </c>
      <c r="BF667">
        <v>24</v>
      </c>
      <c r="BG667" t="s">
        <v>644</v>
      </c>
      <c r="BH667" t="s">
        <v>31</v>
      </c>
      <c r="BI667" t="s">
        <v>31</v>
      </c>
      <c r="BJ667">
        <f t="shared" si="339"/>
        <v>2.4900000000000002</v>
      </c>
      <c r="BK667" s="3">
        <f t="shared" si="332"/>
        <v>0.3961993470957364</v>
      </c>
      <c r="BL667">
        <v>2</v>
      </c>
      <c r="BM667" s="3">
        <f t="shared" si="340"/>
        <v>1.6726819423120765</v>
      </c>
      <c r="BN667" t="s">
        <v>33</v>
      </c>
      <c r="BO667" s="3">
        <f t="shared" si="337"/>
        <v>47.063253012048186</v>
      </c>
      <c r="BP667" t="s">
        <v>33</v>
      </c>
      <c r="BQ667" t="s">
        <v>33</v>
      </c>
      <c r="BR667" t="s">
        <v>33</v>
      </c>
      <c r="BS667" t="s">
        <v>33</v>
      </c>
      <c r="BT667" t="s">
        <v>32</v>
      </c>
      <c r="BU667" t="s">
        <v>661</v>
      </c>
      <c r="BV667">
        <v>2013</v>
      </c>
      <c r="BW667" t="s">
        <v>662</v>
      </c>
      <c r="BX667" s="13" t="s">
        <v>663</v>
      </c>
      <c r="BY667" s="13" t="s">
        <v>684</v>
      </c>
      <c r="CA667" t="str">
        <f t="shared" si="338"/>
        <v>high acid</v>
      </c>
    </row>
    <row r="668" spans="1:79">
      <c r="A668" t="s">
        <v>254</v>
      </c>
      <c r="B668" t="s">
        <v>566</v>
      </c>
      <c r="C668" t="s">
        <v>563</v>
      </c>
      <c r="D668" t="s">
        <v>33</v>
      </c>
      <c r="E668" t="s">
        <v>77</v>
      </c>
      <c r="F668" t="s">
        <v>32</v>
      </c>
      <c r="G668">
        <v>20</v>
      </c>
      <c r="H668">
        <v>56.15</v>
      </c>
      <c r="I668" t="b">
        <v>1</v>
      </c>
      <c r="J668" t="s">
        <v>33</v>
      </c>
      <c r="K668" t="s">
        <v>33</v>
      </c>
      <c r="L668">
        <v>25</v>
      </c>
      <c r="M668" s="4">
        <v>52</v>
      </c>
      <c r="N668" s="3">
        <f>IFERROR(AF668/((T668*X668/Y668)*O668*AI668),"NA")</f>
        <v>33.38372385991434</v>
      </c>
      <c r="O668">
        <v>3</v>
      </c>
      <c r="P668" t="s">
        <v>33</v>
      </c>
      <c r="Q668" s="8">
        <f t="shared" si="344"/>
        <v>0.50961538461538469</v>
      </c>
      <c r="R668" t="s">
        <v>183</v>
      </c>
      <c r="S668" t="s">
        <v>612</v>
      </c>
      <c r="T668" s="11">
        <v>1</v>
      </c>
      <c r="U668">
        <v>4.5</v>
      </c>
      <c r="V668" t="s">
        <v>33</v>
      </c>
      <c r="W668" t="s">
        <v>33</v>
      </c>
      <c r="X668">
        <f>U668*0.1*1.47</f>
        <v>0.66149999999999998</v>
      </c>
      <c r="Y668" s="6">
        <f>3000/3600</f>
        <v>0.83333333333333337</v>
      </c>
      <c r="Z668" s="3">
        <f t="shared" si="328"/>
        <v>1.2980377358490565</v>
      </c>
      <c r="AA668" t="s">
        <v>33</v>
      </c>
      <c r="AB668" s="6">
        <f>IFERROR(((X668*M668)/Z668), "NA")</f>
        <v>26.5</v>
      </c>
      <c r="AC668" t="str">
        <f t="shared" si="342"/>
        <v>NA</v>
      </c>
      <c r="AD668" s="4">
        <f>IFERROR(AB668*T668*AI668, "NA")</f>
        <v>26.5</v>
      </c>
      <c r="AE668" s="3">
        <f t="shared" si="343"/>
        <v>134.15625000000003</v>
      </c>
      <c r="AF668">
        <v>79.5</v>
      </c>
      <c r="AG668" t="str">
        <f>IFERROR((M668*O668*P668), "NA")</f>
        <v>NA</v>
      </c>
      <c r="AH668" t="str">
        <f>IFERROR((AG668*T668*AI668), "NA")</f>
        <v>NA</v>
      </c>
      <c r="AI668" s="11">
        <v>1</v>
      </c>
      <c r="AJ668" t="s">
        <v>31</v>
      </c>
      <c r="AK668" s="11">
        <v>2700</v>
      </c>
      <c r="AL668" t="s">
        <v>149</v>
      </c>
      <c r="AM668" t="s">
        <v>86</v>
      </c>
      <c r="AN668" t="s">
        <v>205</v>
      </c>
      <c r="AO668" t="s">
        <v>789</v>
      </c>
      <c r="AP668">
        <v>3.5</v>
      </c>
      <c r="AQ668" t="s">
        <v>33</v>
      </c>
      <c r="AR668" t="s">
        <v>33</v>
      </c>
      <c r="AS668" s="6">
        <f>LOG(10^8)</f>
        <v>8</v>
      </c>
      <c r="AT668" s="3">
        <f>IFERROR(AS668-AU668,"NA")</f>
        <v>4.51</v>
      </c>
      <c r="AU668" s="6">
        <v>3.49</v>
      </c>
      <c r="AV668" t="b">
        <v>1</v>
      </c>
      <c r="AW668" t="s">
        <v>29</v>
      </c>
      <c r="AX668" t="s">
        <v>30</v>
      </c>
      <c r="AY668" t="s">
        <v>33</v>
      </c>
      <c r="AZ668" t="s">
        <v>134</v>
      </c>
      <c r="BA668" s="18" t="s">
        <v>798</v>
      </c>
      <c r="BB668" t="b">
        <v>0</v>
      </c>
      <c r="BC668" t="s">
        <v>81</v>
      </c>
      <c r="BD668">
        <v>12</v>
      </c>
      <c r="BE668" t="s">
        <v>80</v>
      </c>
      <c r="BF668" s="11">
        <v>48</v>
      </c>
      <c r="BG668" t="s">
        <v>569</v>
      </c>
      <c r="BH668" t="s">
        <v>31</v>
      </c>
      <c r="BI668" t="s">
        <v>31</v>
      </c>
      <c r="BJ668" s="3">
        <f t="shared" si="339"/>
        <v>3.49</v>
      </c>
      <c r="BK668" s="3">
        <f t="shared" si="332"/>
        <v>0.5428254269591799</v>
      </c>
      <c r="BL668">
        <v>2</v>
      </c>
      <c r="BM668" s="3">
        <f t="shared" si="340"/>
        <v>1.584785483200353</v>
      </c>
      <c r="BN668" t="s">
        <v>33</v>
      </c>
      <c r="BO668" s="3">
        <f t="shared" si="337"/>
        <v>38.440186246418342</v>
      </c>
      <c r="BP668" t="s">
        <v>33</v>
      </c>
      <c r="BQ668" t="s">
        <v>33</v>
      </c>
      <c r="BR668" t="s">
        <v>33</v>
      </c>
      <c r="BS668" t="s">
        <v>33</v>
      </c>
      <c r="BT668" t="s">
        <v>32</v>
      </c>
      <c r="BU668" t="s">
        <v>255</v>
      </c>
      <c r="BV668">
        <v>2011</v>
      </c>
      <c r="BW668" s="2" t="s">
        <v>256</v>
      </c>
      <c r="BX668" t="s">
        <v>78</v>
      </c>
      <c r="BY668" t="s">
        <v>33</v>
      </c>
      <c r="BZ668" t="s">
        <v>33</v>
      </c>
      <c r="CA668" t="str">
        <f t="shared" si="338"/>
        <v>high acid</v>
      </c>
    </row>
    <row r="669" spans="1:79">
      <c r="A669" t="s">
        <v>268</v>
      </c>
      <c r="B669" t="s">
        <v>565</v>
      </c>
      <c r="C669" t="s">
        <v>563</v>
      </c>
      <c r="D669" t="s">
        <v>118</v>
      </c>
      <c r="E669" t="s">
        <v>77</v>
      </c>
      <c r="F669" t="s">
        <v>31</v>
      </c>
      <c r="G669">
        <v>18</v>
      </c>
      <c r="H669" t="s">
        <v>33</v>
      </c>
      <c r="I669" t="b">
        <v>0</v>
      </c>
      <c r="J669" t="s">
        <v>33</v>
      </c>
      <c r="K669" t="s">
        <v>33</v>
      </c>
      <c r="L669">
        <v>17</v>
      </c>
      <c r="M669" s="4">
        <v>500</v>
      </c>
      <c r="N669" s="3">
        <f>IFERROR(AF669/((T669*X669/Y669)*O669*AI669),"NA")</f>
        <v>496.39611314422439</v>
      </c>
      <c r="O669">
        <v>3</v>
      </c>
      <c r="P669" t="s">
        <v>33</v>
      </c>
      <c r="Q669" s="8">
        <f t="shared" si="344"/>
        <v>1.2044444444444444E-2</v>
      </c>
      <c r="R669" t="s">
        <v>183</v>
      </c>
      <c r="S669" t="s">
        <v>613</v>
      </c>
      <c r="T669" s="11">
        <v>6</v>
      </c>
      <c r="U669">
        <v>2.92</v>
      </c>
      <c r="V669">
        <v>2.2999999999999998</v>
      </c>
      <c r="W669" t="s">
        <v>33</v>
      </c>
      <c r="X669" s="8">
        <f>IFERROR(((PI())*(((V669*10^-1)/2)^2)*(U669*10^-1)), "NA")</f>
        <v>1.2131888350367701E-2</v>
      </c>
      <c r="Y669">
        <v>1</v>
      </c>
      <c r="Z669" s="3">
        <f t="shared" si="328"/>
        <v>1.0072601028903072</v>
      </c>
      <c r="AA669" t="s">
        <v>33</v>
      </c>
      <c r="AB669" s="6">
        <f>IFERROR(((X669*M669)/Z669), "NA")</f>
        <v>6.022222222222223</v>
      </c>
      <c r="AC669" t="str">
        <f t="shared" si="342"/>
        <v>NA</v>
      </c>
      <c r="AD669" s="4">
        <f>IFERROR(AB669*T669*AI669, "NA")</f>
        <v>36.13333333333334</v>
      </c>
      <c r="AE669" s="3">
        <f t="shared" si="343"/>
        <v>161.96369199999998</v>
      </c>
      <c r="AF669">
        <v>108.4</v>
      </c>
      <c r="AG669" t="str">
        <f>IFERROR((M669*O669*P669), "NA")</f>
        <v>NA</v>
      </c>
      <c r="AH669" t="str">
        <f>IFERROR((AG669*T669*AI669), "NA")</f>
        <v>NA</v>
      </c>
      <c r="AI669" s="11">
        <v>1</v>
      </c>
      <c r="AJ669" t="s">
        <v>31</v>
      </c>
      <c r="AK669">
        <v>5170</v>
      </c>
      <c r="AL669" t="s">
        <v>265</v>
      </c>
      <c r="AM669" t="s">
        <v>86</v>
      </c>
      <c r="AN669" t="s">
        <v>205</v>
      </c>
      <c r="AO669" t="s">
        <v>789</v>
      </c>
      <c r="AP669">
        <v>3.28</v>
      </c>
      <c r="AQ669" t="s">
        <v>33</v>
      </c>
      <c r="AR669" t="s">
        <v>33</v>
      </c>
      <c r="AS669" s="6">
        <v>5.665</v>
      </c>
      <c r="AT669" s="3">
        <f>IFERROR(AS669-AU669,"NA")</f>
        <v>4.5129999999999999</v>
      </c>
      <c r="AU669" s="6">
        <v>1.1519999999999999</v>
      </c>
      <c r="AV669" t="b">
        <v>1</v>
      </c>
      <c r="AW669" t="s">
        <v>29</v>
      </c>
      <c r="AX669" t="s">
        <v>30</v>
      </c>
      <c r="AY669" t="s">
        <v>33</v>
      </c>
      <c r="AZ669" t="s">
        <v>134</v>
      </c>
      <c r="BA669" s="18" t="s">
        <v>798</v>
      </c>
      <c r="BB669" t="b">
        <v>0</v>
      </c>
      <c r="BC669" t="s">
        <v>81</v>
      </c>
      <c r="BD669">
        <v>24</v>
      </c>
      <c r="BE669" t="s">
        <v>80</v>
      </c>
      <c r="BF669" s="11">
        <f>(24+48)/2</f>
        <v>36</v>
      </c>
      <c r="BG669" t="s">
        <v>262</v>
      </c>
      <c r="BH669" t="s">
        <v>31</v>
      </c>
      <c r="BI669" t="s">
        <v>31</v>
      </c>
      <c r="BJ669" s="3">
        <f t="shared" si="339"/>
        <v>1.1519999999999999</v>
      </c>
      <c r="BK669" s="3">
        <f t="shared" si="332"/>
        <v>6.1452479087193208E-2</v>
      </c>
      <c r="BL669">
        <v>2</v>
      </c>
      <c r="BM669" s="3">
        <f t="shared" si="340"/>
        <v>2.147965188965665</v>
      </c>
      <c r="BN669" t="s">
        <v>33</v>
      </c>
      <c r="BO669" s="3">
        <f t="shared" si="337"/>
        <v>140.59348263888887</v>
      </c>
      <c r="BP669" t="s">
        <v>33</v>
      </c>
      <c r="BQ669" t="s">
        <v>33</v>
      </c>
      <c r="BR669" t="s">
        <v>33</v>
      </c>
      <c r="BS669" t="s">
        <v>33</v>
      </c>
      <c r="BT669" t="s">
        <v>31</v>
      </c>
      <c r="BU669" t="s">
        <v>267</v>
      </c>
      <c r="BV669">
        <v>2017</v>
      </c>
      <c r="BW669" s="2" t="s">
        <v>266</v>
      </c>
      <c r="BX669" t="s">
        <v>78</v>
      </c>
      <c r="BY669" t="s">
        <v>269</v>
      </c>
      <c r="BZ669" t="s">
        <v>33</v>
      </c>
      <c r="CA669" t="str">
        <f t="shared" si="338"/>
        <v>high acid</v>
      </c>
    </row>
    <row r="670" spans="1:79">
      <c r="A670" t="s">
        <v>698</v>
      </c>
      <c r="B670" t="s">
        <v>566</v>
      </c>
      <c r="C670" t="s">
        <v>563</v>
      </c>
      <c r="D670" t="s">
        <v>699</v>
      </c>
      <c r="E670" t="s">
        <v>77</v>
      </c>
      <c r="F670" t="s">
        <v>32</v>
      </c>
      <c r="G670">
        <v>20</v>
      </c>
      <c r="H670">
        <v>64</v>
      </c>
      <c r="I670" t="b">
        <v>1</v>
      </c>
      <c r="J670" t="s">
        <v>33</v>
      </c>
      <c r="K670" t="s">
        <v>33</v>
      </c>
      <c r="L670">
        <v>20</v>
      </c>
      <c r="M670" s="4">
        <v>64</v>
      </c>
      <c r="N670" s="3">
        <f>IFERROR(AF670/((T670*X670/Y670)*O670*AI670),"NA")</f>
        <v>63.657407407407391</v>
      </c>
      <c r="O670">
        <v>5</v>
      </c>
      <c r="P670">
        <v>0.43</v>
      </c>
      <c r="Q670" s="8">
        <f>IFERROR(X670/Y670, "NA")</f>
        <v>0.43200000000000011</v>
      </c>
      <c r="R670" t="s">
        <v>183</v>
      </c>
      <c r="S670" t="s">
        <v>612</v>
      </c>
      <c r="T670" s="11">
        <v>1</v>
      </c>
      <c r="U670">
        <v>4</v>
      </c>
      <c r="V670" t="s">
        <v>33</v>
      </c>
      <c r="W670">
        <f>0.4*3*0.5</f>
        <v>0.60000000000000009</v>
      </c>
      <c r="X670" s="9">
        <f>W670</f>
        <v>0.60000000000000009</v>
      </c>
      <c r="Y670" s="6">
        <f>5000/3600</f>
        <v>1.3888888888888888</v>
      </c>
      <c r="Z670" s="3">
        <f t="shared" si="328"/>
        <v>1.3963636363636365</v>
      </c>
      <c r="AA670" t="s">
        <v>33</v>
      </c>
      <c r="AB670" s="4">
        <f>IFERROR(((X670*M670)/Y670), "NA")</f>
        <v>27.648000000000007</v>
      </c>
      <c r="AC670" s="4">
        <f t="shared" si="342"/>
        <v>27.52</v>
      </c>
      <c r="AD670" s="4">
        <f>AB670*T670*AI670</f>
        <v>27.648000000000007</v>
      </c>
      <c r="AE670" s="3">
        <f t="shared" si="343"/>
        <v>110.59200000000003</v>
      </c>
      <c r="AF670">
        <v>137.5</v>
      </c>
      <c r="AG670" s="4">
        <f>IFERROR((M670*O670*P670), "NA")</f>
        <v>137.6</v>
      </c>
      <c r="AH670" s="4">
        <f>IFERROR((AG670*T670*AI670), "NA")</f>
        <v>137.6</v>
      </c>
      <c r="AI670">
        <v>1</v>
      </c>
      <c r="AJ670" s="11" t="s">
        <v>31</v>
      </c>
      <c r="AK670">
        <v>2000</v>
      </c>
      <c r="AL670" t="s">
        <v>784</v>
      </c>
      <c r="AM670" t="s">
        <v>103</v>
      </c>
      <c r="AN670" t="s">
        <v>130</v>
      </c>
      <c r="AO670" t="s">
        <v>795</v>
      </c>
      <c r="AP670">
        <v>7</v>
      </c>
      <c r="AQ670" t="s">
        <v>33</v>
      </c>
      <c r="AR670" t="s">
        <v>33</v>
      </c>
      <c r="AS670" s="6">
        <f>LOG(AVERAGE(10^8, 10^9))</f>
        <v>8.7403626894942441</v>
      </c>
      <c r="AT670" s="3">
        <f>IFERROR(AS670-AU670,"NA")</f>
        <v>4.5143626894942441</v>
      </c>
      <c r="AU670" s="6">
        <v>4.226</v>
      </c>
      <c r="AV670" t="b">
        <v>1</v>
      </c>
      <c r="AW670" t="s">
        <v>29</v>
      </c>
      <c r="AX670" t="s">
        <v>30</v>
      </c>
      <c r="AY670" t="s">
        <v>707</v>
      </c>
      <c r="AZ670" t="s">
        <v>33</v>
      </c>
      <c r="BA670" s="18" t="s">
        <v>798</v>
      </c>
      <c r="BB670" s="3" t="b">
        <v>0</v>
      </c>
      <c r="BC670" t="s">
        <v>81</v>
      </c>
      <c r="BD670">
        <v>24</v>
      </c>
      <c r="BE670" t="s">
        <v>80</v>
      </c>
      <c r="BF670">
        <v>24</v>
      </c>
      <c r="BG670" t="s">
        <v>568</v>
      </c>
      <c r="BH670" t="s">
        <v>31</v>
      </c>
      <c r="BI670" t="s">
        <v>31</v>
      </c>
      <c r="BJ670" s="3">
        <f t="shared" si="339"/>
        <v>4.226</v>
      </c>
      <c r="BK670" s="3">
        <f t="shared" si="332"/>
        <v>0.62592949271629461</v>
      </c>
      <c r="BL670">
        <v>2</v>
      </c>
      <c r="BM670" s="3">
        <f t="shared" si="340"/>
        <v>1.4177942194104671</v>
      </c>
      <c r="BN670" t="s">
        <v>33</v>
      </c>
      <c r="BO670" s="3">
        <f t="shared" si="337"/>
        <v>26.169427354472322</v>
      </c>
      <c r="BP670" t="s">
        <v>33</v>
      </c>
      <c r="BQ670" t="s">
        <v>33</v>
      </c>
      <c r="BR670" t="s">
        <v>33</v>
      </c>
      <c r="BS670" t="s">
        <v>33</v>
      </c>
      <c r="BT670" t="s">
        <v>32</v>
      </c>
      <c r="BU670" t="s">
        <v>709</v>
      </c>
      <c r="BV670">
        <v>2024</v>
      </c>
      <c r="BW670" t="s">
        <v>710</v>
      </c>
      <c r="BX670" t="s">
        <v>78</v>
      </c>
      <c r="BY670" t="s">
        <v>711</v>
      </c>
      <c r="CA670" t="str">
        <f t="shared" si="338"/>
        <v>low acid</v>
      </c>
    </row>
    <row r="671" spans="1:79">
      <c r="A671" t="s">
        <v>325</v>
      </c>
      <c r="B671" t="s">
        <v>565</v>
      </c>
      <c r="C671" t="s">
        <v>563</v>
      </c>
      <c r="D671" t="s">
        <v>304</v>
      </c>
      <c r="E671" t="s">
        <v>77</v>
      </c>
      <c r="F671" t="s">
        <v>32</v>
      </c>
      <c r="G671">
        <v>30</v>
      </c>
      <c r="H671">
        <v>31.5</v>
      </c>
      <c r="I671" t="b">
        <v>1</v>
      </c>
      <c r="J671">
        <v>12600</v>
      </c>
      <c r="K671">
        <v>50.4</v>
      </c>
      <c r="L671">
        <v>33.200000000000003</v>
      </c>
      <c r="M671" s="4">
        <v>191</v>
      </c>
      <c r="N671" s="3">
        <f>IFERROR(AF671/((T671*X671/Y671)*O671*AI671),"NA")</f>
        <v>187.2411095198768</v>
      </c>
      <c r="O671">
        <v>2</v>
      </c>
      <c r="P671">
        <v>2.4E-2</v>
      </c>
      <c r="Q671" s="8">
        <f>IFERROR(X671/Z671, "NA")</f>
        <v>2.3560209424083774E-2</v>
      </c>
      <c r="R671" t="s">
        <v>183</v>
      </c>
      <c r="S671" t="s">
        <v>612</v>
      </c>
      <c r="T671" s="11">
        <v>1</v>
      </c>
      <c r="U671">
        <v>3.4</v>
      </c>
      <c r="V671">
        <v>3</v>
      </c>
      <c r="W671">
        <v>2.4E-2</v>
      </c>
      <c r="X671" s="8">
        <f>IFERROR(((PI())*(((V671*10^-1)/2)^2)*(U671*10^-1)), "NA")</f>
        <v>2.4033183799961926E-2</v>
      </c>
      <c r="Y671" s="6">
        <f>1</f>
        <v>1</v>
      </c>
      <c r="Z671" s="3">
        <f t="shared" si="328"/>
        <v>1.0200751346206061</v>
      </c>
      <c r="AA671">
        <v>4.5999999999999996</v>
      </c>
      <c r="AB671" s="6">
        <f>IFERROR(((X671*M671)/Z671), "NA")</f>
        <v>4.5</v>
      </c>
      <c r="AC671">
        <f t="shared" si="342"/>
        <v>4.5840000000000005</v>
      </c>
      <c r="AD671" s="4">
        <f>IFERROR(AB671*T671*AI671, "NA")</f>
        <v>4.5</v>
      </c>
      <c r="AE671" s="3">
        <f t="shared" si="343"/>
        <v>9.9201600000000045</v>
      </c>
      <c r="AF671">
        <v>9</v>
      </c>
      <c r="AG671">
        <f>IFERROR((M671*O671*P671), "NA")</f>
        <v>9.168000000000001</v>
      </c>
      <c r="AH671">
        <f>IFERROR((AG671*T671*AI671), "NA")</f>
        <v>9.168000000000001</v>
      </c>
      <c r="AI671" s="11">
        <v>1</v>
      </c>
      <c r="AJ671" t="s">
        <v>31</v>
      </c>
      <c r="AK671">
        <v>1000</v>
      </c>
      <c r="AL671" t="s">
        <v>169</v>
      </c>
      <c r="AM671" t="s">
        <v>103</v>
      </c>
      <c r="AN671" t="s">
        <v>305</v>
      </c>
      <c r="AO671" t="s">
        <v>790</v>
      </c>
      <c r="AP671">
        <v>4.5</v>
      </c>
      <c r="AQ671" t="s">
        <v>33</v>
      </c>
      <c r="AR671" t="s">
        <v>33</v>
      </c>
      <c r="AS671" s="6">
        <f>LOG(3*10^7)</f>
        <v>7.4771212547196626</v>
      </c>
      <c r="AT671" s="3">
        <f>IFERROR(AS671-AU671,"NA")</f>
        <v>4.5171212547196626</v>
      </c>
      <c r="AU671" s="6">
        <v>2.96</v>
      </c>
      <c r="AV671" t="b">
        <v>1</v>
      </c>
      <c r="AW671" t="s">
        <v>123</v>
      </c>
      <c r="AX671" t="s">
        <v>88</v>
      </c>
      <c r="AY671" t="s">
        <v>306</v>
      </c>
      <c r="AZ671" t="s">
        <v>33</v>
      </c>
      <c r="BA671" s="18" t="s">
        <v>579</v>
      </c>
      <c r="BB671" t="b">
        <v>1</v>
      </c>
      <c r="BC671" t="s">
        <v>81</v>
      </c>
      <c r="BD671">
        <v>48</v>
      </c>
      <c r="BE671" t="s">
        <v>80</v>
      </c>
      <c r="BF671" s="11">
        <v>120</v>
      </c>
      <c r="BG671" t="s">
        <v>395</v>
      </c>
      <c r="BH671" t="s">
        <v>31</v>
      </c>
      <c r="BI671" t="s">
        <v>31</v>
      </c>
      <c r="BJ671" s="3">
        <f t="shared" si="339"/>
        <v>2.96</v>
      </c>
      <c r="BK671" s="3">
        <f t="shared" si="332"/>
        <v>0.47129171105893858</v>
      </c>
      <c r="BL671">
        <v>2</v>
      </c>
      <c r="BM671" s="3">
        <f t="shared" si="340"/>
        <v>0.52522696578845907</v>
      </c>
      <c r="BN671" t="s">
        <v>33</v>
      </c>
      <c r="BO671" s="3">
        <f t="shared" si="337"/>
        <v>3.3514054054054068</v>
      </c>
      <c r="BP671" t="s">
        <v>33</v>
      </c>
      <c r="BQ671" t="s">
        <v>33</v>
      </c>
      <c r="BR671" t="s">
        <v>33</v>
      </c>
      <c r="BS671" t="s">
        <v>33</v>
      </c>
      <c r="BT671" t="s">
        <v>32</v>
      </c>
      <c r="BU671" t="s">
        <v>323</v>
      </c>
      <c r="BV671">
        <v>2003</v>
      </c>
      <c r="BW671" s="2" t="s">
        <v>322</v>
      </c>
      <c r="BX671" t="s">
        <v>78</v>
      </c>
      <c r="BY671" t="s">
        <v>33</v>
      </c>
      <c r="BZ671" t="s">
        <v>33</v>
      </c>
      <c r="CA671" t="str">
        <f t="shared" si="338"/>
        <v>high acid</v>
      </c>
    </row>
    <row r="672" spans="1:79">
      <c r="A672" t="s">
        <v>589</v>
      </c>
      <c r="B672" t="s">
        <v>566</v>
      </c>
      <c r="C672" t="s">
        <v>563</v>
      </c>
      <c r="D672" t="s">
        <v>33</v>
      </c>
      <c r="E672" t="s">
        <v>77</v>
      </c>
      <c r="F672" t="s">
        <v>33</v>
      </c>
      <c r="G672" t="s">
        <v>33</v>
      </c>
      <c r="H672">
        <v>35</v>
      </c>
      <c r="I672" t="b">
        <v>0</v>
      </c>
      <c r="J672" t="s">
        <v>33</v>
      </c>
      <c r="K672" t="s">
        <v>33</v>
      </c>
      <c r="L672">
        <v>28</v>
      </c>
      <c r="M672" s="4">
        <v>1</v>
      </c>
      <c r="N672" t="e">
        <f>(#REF!*Y672)/(T672*X672*O672)</f>
        <v>#REF!</v>
      </c>
      <c r="O672">
        <v>2</v>
      </c>
      <c r="P672" t="s">
        <v>33</v>
      </c>
      <c r="Q672" s="1">
        <f>IFERROR(X672/Z672, "NA")</f>
        <v>197.5</v>
      </c>
      <c r="R672" t="s">
        <v>183</v>
      </c>
      <c r="S672" t="s">
        <v>613</v>
      </c>
      <c r="T672">
        <v>1</v>
      </c>
      <c r="U672">
        <v>2.5</v>
      </c>
      <c r="V672" t="s">
        <v>33</v>
      </c>
      <c r="W672">
        <v>0.50249999999999995</v>
      </c>
      <c r="X672">
        <f>W672</f>
        <v>0.50249999999999995</v>
      </c>
      <c r="Y672" t="s">
        <v>33</v>
      </c>
      <c r="Z672" s="3">
        <f t="shared" si="328"/>
        <v>2.5443037974683543E-3</v>
      </c>
      <c r="AA672" t="s">
        <v>33</v>
      </c>
      <c r="AB672">
        <f>IFERROR(((X672*M672)/Z672), "NA")</f>
        <v>197.5</v>
      </c>
      <c r="AC672" s="1" t="str">
        <f t="shared" si="342"/>
        <v>NA</v>
      </c>
      <c r="AE672" s="3">
        <f t="shared" si="343"/>
        <v>619.3599999999999</v>
      </c>
      <c r="AF672">
        <v>395</v>
      </c>
      <c r="AG672" s="1" t="str">
        <f>IFERROR((N672*P672*Q672), "NA")</f>
        <v>NA</v>
      </c>
      <c r="AH672" s="1" t="str">
        <f>IFERROR((AG672*U672*AI672), "NA")</f>
        <v>NA</v>
      </c>
      <c r="AI672" s="1">
        <v>1</v>
      </c>
      <c r="AJ672" s="11" t="s">
        <v>31</v>
      </c>
      <c r="AK672">
        <v>2000</v>
      </c>
      <c r="AL672" t="s">
        <v>616</v>
      </c>
      <c r="AM672" s="3" t="s">
        <v>103</v>
      </c>
      <c r="AN672" t="s">
        <v>130</v>
      </c>
      <c r="AO672" t="s">
        <v>795</v>
      </c>
      <c r="AP672">
        <v>7</v>
      </c>
      <c r="AQ672" t="s">
        <v>33</v>
      </c>
      <c r="AR672" t="s">
        <v>33</v>
      </c>
      <c r="AS672">
        <v>9</v>
      </c>
      <c r="AT672">
        <f>AS672-AU672</f>
        <v>4.5199999999999996</v>
      </c>
      <c r="AU672" s="6">
        <v>4.4800000000000004</v>
      </c>
      <c r="AV672" t="b">
        <v>1</v>
      </c>
      <c r="AW672" t="s">
        <v>617</v>
      </c>
      <c r="AX672" t="s">
        <v>33</v>
      </c>
      <c r="AY672" t="s">
        <v>629</v>
      </c>
      <c r="AZ672" t="s">
        <v>630</v>
      </c>
      <c r="BA672" s="18" t="s">
        <v>802</v>
      </c>
      <c r="BB672" s="3" t="b">
        <v>0</v>
      </c>
      <c r="BC672" t="s">
        <v>81</v>
      </c>
      <c r="BD672">
        <v>24</v>
      </c>
      <c r="BE672" t="s">
        <v>80</v>
      </c>
      <c r="BF672">
        <v>24</v>
      </c>
      <c r="BG672" t="s">
        <v>644</v>
      </c>
      <c r="BH672" t="s">
        <v>31</v>
      </c>
      <c r="BI672" t="s">
        <v>31</v>
      </c>
      <c r="BJ672">
        <f t="shared" si="339"/>
        <v>4.4800000000000004</v>
      </c>
      <c r="BK672" s="3">
        <f t="shared" si="332"/>
        <v>0.651278013998144</v>
      </c>
      <c r="BL672">
        <v>2</v>
      </c>
      <c r="BM672" s="3">
        <f t="shared" si="340"/>
        <v>2.1406651399767358</v>
      </c>
      <c r="BN672" t="s">
        <v>33</v>
      </c>
      <c r="BO672" s="3">
        <f t="shared" si="337"/>
        <v>138.24999999999997</v>
      </c>
      <c r="BP672" t="s">
        <v>33</v>
      </c>
      <c r="BQ672" t="s">
        <v>33</v>
      </c>
      <c r="BR672" t="s">
        <v>33</v>
      </c>
      <c r="BS672" t="s">
        <v>33</v>
      </c>
      <c r="BT672" t="s">
        <v>31</v>
      </c>
      <c r="BU672" s="15" t="s">
        <v>655</v>
      </c>
      <c r="BV672">
        <v>2003</v>
      </c>
      <c r="BW672" t="s">
        <v>656</v>
      </c>
      <c r="BX672" t="s">
        <v>78</v>
      </c>
      <c r="BY672" s="13" t="s">
        <v>677</v>
      </c>
      <c r="CA672" t="str">
        <f t="shared" si="338"/>
        <v>low acid</v>
      </c>
    </row>
    <row r="673" spans="1:79">
      <c r="A673" t="s">
        <v>220</v>
      </c>
      <c r="B673" t="s">
        <v>565</v>
      </c>
      <c r="C673" t="s">
        <v>563</v>
      </c>
      <c r="D673" t="s">
        <v>118</v>
      </c>
      <c r="E673" t="s">
        <v>77</v>
      </c>
      <c r="F673" t="s">
        <v>32</v>
      </c>
      <c r="G673">
        <v>5</v>
      </c>
      <c r="H673">
        <v>39.1</v>
      </c>
      <c r="I673" t="b">
        <v>0</v>
      </c>
      <c r="J673" t="s">
        <v>33</v>
      </c>
      <c r="K673" t="s">
        <v>33</v>
      </c>
      <c r="L673">
        <v>35</v>
      </c>
      <c r="M673" s="4">
        <v>175</v>
      </c>
      <c r="N673" s="3">
        <f>IFERROR(AF673/((T673*X673/Y673)*O673*AI673),"NA")</f>
        <v>8586.1873814153205</v>
      </c>
      <c r="O673">
        <v>4</v>
      </c>
      <c r="P673" t="s">
        <v>33</v>
      </c>
      <c r="Q673" s="8">
        <f>IFERROR(X673/Z673, "NA")</f>
        <v>0.35714285714285715</v>
      </c>
      <c r="R673" t="s">
        <v>183</v>
      </c>
      <c r="S673" t="s">
        <v>613</v>
      </c>
      <c r="T673" s="11">
        <v>8</v>
      </c>
      <c r="U673">
        <v>2.92</v>
      </c>
      <c r="V673">
        <v>2.2999999999999998</v>
      </c>
      <c r="W673">
        <v>1.21E-2</v>
      </c>
      <c r="X673" s="8">
        <f>IFERROR(((PI())*(((V673*10^-1)/2)^2)*(U673*10^-1)), "NA")</f>
        <v>1.2131888350367701E-2</v>
      </c>
      <c r="Y673" s="6">
        <f>100/60</f>
        <v>1.6666666666666667</v>
      </c>
      <c r="Z673" s="3">
        <f t="shared" si="328"/>
        <v>3.3969287381029563E-2</v>
      </c>
      <c r="AA673" t="s">
        <v>33</v>
      </c>
      <c r="AB673" s="6">
        <f>IFERROR(((X673*M673)/Z673), "NA")</f>
        <v>62.499999999999993</v>
      </c>
      <c r="AC673" t="str">
        <f t="shared" si="342"/>
        <v>NA</v>
      </c>
      <c r="AD673" s="4">
        <f>AB673*T673*AI673</f>
        <v>499.99999999999994</v>
      </c>
      <c r="AE673" s="3">
        <f t="shared" si="343"/>
        <v>12813.499999999998</v>
      </c>
      <c r="AF673">
        <v>2000</v>
      </c>
      <c r="AG673" t="str">
        <f>IFERROR((M673*O673*P673), "NA")</f>
        <v>NA</v>
      </c>
      <c r="AH673" t="str">
        <f>IFERROR((AG673*T673*AI673), "NA")</f>
        <v>NA</v>
      </c>
      <c r="AI673">
        <v>1</v>
      </c>
      <c r="AJ673" t="s">
        <v>31</v>
      </c>
      <c r="AK673">
        <v>5230</v>
      </c>
      <c r="AL673" t="s">
        <v>542</v>
      </c>
      <c r="AM673" t="s">
        <v>86</v>
      </c>
      <c r="AN673" t="s">
        <v>186</v>
      </c>
      <c r="AO673" t="s">
        <v>794</v>
      </c>
      <c r="AP673">
        <v>5.82</v>
      </c>
      <c r="AQ673" t="s">
        <v>33</v>
      </c>
      <c r="AR673" t="s">
        <v>33</v>
      </c>
      <c r="AS673" s="6">
        <f>LOG((10^7+10^8)/2)</f>
        <v>7.7403626894942441</v>
      </c>
      <c r="AT673" s="3">
        <f>IFERROR(AS673-AU673,"NA")</f>
        <v>4.5223626894942441</v>
      </c>
      <c r="AU673" s="6">
        <v>3.218</v>
      </c>
      <c r="AV673" t="b">
        <v>1</v>
      </c>
      <c r="AW673" t="s">
        <v>29</v>
      </c>
      <c r="AX673" t="s">
        <v>30</v>
      </c>
      <c r="AY673" s="10">
        <v>1107</v>
      </c>
      <c r="AZ673" t="s">
        <v>33</v>
      </c>
      <c r="BA673" s="18" t="s">
        <v>798</v>
      </c>
      <c r="BB673" t="b">
        <v>0</v>
      </c>
      <c r="BC673" t="s">
        <v>81</v>
      </c>
      <c r="BD673">
        <f>(16+14)/2</f>
        <v>15</v>
      </c>
      <c r="BE673" t="s">
        <v>80</v>
      </c>
      <c r="BF673" t="s">
        <v>33</v>
      </c>
      <c r="BG673" t="s">
        <v>222</v>
      </c>
      <c r="BH673" t="s">
        <v>31</v>
      </c>
      <c r="BI673" t="s">
        <v>31</v>
      </c>
      <c r="BJ673" s="3">
        <f t="shared" si="339"/>
        <v>3.218</v>
      </c>
      <c r="BK673" s="3">
        <f t="shared" si="332"/>
        <v>0.50758603976301075</v>
      </c>
      <c r="BL673">
        <v>2</v>
      </c>
      <c r="BM673" s="3">
        <f t="shared" si="340"/>
        <v>3.6000817334687958</v>
      </c>
      <c r="BN673" t="s">
        <v>33</v>
      </c>
      <c r="BO673" s="3">
        <f t="shared" si="337"/>
        <v>3981.8210068365438</v>
      </c>
      <c r="BP673" t="s">
        <v>33</v>
      </c>
      <c r="BQ673" t="s">
        <v>33</v>
      </c>
      <c r="BR673" t="s">
        <v>33</v>
      </c>
      <c r="BS673" t="s">
        <v>33</v>
      </c>
      <c r="BT673" t="s">
        <v>31</v>
      </c>
      <c r="BU673" t="s">
        <v>219</v>
      </c>
      <c r="BV673">
        <v>2007</v>
      </c>
      <c r="BW673" t="s">
        <v>218</v>
      </c>
      <c r="BX673" t="s">
        <v>78</v>
      </c>
      <c r="BY673" t="s">
        <v>33</v>
      </c>
      <c r="BZ673" t="s">
        <v>33</v>
      </c>
      <c r="CA673" t="str">
        <f t="shared" si="338"/>
        <v>low acid</v>
      </c>
    </row>
    <row r="674" spans="1:79">
      <c r="A674" t="s">
        <v>764</v>
      </c>
      <c r="B674" t="s">
        <v>566</v>
      </c>
      <c r="C674" t="s">
        <v>563</v>
      </c>
      <c r="D674" t="s">
        <v>765</v>
      </c>
      <c r="E674" t="s">
        <v>77</v>
      </c>
      <c r="F674" t="s">
        <v>31</v>
      </c>
      <c r="G674">
        <v>20</v>
      </c>
      <c r="H674">
        <v>42</v>
      </c>
      <c r="I674" t="b">
        <v>0</v>
      </c>
      <c r="J674" t="s">
        <v>33</v>
      </c>
      <c r="K674" t="s">
        <v>33</v>
      </c>
      <c r="L674">
        <v>20</v>
      </c>
      <c r="M674" s="4">
        <f>N674</f>
        <v>583.36419753086432</v>
      </c>
      <c r="N674" s="3">
        <f>IFERROR(AF674/((T674*X674/Y674)*O674*AI674),"NA")</f>
        <v>583.36419753086432</v>
      </c>
      <c r="O674">
        <v>3</v>
      </c>
      <c r="P674">
        <v>4.3</v>
      </c>
      <c r="Q674" s="8">
        <f>IFERROR(X674/Y674, "NA")</f>
        <v>4.3199999999999994</v>
      </c>
      <c r="R674" t="s">
        <v>183</v>
      </c>
      <c r="S674" t="s">
        <v>33</v>
      </c>
      <c r="T674" s="11">
        <v>1</v>
      </c>
      <c r="U674">
        <v>8.1000000000000003E-2</v>
      </c>
      <c r="V674" t="s">
        <v>33</v>
      </c>
      <c r="W674">
        <v>7.1999999999999998E-3</v>
      </c>
      <c r="X674">
        <f>W674</f>
        <v>7.1999999999999998E-3</v>
      </c>
      <c r="Y674" s="6">
        <f>0.1/60</f>
        <v>1.6666666666666668E-3</v>
      </c>
      <c r="Z674" s="6">
        <f>Y674</f>
        <v>1.6666666666666668E-3</v>
      </c>
      <c r="AA674" t="s">
        <v>33</v>
      </c>
      <c r="AB674" s="4">
        <f>IFERROR(((X674*M674)/Y674), "NA")</f>
        <v>2520.1333333333337</v>
      </c>
      <c r="AC674" s="4">
        <f t="shared" si="342"/>
        <v>2508.4660493827164</v>
      </c>
      <c r="AD674" s="4">
        <f>AB674*T674*AI674</f>
        <v>2520.1333333333337</v>
      </c>
      <c r="AE674" s="3">
        <f t="shared" si="343"/>
        <v>302.416</v>
      </c>
      <c r="AF674">
        <v>7560.4</v>
      </c>
      <c r="AG674" s="4">
        <f>IFERROR((M674*O674*P674), "NA")</f>
        <v>7525.3981481481496</v>
      </c>
      <c r="AH674" s="4">
        <f>IFERROR((AG674*T674*AI674), "NA")</f>
        <v>7525.3981481481496</v>
      </c>
      <c r="AI674">
        <v>1</v>
      </c>
      <c r="AJ674" s="11" t="s">
        <v>31</v>
      </c>
      <c r="AK674">
        <v>100</v>
      </c>
      <c r="AL674" t="s">
        <v>169</v>
      </c>
      <c r="AM674" t="s">
        <v>103</v>
      </c>
      <c r="AN674" t="s">
        <v>130</v>
      </c>
      <c r="AO674" t="s">
        <v>795</v>
      </c>
      <c r="AP674">
        <v>7</v>
      </c>
      <c r="AQ674" t="s">
        <v>33</v>
      </c>
      <c r="AR674" t="s">
        <v>33</v>
      </c>
      <c r="AS674">
        <v>7</v>
      </c>
      <c r="AT674" s="3">
        <f>IFERROR(AS674-AU674,"NA")</f>
        <v>4.5250000000000004</v>
      </c>
      <c r="AU674" s="6">
        <v>2.4750000000000001</v>
      </c>
      <c r="AV674" t="b">
        <v>1</v>
      </c>
      <c r="AW674" t="s">
        <v>29</v>
      </c>
      <c r="AX674" t="s">
        <v>30</v>
      </c>
      <c r="AY674" t="s">
        <v>766</v>
      </c>
      <c r="AZ674" t="s">
        <v>33</v>
      </c>
      <c r="BA674" s="18" t="s">
        <v>798</v>
      </c>
      <c r="BB674" s="3" t="b">
        <v>0</v>
      </c>
      <c r="BC674" t="s">
        <v>81</v>
      </c>
      <c r="BD674">
        <v>16</v>
      </c>
      <c r="BE674" t="s">
        <v>80</v>
      </c>
      <c r="BF674">
        <v>24</v>
      </c>
      <c r="BG674" t="s">
        <v>569</v>
      </c>
      <c r="BH674" t="s">
        <v>31</v>
      </c>
      <c r="BI674" t="s">
        <v>31</v>
      </c>
      <c r="BJ674" s="3">
        <f t="shared" si="339"/>
        <v>2.4750000000000001</v>
      </c>
      <c r="BK674" s="3">
        <f t="shared" si="332"/>
        <v>0.39357520326958756</v>
      </c>
      <c r="BL674">
        <v>2</v>
      </c>
      <c r="BM674" s="3">
        <f t="shared" si="340"/>
        <v>2.0870295614957208</v>
      </c>
      <c r="BN674" t="s">
        <v>33</v>
      </c>
      <c r="BO674" s="3">
        <f t="shared" si="337"/>
        <v>122.18828282828282</v>
      </c>
      <c r="BP674" t="s">
        <v>33</v>
      </c>
      <c r="BQ674" t="s">
        <v>33</v>
      </c>
      <c r="BR674" t="s">
        <v>33</v>
      </c>
      <c r="BS674" t="s">
        <v>33</v>
      </c>
      <c r="BT674" t="s">
        <v>31</v>
      </c>
      <c r="BU674" t="s">
        <v>767</v>
      </c>
      <c r="BV674">
        <v>2021</v>
      </c>
      <c r="BW674" t="s">
        <v>768</v>
      </c>
      <c r="BX674" t="s">
        <v>78</v>
      </c>
      <c r="BY674" t="s">
        <v>769</v>
      </c>
      <c r="CA674" t="str">
        <f t="shared" si="338"/>
        <v>low acid</v>
      </c>
    </row>
    <row r="675" spans="1:79">
      <c r="A675" t="s">
        <v>147</v>
      </c>
      <c r="B675" t="s">
        <v>565</v>
      </c>
      <c r="C675" t="s">
        <v>563</v>
      </c>
      <c r="D675" t="s">
        <v>118</v>
      </c>
      <c r="E675" t="s">
        <v>77</v>
      </c>
      <c r="F675" t="s">
        <v>32</v>
      </c>
      <c r="G675">
        <v>10</v>
      </c>
      <c r="H675" t="s">
        <v>33</v>
      </c>
      <c r="I675" t="b">
        <v>0</v>
      </c>
      <c r="J675" t="s">
        <v>33</v>
      </c>
      <c r="K675" t="s">
        <v>33</v>
      </c>
      <c r="L675">
        <v>17</v>
      </c>
      <c r="M675" s="4">
        <v>500</v>
      </c>
      <c r="N675" s="3">
        <f>IFERROR(AF675/((T675*X675/Y675)*O675*AI675),"NA")</f>
        <v>603.25697212812861</v>
      </c>
      <c r="O675">
        <v>3</v>
      </c>
      <c r="P675" t="s">
        <v>33</v>
      </c>
      <c r="Q675" s="8">
        <f>IFERROR(X675/Z675, "NA")</f>
        <v>1.7444444444444443E-2</v>
      </c>
      <c r="R675" t="s">
        <v>183</v>
      </c>
      <c r="S675" t="s">
        <v>613</v>
      </c>
      <c r="T675" s="11">
        <v>6</v>
      </c>
      <c r="U675">
        <v>2.9</v>
      </c>
      <c r="V675">
        <v>2.2999999999999998</v>
      </c>
      <c r="W675">
        <v>0.36420000000000002</v>
      </c>
      <c r="X675" s="8">
        <f>IFERROR(((PI())*(((V675*10^-1)/2)^2)*(U675*10^-1)), "NA")</f>
        <v>1.204879322468025E-2</v>
      </c>
      <c r="Y675" s="6">
        <f>50/60</f>
        <v>0.83333333333333337</v>
      </c>
      <c r="Z675" s="3">
        <f>IFERROR(X675*M675*O675*T675*AI675/AF675, "NA")</f>
        <v>0.69069515300714812</v>
      </c>
      <c r="AA675" t="s">
        <v>33</v>
      </c>
      <c r="AB675" s="6">
        <f>IFERROR(((X675*M675)/Z675), "NA")</f>
        <v>8.7222222222222232</v>
      </c>
      <c r="AC675" t="str">
        <f t="shared" si="342"/>
        <v>NA</v>
      </c>
      <c r="AD675" s="4">
        <f>IFERROR(AB675*T675*AI675, "NA")</f>
        <v>52.333333333333343</v>
      </c>
      <c r="AE675" s="3">
        <f t="shared" si="343"/>
        <v>146.10105999999996</v>
      </c>
      <c r="AF675">
        <v>157</v>
      </c>
      <c r="AG675" t="str">
        <f>IFERROR((M675*O675*P675), "NA")</f>
        <v>NA</v>
      </c>
      <c r="AH675" t="str">
        <f>IFERROR((AG675*T675*AI675), "NA")</f>
        <v>NA</v>
      </c>
      <c r="AI675" s="11">
        <v>1</v>
      </c>
      <c r="AJ675" t="s">
        <v>31</v>
      </c>
      <c r="AK675">
        <v>3220</v>
      </c>
      <c r="AL675" t="s">
        <v>145</v>
      </c>
      <c r="AM675" t="s">
        <v>86</v>
      </c>
      <c r="AN675" t="s">
        <v>205</v>
      </c>
      <c r="AO675" t="s">
        <v>789</v>
      </c>
      <c r="AP675">
        <v>3.19</v>
      </c>
      <c r="AQ675" t="s">
        <v>33</v>
      </c>
      <c r="AR675" t="s">
        <v>33</v>
      </c>
      <c r="AS675" s="3">
        <v>7.1470000000000002</v>
      </c>
      <c r="AT675" s="3">
        <f>IFERROR(AS675-AU675,"NA")</f>
        <v>4.5270000000000001</v>
      </c>
      <c r="AU675" s="6">
        <v>2.62</v>
      </c>
      <c r="AV675" t="b">
        <v>1</v>
      </c>
      <c r="AW675" t="s">
        <v>29</v>
      </c>
      <c r="AX675" t="s">
        <v>30</v>
      </c>
      <c r="AY675" t="s">
        <v>33</v>
      </c>
      <c r="AZ675" t="s">
        <v>134</v>
      </c>
      <c r="BA675" s="18" t="s">
        <v>798</v>
      </c>
      <c r="BB675" t="b">
        <v>0</v>
      </c>
      <c r="BC675" t="s">
        <v>81</v>
      </c>
      <c r="BD675">
        <f>(48+24)/2</f>
        <v>36</v>
      </c>
      <c r="BE675" t="s">
        <v>80</v>
      </c>
      <c r="BF675" s="11">
        <f>(48+24)/2</f>
        <v>36</v>
      </c>
      <c r="BG675" t="s">
        <v>139</v>
      </c>
      <c r="BH675" t="s">
        <v>31</v>
      </c>
      <c r="BI675" t="s">
        <v>31</v>
      </c>
      <c r="BJ675" s="3">
        <f t="shared" si="339"/>
        <v>2.62</v>
      </c>
      <c r="BK675" s="3">
        <f t="shared" si="332"/>
        <v>0.41830129131974547</v>
      </c>
      <c r="BL675">
        <v>2</v>
      </c>
      <c r="BM675" s="3">
        <f t="shared" si="340"/>
        <v>1.7463520755418669</v>
      </c>
      <c r="BN675" t="s">
        <v>33</v>
      </c>
      <c r="BO675" s="3">
        <f t="shared" si="337"/>
        <v>55.763763358778611</v>
      </c>
      <c r="BP675" t="s">
        <v>33</v>
      </c>
      <c r="BQ675" t="s">
        <v>33</v>
      </c>
      <c r="BR675" t="s">
        <v>33</v>
      </c>
      <c r="BS675" t="s">
        <v>33</v>
      </c>
      <c r="BT675" t="s">
        <v>31</v>
      </c>
      <c r="BU675" t="s">
        <v>135</v>
      </c>
      <c r="BV675">
        <v>2010</v>
      </c>
      <c r="BW675" s="1" t="s">
        <v>140</v>
      </c>
      <c r="BX675" t="s">
        <v>78</v>
      </c>
      <c r="BY675" t="s">
        <v>33</v>
      </c>
      <c r="BZ675" t="s">
        <v>148</v>
      </c>
      <c r="CA675" t="str">
        <f t="shared" si="338"/>
        <v>high acid</v>
      </c>
    </row>
    <row r="676" spans="1:79">
      <c r="A676" t="s">
        <v>534</v>
      </c>
      <c r="B676" t="s">
        <v>565</v>
      </c>
      <c r="C676" t="s">
        <v>564</v>
      </c>
      <c r="D676" t="s">
        <v>243</v>
      </c>
      <c r="E676" t="s">
        <v>77</v>
      </c>
      <c r="F676" t="s">
        <v>32</v>
      </c>
      <c r="G676">
        <v>40</v>
      </c>
      <c r="H676">
        <v>50.2</v>
      </c>
      <c r="I676" t="b">
        <v>0</v>
      </c>
      <c r="J676" t="s">
        <v>33</v>
      </c>
      <c r="K676" t="s">
        <v>33</v>
      </c>
      <c r="L676">
        <v>21</v>
      </c>
      <c r="M676" s="4">
        <v>120</v>
      </c>
      <c r="N676" s="3">
        <f>IFERROR(AF676/((T676*X676/Y676)*O676*AI676),"NA")</f>
        <v>601.6705606695582</v>
      </c>
      <c r="O676">
        <v>3</v>
      </c>
      <c r="P676" t="s">
        <v>33</v>
      </c>
      <c r="Q676" s="8">
        <f>IFERROR(X676/Z676, "NA")</f>
        <v>0.19166666666666665</v>
      </c>
      <c r="R676" t="s">
        <v>183</v>
      </c>
      <c r="S676" t="s">
        <v>612</v>
      </c>
      <c r="T676" s="11">
        <v>4</v>
      </c>
      <c r="U676">
        <v>3</v>
      </c>
      <c r="V676">
        <v>2.6</v>
      </c>
      <c r="W676">
        <v>1.5900000000000001E-2</v>
      </c>
      <c r="X676" s="8">
        <f>IFERROR(((PI())*(((V676*10^-1)/2)^2)*(U676*10^-1)), "NA")</f>
        <v>1.5927874753700257E-2</v>
      </c>
      <c r="Y676" s="6">
        <f>25/60</f>
        <v>0.41666666666666669</v>
      </c>
      <c r="Z676" s="3">
        <f>IFERROR(X676*M676*O676*T676*AI676/AF676, "NA")</f>
        <v>8.3101955236697E-2</v>
      </c>
      <c r="AA676" t="s">
        <v>33</v>
      </c>
      <c r="AB676" s="6">
        <f>IFERROR(((X676*M676)/Z676), "NA")</f>
        <v>22.999999999999996</v>
      </c>
      <c r="AC676" t="str">
        <f t="shared" si="342"/>
        <v>NA</v>
      </c>
      <c r="AD676" s="4">
        <f>IFERROR(AB676*T676*AI676, "NA")</f>
        <v>91.999999999999986</v>
      </c>
      <c r="AE676" s="3">
        <f t="shared" si="343"/>
        <v>111.97872</v>
      </c>
      <c r="AF676">
        <v>276</v>
      </c>
      <c r="AG676" t="str">
        <f>IFERROR((M676*O676*P676), "NA")</f>
        <v>NA</v>
      </c>
      <c r="AH676" t="str">
        <f>IFERROR((AG676*T676*AI676), "NA")</f>
        <v>NA</v>
      </c>
      <c r="AI676" s="11">
        <v>1</v>
      </c>
      <c r="AJ676" t="s">
        <v>31</v>
      </c>
      <c r="AK676">
        <v>920</v>
      </c>
      <c r="AL676" t="s">
        <v>551</v>
      </c>
      <c r="AM676" t="s">
        <v>86</v>
      </c>
      <c r="AN676" t="s">
        <v>186</v>
      </c>
      <c r="AO676" t="s">
        <v>794</v>
      </c>
      <c r="AP676">
        <v>5.92</v>
      </c>
      <c r="AQ676" t="s">
        <v>33</v>
      </c>
      <c r="AR676" t="s">
        <v>33</v>
      </c>
      <c r="AS676" s="6">
        <f>LOG(1.4*10^6)</f>
        <v>6.1461280356782382</v>
      </c>
      <c r="AT676" s="3">
        <f>IFERROR(AS676-AU676,"NA")</f>
        <v>4.5271280356782384</v>
      </c>
      <c r="AU676" s="6">
        <v>1.619</v>
      </c>
      <c r="AV676" t="b">
        <v>1</v>
      </c>
      <c r="AW676" t="s">
        <v>29</v>
      </c>
      <c r="AX676" t="s">
        <v>30</v>
      </c>
      <c r="AY676" t="s">
        <v>244</v>
      </c>
      <c r="AZ676" t="s">
        <v>33</v>
      </c>
      <c r="BA676" s="18" t="s">
        <v>798</v>
      </c>
      <c r="BB676" t="b">
        <v>0</v>
      </c>
      <c r="BC676" t="s">
        <v>81</v>
      </c>
      <c r="BD676">
        <v>20</v>
      </c>
      <c r="BE676" t="s">
        <v>80</v>
      </c>
      <c r="BF676" s="11">
        <v>20</v>
      </c>
      <c r="BG676" t="s">
        <v>245</v>
      </c>
      <c r="BH676" t="s">
        <v>31</v>
      </c>
      <c r="BI676" t="s">
        <v>31</v>
      </c>
      <c r="BJ676" s="3">
        <f t="shared" si="339"/>
        <v>1.619</v>
      </c>
      <c r="BK676" s="3">
        <f t="shared" si="332"/>
        <v>0.20924684875337374</v>
      </c>
      <c r="BL676">
        <v>2</v>
      </c>
      <c r="BM676" s="3">
        <f t="shared" si="340"/>
        <v>1.8398886501252378</v>
      </c>
      <c r="BN676" t="s">
        <v>33</v>
      </c>
      <c r="BO676" s="3">
        <f t="shared" si="337"/>
        <v>69.165361334156884</v>
      </c>
      <c r="BP676" t="s">
        <v>33</v>
      </c>
      <c r="BQ676" t="s">
        <v>33</v>
      </c>
      <c r="BR676" t="s">
        <v>33</v>
      </c>
      <c r="BS676" t="s">
        <v>33</v>
      </c>
      <c r="BT676" t="s">
        <v>32</v>
      </c>
      <c r="BU676" t="s">
        <v>207</v>
      </c>
      <c r="BV676">
        <v>2014</v>
      </c>
      <c r="BW676" s="2" t="s">
        <v>242</v>
      </c>
      <c r="BX676" t="s">
        <v>78</v>
      </c>
      <c r="BY676" t="s">
        <v>33</v>
      </c>
      <c r="BZ676" t="s">
        <v>33</v>
      </c>
      <c r="CA676" t="str">
        <f t="shared" si="338"/>
        <v>low acid</v>
      </c>
    </row>
    <row r="677" spans="1:79">
      <c r="A677" t="s">
        <v>722</v>
      </c>
      <c r="B677" t="s">
        <v>566</v>
      </c>
      <c r="C677" t="s">
        <v>563</v>
      </c>
      <c r="D677" t="s">
        <v>699</v>
      </c>
      <c r="E677" t="s">
        <v>77</v>
      </c>
      <c r="F677" t="s">
        <v>32</v>
      </c>
      <c r="G677">
        <v>20</v>
      </c>
      <c r="H677">
        <v>64</v>
      </c>
      <c r="I677" t="b">
        <v>1</v>
      </c>
      <c r="J677" t="s">
        <v>33</v>
      </c>
      <c r="K677" t="s">
        <v>33</v>
      </c>
      <c r="L677">
        <v>20</v>
      </c>
      <c r="M677" s="4">
        <v>64</v>
      </c>
      <c r="N677" s="3">
        <f>IFERROR(AF677/((T677*X677/Y677)*O677*AI677),"NA")</f>
        <v>63.657407407407391</v>
      </c>
      <c r="O677">
        <v>5</v>
      </c>
      <c r="P677">
        <v>0.43</v>
      </c>
      <c r="Q677" s="8">
        <f>IFERROR(X677/Y677, "NA")</f>
        <v>0.43200000000000011</v>
      </c>
      <c r="R677" t="s">
        <v>183</v>
      </c>
      <c r="S677" t="s">
        <v>612</v>
      </c>
      <c r="T677" s="11">
        <v>1</v>
      </c>
      <c r="U677">
        <v>4</v>
      </c>
      <c r="V677" t="s">
        <v>33</v>
      </c>
      <c r="W677">
        <f>0.4*3*0.5</f>
        <v>0.60000000000000009</v>
      </c>
      <c r="X677" s="9">
        <f>W677</f>
        <v>0.60000000000000009</v>
      </c>
      <c r="Y677" s="6">
        <f>5000/3600</f>
        <v>1.3888888888888888</v>
      </c>
      <c r="Z677" s="3">
        <f>IFERROR(X677*M677*O677*T677*AI677/AF677, "NA")</f>
        <v>1.3963636363636365</v>
      </c>
      <c r="AA677" t="s">
        <v>33</v>
      </c>
      <c r="AB677" s="4">
        <f>IFERROR(((X677*M677)/Y677), "NA")</f>
        <v>27.648000000000007</v>
      </c>
      <c r="AC677" s="4">
        <f t="shared" si="342"/>
        <v>27.52</v>
      </c>
      <c r="AD677" s="4">
        <f>AB677*T677*AI677</f>
        <v>27.648000000000007</v>
      </c>
      <c r="AE677" s="3">
        <f t="shared" si="343"/>
        <v>110.59200000000003</v>
      </c>
      <c r="AF677">
        <v>137.5</v>
      </c>
      <c r="AG677" s="4">
        <f>IFERROR((M677*O677*P677), "NA")</f>
        <v>137.6</v>
      </c>
      <c r="AH677" s="4">
        <f>IFERROR((AG677*T677*AI677), "NA")</f>
        <v>137.6</v>
      </c>
      <c r="AI677">
        <v>1</v>
      </c>
      <c r="AJ677" s="11" t="s">
        <v>31</v>
      </c>
      <c r="AK677">
        <v>2000</v>
      </c>
      <c r="AL677" t="s">
        <v>784</v>
      </c>
      <c r="AM677" t="s">
        <v>103</v>
      </c>
      <c r="AN677" t="s">
        <v>130</v>
      </c>
      <c r="AO677" t="s">
        <v>795</v>
      </c>
      <c r="AP677">
        <v>7</v>
      </c>
      <c r="AQ677" t="s">
        <v>33</v>
      </c>
      <c r="AR677" t="s">
        <v>33</v>
      </c>
      <c r="AS677" s="6">
        <f>LOG(AVERAGE(10^8, 10^9))</f>
        <v>8.7403626894942441</v>
      </c>
      <c r="AT677" s="3">
        <f>IFERROR(AS677-AU677,"NA")</f>
        <v>4.5293626894942438</v>
      </c>
      <c r="AU677" s="6">
        <v>4.2110000000000003</v>
      </c>
      <c r="AV677" t="b">
        <v>1</v>
      </c>
      <c r="AW677" t="s">
        <v>123</v>
      </c>
      <c r="AX677" t="s">
        <v>88</v>
      </c>
      <c r="AY677" t="s">
        <v>729</v>
      </c>
      <c r="AZ677" t="s">
        <v>33</v>
      </c>
      <c r="BA677" s="18" t="s">
        <v>579</v>
      </c>
      <c r="BB677" s="3" t="b">
        <v>1</v>
      </c>
      <c r="BC677" t="s">
        <v>81</v>
      </c>
      <c r="BD677">
        <v>24</v>
      </c>
      <c r="BE677" t="s">
        <v>80</v>
      </c>
      <c r="BF677">
        <v>48</v>
      </c>
      <c r="BG677" t="s">
        <v>395</v>
      </c>
      <c r="BH677" t="s">
        <v>31</v>
      </c>
      <c r="BI677" t="s">
        <v>31</v>
      </c>
      <c r="BJ677" s="3">
        <f t="shared" si="339"/>
        <v>4.2110000000000003</v>
      </c>
      <c r="BK677" s="3">
        <f t="shared" si="332"/>
        <v>0.62438524142026508</v>
      </c>
      <c r="BL677">
        <v>2</v>
      </c>
      <c r="BM677" s="3">
        <f t="shared" si="340"/>
        <v>1.4193384707064967</v>
      </c>
      <c r="BN677" t="s">
        <v>33</v>
      </c>
      <c r="BO677" s="3">
        <f t="shared" si="337"/>
        <v>26.262645452386611</v>
      </c>
      <c r="BP677" t="s">
        <v>33</v>
      </c>
      <c r="BQ677" t="s">
        <v>33</v>
      </c>
      <c r="BR677" t="s">
        <v>33</v>
      </c>
      <c r="BS677" t="s">
        <v>33</v>
      </c>
      <c r="BT677" t="s">
        <v>32</v>
      </c>
      <c r="BU677" t="s">
        <v>709</v>
      </c>
      <c r="BV677">
        <v>2024</v>
      </c>
      <c r="BW677" t="s">
        <v>710</v>
      </c>
      <c r="BX677" t="s">
        <v>78</v>
      </c>
      <c r="BY677" t="s">
        <v>711</v>
      </c>
      <c r="CA677" t="str">
        <f t="shared" si="338"/>
        <v>low acid</v>
      </c>
    </row>
    <row r="678" spans="1:79">
      <c r="A678" t="s">
        <v>592</v>
      </c>
      <c r="B678" t="s">
        <v>566</v>
      </c>
      <c r="C678" t="s">
        <v>563</v>
      </c>
      <c r="D678" t="s">
        <v>607</v>
      </c>
      <c r="E678" t="s">
        <v>77</v>
      </c>
      <c r="F678" t="s">
        <v>32</v>
      </c>
      <c r="G678" t="s">
        <v>33</v>
      </c>
      <c r="H678">
        <v>35</v>
      </c>
      <c r="I678" t="b">
        <v>0</v>
      </c>
      <c r="J678">
        <v>30000</v>
      </c>
      <c r="K678">
        <v>200</v>
      </c>
      <c r="L678">
        <v>25</v>
      </c>
      <c r="M678" s="4">
        <v>1</v>
      </c>
      <c r="N678" t="e">
        <f>(#REF!*Y678)/(T678*X678*O678)</f>
        <v>#REF!</v>
      </c>
      <c r="O678">
        <v>3</v>
      </c>
      <c r="P678" t="s">
        <v>33</v>
      </c>
      <c r="Q678" s="1">
        <f>IFERROR(X678/Z678, "NA")</f>
        <v>101.8</v>
      </c>
      <c r="R678" t="s">
        <v>183</v>
      </c>
      <c r="S678" t="s">
        <v>33</v>
      </c>
      <c r="T678">
        <v>1</v>
      </c>
      <c r="U678">
        <v>2.5</v>
      </c>
      <c r="V678" t="s">
        <v>33</v>
      </c>
      <c r="W678">
        <v>0.50249999999999995</v>
      </c>
      <c r="X678">
        <f>W678</f>
        <v>0.50249999999999995</v>
      </c>
      <c r="Y678" t="s">
        <v>33</v>
      </c>
      <c r="Z678" s="3">
        <f>IFERROR(X678*M678*O678*T678*AI678/AF678, "NA")</f>
        <v>4.93614931237721E-3</v>
      </c>
      <c r="AA678" t="s">
        <v>33</v>
      </c>
      <c r="AB678">
        <f>IFERROR(((X678*M678)/Z678), "NA")</f>
        <v>101.8</v>
      </c>
      <c r="AC678" s="1" t="str">
        <f t="shared" si="342"/>
        <v>NA</v>
      </c>
      <c r="AE678" s="3">
        <f t="shared" si="343"/>
        <v>190.875</v>
      </c>
      <c r="AF678">
        <v>305.39999999999998</v>
      </c>
      <c r="AG678" s="1" t="str">
        <f>IFERROR((N678*P678*Q678), "NA")</f>
        <v>NA</v>
      </c>
      <c r="AH678" s="1" t="str">
        <f>IFERROR((AG678*U678*AI678), "NA")</f>
        <v>NA</v>
      </c>
      <c r="AI678" s="1">
        <v>1</v>
      </c>
      <c r="AJ678" s="11" t="s">
        <v>31</v>
      </c>
      <c r="AK678">
        <v>1000</v>
      </c>
      <c r="AL678" t="s">
        <v>614</v>
      </c>
      <c r="AM678" s="3" t="s">
        <v>103</v>
      </c>
      <c r="AN678" t="s">
        <v>305</v>
      </c>
      <c r="AO678" t="s">
        <v>790</v>
      </c>
      <c r="AP678">
        <v>3.5</v>
      </c>
      <c r="AQ678" t="s">
        <v>33</v>
      </c>
      <c r="AR678" t="s">
        <v>33</v>
      </c>
      <c r="AS678">
        <v>8</v>
      </c>
      <c r="AT678">
        <f>AS678-AU678</f>
        <v>4.5299999999999994</v>
      </c>
      <c r="AU678" s="6">
        <v>3.47</v>
      </c>
      <c r="AV678" t="b">
        <v>1</v>
      </c>
      <c r="AW678" t="s">
        <v>626</v>
      </c>
      <c r="AX678" t="s">
        <v>627</v>
      </c>
      <c r="AY678" t="s">
        <v>633</v>
      </c>
      <c r="AZ678" t="s">
        <v>33</v>
      </c>
      <c r="BA678" s="18" t="s">
        <v>800</v>
      </c>
      <c r="BB678" s="3" t="b">
        <v>0</v>
      </c>
      <c r="BC678" t="s">
        <v>81</v>
      </c>
      <c r="BD678">
        <v>24</v>
      </c>
      <c r="BE678" t="s">
        <v>80</v>
      </c>
      <c r="BF678">
        <v>48</v>
      </c>
      <c r="BG678" t="s">
        <v>569</v>
      </c>
      <c r="BH678" t="s">
        <v>31</v>
      </c>
      <c r="BI678" t="s">
        <v>31</v>
      </c>
      <c r="BJ678">
        <f t="shared" si="339"/>
        <v>3.47</v>
      </c>
      <c r="BK678" s="3">
        <f t="shared" si="332"/>
        <v>0.54032947479087379</v>
      </c>
      <c r="BL678">
        <v>2</v>
      </c>
      <c r="BM678" s="3">
        <f t="shared" si="340"/>
        <v>1.7404195752736038</v>
      </c>
      <c r="BN678" t="s">
        <v>33</v>
      </c>
      <c r="BO678" s="3">
        <f t="shared" si="337"/>
        <v>55.007204610951007</v>
      </c>
      <c r="BP678" t="s">
        <v>33</v>
      </c>
      <c r="BQ678" t="s">
        <v>33</v>
      </c>
      <c r="BR678" t="s">
        <v>33</v>
      </c>
      <c r="BS678" t="s">
        <v>33</v>
      </c>
      <c r="BT678" t="s">
        <v>31</v>
      </c>
      <c r="BU678" s="15" t="s">
        <v>255</v>
      </c>
      <c r="BV678">
        <v>2010</v>
      </c>
      <c r="BW678" t="s">
        <v>659</v>
      </c>
      <c r="BX678" t="s">
        <v>78</v>
      </c>
      <c r="BY678" s="13" t="s">
        <v>680</v>
      </c>
      <c r="CA678" t="str">
        <f t="shared" si="338"/>
        <v>high acid</v>
      </c>
    </row>
    <row r="679" spans="1:79">
      <c r="A679" t="s">
        <v>454</v>
      </c>
      <c r="B679" t="s">
        <v>565</v>
      </c>
      <c r="C679" t="s">
        <v>563</v>
      </c>
      <c r="D679" t="s">
        <v>182</v>
      </c>
      <c r="E679" t="s">
        <v>77</v>
      </c>
      <c r="F679" t="s">
        <v>32</v>
      </c>
      <c r="G679">
        <v>18</v>
      </c>
      <c r="H679">
        <v>48</v>
      </c>
      <c r="I679" t="b">
        <v>1</v>
      </c>
      <c r="J679" t="s">
        <v>33</v>
      </c>
      <c r="K679" t="s">
        <v>33</v>
      </c>
      <c r="L679">
        <v>22</v>
      </c>
      <c r="M679" s="4" t="s">
        <v>33</v>
      </c>
      <c r="N679" s="3">
        <f>IFERROR(AF679/((T679*X679/Y679)*O679*AI679),"NA")</f>
        <v>330.20830099655922</v>
      </c>
      <c r="O679">
        <v>10</v>
      </c>
      <c r="P679">
        <f>0.047/2</f>
        <v>2.35E-2</v>
      </c>
      <c r="Q679" s="8">
        <f>IFERROR(X679/Z679, "NA")</f>
        <v>2.3318614270936316E-2</v>
      </c>
      <c r="R679" t="s">
        <v>183</v>
      </c>
      <c r="S679" t="s">
        <v>613</v>
      </c>
      <c r="T679" s="11">
        <v>2</v>
      </c>
      <c r="U679">
        <v>5.6</v>
      </c>
      <c r="V679">
        <v>4.5</v>
      </c>
      <c r="W679" t="s">
        <v>33</v>
      </c>
      <c r="X679" s="9">
        <f>IFERROR(((PI())*(((V679*10^-1)/2)^2)*(U679*10^-1)), "NA")</f>
        <v>8.9064151729270638E-2</v>
      </c>
      <c r="Y679" s="6">
        <f>13750/3600</f>
        <v>3.8194444444444446</v>
      </c>
      <c r="Z679" s="3">
        <f>IFERROR(X679*N679*O679*T679*AI679/AF679, "NA")</f>
        <v>3.8194444444444438</v>
      </c>
      <c r="AA679" t="s">
        <v>33</v>
      </c>
      <c r="AB679" s="4">
        <f>IFERROR(((X679*N679)/Y679), "NA")</f>
        <v>7.6999999999999984</v>
      </c>
      <c r="AC679" s="4">
        <f>IFERROR(N679*P679,"NA")</f>
        <v>7.7598950734191412</v>
      </c>
      <c r="AD679" s="4">
        <f>IFERROR(AB679*T679*AI679, "NA")</f>
        <v>15.399999999999997</v>
      </c>
      <c r="AE679" s="3">
        <f>IFERROR(((L679^2)*N679*O679*AK679*10^-6*Q679*T679*AI679), "NA")</f>
        <v>171.43280000000001</v>
      </c>
      <c r="AF679">
        <v>154</v>
      </c>
      <c r="AG679" s="4">
        <f>IFERROR((N679*O679*P679), "NA")</f>
        <v>77.598950734191419</v>
      </c>
      <c r="AH679" s="4">
        <f>IFERROR((AG679*T679*AI679), "NA")</f>
        <v>155.19790146838284</v>
      </c>
      <c r="AI679" s="11">
        <v>1</v>
      </c>
      <c r="AJ679" t="s">
        <v>31</v>
      </c>
      <c r="AK679">
        <v>2300</v>
      </c>
      <c r="AL679" t="s">
        <v>805</v>
      </c>
      <c r="AM679" t="s">
        <v>515</v>
      </c>
      <c r="AN679" t="s">
        <v>205</v>
      </c>
      <c r="AO679" t="s">
        <v>788</v>
      </c>
      <c r="AP679">
        <v>3.68</v>
      </c>
      <c r="AQ679" t="s">
        <v>33</v>
      </c>
      <c r="AR679" t="s">
        <v>33</v>
      </c>
      <c r="AS679">
        <f>LOG(10^8)</f>
        <v>8</v>
      </c>
      <c r="AT679" s="3">
        <f t="shared" ref="AT679:AT683" si="345">IFERROR(AS679-AU679,"NA")</f>
        <v>4.54</v>
      </c>
      <c r="AU679" s="6">
        <v>3.46</v>
      </c>
      <c r="AV679" t="b">
        <v>1</v>
      </c>
      <c r="AW679" t="s">
        <v>470</v>
      </c>
      <c r="AX679" t="s">
        <v>464</v>
      </c>
      <c r="AY679" t="s">
        <v>469</v>
      </c>
      <c r="AZ679" t="s">
        <v>33</v>
      </c>
      <c r="BA679" s="18" t="s">
        <v>579</v>
      </c>
      <c r="BB679" t="b">
        <v>1</v>
      </c>
      <c r="BC679" t="s">
        <v>81</v>
      </c>
      <c r="BD679" t="s">
        <v>33</v>
      </c>
      <c r="BE679" t="s">
        <v>80</v>
      </c>
      <c r="BF679" t="s">
        <v>33</v>
      </c>
      <c r="BG679" t="s">
        <v>395</v>
      </c>
      <c r="BH679" t="s">
        <v>31</v>
      </c>
      <c r="BI679" t="s">
        <v>31</v>
      </c>
      <c r="BJ679" s="3">
        <f t="shared" si="339"/>
        <v>3.46</v>
      </c>
      <c r="BK679" s="3">
        <f t="shared" si="332"/>
        <v>0.53907609879277663</v>
      </c>
      <c r="BL679">
        <v>2</v>
      </c>
      <c r="BM679" s="3">
        <f t="shared" si="340"/>
        <v>1.695017819705692</v>
      </c>
      <c r="BN679" t="s">
        <v>33</v>
      </c>
      <c r="BO679" s="3">
        <f t="shared" si="337"/>
        <v>49.547052023121395</v>
      </c>
      <c r="BP679" t="s">
        <v>33</v>
      </c>
      <c r="BQ679" t="s">
        <v>33</v>
      </c>
      <c r="BR679" t="s">
        <v>33</v>
      </c>
      <c r="BS679" t="s">
        <v>33</v>
      </c>
      <c r="BT679" t="s">
        <v>32</v>
      </c>
      <c r="BU679" t="s">
        <v>484</v>
      </c>
      <c r="BV679">
        <v>2015</v>
      </c>
      <c r="BW679" t="s">
        <v>485</v>
      </c>
      <c r="BX679" t="s">
        <v>78</v>
      </c>
      <c r="BY679" t="s">
        <v>486</v>
      </c>
      <c r="BZ679" t="s">
        <v>780</v>
      </c>
      <c r="CA679" t="str">
        <f t="shared" si="338"/>
        <v>high acid</v>
      </c>
    </row>
    <row r="680" spans="1:79">
      <c r="A680" t="s">
        <v>221</v>
      </c>
      <c r="B680" t="s">
        <v>565</v>
      </c>
      <c r="C680" t="s">
        <v>563</v>
      </c>
      <c r="D680" t="s">
        <v>118</v>
      </c>
      <c r="E680" t="s">
        <v>77</v>
      </c>
      <c r="F680" t="s">
        <v>32</v>
      </c>
      <c r="G680">
        <v>5</v>
      </c>
      <c r="H680">
        <v>30.3</v>
      </c>
      <c r="I680" t="b">
        <v>0</v>
      </c>
      <c r="J680" t="s">
        <v>33</v>
      </c>
      <c r="K680" t="s">
        <v>33</v>
      </c>
      <c r="L680">
        <v>35</v>
      </c>
      <c r="M680" s="4">
        <v>100</v>
      </c>
      <c r="N680" s="3">
        <f>IFERROR(AF680/((T680*X680/Y680)*O680*AI680),"NA")</f>
        <v>5366.3671133845755</v>
      </c>
      <c r="O680">
        <v>4</v>
      </c>
      <c r="P680" t="s">
        <v>33</v>
      </c>
      <c r="Q680" s="8">
        <f>IFERROR(X680/Z680, "NA")</f>
        <v>0.39062499999999994</v>
      </c>
      <c r="R680" t="s">
        <v>183</v>
      </c>
      <c r="S680" t="s">
        <v>613</v>
      </c>
      <c r="T680" s="11">
        <v>8</v>
      </c>
      <c r="U680">
        <v>2.92</v>
      </c>
      <c r="V680">
        <v>2.2999999999999998</v>
      </c>
      <c r="W680">
        <v>1.21E-2</v>
      </c>
      <c r="X680" s="8">
        <f>IFERROR(((PI())*(((V680*10^-1)/2)^2)*(U680*10^-1)), "NA")</f>
        <v>1.2131888350367701E-2</v>
      </c>
      <c r="Y680" s="6">
        <f>100/60</f>
        <v>1.6666666666666667</v>
      </c>
      <c r="Z680" s="3">
        <f>IFERROR(X680*M680*O680*T680*AI680/AF680, "NA")</f>
        <v>3.1057634176941316E-2</v>
      </c>
      <c r="AA680" t="s">
        <v>33</v>
      </c>
      <c r="AB680" s="6">
        <f>IFERROR(((X680*M680)/Z680), "NA")</f>
        <v>39.0625</v>
      </c>
      <c r="AC680" t="str">
        <f t="shared" ref="AC680:AC696" si="346">IFERROR(M680*P680,"NA")</f>
        <v>NA</v>
      </c>
      <c r="AD680" s="4">
        <f>AB680*T680*AI680</f>
        <v>312.5</v>
      </c>
      <c r="AE680" s="3">
        <f t="shared" ref="AE680:AE693" si="347">IFERROR(((L680^2)*M680*O680*AK680*10^-6*Q680*T680*AI680), "NA")</f>
        <v>5604.3749999999991</v>
      </c>
      <c r="AF680">
        <v>1250</v>
      </c>
      <c r="AG680" t="str">
        <f>IFERROR((M680*O680*P680), "NA")</f>
        <v>NA</v>
      </c>
      <c r="AH680" t="str">
        <f>IFERROR((AG680*T680*AI680), "NA")</f>
        <v>NA</v>
      </c>
      <c r="AI680">
        <v>1</v>
      </c>
      <c r="AJ680" t="s">
        <v>31</v>
      </c>
      <c r="AK680">
        <v>3660</v>
      </c>
      <c r="AL680" t="s">
        <v>541</v>
      </c>
      <c r="AM680" t="s">
        <v>86</v>
      </c>
      <c r="AN680" t="s">
        <v>186</v>
      </c>
      <c r="AO680" t="s">
        <v>794</v>
      </c>
      <c r="AP680">
        <v>5.46</v>
      </c>
      <c r="AQ680" t="s">
        <v>33</v>
      </c>
      <c r="AR680" t="s">
        <v>33</v>
      </c>
      <c r="AS680" s="6">
        <f>LOG((10^7+10^8)/2)</f>
        <v>7.7403626894942441</v>
      </c>
      <c r="AT680" s="3">
        <f t="shared" si="345"/>
        <v>4.5413626894942443</v>
      </c>
      <c r="AU680" s="6">
        <v>3.1989999999999998</v>
      </c>
      <c r="AV680" t="b">
        <v>1</v>
      </c>
      <c r="AW680" t="s">
        <v>29</v>
      </c>
      <c r="AX680" t="s">
        <v>30</v>
      </c>
      <c r="AY680" s="10">
        <v>1107</v>
      </c>
      <c r="AZ680" t="s">
        <v>33</v>
      </c>
      <c r="BA680" s="18" t="s">
        <v>798</v>
      </c>
      <c r="BB680" t="b">
        <v>0</v>
      </c>
      <c r="BC680" t="s">
        <v>81</v>
      </c>
      <c r="BD680">
        <f>(16+14)/2</f>
        <v>15</v>
      </c>
      <c r="BE680" t="s">
        <v>80</v>
      </c>
      <c r="BF680" t="s">
        <v>33</v>
      </c>
      <c r="BG680" t="s">
        <v>222</v>
      </c>
      <c r="BH680" t="s">
        <v>31</v>
      </c>
      <c r="BI680" t="s">
        <v>31</v>
      </c>
      <c r="BJ680" s="3">
        <f t="shared" si="339"/>
        <v>3.1989999999999998</v>
      </c>
      <c r="BK680" s="3">
        <f t="shared" si="332"/>
        <v>0.505014240084107</v>
      </c>
      <c r="BL680">
        <v>2</v>
      </c>
      <c r="BM680" s="3">
        <f t="shared" si="340"/>
        <v>3.2435129470189112</v>
      </c>
      <c r="BN680" t="s">
        <v>33</v>
      </c>
      <c r="BO680" s="3">
        <f t="shared" si="337"/>
        <v>1751.9146608315095</v>
      </c>
      <c r="BP680" t="s">
        <v>33</v>
      </c>
      <c r="BQ680" t="s">
        <v>33</v>
      </c>
      <c r="BR680" t="s">
        <v>33</v>
      </c>
      <c r="BS680" t="s">
        <v>33</v>
      </c>
      <c r="BT680" t="s">
        <v>31</v>
      </c>
      <c r="BU680" t="s">
        <v>219</v>
      </c>
      <c r="BV680">
        <v>2007</v>
      </c>
      <c r="BW680" t="s">
        <v>218</v>
      </c>
      <c r="BX680" t="s">
        <v>78</v>
      </c>
      <c r="BY680" t="s">
        <v>33</v>
      </c>
      <c r="BZ680" t="s">
        <v>780</v>
      </c>
      <c r="CA680" t="str">
        <f t="shared" si="338"/>
        <v>low acid</v>
      </c>
    </row>
    <row r="681" spans="1:79">
      <c r="A681" s="3" t="s">
        <v>249</v>
      </c>
      <c r="B681" t="s">
        <v>566</v>
      </c>
      <c r="C681" t="s">
        <v>563</v>
      </c>
      <c r="D681" s="3" t="s">
        <v>279</v>
      </c>
      <c r="E681" s="3" t="s">
        <v>77</v>
      </c>
      <c r="F681" t="s">
        <v>32</v>
      </c>
      <c r="G681" s="11">
        <v>20</v>
      </c>
      <c r="H681" s="11" t="s">
        <v>33</v>
      </c>
      <c r="I681" s="3" t="b">
        <v>0</v>
      </c>
      <c r="J681" s="3" t="s">
        <v>33</v>
      </c>
      <c r="K681" s="3" t="s">
        <v>33</v>
      </c>
      <c r="L681" s="3">
        <v>30</v>
      </c>
      <c r="M681" s="4">
        <v>1000</v>
      </c>
      <c r="N681" s="3">
        <f>IFERROR(AF681/((T681*X681/Y681)*O681*AI681),"NA")</f>
        <v>1010.5075751866368</v>
      </c>
      <c r="O681" s="3">
        <v>40</v>
      </c>
      <c r="P681" s="3" t="s">
        <v>33</v>
      </c>
      <c r="Q681" s="3">
        <f>IFERROR(X681/Z681, "NA")</f>
        <v>3.0000000000000002E-2</v>
      </c>
      <c r="R681" t="s">
        <v>183</v>
      </c>
      <c r="S681" t="s">
        <v>613</v>
      </c>
      <c r="T681" s="11">
        <v>1</v>
      </c>
      <c r="U681" s="3">
        <v>2.8</v>
      </c>
      <c r="V681" s="3">
        <v>3</v>
      </c>
      <c r="W681" s="3">
        <v>0.02</v>
      </c>
      <c r="X681" s="3">
        <f>IFERROR(((PI())*(((V681*10^-1)/2)^2)*(U681*10^-1)), "NA")</f>
        <v>1.97920337176157E-2</v>
      </c>
      <c r="Y681" s="3">
        <f>40/60</f>
        <v>0.66666666666666663</v>
      </c>
      <c r="Z681" s="3">
        <f>IFERROR(X681*M681*O681*T681*AI681/AF681, "NA")</f>
        <v>0.6597344572538566</v>
      </c>
      <c r="AA681" s="3" t="s">
        <v>33</v>
      </c>
      <c r="AB681" s="3">
        <f>IFERROR(((X681*M681)/Z681), "NA")</f>
        <v>30</v>
      </c>
      <c r="AC681" s="3" t="str">
        <f t="shared" si="346"/>
        <v>NA</v>
      </c>
      <c r="AD681" s="4">
        <f>AB681*T681*AI681</f>
        <v>30</v>
      </c>
      <c r="AE681" s="3">
        <f t="shared" si="347"/>
        <v>540</v>
      </c>
      <c r="AF681" s="3">
        <v>1200</v>
      </c>
      <c r="AG681" s="3" t="str">
        <f>IFERROR((M681*O681*P681), "NA")</f>
        <v>NA</v>
      </c>
      <c r="AH681" s="3" t="str">
        <f>IFERROR((AG681*T681*AI681), "NA")</f>
        <v>NA</v>
      </c>
      <c r="AI681" s="3">
        <v>1</v>
      </c>
      <c r="AJ681" t="s">
        <v>31</v>
      </c>
      <c r="AK681" s="3">
        <v>500</v>
      </c>
      <c r="AL681" s="3" t="s">
        <v>250</v>
      </c>
      <c r="AM681" s="3" t="s">
        <v>103</v>
      </c>
      <c r="AN681" t="s">
        <v>130</v>
      </c>
      <c r="AO681" t="s">
        <v>795</v>
      </c>
      <c r="AP681" s="3">
        <f>(6.5+6.8)/2</f>
        <v>6.65</v>
      </c>
      <c r="AQ681" s="3" t="s">
        <v>33</v>
      </c>
      <c r="AR681" s="3" t="s">
        <v>33</v>
      </c>
      <c r="AS681" s="3">
        <f>LOG((10^6+10^7)/2)</f>
        <v>6.7403626894942441</v>
      </c>
      <c r="AT681" s="3">
        <f t="shared" si="345"/>
        <v>4.5423626894942437</v>
      </c>
      <c r="AU681" s="6">
        <v>2.198</v>
      </c>
      <c r="AV681" s="3" t="b">
        <v>1</v>
      </c>
      <c r="AW681" s="3" t="s">
        <v>172</v>
      </c>
      <c r="AX681" s="3" t="s">
        <v>173</v>
      </c>
      <c r="AY681" s="3" t="s">
        <v>251</v>
      </c>
      <c r="AZ681" s="3" t="s">
        <v>33</v>
      </c>
      <c r="BA681" s="18" t="s">
        <v>799</v>
      </c>
      <c r="BB681" s="3" t="b">
        <v>0</v>
      </c>
      <c r="BC681" t="s">
        <v>81</v>
      </c>
      <c r="BD681" s="3">
        <v>0.5</v>
      </c>
      <c r="BE681" s="3" t="s">
        <v>252</v>
      </c>
      <c r="BF681" s="11">
        <v>72</v>
      </c>
      <c r="BG681" s="3" t="s">
        <v>253</v>
      </c>
      <c r="BH681" s="3" t="s">
        <v>32</v>
      </c>
      <c r="BI681" s="3" t="s">
        <v>31</v>
      </c>
      <c r="BJ681" s="3">
        <f t="shared" si="339"/>
        <v>2.198</v>
      </c>
      <c r="BK681" s="3">
        <f t="shared" si="332"/>
        <v>0.34202768808747175</v>
      </c>
      <c r="BL681" s="3">
        <v>2</v>
      </c>
      <c r="BM681" s="3">
        <f t="shared" si="340"/>
        <v>2.3903660717354969</v>
      </c>
      <c r="BN681" s="3" t="s">
        <v>33</v>
      </c>
      <c r="BO681" s="3">
        <f t="shared" si="337"/>
        <v>245.67788898999092</v>
      </c>
      <c r="BP681" s="3" t="s">
        <v>33</v>
      </c>
      <c r="BQ681" s="3" t="s">
        <v>33</v>
      </c>
      <c r="BR681" s="3" t="s">
        <v>33</v>
      </c>
      <c r="BS681" s="3" t="s">
        <v>33</v>
      </c>
      <c r="BT681" t="s">
        <v>31</v>
      </c>
      <c r="BU681" s="3" t="s">
        <v>247</v>
      </c>
      <c r="BV681" s="11">
        <v>2015</v>
      </c>
      <c r="BW681" s="12" t="s">
        <v>248</v>
      </c>
      <c r="BX681" t="s">
        <v>78</v>
      </c>
      <c r="BY681" s="3" t="s">
        <v>33</v>
      </c>
      <c r="BZ681" s="3" t="s">
        <v>33</v>
      </c>
      <c r="CA681" t="str">
        <f t="shared" si="338"/>
        <v>low acid</v>
      </c>
    </row>
    <row r="682" spans="1:79">
      <c r="A682" t="s">
        <v>764</v>
      </c>
      <c r="B682" t="s">
        <v>566</v>
      </c>
      <c r="C682" t="s">
        <v>563</v>
      </c>
      <c r="D682" t="s">
        <v>765</v>
      </c>
      <c r="E682" t="s">
        <v>77</v>
      </c>
      <c r="F682" t="s">
        <v>31</v>
      </c>
      <c r="G682">
        <v>22</v>
      </c>
      <c r="H682">
        <v>34</v>
      </c>
      <c r="I682" t="b">
        <v>0</v>
      </c>
      <c r="J682" t="s">
        <v>33</v>
      </c>
      <c r="K682" t="s">
        <v>33</v>
      </c>
      <c r="L682">
        <v>20</v>
      </c>
      <c r="M682" s="4">
        <f>N682</f>
        <v>17.183641975308646</v>
      </c>
      <c r="N682" s="3">
        <f>IFERROR(AF682/((T682*X682/Y682)*O682*AI682),"NA")</f>
        <v>17.183641975308646</v>
      </c>
      <c r="O682">
        <v>3</v>
      </c>
      <c r="P682">
        <v>4.3</v>
      </c>
      <c r="Q682" s="8">
        <f>IFERROR(X682/Y682, "NA")</f>
        <v>4.3199999999999994</v>
      </c>
      <c r="R682" t="s">
        <v>183</v>
      </c>
      <c r="S682" t="s">
        <v>33</v>
      </c>
      <c r="T682" s="11">
        <v>1</v>
      </c>
      <c r="U682">
        <v>8.1000000000000003E-2</v>
      </c>
      <c r="V682" t="s">
        <v>33</v>
      </c>
      <c r="W682">
        <v>7.1999999999999998E-3</v>
      </c>
      <c r="X682">
        <f>W682</f>
        <v>7.1999999999999998E-3</v>
      </c>
      <c r="Y682" s="6">
        <f>0.1/60</f>
        <v>1.6666666666666668E-3</v>
      </c>
      <c r="Z682" s="6">
        <f>Y682</f>
        <v>1.6666666666666668E-3</v>
      </c>
      <c r="AA682" t="s">
        <v>33</v>
      </c>
      <c r="AB682" s="4">
        <f>IFERROR(((X682*M682)/Y682), "NA")</f>
        <v>74.233333333333348</v>
      </c>
      <c r="AC682" s="4">
        <f t="shared" si="346"/>
        <v>73.889660493827179</v>
      </c>
      <c r="AD682" s="4">
        <f>AB682*T682*AI682</f>
        <v>74.233333333333348</v>
      </c>
      <c r="AE682" s="3">
        <f t="shared" si="347"/>
        <v>267.24</v>
      </c>
      <c r="AF682">
        <v>222.7</v>
      </c>
      <c r="AG682" s="4">
        <f>IFERROR((M682*O682*P682), "NA")</f>
        <v>221.66898148148152</v>
      </c>
      <c r="AH682" s="4">
        <f>IFERROR((AG682*T682*AI682), "NA")</f>
        <v>221.66898148148152</v>
      </c>
      <c r="AI682">
        <v>1</v>
      </c>
      <c r="AJ682" s="11" t="s">
        <v>31</v>
      </c>
      <c r="AK682">
        <v>3000</v>
      </c>
      <c r="AL682" t="s">
        <v>169</v>
      </c>
      <c r="AM682" t="s">
        <v>103</v>
      </c>
      <c r="AN682" t="s">
        <v>130</v>
      </c>
      <c r="AO682" t="s">
        <v>795</v>
      </c>
      <c r="AP682">
        <v>7.3</v>
      </c>
      <c r="AQ682" t="s">
        <v>33</v>
      </c>
      <c r="AR682" t="s">
        <v>33</v>
      </c>
      <c r="AS682">
        <v>7</v>
      </c>
      <c r="AT682" s="3">
        <f t="shared" si="345"/>
        <v>4.5430000000000001</v>
      </c>
      <c r="AU682" s="6">
        <v>2.4569999999999999</v>
      </c>
      <c r="AV682" t="b">
        <v>1</v>
      </c>
      <c r="AW682" t="s">
        <v>29</v>
      </c>
      <c r="AX682" t="s">
        <v>30</v>
      </c>
      <c r="AY682" t="s">
        <v>766</v>
      </c>
      <c r="AZ682" t="s">
        <v>33</v>
      </c>
      <c r="BA682" s="18" t="s">
        <v>798</v>
      </c>
      <c r="BB682" s="3" t="b">
        <v>0</v>
      </c>
      <c r="BC682" t="s">
        <v>81</v>
      </c>
      <c r="BD682">
        <v>16</v>
      </c>
      <c r="BE682" t="s">
        <v>80</v>
      </c>
      <c r="BF682">
        <v>24</v>
      </c>
      <c r="BG682" t="s">
        <v>569</v>
      </c>
      <c r="BH682" t="s">
        <v>31</v>
      </c>
      <c r="BI682" t="s">
        <v>31</v>
      </c>
      <c r="BJ682" s="3">
        <f t="shared" si="339"/>
        <v>2.4569999999999999</v>
      </c>
      <c r="BK682" s="3">
        <f t="shared" si="332"/>
        <v>0.39040515648008089</v>
      </c>
      <c r="BL682">
        <v>2</v>
      </c>
      <c r="BM682" s="3">
        <f t="shared" si="340"/>
        <v>2.036496306601582</v>
      </c>
      <c r="BN682" t="s">
        <v>33</v>
      </c>
      <c r="BO682" s="3">
        <f t="shared" si="337"/>
        <v>108.76678876678878</v>
      </c>
      <c r="BP682" t="s">
        <v>33</v>
      </c>
      <c r="BQ682" t="s">
        <v>33</v>
      </c>
      <c r="BR682" t="s">
        <v>33</v>
      </c>
      <c r="BS682" t="s">
        <v>33</v>
      </c>
      <c r="BT682" t="s">
        <v>31</v>
      </c>
      <c r="BU682" t="s">
        <v>767</v>
      </c>
      <c r="BV682">
        <v>2021</v>
      </c>
      <c r="BW682" t="s">
        <v>768</v>
      </c>
      <c r="BX682" t="s">
        <v>78</v>
      </c>
      <c r="BY682" t="s">
        <v>769</v>
      </c>
      <c r="CA682" t="str">
        <f t="shared" si="338"/>
        <v>low acid</v>
      </c>
    </row>
    <row r="683" spans="1:79">
      <c r="A683" t="s">
        <v>259</v>
      </c>
      <c r="B683" t="s">
        <v>565</v>
      </c>
      <c r="C683" t="s">
        <v>563</v>
      </c>
      <c r="D683" t="s">
        <v>118</v>
      </c>
      <c r="E683" t="s">
        <v>77</v>
      </c>
      <c r="F683" t="s">
        <v>32</v>
      </c>
      <c r="G683">
        <v>5</v>
      </c>
      <c r="H683">
        <v>40</v>
      </c>
      <c r="I683" t="b">
        <v>0</v>
      </c>
      <c r="J683" t="s">
        <v>33</v>
      </c>
      <c r="K683" t="s">
        <v>33</v>
      </c>
      <c r="L683">
        <v>35</v>
      </c>
      <c r="M683" s="4">
        <v>175</v>
      </c>
      <c r="N683" s="3">
        <f>IFERROR(AF683/((T683*X683/Y683)*O683*AI683),"NA")</f>
        <v>2361.2015298892129</v>
      </c>
      <c r="O683">
        <v>4</v>
      </c>
      <c r="P683" t="s">
        <v>33</v>
      </c>
      <c r="Q683" s="8">
        <f t="shared" ref="Q683:Q700" si="348">IFERROR(X683/Z683, "NA")</f>
        <v>8.9285714285714288E-2</v>
      </c>
      <c r="R683" t="s">
        <v>183</v>
      </c>
      <c r="S683" t="s">
        <v>613</v>
      </c>
      <c r="T683" s="11">
        <v>8</v>
      </c>
      <c r="U683">
        <v>2.92</v>
      </c>
      <c r="V683">
        <v>2.2999999999999998</v>
      </c>
      <c r="W683">
        <v>1.21E-2</v>
      </c>
      <c r="X683" s="8">
        <f>IFERROR(((PI())*(((V683*10^-1)/2)^2)*(U683*10^-1)), "NA")</f>
        <v>1.2131888350367701E-2</v>
      </c>
      <c r="Y683" s="6">
        <f>110/60</f>
        <v>1.8333333333333333</v>
      </c>
      <c r="Z683" s="3">
        <f t="shared" ref="Z683:Z693" si="349">IFERROR(X683*M683*O683*T683*AI683/AF683, "NA")</f>
        <v>0.13587714952411825</v>
      </c>
      <c r="AA683" t="s">
        <v>33</v>
      </c>
      <c r="AB683" s="6">
        <f t="shared" ref="AB683:AB690" si="350">IFERROR(((X683*M683)/Z683), "NA")</f>
        <v>15.624999999999998</v>
      </c>
      <c r="AC683" t="str">
        <f t="shared" si="346"/>
        <v>NA</v>
      </c>
      <c r="AD683" s="4">
        <f>AB683*T683*AI683</f>
        <v>124.99999999999999</v>
      </c>
      <c r="AE683" s="3">
        <f t="shared" si="347"/>
        <v>1831.3749999999998</v>
      </c>
      <c r="AF683">
        <v>500</v>
      </c>
      <c r="AG683" t="str">
        <f>IFERROR((M683*O683*P683), "NA")</f>
        <v>NA</v>
      </c>
      <c r="AH683" t="str">
        <f>IFERROR((AG683*T683*AI683), "NA")</f>
        <v>NA</v>
      </c>
      <c r="AI683">
        <v>1</v>
      </c>
      <c r="AJ683" t="s">
        <v>31</v>
      </c>
      <c r="AK683">
        <v>2990</v>
      </c>
      <c r="AL683" t="s">
        <v>544</v>
      </c>
      <c r="AM683" t="s">
        <v>86</v>
      </c>
      <c r="AN683" t="s">
        <v>205</v>
      </c>
      <c r="AO683" t="s">
        <v>789</v>
      </c>
      <c r="AP683">
        <v>4.4000000000000004</v>
      </c>
      <c r="AQ683" t="s">
        <v>33</v>
      </c>
      <c r="AR683" t="s">
        <v>33</v>
      </c>
      <c r="AS683" s="6">
        <f>LOG((10^7+10^8)/2)</f>
        <v>7.7403626894942441</v>
      </c>
      <c r="AT683" s="3">
        <f t="shared" si="345"/>
        <v>4.5493626894942443</v>
      </c>
      <c r="AU683" s="6">
        <v>3.1909999999999998</v>
      </c>
      <c r="AV683" t="b">
        <v>1</v>
      </c>
      <c r="AW683" t="s">
        <v>29</v>
      </c>
      <c r="AX683" t="s">
        <v>30</v>
      </c>
      <c r="AY683" t="s">
        <v>33</v>
      </c>
      <c r="AZ683" t="s">
        <v>134</v>
      </c>
      <c r="BA683" s="18" t="s">
        <v>798</v>
      </c>
      <c r="BB683" t="b">
        <v>0</v>
      </c>
      <c r="BC683" t="s">
        <v>81</v>
      </c>
      <c r="BD683">
        <v>15</v>
      </c>
      <c r="BE683" t="s">
        <v>80</v>
      </c>
      <c r="BF683" s="11">
        <v>24</v>
      </c>
      <c r="BG683" t="s">
        <v>262</v>
      </c>
      <c r="BH683" t="s">
        <v>31</v>
      </c>
      <c r="BI683" t="s">
        <v>31</v>
      </c>
      <c r="BJ683" s="3">
        <f t="shared" si="339"/>
        <v>3.1909999999999998</v>
      </c>
      <c r="BK683" s="3">
        <f t="shared" si="332"/>
        <v>0.50392680419351044</v>
      </c>
      <c r="BL683">
        <v>2</v>
      </c>
      <c r="BM683" s="3">
        <f t="shared" ref="BM683:BM705" si="351">IFERROR(LOG(BO683),"NA")</f>
        <v>2.7588504771674893</v>
      </c>
      <c r="BN683" t="s">
        <v>33</v>
      </c>
      <c r="BO683" s="3">
        <f t="shared" si="337"/>
        <v>573.91883422124727</v>
      </c>
      <c r="BP683" t="s">
        <v>33</v>
      </c>
      <c r="BQ683" t="s">
        <v>33</v>
      </c>
      <c r="BR683" t="s">
        <v>33</v>
      </c>
      <c r="BS683" t="s">
        <v>33</v>
      </c>
      <c r="BT683" t="s">
        <v>31</v>
      </c>
      <c r="BU683" t="s">
        <v>219</v>
      </c>
      <c r="BV683">
        <v>2008</v>
      </c>
      <c r="BW683" s="2" t="s">
        <v>257</v>
      </c>
      <c r="BX683" t="s">
        <v>78</v>
      </c>
      <c r="BY683" t="s">
        <v>33</v>
      </c>
      <c r="BZ683" t="s">
        <v>33</v>
      </c>
      <c r="CA683" t="str">
        <f t="shared" si="338"/>
        <v>high acid</v>
      </c>
    </row>
    <row r="684" spans="1:79">
      <c r="A684" t="s">
        <v>590</v>
      </c>
      <c r="B684" t="s">
        <v>565</v>
      </c>
      <c r="C684" t="s">
        <v>564</v>
      </c>
      <c r="D684" t="s">
        <v>609</v>
      </c>
      <c r="E684" t="s">
        <v>77</v>
      </c>
      <c r="F684" t="s">
        <v>32</v>
      </c>
      <c r="G684">
        <v>40</v>
      </c>
      <c r="H684">
        <v>49</v>
      </c>
      <c r="I684" t="b">
        <v>0</v>
      </c>
      <c r="J684" t="s">
        <v>33</v>
      </c>
      <c r="K684" t="s">
        <v>33</v>
      </c>
      <c r="L684">
        <v>15</v>
      </c>
      <c r="M684" s="4">
        <v>120</v>
      </c>
      <c r="N684" t="e">
        <f>(#REF!*Y684)/(T684*X684*O684)</f>
        <v>#REF!</v>
      </c>
      <c r="O684">
        <v>3</v>
      </c>
      <c r="P684" t="s">
        <v>33</v>
      </c>
      <c r="Q684" s="1">
        <f t="shared" si="348"/>
        <v>0.19076388888888887</v>
      </c>
      <c r="R684" t="s">
        <v>183</v>
      </c>
      <c r="S684" t="s">
        <v>612</v>
      </c>
      <c r="T684">
        <v>4</v>
      </c>
      <c r="U684">
        <v>3</v>
      </c>
      <c r="V684">
        <v>2.6</v>
      </c>
      <c r="W684">
        <v>1.5900000000000001E-2</v>
      </c>
      <c r="X684">
        <f>IFERROR(((PI())*(((V684*10^-1)/2)^2)*(U684*10^-1)), "NA")</f>
        <v>1.5927874753700257E-2</v>
      </c>
      <c r="Y684">
        <v>8.3333299999999999E-2</v>
      </c>
      <c r="Z684" s="3">
        <f t="shared" si="349"/>
        <v>8.3495229870143323E-2</v>
      </c>
      <c r="AA684" t="s">
        <v>33</v>
      </c>
      <c r="AB684">
        <f t="shared" si="350"/>
        <v>22.891666666666666</v>
      </c>
      <c r="AC684" s="1" t="str">
        <f t="shared" si="346"/>
        <v>NA</v>
      </c>
      <c r="AE684" s="3">
        <f t="shared" si="347"/>
        <v>71.078624999999988</v>
      </c>
      <c r="AF684">
        <v>274.7</v>
      </c>
      <c r="AG684" s="1" t="str">
        <f>IFERROR((N684*P684*Q684), "NA")</f>
        <v>NA</v>
      </c>
      <c r="AH684" s="1" t="str">
        <f>IFERROR((AG684*U684*AI684), "NA")</f>
        <v>NA</v>
      </c>
      <c r="AI684" s="1">
        <v>1</v>
      </c>
      <c r="AJ684" s="11" t="s">
        <v>31</v>
      </c>
      <c r="AK684">
        <v>1150</v>
      </c>
      <c r="AL684" t="s">
        <v>551</v>
      </c>
      <c r="AM684" t="s">
        <v>86</v>
      </c>
      <c r="AN684" t="s">
        <v>186</v>
      </c>
      <c r="AO684" t="s">
        <v>794</v>
      </c>
      <c r="AP684">
        <v>5.92</v>
      </c>
      <c r="AQ684" t="s">
        <v>33</v>
      </c>
      <c r="AR684" t="s">
        <v>33</v>
      </c>
      <c r="AS684">
        <v>6</v>
      </c>
      <c r="AT684">
        <f>AS684-AU684</f>
        <v>4.55</v>
      </c>
      <c r="AU684" s="6">
        <v>1.45</v>
      </c>
      <c r="AV684" t="b">
        <v>1</v>
      </c>
      <c r="AW684" t="s">
        <v>626</v>
      </c>
      <c r="AX684" t="s">
        <v>627</v>
      </c>
      <c r="AY684" t="s">
        <v>631</v>
      </c>
      <c r="AZ684" t="s">
        <v>33</v>
      </c>
      <c r="BA684" s="18" t="s">
        <v>800</v>
      </c>
      <c r="BB684" s="3" t="b">
        <v>0</v>
      </c>
      <c r="BC684" t="s">
        <v>81</v>
      </c>
      <c r="BD684">
        <v>20</v>
      </c>
      <c r="BE684" t="s">
        <v>80</v>
      </c>
      <c r="BF684">
        <v>20</v>
      </c>
      <c r="BG684" t="s">
        <v>695</v>
      </c>
      <c r="BH684" t="s">
        <v>32</v>
      </c>
      <c r="BI684" t="s">
        <v>31</v>
      </c>
      <c r="BJ684">
        <f t="shared" si="339"/>
        <v>1.45</v>
      </c>
      <c r="BK684" s="3">
        <f t="shared" si="332"/>
        <v>0.16136800223497488</v>
      </c>
      <c r="BL684">
        <v>2</v>
      </c>
      <c r="BM684" s="3">
        <f t="shared" si="351"/>
        <v>1.6903710156505611</v>
      </c>
      <c r="BN684" t="s">
        <v>33</v>
      </c>
      <c r="BO684" s="3">
        <f t="shared" si="337"/>
        <v>49.019741379310339</v>
      </c>
      <c r="BP684" t="s">
        <v>33</v>
      </c>
      <c r="BQ684" t="s">
        <v>33</v>
      </c>
      <c r="BR684" t="s">
        <v>33</v>
      </c>
      <c r="BS684" t="s">
        <v>33</v>
      </c>
      <c r="BT684" t="s">
        <v>32</v>
      </c>
      <c r="BU684" s="15" t="s">
        <v>207</v>
      </c>
      <c r="BV684">
        <v>2014</v>
      </c>
      <c r="BW684" t="s">
        <v>242</v>
      </c>
      <c r="BX684" t="s">
        <v>78</v>
      </c>
      <c r="BY684" s="13" t="s">
        <v>678</v>
      </c>
      <c r="CA684" t="str">
        <f t="shared" si="338"/>
        <v>low acid</v>
      </c>
    </row>
    <row r="685" spans="1:79">
      <c r="A685" t="s">
        <v>534</v>
      </c>
      <c r="B685" t="s">
        <v>565</v>
      </c>
      <c r="C685" t="s">
        <v>564</v>
      </c>
      <c r="D685" t="s">
        <v>243</v>
      </c>
      <c r="E685" t="s">
        <v>77</v>
      </c>
      <c r="F685" t="s">
        <v>32</v>
      </c>
      <c r="G685">
        <v>40</v>
      </c>
      <c r="H685">
        <v>50.2</v>
      </c>
      <c r="I685" t="b">
        <v>0</v>
      </c>
      <c r="J685" t="s">
        <v>33</v>
      </c>
      <c r="K685" t="s">
        <v>33</v>
      </c>
      <c r="L685">
        <v>27</v>
      </c>
      <c r="M685" s="4">
        <v>120</v>
      </c>
      <c r="N685" s="3">
        <f>IFERROR(AF685/((T685*X685/Y685)*O685*AI685),"NA")</f>
        <v>200.55685355651937</v>
      </c>
      <c r="O685">
        <v>3</v>
      </c>
      <c r="P685" t="s">
        <v>33</v>
      </c>
      <c r="Q685" s="8">
        <f t="shared" si="348"/>
        <v>6.3888888888888884E-2</v>
      </c>
      <c r="R685" t="s">
        <v>183</v>
      </c>
      <c r="S685" t="s">
        <v>612</v>
      </c>
      <c r="T685" s="11">
        <v>4</v>
      </c>
      <c r="U685">
        <v>3</v>
      </c>
      <c r="V685">
        <v>2.6</v>
      </c>
      <c r="W685">
        <v>1.5900000000000001E-2</v>
      </c>
      <c r="X685" s="8">
        <f>IFERROR(((PI())*(((V685*10^-1)/2)^2)*(U685*10^-1)), "NA")</f>
        <v>1.5927874753700257E-2</v>
      </c>
      <c r="Y685" s="6">
        <f>25/60</f>
        <v>0.41666666666666669</v>
      </c>
      <c r="Z685" s="3">
        <f t="shared" si="349"/>
        <v>0.249305865710091</v>
      </c>
      <c r="AA685" t="s">
        <v>33</v>
      </c>
      <c r="AB685" s="6">
        <f t="shared" si="350"/>
        <v>7.6666666666666661</v>
      </c>
      <c r="AC685" t="str">
        <f t="shared" si="346"/>
        <v>NA</v>
      </c>
      <c r="AD685" s="4">
        <f>IFERROR(AB685*T685*AI685, "NA")</f>
        <v>30.666666666666664</v>
      </c>
      <c r="AE685" s="3">
        <f t="shared" si="347"/>
        <v>61.702559999999991</v>
      </c>
      <c r="AF685">
        <v>92</v>
      </c>
      <c r="AG685" t="str">
        <f>IFERROR((M685*O685*P685), "NA")</f>
        <v>NA</v>
      </c>
      <c r="AH685" t="str">
        <f>IFERROR((AG685*T685*AI685), "NA")</f>
        <v>NA</v>
      </c>
      <c r="AI685" s="11">
        <v>1</v>
      </c>
      <c r="AJ685" t="s">
        <v>31</v>
      </c>
      <c r="AK685">
        <v>920</v>
      </c>
      <c r="AL685" t="s">
        <v>551</v>
      </c>
      <c r="AM685" t="s">
        <v>86</v>
      </c>
      <c r="AN685" t="s">
        <v>186</v>
      </c>
      <c r="AO685" t="s">
        <v>794</v>
      </c>
      <c r="AP685">
        <v>5.92</v>
      </c>
      <c r="AQ685" t="s">
        <v>33</v>
      </c>
      <c r="AR685" t="s">
        <v>33</v>
      </c>
      <c r="AS685" s="6">
        <f>LOG(1.4*10^6)</f>
        <v>6.1461280356782382</v>
      </c>
      <c r="AT685" s="3">
        <f>IFERROR(AS685-AU685,"NA")</f>
        <v>4.555128035678238</v>
      </c>
      <c r="AU685" s="6">
        <v>1.591</v>
      </c>
      <c r="AV685" t="b">
        <v>1</v>
      </c>
      <c r="AW685" t="s">
        <v>29</v>
      </c>
      <c r="AX685" t="s">
        <v>30</v>
      </c>
      <c r="AY685" t="s">
        <v>244</v>
      </c>
      <c r="AZ685" t="s">
        <v>33</v>
      </c>
      <c r="BA685" s="18" t="s">
        <v>798</v>
      </c>
      <c r="BB685" t="b">
        <v>0</v>
      </c>
      <c r="BC685" t="s">
        <v>81</v>
      </c>
      <c r="BD685">
        <v>20</v>
      </c>
      <c r="BE685" t="s">
        <v>80</v>
      </c>
      <c r="BF685" s="11">
        <v>20</v>
      </c>
      <c r="BG685" t="s">
        <v>245</v>
      </c>
      <c r="BH685" t="s">
        <v>31</v>
      </c>
      <c r="BI685" t="s">
        <v>31</v>
      </c>
      <c r="BJ685" s="3">
        <f t="shared" si="339"/>
        <v>1.591</v>
      </c>
      <c r="BK685" s="3">
        <f t="shared" si="332"/>
        <v>0.20167017964658152</v>
      </c>
      <c r="BL685">
        <v>2</v>
      </c>
      <c r="BM685" s="3">
        <f t="shared" si="351"/>
        <v>1.5886330033625036</v>
      </c>
      <c r="BN685" t="s">
        <v>33</v>
      </c>
      <c r="BO685" s="3">
        <f t="shared" si="337"/>
        <v>38.782250157133873</v>
      </c>
      <c r="BP685" t="s">
        <v>33</v>
      </c>
      <c r="BQ685" t="s">
        <v>33</v>
      </c>
      <c r="BR685" t="s">
        <v>33</v>
      </c>
      <c r="BS685" t="s">
        <v>33</v>
      </c>
      <c r="BT685" t="s">
        <v>32</v>
      </c>
      <c r="BU685" t="s">
        <v>207</v>
      </c>
      <c r="BV685">
        <v>2014</v>
      </c>
      <c r="BW685" s="2" t="s">
        <v>242</v>
      </c>
      <c r="BX685" t="s">
        <v>78</v>
      </c>
      <c r="BY685" t="s">
        <v>33</v>
      </c>
      <c r="BZ685" t="s">
        <v>33</v>
      </c>
      <c r="CA685" t="str">
        <f t="shared" si="338"/>
        <v>low acid</v>
      </c>
    </row>
    <row r="686" spans="1:79">
      <c r="A686" t="s">
        <v>590</v>
      </c>
      <c r="B686" t="s">
        <v>565</v>
      </c>
      <c r="C686" t="s">
        <v>564</v>
      </c>
      <c r="D686" t="s">
        <v>609</v>
      </c>
      <c r="E686" t="s">
        <v>77</v>
      </c>
      <c r="F686" t="s">
        <v>32</v>
      </c>
      <c r="G686">
        <v>40</v>
      </c>
      <c r="H686">
        <v>49</v>
      </c>
      <c r="I686" t="b">
        <v>0</v>
      </c>
      <c r="J686" t="s">
        <v>33</v>
      </c>
      <c r="K686" t="s">
        <v>33</v>
      </c>
      <c r="L686">
        <v>18</v>
      </c>
      <c r="M686" s="4">
        <v>120</v>
      </c>
      <c r="N686" t="e">
        <f>(#REF!*Y686)/(T686*X686*O686)</f>
        <v>#REF!</v>
      </c>
      <c r="O686">
        <v>3</v>
      </c>
      <c r="P686" t="s">
        <v>33</v>
      </c>
      <c r="Q686" s="1">
        <f t="shared" si="348"/>
        <v>9.5000000000000001E-2</v>
      </c>
      <c r="R686" t="s">
        <v>183</v>
      </c>
      <c r="S686" t="s">
        <v>612</v>
      </c>
      <c r="T686">
        <v>4</v>
      </c>
      <c r="U686">
        <v>3</v>
      </c>
      <c r="V686">
        <v>2.6</v>
      </c>
      <c r="W686">
        <v>1.5900000000000001E-2</v>
      </c>
      <c r="X686">
        <f>IFERROR(((PI())*(((V686*10^-1)/2)^2)*(U686*10^-1)), "NA")</f>
        <v>1.5927874753700257E-2</v>
      </c>
      <c r="Y686">
        <v>8.3333299999999999E-2</v>
      </c>
      <c r="Z686" s="3">
        <f t="shared" si="349"/>
        <v>0.16766183951263428</v>
      </c>
      <c r="AA686" t="s">
        <v>33</v>
      </c>
      <c r="AB686">
        <f t="shared" si="350"/>
        <v>11.4</v>
      </c>
      <c r="AC686" s="1" t="str">
        <f t="shared" si="346"/>
        <v>NA</v>
      </c>
      <c r="AE686" s="3">
        <f t="shared" si="347"/>
        <v>50.971679999999999</v>
      </c>
      <c r="AF686">
        <v>136.80000000000001</v>
      </c>
      <c r="AG686" s="1" t="str">
        <f>IFERROR((N686*P686*Q686), "NA")</f>
        <v>NA</v>
      </c>
      <c r="AH686" s="1" t="str">
        <f>IFERROR((AG686*U686*AI686), "NA")</f>
        <v>NA</v>
      </c>
      <c r="AI686" s="1">
        <v>1</v>
      </c>
      <c r="AJ686" s="11" t="s">
        <v>31</v>
      </c>
      <c r="AK686">
        <v>1150</v>
      </c>
      <c r="AL686" t="s">
        <v>551</v>
      </c>
      <c r="AM686" t="s">
        <v>86</v>
      </c>
      <c r="AN686" t="s">
        <v>186</v>
      </c>
      <c r="AO686" t="s">
        <v>794</v>
      </c>
      <c r="AP686">
        <v>5.92</v>
      </c>
      <c r="AQ686" t="s">
        <v>33</v>
      </c>
      <c r="AR686" t="s">
        <v>33</v>
      </c>
      <c r="AS686">
        <v>6</v>
      </c>
      <c r="AT686">
        <f>AS686-AU686</f>
        <v>4.5600000000000005</v>
      </c>
      <c r="AU686" s="6">
        <v>1.44</v>
      </c>
      <c r="AV686" t="b">
        <v>1</v>
      </c>
      <c r="AW686" t="s">
        <v>626</v>
      </c>
      <c r="AX686" t="s">
        <v>627</v>
      </c>
      <c r="AY686" t="s">
        <v>631</v>
      </c>
      <c r="AZ686" t="s">
        <v>33</v>
      </c>
      <c r="BA686" s="18" t="s">
        <v>800</v>
      </c>
      <c r="BB686" s="3" t="b">
        <v>0</v>
      </c>
      <c r="BC686" t="s">
        <v>81</v>
      </c>
      <c r="BD686">
        <v>20</v>
      </c>
      <c r="BE686" t="s">
        <v>80</v>
      </c>
      <c r="BF686">
        <v>20</v>
      </c>
      <c r="BG686" t="s">
        <v>695</v>
      </c>
      <c r="BH686" t="s">
        <v>32</v>
      </c>
      <c r="BI686" t="s">
        <v>31</v>
      </c>
      <c r="BJ686">
        <f t="shared" si="339"/>
        <v>1.44</v>
      </c>
      <c r="BK686" s="3">
        <f t="shared" si="332"/>
        <v>0.15836249209524964</v>
      </c>
      <c r="BL686">
        <v>2</v>
      </c>
      <c r="BM686" s="3">
        <f t="shared" si="351"/>
        <v>1.5489664558490717</v>
      </c>
      <c r="BN686" t="s">
        <v>33</v>
      </c>
      <c r="BO686" s="3">
        <f t="shared" si="337"/>
        <v>35.396999999999998</v>
      </c>
      <c r="BP686" t="s">
        <v>33</v>
      </c>
      <c r="BQ686" t="s">
        <v>33</v>
      </c>
      <c r="BR686" t="s">
        <v>33</v>
      </c>
      <c r="BS686" t="s">
        <v>33</v>
      </c>
      <c r="BT686" t="s">
        <v>32</v>
      </c>
      <c r="BU686" s="15" t="s">
        <v>207</v>
      </c>
      <c r="BV686">
        <v>2014</v>
      </c>
      <c r="BW686" t="s">
        <v>242</v>
      </c>
      <c r="BX686" t="s">
        <v>78</v>
      </c>
      <c r="BY686" s="13" t="s">
        <v>678</v>
      </c>
      <c r="CA686" t="str">
        <f t="shared" si="338"/>
        <v>low acid</v>
      </c>
    </row>
    <row r="687" spans="1:79">
      <c r="A687" t="s">
        <v>580</v>
      </c>
      <c r="B687" t="s">
        <v>565</v>
      </c>
      <c r="C687" t="s">
        <v>563</v>
      </c>
      <c r="D687" t="s">
        <v>118</v>
      </c>
      <c r="E687" t="s">
        <v>77</v>
      </c>
      <c r="F687" t="s">
        <v>32</v>
      </c>
      <c r="G687">
        <v>22</v>
      </c>
      <c r="H687">
        <v>40</v>
      </c>
      <c r="I687" t="b">
        <v>0</v>
      </c>
      <c r="J687">
        <v>10220</v>
      </c>
      <c r="K687">
        <v>62.82</v>
      </c>
      <c r="L687">
        <v>35</v>
      </c>
      <c r="M687" s="4">
        <v>250</v>
      </c>
      <c r="N687" t="e">
        <f>(#REF!*Y687)/(T687*X687*O687)</f>
        <v>#REF!</v>
      </c>
      <c r="O687">
        <v>4</v>
      </c>
      <c r="P687">
        <f>AVERAGE(0.0066, 0.0091)</f>
        <v>7.8499999999999993E-3</v>
      </c>
      <c r="Q687" s="1">
        <f t="shared" si="348"/>
        <v>6.25E-2</v>
      </c>
      <c r="R687" t="s">
        <v>183</v>
      </c>
      <c r="S687" t="s">
        <v>613</v>
      </c>
      <c r="T687">
        <v>8</v>
      </c>
      <c r="U687">
        <v>2.92</v>
      </c>
      <c r="V687">
        <v>2.2999999999999998</v>
      </c>
      <c r="W687">
        <v>1.21E-2</v>
      </c>
      <c r="X687">
        <f>IFERROR(((PI())*(((V687*10^-1)/2)^2)*(U687*10^-1)), "NA")</f>
        <v>1.2131888350367701E-2</v>
      </c>
      <c r="Y687">
        <v>1.8333299999999999</v>
      </c>
      <c r="Z687" s="3">
        <f t="shared" si="349"/>
        <v>0.19411021360588321</v>
      </c>
      <c r="AA687" t="s">
        <v>33</v>
      </c>
      <c r="AB687">
        <f t="shared" si="350"/>
        <v>15.625</v>
      </c>
      <c r="AC687" s="1">
        <f t="shared" si="346"/>
        <v>1.9624999999999999</v>
      </c>
      <c r="AE687" s="3">
        <f t="shared" si="347"/>
        <v>3307.5</v>
      </c>
      <c r="AF687">
        <v>500</v>
      </c>
      <c r="AG687" s="1" t="str">
        <f>IFERROR((N687*P687*Q687), "NA")</f>
        <v>NA</v>
      </c>
      <c r="AH687" s="1" t="str">
        <f>IFERROR((AG687*U687*AI687), "NA")</f>
        <v>NA</v>
      </c>
      <c r="AI687" s="1">
        <v>1</v>
      </c>
      <c r="AJ687" s="11" t="s">
        <v>31</v>
      </c>
      <c r="AK687">
        <v>5400</v>
      </c>
      <c r="AL687" t="s">
        <v>238</v>
      </c>
      <c r="AM687" t="s">
        <v>86</v>
      </c>
      <c r="AN687" t="s">
        <v>205</v>
      </c>
      <c r="AO687" t="s">
        <v>789</v>
      </c>
      <c r="AP687">
        <v>3.44</v>
      </c>
      <c r="AQ687" t="s">
        <v>33</v>
      </c>
      <c r="AR687" t="s">
        <v>33</v>
      </c>
      <c r="AS687">
        <v>7.5</v>
      </c>
      <c r="AT687">
        <f>AS687-AU687</f>
        <v>4.5600000000000005</v>
      </c>
      <c r="AU687" s="6">
        <v>2.94</v>
      </c>
      <c r="AV687" t="b">
        <v>1</v>
      </c>
      <c r="AW687" t="s">
        <v>617</v>
      </c>
      <c r="AX687" t="s">
        <v>33</v>
      </c>
      <c r="AY687" t="s">
        <v>33</v>
      </c>
      <c r="AZ687" t="s">
        <v>619</v>
      </c>
      <c r="BA687" s="18" t="s">
        <v>802</v>
      </c>
      <c r="BB687" s="3" t="b">
        <v>0</v>
      </c>
      <c r="BC687" t="s">
        <v>81</v>
      </c>
      <c r="BD687">
        <v>15</v>
      </c>
      <c r="BE687" t="s">
        <v>80</v>
      </c>
      <c r="BF687">
        <v>24</v>
      </c>
      <c r="BG687" t="s">
        <v>697</v>
      </c>
      <c r="BH687" t="s">
        <v>32</v>
      </c>
      <c r="BI687" t="s">
        <v>31</v>
      </c>
      <c r="BJ687">
        <f t="shared" si="339"/>
        <v>2.94</v>
      </c>
      <c r="BK687" s="3">
        <f t="shared" si="332"/>
        <v>0.46834733041215726</v>
      </c>
      <c r="BL687">
        <v>2</v>
      </c>
      <c r="BM687" s="3">
        <f t="shared" si="351"/>
        <v>3.0511525224473814</v>
      </c>
      <c r="BN687" t="s">
        <v>33</v>
      </c>
      <c r="BO687" s="3">
        <f t="shared" si="337"/>
        <v>1125</v>
      </c>
      <c r="BP687" t="s">
        <v>33</v>
      </c>
      <c r="BQ687" t="s">
        <v>33</v>
      </c>
      <c r="BR687" t="s">
        <v>33</v>
      </c>
      <c r="BS687" t="s">
        <v>33</v>
      </c>
      <c r="BT687" t="s">
        <v>31</v>
      </c>
      <c r="BU687" t="s">
        <v>219</v>
      </c>
      <c r="BV687" s="14">
        <v>2008</v>
      </c>
      <c r="BW687" t="s">
        <v>257</v>
      </c>
      <c r="BX687" t="s">
        <v>78</v>
      </c>
      <c r="BY687" s="13" t="s">
        <v>670</v>
      </c>
      <c r="CA687" t="str">
        <f t="shared" si="338"/>
        <v>high acid</v>
      </c>
    </row>
    <row r="688" spans="1:79">
      <c r="A688" t="s">
        <v>584</v>
      </c>
      <c r="B688" t="s">
        <v>566</v>
      </c>
      <c r="C688" t="s">
        <v>563</v>
      </c>
      <c r="D688" t="s">
        <v>607</v>
      </c>
      <c r="E688" t="s">
        <v>77</v>
      </c>
      <c r="F688" t="s">
        <v>33</v>
      </c>
      <c r="G688">
        <v>20</v>
      </c>
      <c r="H688">
        <v>35</v>
      </c>
      <c r="I688" t="b">
        <v>0</v>
      </c>
      <c r="J688">
        <v>1000</v>
      </c>
      <c r="K688">
        <v>200</v>
      </c>
      <c r="L688">
        <v>20</v>
      </c>
      <c r="M688" s="4">
        <v>1</v>
      </c>
      <c r="N688" t="e">
        <f>(#REF!*Y688)/(T688*X688*O688)</f>
        <v>#REF!</v>
      </c>
      <c r="O688">
        <v>3</v>
      </c>
      <c r="P688" t="s">
        <v>33</v>
      </c>
      <c r="Q688" s="1">
        <f t="shared" si="348"/>
        <v>25.000000000000004</v>
      </c>
      <c r="R688" t="s">
        <v>183</v>
      </c>
      <c r="S688" t="s">
        <v>33</v>
      </c>
      <c r="T688">
        <v>1</v>
      </c>
      <c r="U688">
        <v>2.5</v>
      </c>
      <c r="V688" t="s">
        <v>33</v>
      </c>
      <c r="W688">
        <v>0.50249999999999995</v>
      </c>
      <c r="X688">
        <f>W688</f>
        <v>0.50249999999999995</v>
      </c>
      <c r="Y688" t="s">
        <v>33</v>
      </c>
      <c r="Z688" s="3">
        <f t="shared" si="349"/>
        <v>2.0099999999999996E-2</v>
      </c>
      <c r="AA688" t="s">
        <v>33</v>
      </c>
      <c r="AB688">
        <f t="shared" si="350"/>
        <v>25.000000000000004</v>
      </c>
      <c r="AC688" s="1" t="str">
        <f t="shared" si="346"/>
        <v>NA</v>
      </c>
      <c r="AE688" s="3">
        <f t="shared" si="347"/>
        <v>30.000000000000004</v>
      </c>
      <c r="AF688">
        <v>75</v>
      </c>
      <c r="AG688" s="1" t="str">
        <f>IFERROR((N688*P688*Q688), "NA")</f>
        <v>NA</v>
      </c>
      <c r="AH688" s="1" t="str">
        <f>IFERROR((AG688*U688*AI688), "NA")</f>
        <v>NA</v>
      </c>
      <c r="AI688" s="1">
        <v>1</v>
      </c>
      <c r="AJ688" s="11" t="s">
        <v>31</v>
      </c>
      <c r="AK688">
        <v>1000</v>
      </c>
      <c r="AL688" t="s">
        <v>614</v>
      </c>
      <c r="AM688" s="3" t="s">
        <v>103</v>
      </c>
      <c r="AN688" t="s">
        <v>305</v>
      </c>
      <c r="AO688" t="s">
        <v>790</v>
      </c>
      <c r="AP688">
        <v>3.5</v>
      </c>
      <c r="AQ688" t="s">
        <v>33</v>
      </c>
      <c r="AR688" t="s">
        <v>33</v>
      </c>
      <c r="AS688">
        <v>8</v>
      </c>
      <c r="AT688">
        <f>AS688-AU688</f>
        <v>4.5600000000000005</v>
      </c>
      <c r="AU688" s="6">
        <v>3.44</v>
      </c>
      <c r="AV688" t="b">
        <v>1</v>
      </c>
      <c r="AW688" t="s">
        <v>617</v>
      </c>
      <c r="AX688" t="s">
        <v>33</v>
      </c>
      <c r="AY688" t="s">
        <v>623</v>
      </c>
      <c r="AZ688" t="s">
        <v>621</v>
      </c>
      <c r="BA688" s="18" t="s">
        <v>802</v>
      </c>
      <c r="BB688" s="3" t="b">
        <v>0</v>
      </c>
      <c r="BC688" t="s">
        <v>81</v>
      </c>
      <c r="BD688">
        <v>18</v>
      </c>
      <c r="BE688" t="s">
        <v>80</v>
      </c>
      <c r="BF688">
        <v>24</v>
      </c>
      <c r="BG688" t="s">
        <v>642</v>
      </c>
      <c r="BH688" t="s">
        <v>32</v>
      </c>
      <c r="BI688" t="s">
        <v>31</v>
      </c>
      <c r="BJ688">
        <f t="shared" si="339"/>
        <v>3.44</v>
      </c>
      <c r="BK688" s="3">
        <f t="shared" si="332"/>
        <v>0.53655844257153007</v>
      </c>
      <c r="BL688">
        <v>2</v>
      </c>
      <c r="BM688" s="3">
        <f t="shared" si="351"/>
        <v>0.94056281214813242</v>
      </c>
      <c r="BN688" t="s">
        <v>33</v>
      </c>
      <c r="BO688" s="3">
        <f t="shared" si="337"/>
        <v>8.7209302325581408</v>
      </c>
      <c r="BP688" t="s">
        <v>33</v>
      </c>
      <c r="BQ688" t="s">
        <v>33</v>
      </c>
      <c r="BR688" t="s">
        <v>33</v>
      </c>
      <c r="BS688" t="s">
        <v>33</v>
      </c>
      <c r="BT688" t="s">
        <v>31</v>
      </c>
      <c r="BU688" t="s">
        <v>255</v>
      </c>
      <c r="BV688">
        <v>2010</v>
      </c>
      <c r="BW688" t="s">
        <v>651</v>
      </c>
      <c r="BX688" t="s">
        <v>78</v>
      </c>
      <c r="BY688" s="13" t="s">
        <v>674</v>
      </c>
      <c r="CA688" t="str">
        <f t="shared" si="338"/>
        <v>high acid</v>
      </c>
    </row>
    <row r="689" spans="1:79">
      <c r="A689" t="s">
        <v>584</v>
      </c>
      <c r="B689" t="s">
        <v>566</v>
      </c>
      <c r="C689" t="s">
        <v>563</v>
      </c>
      <c r="D689" t="s">
        <v>607</v>
      </c>
      <c r="E689" t="s">
        <v>77</v>
      </c>
      <c r="F689" t="s">
        <v>33</v>
      </c>
      <c r="G689">
        <v>20</v>
      </c>
      <c r="H689">
        <v>35</v>
      </c>
      <c r="I689" t="b">
        <v>0</v>
      </c>
      <c r="J689">
        <v>1000</v>
      </c>
      <c r="K689">
        <v>200</v>
      </c>
      <c r="L689">
        <v>30</v>
      </c>
      <c r="M689" s="4">
        <v>1</v>
      </c>
      <c r="N689" t="e">
        <f>(#REF!*Y689)/(T689*X689*O689)</f>
        <v>#REF!</v>
      </c>
      <c r="O689">
        <v>3</v>
      </c>
      <c r="P689" t="s">
        <v>33</v>
      </c>
      <c r="Q689" s="1">
        <f t="shared" si="348"/>
        <v>5</v>
      </c>
      <c r="R689" t="s">
        <v>183</v>
      </c>
      <c r="S689" t="s">
        <v>33</v>
      </c>
      <c r="T689">
        <v>1</v>
      </c>
      <c r="U689">
        <v>2.5</v>
      </c>
      <c r="V689" t="s">
        <v>33</v>
      </c>
      <c r="W689">
        <v>0.50249999999999995</v>
      </c>
      <c r="X689">
        <f>W689</f>
        <v>0.50249999999999995</v>
      </c>
      <c r="Y689" t="s">
        <v>33</v>
      </c>
      <c r="Z689" s="3">
        <f t="shared" si="349"/>
        <v>0.10049999999999999</v>
      </c>
      <c r="AA689" t="s">
        <v>33</v>
      </c>
      <c r="AB689">
        <f t="shared" si="350"/>
        <v>5</v>
      </c>
      <c r="AC689" s="1" t="str">
        <f t="shared" si="346"/>
        <v>NA</v>
      </c>
      <c r="AE689" s="3">
        <f t="shared" si="347"/>
        <v>13.499999999999998</v>
      </c>
      <c r="AF689">
        <v>15</v>
      </c>
      <c r="AG689" s="1" t="str">
        <f>IFERROR((N689*P689*Q689), "NA")</f>
        <v>NA</v>
      </c>
      <c r="AH689" s="1" t="str">
        <f>IFERROR((AG689*U689*AI689), "NA")</f>
        <v>NA</v>
      </c>
      <c r="AI689" s="1">
        <v>1</v>
      </c>
      <c r="AJ689" s="11" t="s">
        <v>31</v>
      </c>
      <c r="AK689">
        <v>1000</v>
      </c>
      <c r="AL689" t="s">
        <v>614</v>
      </c>
      <c r="AM689" s="3" t="s">
        <v>103</v>
      </c>
      <c r="AN689" t="s">
        <v>305</v>
      </c>
      <c r="AO689" t="s">
        <v>790</v>
      </c>
      <c r="AP689">
        <v>3.5</v>
      </c>
      <c r="AQ689" t="s">
        <v>33</v>
      </c>
      <c r="AR689" t="s">
        <v>33</v>
      </c>
      <c r="AS689">
        <v>8</v>
      </c>
      <c r="AT689">
        <f>AS689-AU689</f>
        <v>4.5600000000000005</v>
      </c>
      <c r="AU689" s="6">
        <v>3.44</v>
      </c>
      <c r="AV689" t="b">
        <v>1</v>
      </c>
      <c r="AW689" t="s">
        <v>617</v>
      </c>
      <c r="AX689" t="s">
        <v>33</v>
      </c>
      <c r="AY689" t="s">
        <v>623</v>
      </c>
      <c r="AZ689" t="s">
        <v>621</v>
      </c>
      <c r="BA689" s="18" t="s">
        <v>802</v>
      </c>
      <c r="BB689" s="3" t="b">
        <v>0</v>
      </c>
      <c r="BC689" t="s">
        <v>81</v>
      </c>
      <c r="BD689">
        <v>18</v>
      </c>
      <c r="BE689" t="s">
        <v>80</v>
      </c>
      <c r="BF689">
        <v>24</v>
      </c>
      <c r="BG689" t="s">
        <v>642</v>
      </c>
      <c r="BH689" t="s">
        <v>32</v>
      </c>
      <c r="BI689" t="s">
        <v>31</v>
      </c>
      <c r="BJ689">
        <f t="shared" si="339"/>
        <v>3.44</v>
      </c>
      <c r="BK689" s="3">
        <f t="shared" si="332"/>
        <v>0.53655844257153007</v>
      </c>
      <c r="BL689">
        <v>2</v>
      </c>
      <c r="BM689" s="3">
        <f t="shared" si="351"/>
        <v>0.59377532592347593</v>
      </c>
      <c r="BN689" t="s">
        <v>33</v>
      </c>
      <c r="BO689" s="3">
        <f t="shared" si="337"/>
        <v>3.9244186046511622</v>
      </c>
      <c r="BP689" t="s">
        <v>33</v>
      </c>
      <c r="BQ689" t="s">
        <v>33</v>
      </c>
      <c r="BR689" t="s">
        <v>33</v>
      </c>
      <c r="BS689" t="s">
        <v>33</v>
      </c>
      <c r="BT689" t="s">
        <v>31</v>
      </c>
      <c r="BU689" t="s">
        <v>255</v>
      </c>
      <c r="BV689">
        <v>2010</v>
      </c>
      <c r="BW689" t="s">
        <v>651</v>
      </c>
      <c r="BX689" t="s">
        <v>78</v>
      </c>
      <c r="BY689" s="13" t="s">
        <v>674</v>
      </c>
      <c r="CA689" t="str">
        <f t="shared" si="338"/>
        <v>high acid</v>
      </c>
    </row>
    <row r="690" spans="1:79">
      <c r="A690" t="s">
        <v>237</v>
      </c>
      <c r="B690" t="s">
        <v>565</v>
      </c>
      <c r="C690" t="s">
        <v>563</v>
      </c>
      <c r="D690" t="s">
        <v>118</v>
      </c>
      <c r="E690" t="s">
        <v>77</v>
      </c>
      <c r="F690" t="s">
        <v>32</v>
      </c>
      <c r="G690">
        <v>4</v>
      </c>
      <c r="H690">
        <v>32.5</v>
      </c>
      <c r="I690" t="b">
        <v>0</v>
      </c>
      <c r="J690" t="s">
        <v>33</v>
      </c>
      <c r="K690" t="s">
        <v>33</v>
      </c>
      <c r="L690">
        <v>35</v>
      </c>
      <c r="M690" s="4">
        <v>200</v>
      </c>
      <c r="N690" s="3">
        <f>IFERROR(AF690/((T690*X690/Y690)*O690*AI690),"NA")</f>
        <v>772.75686432737871</v>
      </c>
      <c r="O690">
        <v>4</v>
      </c>
      <c r="P690" t="s">
        <v>33</v>
      </c>
      <c r="Q690" s="9">
        <f t="shared" si="348"/>
        <v>4.6874999999999993E-2</v>
      </c>
      <c r="R690" t="s">
        <v>183</v>
      </c>
      <c r="S690" t="s">
        <v>613</v>
      </c>
      <c r="T690" s="11">
        <v>8</v>
      </c>
      <c r="U690">
        <v>2.92</v>
      </c>
      <c r="V690">
        <v>2.2999999999999998</v>
      </c>
      <c r="W690">
        <v>1.2E-2</v>
      </c>
      <c r="X690" s="8">
        <f>IFERROR(((PI())*(((V690*10^-1)/2)^2)*(U690*10^-1)), "NA")</f>
        <v>1.2131888350367701E-2</v>
      </c>
      <c r="Y690" s="6">
        <f>60/60</f>
        <v>1</v>
      </c>
      <c r="Z690" s="3">
        <f t="shared" si="349"/>
        <v>0.25881361814117765</v>
      </c>
      <c r="AA690" t="s">
        <v>33</v>
      </c>
      <c r="AB690" s="6">
        <f t="shared" si="350"/>
        <v>9.3749999999999982</v>
      </c>
      <c r="AC690" t="str">
        <f t="shared" si="346"/>
        <v>NA</v>
      </c>
      <c r="AD690" s="4">
        <f>AB690*T690*AI690</f>
        <v>74.999999999999986</v>
      </c>
      <c r="AE690" s="3">
        <f t="shared" si="347"/>
        <v>1558.1999999999996</v>
      </c>
      <c r="AF690">
        <v>300</v>
      </c>
      <c r="AG690" t="str">
        <f>IFERROR((M690*O690*P690), "NA")</f>
        <v>NA</v>
      </c>
      <c r="AH690" t="str">
        <f>IFERROR((AG690*T690*AI690), "NA")</f>
        <v>NA</v>
      </c>
      <c r="AI690">
        <v>1</v>
      </c>
      <c r="AJ690" t="s">
        <v>31</v>
      </c>
      <c r="AK690">
        <v>4240</v>
      </c>
      <c r="AL690" t="s">
        <v>238</v>
      </c>
      <c r="AM690" t="s">
        <v>86</v>
      </c>
      <c r="AN690" t="s">
        <v>205</v>
      </c>
      <c r="AO690" t="s">
        <v>789</v>
      </c>
      <c r="AP690">
        <v>3.56</v>
      </c>
      <c r="AQ690" t="s">
        <v>33</v>
      </c>
      <c r="AR690" t="s">
        <v>33</v>
      </c>
      <c r="AS690">
        <f>LOG(10^8)</f>
        <v>8</v>
      </c>
      <c r="AT690" s="3">
        <f>IFERROR(AS690-AU690,"NA")</f>
        <v>4.5679999999999996</v>
      </c>
      <c r="AU690" s="6">
        <v>3.4319999999999999</v>
      </c>
      <c r="AV690" t="b">
        <v>1</v>
      </c>
      <c r="AW690" t="s">
        <v>172</v>
      </c>
      <c r="AX690" t="s">
        <v>173</v>
      </c>
      <c r="AY690" t="s">
        <v>239</v>
      </c>
      <c r="AZ690" t="s">
        <v>33</v>
      </c>
      <c r="BA690" s="18" t="s">
        <v>799</v>
      </c>
      <c r="BB690" t="b">
        <v>0</v>
      </c>
      <c r="BC690" t="s">
        <v>81</v>
      </c>
      <c r="BD690">
        <v>48</v>
      </c>
      <c r="BE690" t="s">
        <v>80</v>
      </c>
      <c r="BF690" s="11">
        <v>120</v>
      </c>
      <c r="BG690" t="s">
        <v>571</v>
      </c>
      <c r="BH690" t="s">
        <v>31</v>
      </c>
      <c r="BI690" t="s">
        <v>31</v>
      </c>
      <c r="BJ690" s="3">
        <f t="shared" si="339"/>
        <v>3.4319999999999999</v>
      </c>
      <c r="BK690" s="3">
        <f t="shared" si="332"/>
        <v>0.53554727917666778</v>
      </c>
      <c r="BL690">
        <v>2</v>
      </c>
      <c r="BM690" s="3">
        <f t="shared" si="351"/>
        <v>2.6570759208362786</v>
      </c>
      <c r="BN690" t="s">
        <v>33</v>
      </c>
      <c r="BO690" s="3">
        <f t="shared" si="337"/>
        <v>454.02097902097893</v>
      </c>
      <c r="BP690" t="s">
        <v>33</v>
      </c>
      <c r="BQ690" t="s">
        <v>33</v>
      </c>
      <c r="BR690" t="s">
        <v>33</v>
      </c>
      <c r="BS690" t="s">
        <v>33</v>
      </c>
      <c r="BT690" t="s">
        <v>31</v>
      </c>
      <c r="BU690" t="s">
        <v>240</v>
      </c>
      <c r="BV690">
        <v>2004</v>
      </c>
      <c r="BW690" t="s">
        <v>241</v>
      </c>
      <c r="BX690" t="s">
        <v>78</v>
      </c>
      <c r="BY690" t="s">
        <v>33</v>
      </c>
      <c r="BZ690" t="s">
        <v>33</v>
      </c>
      <c r="CA690" t="str">
        <f t="shared" si="338"/>
        <v>high acid</v>
      </c>
    </row>
    <row r="691" spans="1:79">
      <c r="A691" t="s">
        <v>777</v>
      </c>
      <c r="B691" t="s">
        <v>565</v>
      </c>
      <c r="C691" t="s">
        <v>563</v>
      </c>
      <c r="D691" t="s">
        <v>118</v>
      </c>
      <c r="E691" t="s">
        <v>77</v>
      </c>
      <c r="F691" t="s">
        <v>32</v>
      </c>
      <c r="G691">
        <v>22</v>
      </c>
      <c r="H691">
        <v>52</v>
      </c>
      <c r="I691" t="b">
        <v>0</v>
      </c>
      <c r="J691" t="s">
        <v>33</v>
      </c>
      <c r="K691" t="s">
        <v>33</v>
      </c>
      <c r="L691">
        <v>30</v>
      </c>
      <c r="M691" s="4">
        <v>1000</v>
      </c>
      <c r="N691" s="3">
        <f>IFERROR(AF691/((T691*X691/Y691)*O691*AI691),"NA")</f>
        <v>3297.0959544634825</v>
      </c>
      <c r="O691">
        <v>3</v>
      </c>
      <c r="P691" s="8">
        <f>Q691</f>
        <v>0.02</v>
      </c>
      <c r="Q691" s="8">
        <f t="shared" si="348"/>
        <v>0.02</v>
      </c>
      <c r="R691" t="s">
        <v>183</v>
      </c>
      <c r="S691" t="s">
        <v>613</v>
      </c>
      <c r="T691" s="11">
        <v>6</v>
      </c>
      <c r="U691">
        <v>2.92</v>
      </c>
      <c r="V691">
        <v>2.2999999999999998</v>
      </c>
      <c r="W691" s="16">
        <f>X691</f>
        <v>1.2131888350367701E-2</v>
      </c>
      <c r="X691" s="16">
        <f>IFERROR(((PI())*(((V691*10^-1)/2)^2)*(U691*10^-1)), "NA")</f>
        <v>1.2131888350367701E-2</v>
      </c>
      <c r="Y691" s="6">
        <f>2</f>
        <v>2</v>
      </c>
      <c r="Z691" s="3">
        <f t="shared" si="349"/>
        <v>0.60659441751838505</v>
      </c>
      <c r="AA691" t="s">
        <v>33</v>
      </c>
      <c r="AB691" s="4">
        <f>IFERROR(((X691*M691)/Y691), "NA")</f>
        <v>6.0659441751838505</v>
      </c>
      <c r="AC691" s="4">
        <f t="shared" si="346"/>
        <v>20</v>
      </c>
      <c r="AD691" s="4">
        <f>AB691*T691*AI691</f>
        <v>36.395665051103101</v>
      </c>
      <c r="AE691" s="3">
        <f t="shared" si="347"/>
        <v>680.40000000000009</v>
      </c>
      <c r="AF691">
        <v>360</v>
      </c>
      <c r="AG691" s="4">
        <f>IFERROR((M691*O691*P691), "NA")</f>
        <v>60</v>
      </c>
      <c r="AH691" s="4">
        <f>IFERROR((AG691*T691*AI691), "NA")</f>
        <v>360</v>
      </c>
      <c r="AI691">
        <v>1</v>
      </c>
      <c r="AJ691" s="11" t="s">
        <v>31</v>
      </c>
      <c r="AK691">
        <f>0.21*1000000/100</f>
        <v>2100</v>
      </c>
      <c r="AL691" t="s">
        <v>114</v>
      </c>
      <c r="AM691" t="s">
        <v>103</v>
      </c>
      <c r="AN691" t="s">
        <v>130</v>
      </c>
      <c r="AO691" t="s">
        <v>795</v>
      </c>
      <c r="AP691" t="s">
        <v>33</v>
      </c>
      <c r="AQ691" t="s">
        <v>33</v>
      </c>
      <c r="AR691" t="s">
        <v>33</v>
      </c>
      <c r="AS691">
        <v>8.8659999999999997</v>
      </c>
      <c r="AT691" s="3">
        <f>IFERROR(AS691-AU691,"NA")</f>
        <v>4.5709999999999997</v>
      </c>
      <c r="AU691" s="6">
        <f>AS691-4.571</f>
        <v>4.2949999999999999</v>
      </c>
      <c r="AV691" t="b">
        <v>1</v>
      </c>
      <c r="AW691" t="s">
        <v>92</v>
      </c>
      <c r="AX691" t="s">
        <v>93</v>
      </c>
      <c r="AY691" t="s">
        <v>94</v>
      </c>
      <c r="AZ691" t="s">
        <v>33</v>
      </c>
      <c r="BA691" s="18" t="s">
        <v>801</v>
      </c>
      <c r="BB691" s="3" t="b">
        <v>0</v>
      </c>
      <c r="BC691" t="s">
        <v>81</v>
      </c>
      <c r="BD691">
        <v>18</v>
      </c>
      <c r="BE691" t="s">
        <v>80</v>
      </c>
      <c r="BF691">
        <v>48</v>
      </c>
      <c r="BG691" t="s">
        <v>568</v>
      </c>
      <c r="BH691" t="s">
        <v>31</v>
      </c>
      <c r="BI691" t="s">
        <v>31</v>
      </c>
      <c r="BJ691" s="3">
        <f t="shared" si="339"/>
        <v>4.2949999999999999</v>
      </c>
      <c r="BK691" s="3">
        <f t="shared" si="332"/>
        <v>0.63296316816726106</v>
      </c>
      <c r="BL691">
        <v>2</v>
      </c>
      <c r="BM691" s="3">
        <f t="shared" si="351"/>
        <v>2.1998011367732704</v>
      </c>
      <c r="BN691" t="s">
        <v>33</v>
      </c>
      <c r="BO691" s="3">
        <f t="shared" si="337"/>
        <v>158.41676367869619</v>
      </c>
      <c r="BP691" t="s">
        <v>33</v>
      </c>
      <c r="BQ691" t="s">
        <v>33</v>
      </c>
      <c r="BR691" t="s">
        <v>33</v>
      </c>
      <c r="BS691" t="s">
        <v>33</v>
      </c>
      <c r="BT691" t="s">
        <v>31</v>
      </c>
      <c r="BU691" t="s">
        <v>163</v>
      </c>
      <c r="BV691">
        <v>2011</v>
      </c>
      <c r="BW691" t="s">
        <v>778</v>
      </c>
      <c r="BX691" t="s">
        <v>78</v>
      </c>
      <c r="BY691" t="s">
        <v>779</v>
      </c>
      <c r="CA691" t="str">
        <f t="shared" si="338"/>
        <v>low acid</v>
      </c>
    </row>
    <row r="692" spans="1:79">
      <c r="A692" t="s">
        <v>771</v>
      </c>
      <c r="B692" t="s">
        <v>565</v>
      </c>
      <c r="C692" t="s">
        <v>563</v>
      </c>
      <c r="D692" t="s">
        <v>118</v>
      </c>
      <c r="E692" t="s">
        <v>77</v>
      </c>
      <c r="F692" t="s">
        <v>32</v>
      </c>
      <c r="G692">
        <v>20</v>
      </c>
      <c r="H692" t="s">
        <v>33</v>
      </c>
      <c r="I692" t="b">
        <v>0</v>
      </c>
      <c r="J692" t="s">
        <v>33</v>
      </c>
      <c r="K692" t="s">
        <v>33</v>
      </c>
      <c r="L692">
        <v>30</v>
      </c>
      <c r="M692" s="4">
        <v>500</v>
      </c>
      <c r="N692" s="3">
        <f>IFERROR(AF692/((T692*X692/Y692)*O692*AI692),"NA")</f>
        <v>2000.2382123745128</v>
      </c>
      <c r="O692">
        <v>3</v>
      </c>
      <c r="P692" s="8">
        <f>Q692</f>
        <v>5.5999999999999994E-2</v>
      </c>
      <c r="Q692" s="8">
        <f t="shared" si="348"/>
        <v>5.5999999999999994E-2</v>
      </c>
      <c r="R692" t="s">
        <v>183</v>
      </c>
      <c r="S692" t="s">
        <v>613</v>
      </c>
      <c r="T692" s="11">
        <v>6</v>
      </c>
      <c r="U692">
        <v>2.92</v>
      </c>
      <c r="V692">
        <v>2.2999999999999998</v>
      </c>
      <c r="W692" s="16">
        <f>X692</f>
        <v>1.2131888350367701E-2</v>
      </c>
      <c r="X692" s="16">
        <f>IFERROR(((PI())*(((V692*10^-1)/2)^2)*(U692*10^-1)), "NA")</f>
        <v>1.2131888350367701E-2</v>
      </c>
      <c r="Y692" s="6">
        <f>52/60</f>
        <v>0.8666666666666667</v>
      </c>
      <c r="Z692" s="3">
        <f t="shared" si="349"/>
        <v>0.21664086339942323</v>
      </c>
      <c r="AA692" t="s">
        <v>33</v>
      </c>
      <c r="AB692" s="4">
        <f>IFERROR(((X692*M692)/Y692), "NA")</f>
        <v>6.9991663559813659</v>
      </c>
      <c r="AC692" s="4">
        <f t="shared" si="346"/>
        <v>27.999999999999996</v>
      </c>
      <c r="AD692" s="4">
        <f>AB692*T692*AI692</f>
        <v>41.994998135888196</v>
      </c>
      <c r="AE692" s="3">
        <f t="shared" si="347"/>
        <v>1247.3999999999999</v>
      </c>
      <c r="AF692">
        <v>504</v>
      </c>
      <c r="AG692" s="4">
        <f>IFERROR((M692*O692*P692), "NA")</f>
        <v>83.999999999999986</v>
      </c>
      <c r="AH692" s="4">
        <f>IFERROR((AG692*T692*AI692), "NA")</f>
        <v>503.99999999999989</v>
      </c>
      <c r="AI692">
        <v>1</v>
      </c>
      <c r="AJ692" s="11" t="s">
        <v>31</v>
      </c>
      <c r="AK692">
        <v>2750</v>
      </c>
      <c r="AL692" t="s">
        <v>149</v>
      </c>
      <c r="AM692" t="s">
        <v>86</v>
      </c>
      <c r="AN692" t="s">
        <v>205</v>
      </c>
      <c r="AO692" t="s">
        <v>789</v>
      </c>
      <c r="AP692">
        <v>3.67</v>
      </c>
      <c r="AQ692" t="s">
        <v>33</v>
      </c>
      <c r="AR692" t="s">
        <v>33</v>
      </c>
      <c r="AS692">
        <v>5.8979999999999997</v>
      </c>
      <c r="AT692" s="3">
        <f>IFERROR(AS692-AU692,"NA")</f>
        <v>4.5739999999999998</v>
      </c>
      <c r="AU692" s="6">
        <f>AS692-4.574</f>
        <v>1.3239999999999998</v>
      </c>
      <c r="AV692" t="b">
        <v>1</v>
      </c>
      <c r="AW692" t="s">
        <v>92</v>
      </c>
      <c r="AX692" t="s">
        <v>93</v>
      </c>
      <c r="AY692" t="s">
        <v>137</v>
      </c>
      <c r="AZ692" t="s">
        <v>33</v>
      </c>
      <c r="BA692" s="18" t="s">
        <v>801</v>
      </c>
      <c r="BB692" s="3" t="b">
        <v>0</v>
      </c>
      <c r="BC692" t="s">
        <v>81</v>
      </c>
      <c r="BD692">
        <v>36</v>
      </c>
      <c r="BE692" t="s">
        <v>80</v>
      </c>
      <c r="BF692">
        <v>36</v>
      </c>
      <c r="BG692" t="s">
        <v>775</v>
      </c>
      <c r="BH692" t="s">
        <v>32</v>
      </c>
      <c r="BI692" t="s">
        <v>31</v>
      </c>
      <c r="BJ692" s="3">
        <f t="shared" si="339"/>
        <v>1.3239999999999998</v>
      </c>
      <c r="BK692" s="3">
        <f t="shared" si="332"/>
        <v>0.12188798510368108</v>
      </c>
      <c r="BL692">
        <v>2</v>
      </c>
      <c r="BM692" s="3">
        <f t="shared" si="351"/>
        <v>2.9741177546114317</v>
      </c>
      <c r="BN692" t="s">
        <v>33</v>
      </c>
      <c r="BO692" s="3">
        <f t="shared" si="337"/>
        <v>942.14501510574019</v>
      </c>
      <c r="BP692" t="s">
        <v>33</v>
      </c>
      <c r="BQ692" t="s">
        <v>33</v>
      </c>
      <c r="BR692" t="s">
        <v>33</v>
      </c>
      <c r="BS692" t="s">
        <v>33</v>
      </c>
      <c r="BT692" t="s">
        <v>31</v>
      </c>
      <c r="BU692" t="s">
        <v>163</v>
      </c>
      <c r="BV692">
        <v>2023</v>
      </c>
      <c r="BW692" t="s">
        <v>776</v>
      </c>
      <c r="BX692" t="s">
        <v>78</v>
      </c>
      <c r="BY692" t="s">
        <v>772</v>
      </c>
      <c r="CA692" t="str">
        <f t="shared" si="338"/>
        <v>high acid</v>
      </c>
    </row>
    <row r="693" spans="1:79">
      <c r="A693" t="s">
        <v>487</v>
      </c>
      <c r="B693" t="s">
        <v>566</v>
      </c>
      <c r="C693" t="s">
        <v>564</v>
      </c>
      <c r="D693" t="s">
        <v>321</v>
      </c>
      <c r="E693" t="s">
        <v>77</v>
      </c>
      <c r="F693" t="s">
        <v>32</v>
      </c>
      <c r="G693">
        <v>4</v>
      </c>
      <c r="H693" t="s">
        <v>33</v>
      </c>
      <c r="I693" t="b">
        <v>0</v>
      </c>
      <c r="J693" t="s">
        <v>33</v>
      </c>
      <c r="K693" t="s">
        <v>33</v>
      </c>
      <c r="L693">
        <v>20</v>
      </c>
      <c r="M693" s="4">
        <v>10</v>
      </c>
      <c r="N693" s="3">
        <f>IFERROR(AF693/((T693*X693/Y693)*O693*AI693),"NA")</f>
        <v>10.000000000000002</v>
      </c>
      <c r="O693">
        <v>1.5</v>
      </c>
      <c r="P693" s="3">
        <f>6/(52.5/60)</f>
        <v>6.8571428571428568</v>
      </c>
      <c r="Q693" s="8">
        <f t="shared" si="348"/>
        <v>6.8571428571428568</v>
      </c>
      <c r="R693" t="s">
        <v>278</v>
      </c>
      <c r="S693" t="s">
        <v>613</v>
      </c>
      <c r="T693" s="11">
        <v>1</v>
      </c>
      <c r="U693">
        <v>100</v>
      </c>
      <c r="V693" t="s">
        <v>33</v>
      </c>
      <c r="W693">
        <v>6</v>
      </c>
      <c r="X693" s="9">
        <f>W693</f>
        <v>6</v>
      </c>
      <c r="Y693" s="6">
        <f>52.5/60</f>
        <v>0.875</v>
      </c>
      <c r="Z693" s="3">
        <f t="shared" si="349"/>
        <v>0.875</v>
      </c>
      <c r="AA693" t="s">
        <v>33</v>
      </c>
      <c r="AB693" s="4">
        <f>IFERROR(((X693*M693)/Y693), "NA")</f>
        <v>68.571428571428569</v>
      </c>
      <c r="AC693" s="4">
        <f t="shared" si="346"/>
        <v>68.571428571428569</v>
      </c>
      <c r="AD693" s="4">
        <f>AB693*T693*AI693</f>
        <v>621</v>
      </c>
      <c r="AE693" s="3">
        <f t="shared" si="347"/>
        <v>1900.2599999999998</v>
      </c>
      <c r="AF693">
        <f>621*O693</f>
        <v>931.5</v>
      </c>
      <c r="AG693" s="4">
        <f>IFERROR((M693*O693*P693), "NA")</f>
        <v>102.85714285714285</v>
      </c>
      <c r="AH693" s="4">
        <f>IFERROR((AG693*T693*AI693), "NA")</f>
        <v>931.5</v>
      </c>
      <c r="AI693" s="3">
        <f>AF693/(AG693*T693)</f>
        <v>9.0562500000000004</v>
      </c>
      <c r="AJ693" s="11" t="s">
        <v>32</v>
      </c>
      <c r="AK693">
        <v>5100</v>
      </c>
      <c r="AL693" t="s">
        <v>319</v>
      </c>
      <c r="AM693" t="s">
        <v>86</v>
      </c>
      <c r="AN693" t="s">
        <v>186</v>
      </c>
      <c r="AO693" t="s">
        <v>794</v>
      </c>
      <c r="AP693">
        <v>6.05</v>
      </c>
      <c r="AQ693" t="s">
        <v>33</v>
      </c>
      <c r="AR693" t="s">
        <v>33</v>
      </c>
      <c r="AS693" s="6">
        <f>LOG((10^7+10^8)/2)</f>
        <v>7.7403626894942441</v>
      </c>
      <c r="AT693" s="3">
        <f>IFERROR(AS693-AU693,"NA")</f>
        <v>4.5773626894942439</v>
      </c>
      <c r="AU693" s="6">
        <v>3.1629999999999998</v>
      </c>
      <c r="AV693" t="b">
        <v>1</v>
      </c>
      <c r="AW693" t="s">
        <v>29</v>
      </c>
      <c r="AX693" t="s">
        <v>30</v>
      </c>
      <c r="AY693" t="s">
        <v>320</v>
      </c>
      <c r="AZ693" t="s">
        <v>33</v>
      </c>
      <c r="BA693" s="18" t="s">
        <v>798</v>
      </c>
      <c r="BB693" s="3" t="b">
        <v>0</v>
      </c>
      <c r="BC693" t="s">
        <v>81</v>
      </c>
      <c r="BD693">
        <v>12</v>
      </c>
      <c r="BE693" t="s">
        <v>80</v>
      </c>
      <c r="BF693" t="s">
        <v>33</v>
      </c>
      <c r="BG693" t="s">
        <v>488</v>
      </c>
      <c r="BH693" t="s">
        <v>31</v>
      </c>
      <c r="BI693" t="s">
        <v>31</v>
      </c>
      <c r="BJ693" s="3">
        <f t="shared" si="339"/>
        <v>3.1629999999999998</v>
      </c>
      <c r="BK693" s="3">
        <f t="shared" si="332"/>
        <v>0.50009919191572283</v>
      </c>
      <c r="BL693">
        <v>2</v>
      </c>
      <c r="BM693" s="3">
        <f t="shared" si="351"/>
        <v>2.7787138347424372</v>
      </c>
      <c r="BN693" t="s">
        <v>33</v>
      </c>
      <c r="BO693" s="3">
        <f t="shared" si="337"/>
        <v>600.77774264938341</v>
      </c>
      <c r="BP693" t="s">
        <v>33</v>
      </c>
      <c r="BQ693" t="s">
        <v>33</v>
      </c>
      <c r="BR693" t="s">
        <v>33</v>
      </c>
      <c r="BS693" t="s">
        <v>33</v>
      </c>
      <c r="BT693" t="s">
        <v>31</v>
      </c>
      <c r="BU693" t="s">
        <v>318</v>
      </c>
      <c r="BV693">
        <v>2005</v>
      </c>
      <c r="BW693" t="s">
        <v>489</v>
      </c>
      <c r="BX693" t="s">
        <v>78</v>
      </c>
      <c r="BY693" t="s">
        <v>33</v>
      </c>
      <c r="BZ693" t="s">
        <v>490</v>
      </c>
      <c r="CA693" t="str">
        <f t="shared" si="338"/>
        <v>low acid</v>
      </c>
    </row>
    <row r="694" spans="1:79">
      <c r="A694" t="s">
        <v>350</v>
      </c>
      <c r="B694" t="s">
        <v>565</v>
      </c>
      <c r="C694" t="s">
        <v>564</v>
      </c>
      <c r="D694" t="s">
        <v>346</v>
      </c>
      <c r="E694" t="s">
        <v>77</v>
      </c>
      <c r="F694" t="s">
        <v>31</v>
      </c>
      <c r="G694">
        <v>18</v>
      </c>
      <c r="H694" t="s">
        <v>33</v>
      </c>
      <c r="I694" t="b">
        <v>0</v>
      </c>
      <c r="J694" t="s">
        <v>33</v>
      </c>
      <c r="K694" t="s">
        <v>33</v>
      </c>
      <c r="L694">
        <v>30</v>
      </c>
      <c r="M694" s="4" t="s">
        <v>33</v>
      </c>
      <c r="N694" s="3">
        <f>IFERROR(AF694/((T694*X694/Y694)*O694*AI694),"NA")</f>
        <v>580.19468588545578</v>
      </c>
      <c r="O694">
        <v>1.7</v>
      </c>
      <c r="P694" t="s">
        <v>33</v>
      </c>
      <c r="Q694" s="8">
        <f t="shared" si="348"/>
        <v>1.1583332972168797E-2</v>
      </c>
      <c r="R694" t="s">
        <v>183</v>
      </c>
      <c r="S694" t="s">
        <v>613</v>
      </c>
      <c r="T694" s="11">
        <v>4</v>
      </c>
      <c r="U694">
        <v>12.7</v>
      </c>
      <c r="V694">
        <v>6.35</v>
      </c>
      <c r="W694" t="s">
        <v>33</v>
      </c>
      <c r="X694" s="8">
        <f>IFERROR(((PI())*(((V694*10^-1)/2)^2)*(U694*10^-1)), "NA")</f>
        <v>0.40219906153363882</v>
      </c>
      <c r="Y694" s="4">
        <f>125000/3600</f>
        <v>34.722222222222221</v>
      </c>
      <c r="Z694" s="3">
        <f>IFERROR(X694*N694*O694*T694*AI694/AF694, "NA")</f>
        <v>34.722222222222229</v>
      </c>
      <c r="AA694" t="s">
        <v>33</v>
      </c>
      <c r="AB694" s="6" t="str">
        <f>IFERROR(((X694*M694)/Z694), "NA")</f>
        <v>NA</v>
      </c>
      <c r="AC694" t="str">
        <f t="shared" si="346"/>
        <v>NA</v>
      </c>
      <c r="AD694" s="4" t="e">
        <f>AB694*T694*AI694</f>
        <v>#VALUE!</v>
      </c>
      <c r="AE694" s="3">
        <f>IFERROR(((L694^2)*N694*O694*AK694*10^-6*Q694*T694*AI694), "NA")</f>
        <v>255.00599999999997</v>
      </c>
      <c r="AF694" s="4">
        <v>45.7</v>
      </c>
      <c r="AG694" t="str">
        <f>IFERROR((M694*O694*P694), "NA")</f>
        <v>NA</v>
      </c>
      <c r="AH694" t="str">
        <f>IFERROR((AG694*T694*AI694), "NA")</f>
        <v>NA</v>
      </c>
      <c r="AI694">
        <v>1</v>
      </c>
      <c r="AJ694" t="s">
        <v>31</v>
      </c>
      <c r="AK694">
        <v>6200</v>
      </c>
      <c r="AL694" t="s">
        <v>550</v>
      </c>
      <c r="AM694" s="3" t="s">
        <v>783</v>
      </c>
      <c r="AN694" t="s">
        <v>205</v>
      </c>
      <c r="AO694" t="s">
        <v>33</v>
      </c>
      <c r="AP694">
        <v>4.3</v>
      </c>
      <c r="AQ694" t="s">
        <v>33</v>
      </c>
      <c r="AR694" t="s">
        <v>33</v>
      </c>
      <c r="AS694" s="6">
        <v>8.923</v>
      </c>
      <c r="AT694" s="3">
        <f>IFERROR(AS694-AU694,"NA")</f>
        <v>4.5789999999999997</v>
      </c>
      <c r="AU694" s="6">
        <v>4.3440000000000003</v>
      </c>
      <c r="AV694" t="b">
        <v>1</v>
      </c>
      <c r="AW694" t="s">
        <v>123</v>
      </c>
      <c r="AX694" t="s">
        <v>88</v>
      </c>
      <c r="AY694" t="s">
        <v>347</v>
      </c>
      <c r="AZ694" t="s">
        <v>33</v>
      </c>
      <c r="BA694" s="18" t="s">
        <v>579</v>
      </c>
      <c r="BB694" t="b">
        <v>1</v>
      </c>
      <c r="BC694" t="s">
        <v>81</v>
      </c>
      <c r="BD694">
        <v>8</v>
      </c>
      <c r="BE694" t="s">
        <v>159</v>
      </c>
      <c r="BF694" s="11">
        <v>48</v>
      </c>
      <c r="BG694" t="s">
        <v>395</v>
      </c>
      <c r="BH694" t="s">
        <v>31</v>
      </c>
      <c r="BI694" t="s">
        <v>31</v>
      </c>
      <c r="BJ694" s="3">
        <f t="shared" si="339"/>
        <v>4.3440000000000003</v>
      </c>
      <c r="BK694" s="3">
        <f t="shared" si="332"/>
        <v>0.63788981658079058</v>
      </c>
      <c r="BL694">
        <v>2</v>
      </c>
      <c r="BM694" s="3">
        <f t="shared" si="351"/>
        <v>1.7686605824266384</v>
      </c>
      <c r="BN694" t="s">
        <v>33</v>
      </c>
      <c r="BO694" s="3">
        <f t="shared" si="337"/>
        <v>58.703038674033138</v>
      </c>
      <c r="BP694" t="s">
        <v>33</v>
      </c>
      <c r="BQ694" t="s">
        <v>33</v>
      </c>
      <c r="BR694" t="s">
        <v>33</v>
      </c>
      <c r="BS694" t="s">
        <v>33</v>
      </c>
      <c r="BT694" t="s">
        <v>31</v>
      </c>
      <c r="BU694" t="s">
        <v>217</v>
      </c>
      <c r="BV694">
        <v>2005</v>
      </c>
      <c r="BW694" t="s">
        <v>348</v>
      </c>
      <c r="BX694" t="s">
        <v>78</v>
      </c>
      <c r="BY694" t="s">
        <v>33</v>
      </c>
      <c r="BZ694" t="s">
        <v>349</v>
      </c>
      <c r="CA694" t="str">
        <f t="shared" si="338"/>
        <v>high acid</v>
      </c>
    </row>
    <row r="695" spans="1:79">
      <c r="A695" t="s">
        <v>580</v>
      </c>
      <c r="B695" t="s">
        <v>565</v>
      </c>
      <c r="C695" t="s">
        <v>563</v>
      </c>
      <c r="D695" t="s">
        <v>118</v>
      </c>
      <c r="E695" t="s">
        <v>77</v>
      </c>
      <c r="F695" t="s">
        <v>32</v>
      </c>
      <c r="G695">
        <v>22</v>
      </c>
      <c r="H695">
        <v>40</v>
      </c>
      <c r="I695" t="b">
        <v>0</v>
      </c>
      <c r="J695">
        <v>10220</v>
      </c>
      <c r="K695">
        <v>62.82</v>
      </c>
      <c r="L695">
        <v>35</v>
      </c>
      <c r="M695" s="4">
        <v>100</v>
      </c>
      <c r="N695" t="e">
        <f>(#REF!*Y695)/(T695*X695*O695)</f>
        <v>#REF!</v>
      </c>
      <c r="O695">
        <v>4</v>
      </c>
      <c r="P695">
        <f>AVERAGE(0.0066, 0.0091)</f>
        <v>7.8499999999999993E-3</v>
      </c>
      <c r="Q695" s="1">
        <f t="shared" si="348"/>
        <v>0.15625</v>
      </c>
      <c r="R695" t="s">
        <v>183</v>
      </c>
      <c r="S695" t="s">
        <v>613</v>
      </c>
      <c r="T695">
        <v>8</v>
      </c>
      <c r="U695">
        <v>2.92</v>
      </c>
      <c r="V695">
        <v>2.2999999999999998</v>
      </c>
      <c r="W695">
        <v>1.21E-2</v>
      </c>
      <c r="X695">
        <f>IFERROR(((PI())*(((V695*10^-1)/2)^2)*(U695*10^-1)), "NA")</f>
        <v>1.2131888350367701E-2</v>
      </c>
      <c r="Y695">
        <v>1.8333299999999999</v>
      </c>
      <c r="Z695" s="3">
        <f>IFERROR(X695*M695*O695*T695*AI695/AF695, "NA")</f>
        <v>7.7644085442353281E-2</v>
      </c>
      <c r="AA695" t="s">
        <v>33</v>
      </c>
      <c r="AB695">
        <f>IFERROR(((X695*M695)/Z695), "NA")</f>
        <v>15.625000000000002</v>
      </c>
      <c r="AC695" s="1">
        <f t="shared" si="346"/>
        <v>0.78499999999999992</v>
      </c>
      <c r="AE695" s="3">
        <f>IFERROR(((L695^2)*M695*O695*AK695*10^-6*Q695*T695*AI695), "NA")</f>
        <v>3307.5</v>
      </c>
      <c r="AF695">
        <v>500</v>
      </c>
      <c r="AG695" s="1" t="str">
        <f>IFERROR((N695*P695*Q695), "NA")</f>
        <v>NA</v>
      </c>
      <c r="AH695" s="1" t="str">
        <f>IFERROR((AG695*U695*AI695), "NA")</f>
        <v>NA</v>
      </c>
      <c r="AI695" s="1">
        <v>1</v>
      </c>
      <c r="AJ695" s="11" t="s">
        <v>31</v>
      </c>
      <c r="AK695">
        <v>5400</v>
      </c>
      <c r="AL695" t="s">
        <v>238</v>
      </c>
      <c r="AM695" t="s">
        <v>86</v>
      </c>
      <c r="AN695" t="s">
        <v>205</v>
      </c>
      <c r="AO695" t="s">
        <v>789</v>
      </c>
      <c r="AP695">
        <v>3.44</v>
      </c>
      <c r="AQ695" t="s">
        <v>33</v>
      </c>
      <c r="AR695" t="s">
        <v>33</v>
      </c>
      <c r="AS695">
        <v>7.5</v>
      </c>
      <c r="AT695">
        <f>AS695-AU695</f>
        <v>4.58</v>
      </c>
      <c r="AU695" s="6">
        <v>2.92</v>
      </c>
      <c r="AV695" t="b">
        <v>1</v>
      </c>
      <c r="AW695" t="s">
        <v>617</v>
      </c>
      <c r="AX695" t="s">
        <v>33</v>
      </c>
      <c r="AY695" t="s">
        <v>33</v>
      </c>
      <c r="AZ695" t="s">
        <v>619</v>
      </c>
      <c r="BA695" s="18" t="s">
        <v>802</v>
      </c>
      <c r="BB695" s="3" t="b">
        <v>0</v>
      </c>
      <c r="BC695" t="s">
        <v>81</v>
      </c>
      <c r="BD695">
        <v>15</v>
      </c>
      <c r="BE695" t="s">
        <v>80</v>
      </c>
      <c r="BF695">
        <v>24</v>
      </c>
      <c r="BG695" t="s">
        <v>697</v>
      </c>
      <c r="BH695" t="s">
        <v>32</v>
      </c>
      <c r="BI695" t="s">
        <v>31</v>
      </c>
      <c r="BJ695">
        <f t="shared" si="339"/>
        <v>2.92</v>
      </c>
      <c r="BK695" s="3">
        <f t="shared" si="332"/>
        <v>0.46538285144841829</v>
      </c>
      <c r="BL695">
        <v>2</v>
      </c>
      <c r="BM695" s="3">
        <f t="shared" si="351"/>
        <v>3.0541170014111203</v>
      </c>
      <c r="BN695" t="s">
        <v>33</v>
      </c>
      <c r="BO695" s="3">
        <f t="shared" si="337"/>
        <v>1132.7054794520548</v>
      </c>
      <c r="BP695" t="s">
        <v>33</v>
      </c>
      <c r="BQ695" t="s">
        <v>33</v>
      </c>
      <c r="BR695" t="s">
        <v>33</v>
      </c>
      <c r="BS695" t="s">
        <v>33</v>
      </c>
      <c r="BT695" t="s">
        <v>31</v>
      </c>
      <c r="BU695" t="s">
        <v>219</v>
      </c>
      <c r="BV695" s="14">
        <v>2008</v>
      </c>
      <c r="BW695" t="s">
        <v>257</v>
      </c>
      <c r="BX695" t="s">
        <v>78</v>
      </c>
      <c r="BY695" s="13" t="s">
        <v>670</v>
      </c>
      <c r="CA695" t="str">
        <f t="shared" si="338"/>
        <v>high acid</v>
      </c>
    </row>
    <row r="696" spans="1:79">
      <c r="A696" t="s">
        <v>589</v>
      </c>
      <c r="B696" t="s">
        <v>566</v>
      </c>
      <c r="C696" t="s">
        <v>563</v>
      </c>
      <c r="D696" t="s">
        <v>33</v>
      </c>
      <c r="E696" t="s">
        <v>77</v>
      </c>
      <c r="F696" t="s">
        <v>33</v>
      </c>
      <c r="G696" t="s">
        <v>33</v>
      </c>
      <c r="H696">
        <v>35</v>
      </c>
      <c r="I696" t="b">
        <v>0</v>
      </c>
      <c r="J696" t="s">
        <v>33</v>
      </c>
      <c r="K696" t="s">
        <v>33</v>
      </c>
      <c r="L696">
        <v>19</v>
      </c>
      <c r="M696" s="4">
        <v>1</v>
      </c>
      <c r="N696" t="e">
        <f>(#REF!*Y696)/(T696*X696*O696)</f>
        <v>#REF!</v>
      </c>
      <c r="O696">
        <v>2</v>
      </c>
      <c r="P696" t="s">
        <v>33</v>
      </c>
      <c r="Q696" s="1">
        <f t="shared" si="348"/>
        <v>395.5</v>
      </c>
      <c r="R696" t="s">
        <v>183</v>
      </c>
      <c r="S696" t="s">
        <v>613</v>
      </c>
      <c r="T696">
        <v>1</v>
      </c>
      <c r="U696">
        <v>2.5</v>
      </c>
      <c r="V696" t="s">
        <v>33</v>
      </c>
      <c r="W696">
        <v>0.50249999999999995</v>
      </c>
      <c r="X696">
        <f>W696</f>
        <v>0.50249999999999995</v>
      </c>
      <c r="Y696" t="s">
        <v>33</v>
      </c>
      <c r="Z696" s="3">
        <f>IFERROR(X696*M696*O696*T696*AI696/AF696, "NA")</f>
        <v>1.2705436156763589E-3</v>
      </c>
      <c r="AA696" t="s">
        <v>33</v>
      </c>
      <c r="AB696">
        <f>IFERROR(((X696*M696)/Z696), "NA")</f>
        <v>395.5</v>
      </c>
      <c r="AC696" s="1" t="str">
        <f t="shared" si="346"/>
        <v>NA</v>
      </c>
      <c r="AE696" s="3">
        <f>IFERROR(((L696^2)*M696*O696*AK696*10^-6*Q696*T696*AI696), "NA")</f>
        <v>571.10199999999998</v>
      </c>
      <c r="AF696">
        <v>791</v>
      </c>
      <c r="AG696" s="1" t="str">
        <f>IFERROR((N696*P696*Q696), "NA")</f>
        <v>NA</v>
      </c>
      <c r="AH696" s="1" t="str">
        <f>IFERROR((AG696*U696*AI696), "NA")</f>
        <v>NA</v>
      </c>
      <c r="AI696" s="1">
        <v>1</v>
      </c>
      <c r="AJ696" s="11" t="s">
        <v>31</v>
      </c>
      <c r="AK696">
        <v>2000</v>
      </c>
      <c r="AL696" t="s">
        <v>616</v>
      </c>
      <c r="AM696" s="3" t="s">
        <v>103</v>
      </c>
      <c r="AN696" t="s">
        <v>130</v>
      </c>
      <c r="AO696" t="s">
        <v>795</v>
      </c>
      <c r="AP696">
        <v>7</v>
      </c>
      <c r="AQ696" t="s">
        <v>33</v>
      </c>
      <c r="AR696" t="s">
        <v>33</v>
      </c>
      <c r="AS696">
        <v>9</v>
      </c>
      <c r="AT696">
        <f>AS696-AU696</f>
        <v>4.58</v>
      </c>
      <c r="AU696" s="6">
        <v>4.42</v>
      </c>
      <c r="AV696" t="b">
        <v>1</v>
      </c>
      <c r="AW696" t="s">
        <v>617</v>
      </c>
      <c r="AX696" t="s">
        <v>33</v>
      </c>
      <c r="AY696" t="s">
        <v>628</v>
      </c>
      <c r="AZ696" t="s">
        <v>619</v>
      </c>
      <c r="BA696" s="18" t="s">
        <v>802</v>
      </c>
      <c r="BB696" s="3" t="b">
        <v>0</v>
      </c>
      <c r="BC696" t="s">
        <v>81</v>
      </c>
      <c r="BD696">
        <v>24</v>
      </c>
      <c r="BE696" t="s">
        <v>80</v>
      </c>
      <c r="BF696">
        <v>24</v>
      </c>
      <c r="BG696" t="s">
        <v>644</v>
      </c>
      <c r="BH696" t="s">
        <v>31</v>
      </c>
      <c r="BI696" t="s">
        <v>31</v>
      </c>
      <c r="BJ696">
        <f t="shared" si="339"/>
        <v>4.42</v>
      </c>
      <c r="BK696" s="3">
        <f t="shared" si="332"/>
        <v>0.64542226934909186</v>
      </c>
      <c r="BL696">
        <v>2</v>
      </c>
      <c r="BM696" s="3">
        <f t="shared" si="351"/>
        <v>2.1112914117182235</v>
      </c>
      <c r="BN696" t="s">
        <v>33</v>
      </c>
      <c r="BO696" s="3">
        <f t="shared" si="337"/>
        <v>129.20859728506787</v>
      </c>
      <c r="BP696" t="s">
        <v>33</v>
      </c>
      <c r="BQ696" t="s">
        <v>33</v>
      </c>
      <c r="BR696" t="s">
        <v>33</v>
      </c>
      <c r="BS696" t="s">
        <v>33</v>
      </c>
      <c r="BT696" t="s">
        <v>31</v>
      </c>
      <c r="BU696" s="15" t="s">
        <v>655</v>
      </c>
      <c r="BV696">
        <v>2003</v>
      </c>
      <c r="BW696" t="s">
        <v>656</v>
      </c>
      <c r="BX696" t="s">
        <v>78</v>
      </c>
      <c r="BY696" s="13" t="s">
        <v>677</v>
      </c>
      <c r="CA696" t="str">
        <f t="shared" si="338"/>
        <v>low acid</v>
      </c>
    </row>
    <row r="697" spans="1:79">
      <c r="A697" t="s">
        <v>454</v>
      </c>
      <c r="B697" t="s">
        <v>565</v>
      </c>
      <c r="C697" t="s">
        <v>563</v>
      </c>
      <c r="D697" t="s">
        <v>182</v>
      </c>
      <c r="E697" t="s">
        <v>77</v>
      </c>
      <c r="F697" t="s">
        <v>32</v>
      </c>
      <c r="G697">
        <v>18</v>
      </c>
      <c r="H697">
        <v>47</v>
      </c>
      <c r="I697" t="b">
        <v>1</v>
      </c>
      <c r="J697" t="s">
        <v>33</v>
      </c>
      <c r="K697" t="s">
        <v>33</v>
      </c>
      <c r="L697">
        <v>27</v>
      </c>
      <c r="M697" s="4" t="s">
        <v>33</v>
      </c>
      <c r="N697" s="3">
        <f>IFERROR(AF697/((T697*X697/Y697)*O697*AI697),"NA")</f>
        <v>220.85360391328314</v>
      </c>
      <c r="O697">
        <v>10</v>
      </c>
      <c r="P697">
        <f>0.047/2</f>
        <v>2.35E-2</v>
      </c>
      <c r="Q697" s="8">
        <f t="shared" si="348"/>
        <v>2.3318614270936313E-2</v>
      </c>
      <c r="R697" t="s">
        <v>183</v>
      </c>
      <c r="S697" t="s">
        <v>613</v>
      </c>
      <c r="T697" s="11">
        <v>2</v>
      </c>
      <c r="U697">
        <v>5.6</v>
      </c>
      <c r="V697">
        <v>4.5</v>
      </c>
      <c r="W697" t="s">
        <v>33</v>
      </c>
      <c r="X697" s="9">
        <f>IFERROR(((PI())*(((V697*10^-1)/2)^2)*(U697*10^-1)), "NA")</f>
        <v>8.9064151729270638E-2</v>
      </c>
      <c r="Y697" s="6">
        <f>13750/3600</f>
        <v>3.8194444444444446</v>
      </c>
      <c r="Z697" s="3">
        <f>IFERROR(X697*N697*O697*T697*AI697/AF697, "NA")</f>
        <v>3.8194444444444442</v>
      </c>
      <c r="AA697" t="s">
        <v>33</v>
      </c>
      <c r="AB697" s="4">
        <f>IFERROR(((X697*N697)/Y697), "NA")</f>
        <v>5.1499999999999995</v>
      </c>
      <c r="AC697" s="4">
        <f>IFERROR(N697*P697,"NA")</f>
        <v>5.190059691962154</v>
      </c>
      <c r="AD697" s="4">
        <f>IFERROR(AB697*T697*AI697, "NA")</f>
        <v>10.299999999999999</v>
      </c>
      <c r="AE697" s="3">
        <f>IFERROR(((L697^2)*N697*O697*AK697*10^-6*Q697*T697*AI697), "NA")</f>
        <v>172.70010000000002</v>
      </c>
      <c r="AF697">
        <v>103</v>
      </c>
      <c r="AG697" s="4">
        <f>IFERROR((N697*O697*P697), "NA")</f>
        <v>51.900596919621535</v>
      </c>
      <c r="AH697" s="4">
        <f>IFERROR((AG697*T697*AI697), "NA")</f>
        <v>103.80119383924307</v>
      </c>
      <c r="AI697" s="11">
        <v>1</v>
      </c>
      <c r="AJ697" t="s">
        <v>31</v>
      </c>
      <c r="AK697">
        <v>2300</v>
      </c>
      <c r="AL697" t="s">
        <v>805</v>
      </c>
      <c r="AM697" t="s">
        <v>515</v>
      </c>
      <c r="AN697" t="s">
        <v>205</v>
      </c>
      <c r="AO697" t="s">
        <v>788</v>
      </c>
      <c r="AP697">
        <v>3.68</v>
      </c>
      <c r="AQ697" t="s">
        <v>33</v>
      </c>
      <c r="AR697" t="s">
        <v>33</v>
      </c>
      <c r="AS697">
        <f>LOG(10^8)</f>
        <v>8</v>
      </c>
      <c r="AT697" s="3">
        <f>IFERROR(AS697-AU697,"NA")</f>
        <v>4.59</v>
      </c>
      <c r="AU697" s="6">
        <v>3.41</v>
      </c>
      <c r="AV697" t="b">
        <v>1</v>
      </c>
      <c r="AW697" t="s">
        <v>470</v>
      </c>
      <c r="AX697" t="s">
        <v>464</v>
      </c>
      <c r="AY697" t="s">
        <v>469</v>
      </c>
      <c r="AZ697" t="s">
        <v>33</v>
      </c>
      <c r="BA697" s="18" t="s">
        <v>579</v>
      </c>
      <c r="BB697" t="b">
        <v>1</v>
      </c>
      <c r="BC697" t="s">
        <v>81</v>
      </c>
      <c r="BD697" t="s">
        <v>33</v>
      </c>
      <c r="BE697" t="s">
        <v>80</v>
      </c>
      <c r="BF697" t="s">
        <v>33</v>
      </c>
      <c r="BG697" t="s">
        <v>395</v>
      </c>
      <c r="BH697" t="s">
        <v>31</v>
      </c>
      <c r="BI697" t="s">
        <v>31</v>
      </c>
      <c r="BJ697" s="3">
        <f t="shared" si="339"/>
        <v>3.41</v>
      </c>
      <c r="BK697" s="3">
        <f t="shared" ref="BK697:BK758" si="352">LOG10(BJ697)</f>
        <v>0.53275437899249778</v>
      </c>
      <c r="BL697">
        <v>2</v>
      </c>
      <c r="BM697" s="3">
        <f t="shared" si="351"/>
        <v>1.704538210048242</v>
      </c>
      <c r="BN697" t="s">
        <v>33</v>
      </c>
      <c r="BO697" s="3">
        <f t="shared" si="337"/>
        <v>50.64519061583578</v>
      </c>
      <c r="BP697" t="s">
        <v>33</v>
      </c>
      <c r="BQ697" t="s">
        <v>33</v>
      </c>
      <c r="BR697" t="s">
        <v>33</v>
      </c>
      <c r="BS697" t="s">
        <v>33</v>
      </c>
      <c r="BT697" t="s">
        <v>32</v>
      </c>
      <c r="BU697" t="s">
        <v>484</v>
      </c>
      <c r="BV697">
        <v>2015</v>
      </c>
      <c r="BW697" t="s">
        <v>485</v>
      </c>
      <c r="BX697" t="s">
        <v>78</v>
      </c>
      <c r="BY697" t="s">
        <v>486</v>
      </c>
      <c r="CA697" t="str">
        <f t="shared" si="338"/>
        <v>high acid</v>
      </c>
    </row>
    <row r="698" spans="1:79">
      <c r="A698" t="s">
        <v>533</v>
      </c>
      <c r="B698" t="s">
        <v>565</v>
      </c>
      <c r="C698" t="s">
        <v>564</v>
      </c>
      <c r="D698" t="s">
        <v>209</v>
      </c>
      <c r="E698" t="s">
        <v>77</v>
      </c>
      <c r="F698" t="s">
        <v>32</v>
      </c>
      <c r="G698">
        <v>30</v>
      </c>
      <c r="H698">
        <v>38.200000000000003</v>
      </c>
      <c r="I698" t="b">
        <v>0</v>
      </c>
      <c r="J698" t="s">
        <v>33</v>
      </c>
      <c r="K698" t="s">
        <v>33</v>
      </c>
      <c r="L698">
        <v>24</v>
      </c>
      <c r="M698" s="4">
        <v>120</v>
      </c>
      <c r="N698" s="3">
        <f>IFERROR(AF698/((T698*X698/Y698)*O698*AI698),"NA")</f>
        <v>59.643864275069241</v>
      </c>
      <c r="O698">
        <v>3</v>
      </c>
      <c r="P698" t="s">
        <v>33</v>
      </c>
      <c r="Q698">
        <f t="shared" si="348"/>
        <v>6.25E-2</v>
      </c>
      <c r="R698" t="s">
        <v>183</v>
      </c>
      <c r="S698" t="s">
        <v>612</v>
      </c>
      <c r="T698" s="11">
        <v>4</v>
      </c>
      <c r="U698">
        <v>3</v>
      </c>
      <c r="V698">
        <v>2.6</v>
      </c>
      <c r="W698" t="s">
        <v>33</v>
      </c>
      <c r="X698" s="8">
        <f>IFERROR(((PI())*(((V698*10^-1)/2)^2)*(U698*10^-1)), "NA")</f>
        <v>1.5927874753700257E-2</v>
      </c>
      <c r="Y698" s="6">
        <f>7.6/60</f>
        <v>0.12666666666666665</v>
      </c>
      <c r="Z698" s="3">
        <f>IFERROR(X698*M698*O698*T698*AI698/AF698, "NA")</f>
        <v>0.25484599605920411</v>
      </c>
      <c r="AA698" t="s">
        <v>33</v>
      </c>
      <c r="AB698" s="6">
        <f>IFERROR(((X698*M698)/Z698), "NA")</f>
        <v>7.5</v>
      </c>
      <c r="AC698" t="str">
        <f t="shared" ref="AC698:AC729" si="353">IFERROR(M698*P698,"NA")</f>
        <v>NA</v>
      </c>
      <c r="AD698" s="4">
        <f>IFERROR(AB698*T698*AI698, "NA")</f>
        <v>30</v>
      </c>
      <c r="AE698" s="3">
        <f t="shared" ref="AE698:AE728" si="354">IFERROR(((L698^2)*M698*O698*AK698*10^-6*Q698*T698*AI698), "NA")</f>
        <v>50.803199999999997</v>
      </c>
      <c r="AF698">
        <v>90</v>
      </c>
      <c r="AG698" t="str">
        <f>IFERROR((M698*O698*P698), "NA")</f>
        <v>NA</v>
      </c>
      <c r="AH698" t="str">
        <f>IFERROR((AG698*T698*AI698), "NA")</f>
        <v>NA</v>
      </c>
      <c r="AI698" s="11">
        <v>1</v>
      </c>
      <c r="AJ698" t="s">
        <v>31</v>
      </c>
      <c r="AK698">
        <v>980</v>
      </c>
      <c r="AL698" t="s">
        <v>551</v>
      </c>
      <c r="AM698" t="s">
        <v>86</v>
      </c>
      <c r="AN698" t="s">
        <v>186</v>
      </c>
      <c r="AO698" t="s">
        <v>794</v>
      </c>
      <c r="AP698">
        <v>5.98</v>
      </c>
      <c r="AQ698" t="s">
        <v>33</v>
      </c>
      <c r="AR698" t="s">
        <v>33</v>
      </c>
      <c r="AS698" s="6">
        <v>6.5</v>
      </c>
      <c r="AT698" s="3">
        <f>IFERROR(AS698-AU698,"NA")</f>
        <v>4.5910000000000002</v>
      </c>
      <c r="AU698" s="6">
        <v>1.909</v>
      </c>
      <c r="AV698" t="b">
        <v>1</v>
      </c>
      <c r="AW698" t="s">
        <v>29</v>
      </c>
      <c r="AX698" t="s">
        <v>30</v>
      </c>
      <c r="AY698" t="s">
        <v>211</v>
      </c>
      <c r="AZ698" t="s">
        <v>33</v>
      </c>
      <c r="BA698" s="18" t="s">
        <v>798</v>
      </c>
      <c r="BB698" t="b">
        <v>0</v>
      </c>
      <c r="BC698" t="s">
        <v>81</v>
      </c>
      <c r="BD698">
        <v>20</v>
      </c>
      <c r="BE698" t="s">
        <v>80</v>
      </c>
      <c r="BF698" s="11">
        <v>20</v>
      </c>
      <c r="BG698" t="s">
        <v>570</v>
      </c>
      <c r="BH698" t="s">
        <v>31</v>
      </c>
      <c r="BI698" t="s">
        <v>31</v>
      </c>
      <c r="BJ698" s="3">
        <f t="shared" si="339"/>
        <v>1.909</v>
      </c>
      <c r="BK698" s="3">
        <f t="shared" si="352"/>
        <v>0.2808059283936668</v>
      </c>
      <c r="BL698">
        <v>2</v>
      </c>
      <c r="BM698" s="3">
        <f t="shared" si="351"/>
        <v>1.4250851401613649</v>
      </c>
      <c r="BN698" t="s">
        <v>33</v>
      </c>
      <c r="BO698" s="3">
        <f t="shared" si="337"/>
        <v>26.612467260345728</v>
      </c>
      <c r="BP698" t="s">
        <v>33</v>
      </c>
      <c r="BQ698" t="s">
        <v>33</v>
      </c>
      <c r="BR698" t="s">
        <v>33</v>
      </c>
      <c r="BS698" t="s">
        <v>33</v>
      </c>
      <c r="BT698" t="s">
        <v>32</v>
      </c>
      <c r="BU698" t="s">
        <v>207</v>
      </c>
      <c r="BV698">
        <v>2014</v>
      </c>
      <c r="BW698" t="s">
        <v>208</v>
      </c>
      <c r="BX698" t="s">
        <v>78</v>
      </c>
      <c r="BY698" t="s">
        <v>33</v>
      </c>
      <c r="BZ698" t="s">
        <v>780</v>
      </c>
      <c r="CA698" t="str">
        <f t="shared" si="338"/>
        <v>low acid</v>
      </c>
    </row>
    <row r="699" spans="1:79">
      <c r="A699" t="s">
        <v>593</v>
      </c>
      <c r="B699" t="s">
        <v>565</v>
      </c>
      <c r="C699" t="s">
        <v>563</v>
      </c>
      <c r="D699" t="s">
        <v>118</v>
      </c>
      <c r="E699" t="s">
        <v>77</v>
      </c>
      <c r="F699" t="s">
        <v>32</v>
      </c>
      <c r="G699" t="s">
        <v>33</v>
      </c>
      <c r="H699">
        <v>35</v>
      </c>
      <c r="I699" t="b">
        <v>0</v>
      </c>
      <c r="J699" t="s">
        <v>33</v>
      </c>
      <c r="K699" t="s">
        <v>33</v>
      </c>
      <c r="L699">
        <v>20</v>
      </c>
      <c r="M699" s="4">
        <v>400</v>
      </c>
      <c r="N699" t="e">
        <f>(#REF!*Y699)/(T699*X699*O699)</f>
        <v>#REF!</v>
      </c>
      <c r="O699">
        <v>2</v>
      </c>
      <c r="P699" t="s">
        <v>33</v>
      </c>
      <c r="Q699" s="1">
        <f t="shared" si="348"/>
        <v>0.09</v>
      </c>
      <c r="R699" t="s">
        <v>183</v>
      </c>
      <c r="S699" t="s">
        <v>613</v>
      </c>
      <c r="T699">
        <v>6</v>
      </c>
      <c r="U699">
        <v>2.92</v>
      </c>
      <c r="V699">
        <v>2.2999999999999998</v>
      </c>
      <c r="W699" t="s">
        <v>33</v>
      </c>
      <c r="X699">
        <f>IFERROR(((PI())*(((V699*10^-1)/2)^2)*(U699*10^-1)), "NA")</f>
        <v>1.2131888350367701E-2</v>
      </c>
      <c r="Y699">
        <v>1</v>
      </c>
      <c r="Z699" s="3">
        <f>IFERROR(X699*M699*O699*T699*AI699/AF699, "NA")</f>
        <v>0.13479875944853001</v>
      </c>
      <c r="AA699" t="s">
        <v>33</v>
      </c>
      <c r="AB699">
        <f>IFERROR(((X699*M699)/Z699), "NA")</f>
        <v>36</v>
      </c>
      <c r="AC699" s="1" t="str">
        <f t="shared" si="353"/>
        <v>NA</v>
      </c>
      <c r="AE699" s="3">
        <f t="shared" si="354"/>
        <v>380.15999999999997</v>
      </c>
      <c r="AF699">
        <v>432</v>
      </c>
      <c r="AG699" s="1" t="str">
        <f>IFERROR((N699*P699*Q699), "NA")</f>
        <v>NA</v>
      </c>
      <c r="AH699" s="1" t="str">
        <f>IFERROR((AG699*U699*AI699), "NA")</f>
        <v>NA</v>
      </c>
      <c r="AI699">
        <v>1</v>
      </c>
      <c r="AJ699" s="11" t="s">
        <v>31</v>
      </c>
      <c r="AK699">
        <v>2200</v>
      </c>
      <c r="AL699" t="s">
        <v>693</v>
      </c>
      <c r="AM699" t="s">
        <v>530</v>
      </c>
      <c r="AN699" t="s">
        <v>186</v>
      </c>
      <c r="AO699" t="s">
        <v>796</v>
      </c>
      <c r="AP699">
        <v>7.09</v>
      </c>
      <c r="AQ699" t="s">
        <v>33</v>
      </c>
      <c r="AR699" t="s">
        <v>33</v>
      </c>
      <c r="AS699">
        <v>6.5</v>
      </c>
      <c r="AT699">
        <f>AS699-AU699</f>
        <v>4.5999999999999996</v>
      </c>
      <c r="AU699" s="6">
        <v>1.9</v>
      </c>
      <c r="AV699" t="b">
        <v>1</v>
      </c>
      <c r="AW699" t="s">
        <v>626</v>
      </c>
      <c r="AX699" t="s">
        <v>627</v>
      </c>
      <c r="AY699" t="s">
        <v>625</v>
      </c>
      <c r="AZ699" t="s">
        <v>33</v>
      </c>
      <c r="BA699" s="18" t="s">
        <v>800</v>
      </c>
      <c r="BB699" s="3" t="b">
        <v>0</v>
      </c>
      <c r="BC699" t="s">
        <v>81</v>
      </c>
      <c r="BD699">
        <f>AVERAGE(14, 16)</f>
        <v>15</v>
      </c>
      <c r="BE699" t="s">
        <v>80</v>
      </c>
      <c r="BF699">
        <v>48</v>
      </c>
      <c r="BG699" t="s">
        <v>568</v>
      </c>
      <c r="BH699" t="s">
        <v>31</v>
      </c>
      <c r="BI699" t="s">
        <v>31</v>
      </c>
      <c r="BJ699">
        <f t="shared" si="339"/>
        <v>1.9</v>
      </c>
      <c r="BK699" s="3">
        <f t="shared" si="352"/>
        <v>0.27875360095282892</v>
      </c>
      <c r="BL699">
        <v>2</v>
      </c>
      <c r="BM699" s="3">
        <f t="shared" si="351"/>
        <v>2.3012128180122517</v>
      </c>
      <c r="BN699" t="s">
        <v>33</v>
      </c>
      <c r="BO699" s="3">
        <f t="shared" si="337"/>
        <v>200.08421052631579</v>
      </c>
      <c r="BP699" t="s">
        <v>33</v>
      </c>
      <c r="BQ699" t="s">
        <v>33</v>
      </c>
      <c r="BR699" t="s">
        <v>33</v>
      </c>
      <c r="BS699" t="s">
        <v>33</v>
      </c>
      <c r="BT699" t="s">
        <v>31</v>
      </c>
      <c r="BU699" s="15" t="s">
        <v>217</v>
      </c>
      <c r="BV699">
        <v>2012</v>
      </c>
      <c r="BW699" t="s">
        <v>660</v>
      </c>
      <c r="BX699" t="s">
        <v>78</v>
      </c>
      <c r="BY699" s="13" t="s">
        <v>681</v>
      </c>
      <c r="CA699" t="str">
        <f t="shared" si="338"/>
        <v>low acid</v>
      </c>
    </row>
    <row r="700" spans="1:79">
      <c r="A700" t="s">
        <v>79</v>
      </c>
      <c r="B700" t="s">
        <v>565</v>
      </c>
      <c r="C700" t="s">
        <v>563</v>
      </c>
      <c r="D700" t="s">
        <v>76</v>
      </c>
      <c r="E700" t="s">
        <v>77</v>
      </c>
      <c r="F700" t="s">
        <v>32</v>
      </c>
      <c r="G700">
        <v>4</v>
      </c>
      <c r="H700">
        <f>30</f>
        <v>30</v>
      </c>
      <c r="I700" t="b">
        <v>0</v>
      </c>
      <c r="J700" t="s">
        <v>33</v>
      </c>
      <c r="K700" t="s">
        <v>33</v>
      </c>
      <c r="L700">
        <v>35</v>
      </c>
      <c r="M700" s="4">
        <v>1000</v>
      </c>
      <c r="N700" s="3">
        <f>IFERROR(AF700/((T700*X700/Y700)*O700*AI700),"NA")</f>
        <v>1151.794348616987</v>
      </c>
      <c r="O700">
        <v>8</v>
      </c>
      <c r="P700" t="s">
        <v>33</v>
      </c>
      <c r="Q700">
        <f t="shared" si="348"/>
        <v>1.2499999999999998E-3</v>
      </c>
      <c r="R700" t="s">
        <v>183</v>
      </c>
      <c r="S700" t="s">
        <v>612</v>
      </c>
      <c r="T700" s="11">
        <v>1</v>
      </c>
      <c r="U700">
        <f>4.7</f>
        <v>4.7</v>
      </c>
      <c r="V700">
        <v>3.5</v>
      </c>
      <c r="W700" t="s">
        <v>33</v>
      </c>
      <c r="X700" s="8">
        <f>IFERROR(((PI())*(((V700*10^-1)/2)^2)*(U700*10^-1)), "NA")</f>
        <v>4.5219299257608099E-2</v>
      </c>
      <c r="Y700" s="6">
        <f>2.5*1000/60</f>
        <v>41.666666666666664</v>
      </c>
      <c r="Z700" s="3">
        <f>IFERROR(X700*M700*O700*T700*AI700/AF700, "NA")</f>
        <v>36.175439406086483</v>
      </c>
      <c r="AA700" t="s">
        <v>33</v>
      </c>
      <c r="AB700" s="6">
        <f>IFERROR(((X700*M700)/Z700), "NA")</f>
        <v>1.25</v>
      </c>
      <c r="AC700" t="str">
        <f t="shared" si="353"/>
        <v>NA</v>
      </c>
      <c r="AD700" s="4">
        <f>IFERROR(AB700*T700*AI700, "NA")</f>
        <v>1.25</v>
      </c>
      <c r="AE700" s="3">
        <f t="shared" si="354"/>
        <v>67.374999999999986</v>
      </c>
      <c r="AF700">
        <v>10</v>
      </c>
      <c r="AG700" t="str">
        <f>IFERROR((M700*O700*P700), "NA")</f>
        <v>NA</v>
      </c>
      <c r="AH700" t="str">
        <f>IFERROR((AG700*T700*AI700), "NA")</f>
        <v>NA</v>
      </c>
      <c r="AI700" s="11">
        <v>1</v>
      </c>
      <c r="AJ700" t="s">
        <v>31</v>
      </c>
      <c r="AK700">
        <v>5500</v>
      </c>
      <c r="AL700" t="s">
        <v>540</v>
      </c>
      <c r="AM700" t="s">
        <v>157</v>
      </c>
      <c r="AN700" t="s">
        <v>186</v>
      </c>
      <c r="AO700" t="s">
        <v>792</v>
      </c>
      <c r="AP700" s="3">
        <f>(6.53+6.6)/2</f>
        <v>6.5649999999999995</v>
      </c>
      <c r="AQ700" t="s">
        <v>33</v>
      </c>
      <c r="AR700" t="s">
        <v>33</v>
      </c>
      <c r="AS700">
        <v>8</v>
      </c>
      <c r="AT700" s="3">
        <f>IFERROR(AS700-AU700,"NA")</f>
        <v>4.6099999999999994</v>
      </c>
      <c r="AU700" s="6">
        <v>3.39</v>
      </c>
      <c r="AV700" t="b">
        <v>1</v>
      </c>
      <c r="AW700" t="s">
        <v>29</v>
      </c>
      <c r="AX700" t="s">
        <v>30</v>
      </c>
      <c r="AY700" t="s">
        <v>216</v>
      </c>
      <c r="AZ700" t="s">
        <v>33</v>
      </c>
      <c r="BA700" s="18" t="s">
        <v>798</v>
      </c>
      <c r="BB700" t="b">
        <v>0</v>
      </c>
      <c r="BC700" t="s">
        <v>81</v>
      </c>
      <c r="BD700">
        <v>24</v>
      </c>
      <c r="BE700" t="s">
        <v>80</v>
      </c>
      <c r="BF700" s="11">
        <v>24</v>
      </c>
      <c r="BG700" t="s">
        <v>572</v>
      </c>
      <c r="BH700" t="s">
        <v>31</v>
      </c>
      <c r="BI700" t="s">
        <v>31</v>
      </c>
      <c r="BJ700" s="3">
        <f t="shared" si="339"/>
        <v>3.39</v>
      </c>
      <c r="BK700" s="3">
        <f t="shared" si="352"/>
        <v>0.53019969820308221</v>
      </c>
      <c r="BL700">
        <v>2</v>
      </c>
      <c r="BM700" s="3">
        <f t="shared" si="351"/>
        <v>1.2982990799917129</v>
      </c>
      <c r="BN700" t="s">
        <v>33</v>
      </c>
      <c r="BO700" s="3">
        <f t="shared" si="337"/>
        <v>19.874631268436573</v>
      </c>
      <c r="BP700" t="s">
        <v>33</v>
      </c>
      <c r="BQ700" t="s">
        <v>33</v>
      </c>
      <c r="BR700" t="s">
        <v>33</v>
      </c>
      <c r="BS700" t="s">
        <v>33</v>
      </c>
      <c r="BT700" t="s">
        <v>32</v>
      </c>
      <c r="BU700" t="s">
        <v>117</v>
      </c>
      <c r="BV700">
        <v>2021</v>
      </c>
      <c r="BW700" s="2" t="s">
        <v>82</v>
      </c>
      <c r="BX700" t="s">
        <v>78</v>
      </c>
      <c r="BY700" t="s">
        <v>90</v>
      </c>
      <c r="CA700" t="str">
        <f t="shared" si="338"/>
        <v>low acid</v>
      </c>
    </row>
    <row r="701" spans="1:79">
      <c r="A701" t="s">
        <v>722</v>
      </c>
      <c r="B701" t="s">
        <v>566</v>
      </c>
      <c r="C701" t="s">
        <v>563</v>
      </c>
      <c r="D701" t="s">
        <v>699</v>
      </c>
      <c r="E701" t="s">
        <v>77</v>
      </c>
      <c r="F701" t="s">
        <v>32</v>
      </c>
      <c r="G701">
        <v>20</v>
      </c>
      <c r="H701">
        <v>64</v>
      </c>
      <c r="I701" t="b">
        <v>1</v>
      </c>
      <c r="J701" t="s">
        <v>33</v>
      </c>
      <c r="K701" t="s">
        <v>33</v>
      </c>
      <c r="L701">
        <v>20</v>
      </c>
      <c r="M701" s="4">
        <v>64</v>
      </c>
      <c r="N701" s="3">
        <f>IFERROR(AF701/((T701*X701/Y701)*O701*AI701),"NA")</f>
        <v>63.657407407407391</v>
      </c>
      <c r="O701">
        <v>5</v>
      </c>
      <c r="P701">
        <v>0.43</v>
      </c>
      <c r="Q701" s="8">
        <f>IFERROR(X701/Y701, "NA")</f>
        <v>0.43200000000000011</v>
      </c>
      <c r="R701" t="s">
        <v>183</v>
      </c>
      <c r="S701" t="s">
        <v>612</v>
      </c>
      <c r="T701" s="11">
        <v>1</v>
      </c>
      <c r="U701">
        <v>4</v>
      </c>
      <c r="V701" t="s">
        <v>33</v>
      </c>
      <c r="W701">
        <f>0.4*3*0.5</f>
        <v>0.60000000000000009</v>
      </c>
      <c r="X701" s="9">
        <f>W701</f>
        <v>0.60000000000000009</v>
      </c>
      <c r="Y701" s="6">
        <f>5000/3600</f>
        <v>1.3888888888888888</v>
      </c>
      <c r="Z701" s="3">
        <f>IFERROR(X701*M701*O701*T701*AI701/AF701, "NA")</f>
        <v>1.3963636363636365</v>
      </c>
      <c r="AA701" t="s">
        <v>33</v>
      </c>
      <c r="AB701" s="4">
        <f>IFERROR(((X701*M701)/Y701), "NA")</f>
        <v>27.648000000000007</v>
      </c>
      <c r="AC701" s="4">
        <f t="shared" si="353"/>
        <v>27.52</v>
      </c>
      <c r="AD701" s="4">
        <f>AB701*T701*AI701</f>
        <v>27.648000000000007</v>
      </c>
      <c r="AE701" s="3">
        <f t="shared" si="354"/>
        <v>110.59200000000003</v>
      </c>
      <c r="AF701">
        <v>137.5</v>
      </c>
      <c r="AG701" s="4">
        <f>IFERROR((M701*O701*P701), "NA")</f>
        <v>137.6</v>
      </c>
      <c r="AH701" s="4">
        <f>IFERROR((AG701*T701*AI701), "NA")</f>
        <v>137.6</v>
      </c>
      <c r="AI701">
        <v>1</v>
      </c>
      <c r="AJ701" s="11" t="s">
        <v>31</v>
      </c>
      <c r="AK701">
        <v>2000</v>
      </c>
      <c r="AL701" t="s">
        <v>784</v>
      </c>
      <c r="AM701" t="s">
        <v>103</v>
      </c>
      <c r="AN701" t="s">
        <v>130</v>
      </c>
      <c r="AO701" t="s">
        <v>795</v>
      </c>
      <c r="AP701">
        <v>7</v>
      </c>
      <c r="AQ701" t="s">
        <v>33</v>
      </c>
      <c r="AR701" t="s">
        <v>33</v>
      </c>
      <c r="AS701" s="6">
        <f>LOG(AVERAGE(10^8, 10^9))</f>
        <v>8.7403626894942441</v>
      </c>
      <c r="AT701" s="3">
        <f>IFERROR(AS701-AU701,"NA")</f>
        <v>4.6103626894942442</v>
      </c>
      <c r="AU701" s="6">
        <v>4.13</v>
      </c>
      <c r="AV701" t="b">
        <v>1</v>
      </c>
      <c r="AW701" t="s">
        <v>123</v>
      </c>
      <c r="AX701" t="s">
        <v>88</v>
      </c>
      <c r="AY701" t="s">
        <v>732</v>
      </c>
      <c r="AZ701" t="s">
        <v>33</v>
      </c>
      <c r="BA701" s="18" t="s">
        <v>579</v>
      </c>
      <c r="BB701" s="3" t="b">
        <v>1</v>
      </c>
      <c r="BC701" t="s">
        <v>81</v>
      </c>
      <c r="BD701">
        <v>24</v>
      </c>
      <c r="BE701" t="s">
        <v>80</v>
      </c>
      <c r="BF701">
        <v>48</v>
      </c>
      <c r="BG701" t="s">
        <v>395</v>
      </c>
      <c r="BH701" t="s">
        <v>31</v>
      </c>
      <c r="BI701" t="s">
        <v>31</v>
      </c>
      <c r="BJ701" s="3">
        <f t="shared" si="339"/>
        <v>4.13</v>
      </c>
      <c r="BK701" s="3">
        <f t="shared" si="352"/>
        <v>0.61595005165640104</v>
      </c>
      <c r="BL701">
        <v>2</v>
      </c>
      <c r="BM701" s="3">
        <f t="shared" si="351"/>
        <v>1.4277736604703608</v>
      </c>
      <c r="BN701" t="s">
        <v>33</v>
      </c>
      <c r="BO701" s="3">
        <f t="shared" si="337"/>
        <v>26.777723970944319</v>
      </c>
      <c r="BP701" t="s">
        <v>33</v>
      </c>
      <c r="BQ701" t="s">
        <v>33</v>
      </c>
      <c r="BR701" t="s">
        <v>33</v>
      </c>
      <c r="BS701" t="s">
        <v>33</v>
      </c>
      <c r="BT701" t="s">
        <v>32</v>
      </c>
      <c r="BU701" t="s">
        <v>709</v>
      </c>
      <c r="BV701">
        <v>2024</v>
      </c>
      <c r="BW701" t="s">
        <v>710</v>
      </c>
      <c r="BX701" t="s">
        <v>78</v>
      </c>
      <c r="BY701" t="s">
        <v>711</v>
      </c>
      <c r="CA701" t="str">
        <f t="shared" si="338"/>
        <v>low acid</v>
      </c>
    </row>
    <row r="702" spans="1:79">
      <c r="A702" t="s">
        <v>764</v>
      </c>
      <c r="B702" t="s">
        <v>566</v>
      </c>
      <c r="C702" t="s">
        <v>563</v>
      </c>
      <c r="D702" t="s">
        <v>765</v>
      </c>
      <c r="E702" t="s">
        <v>77</v>
      </c>
      <c r="F702" t="s">
        <v>31</v>
      </c>
      <c r="G702">
        <v>20</v>
      </c>
      <c r="H702">
        <v>42</v>
      </c>
      <c r="I702" t="b">
        <v>0</v>
      </c>
      <c r="J702" t="s">
        <v>33</v>
      </c>
      <c r="K702" t="s">
        <v>33</v>
      </c>
      <c r="L702">
        <v>20</v>
      </c>
      <c r="M702" s="4">
        <f>N702</f>
        <v>436.2345679012347</v>
      </c>
      <c r="N702" s="3">
        <f>IFERROR(AF702/((T702*X702/Y702)*O702*AI702),"NA")</f>
        <v>436.2345679012347</v>
      </c>
      <c r="O702">
        <v>3</v>
      </c>
      <c r="P702">
        <v>4.3</v>
      </c>
      <c r="Q702" s="8">
        <f>IFERROR(X702/Y702, "NA")</f>
        <v>4.3199999999999994</v>
      </c>
      <c r="R702" t="s">
        <v>183</v>
      </c>
      <c r="S702" t="s">
        <v>33</v>
      </c>
      <c r="T702" s="11">
        <v>1</v>
      </c>
      <c r="U702">
        <v>8.1000000000000003E-2</v>
      </c>
      <c r="V702" t="s">
        <v>33</v>
      </c>
      <c r="W702">
        <v>7.1999999999999998E-3</v>
      </c>
      <c r="X702">
        <f>W702</f>
        <v>7.1999999999999998E-3</v>
      </c>
      <c r="Y702" s="6">
        <f>0.1/60</f>
        <v>1.6666666666666668E-3</v>
      </c>
      <c r="Z702" s="6">
        <f>Y702</f>
        <v>1.6666666666666668E-3</v>
      </c>
      <c r="AA702" t="s">
        <v>33</v>
      </c>
      <c r="AB702" s="4">
        <f>IFERROR(((X702*M702)/Y702), "NA")</f>
        <v>1884.5333333333338</v>
      </c>
      <c r="AC702" s="4">
        <f t="shared" si="353"/>
        <v>1875.8086419753092</v>
      </c>
      <c r="AD702" s="4">
        <f>AB702*T702*AI702</f>
        <v>1884.5333333333338</v>
      </c>
      <c r="AE702" s="3">
        <f t="shared" si="354"/>
        <v>226.14400000000003</v>
      </c>
      <c r="AF702">
        <v>5653.6</v>
      </c>
      <c r="AG702" s="4">
        <f>IFERROR((M702*O702*P702), "NA")</f>
        <v>5627.4259259259279</v>
      </c>
      <c r="AH702" s="4">
        <f>IFERROR((AG702*T702*AI702), "NA")</f>
        <v>5627.4259259259279</v>
      </c>
      <c r="AI702">
        <v>1</v>
      </c>
      <c r="AJ702" s="11" t="s">
        <v>31</v>
      </c>
      <c r="AK702">
        <v>100</v>
      </c>
      <c r="AL702" t="s">
        <v>169</v>
      </c>
      <c r="AM702" t="s">
        <v>103</v>
      </c>
      <c r="AN702" t="s">
        <v>130</v>
      </c>
      <c r="AO702" t="s">
        <v>795</v>
      </c>
      <c r="AP702">
        <v>7</v>
      </c>
      <c r="AQ702" t="s">
        <v>33</v>
      </c>
      <c r="AR702" t="s">
        <v>33</v>
      </c>
      <c r="AS702">
        <v>7</v>
      </c>
      <c r="AT702" s="3">
        <f>IFERROR(AS702-AU702,"NA")</f>
        <v>4.6150000000000002</v>
      </c>
      <c r="AU702" s="6">
        <v>2.3849999999999998</v>
      </c>
      <c r="AV702" t="b">
        <v>1</v>
      </c>
      <c r="AW702" t="s">
        <v>29</v>
      </c>
      <c r="AX702" t="s">
        <v>30</v>
      </c>
      <c r="AY702" t="s">
        <v>766</v>
      </c>
      <c r="AZ702" t="s">
        <v>33</v>
      </c>
      <c r="BA702" s="18" t="s">
        <v>798</v>
      </c>
      <c r="BB702" s="3" t="b">
        <v>0</v>
      </c>
      <c r="BC702" t="s">
        <v>81</v>
      </c>
      <c r="BD702">
        <v>16</v>
      </c>
      <c r="BE702" t="s">
        <v>80</v>
      </c>
      <c r="BF702">
        <v>24</v>
      </c>
      <c r="BG702" t="s">
        <v>569</v>
      </c>
      <c r="BH702" t="s">
        <v>31</v>
      </c>
      <c r="BI702" t="s">
        <v>31</v>
      </c>
      <c r="BJ702" s="3">
        <f t="shared" si="339"/>
        <v>2.3849999999999998</v>
      </c>
      <c r="BK702" s="3">
        <f t="shared" si="352"/>
        <v>0.37748838337613266</v>
      </c>
      <c r="BL702">
        <v>2</v>
      </c>
      <c r="BM702" s="3">
        <f t="shared" si="351"/>
        <v>1.9768966862584958</v>
      </c>
      <c r="BN702" t="s">
        <v>33</v>
      </c>
      <c r="BO702" s="3">
        <f t="shared" si="337"/>
        <v>94.819287211740061</v>
      </c>
      <c r="BP702" t="s">
        <v>33</v>
      </c>
      <c r="BQ702" t="s">
        <v>33</v>
      </c>
      <c r="BR702" t="s">
        <v>33</v>
      </c>
      <c r="BS702" t="s">
        <v>33</v>
      </c>
      <c r="BT702" t="s">
        <v>31</v>
      </c>
      <c r="BU702" t="s">
        <v>767</v>
      </c>
      <c r="BV702">
        <v>2021</v>
      </c>
      <c r="BW702" t="s">
        <v>768</v>
      </c>
      <c r="BX702" t="s">
        <v>78</v>
      </c>
      <c r="BY702" t="s">
        <v>769</v>
      </c>
      <c r="CA702" t="str">
        <f t="shared" si="338"/>
        <v>low acid</v>
      </c>
    </row>
    <row r="703" spans="1:79">
      <c r="A703" t="s">
        <v>590</v>
      </c>
      <c r="B703" t="s">
        <v>565</v>
      </c>
      <c r="C703" t="s">
        <v>564</v>
      </c>
      <c r="D703" t="s">
        <v>609</v>
      </c>
      <c r="E703" t="s">
        <v>77</v>
      </c>
      <c r="F703" t="s">
        <v>32</v>
      </c>
      <c r="G703">
        <v>40</v>
      </c>
      <c r="H703">
        <v>49</v>
      </c>
      <c r="I703" t="b">
        <v>0</v>
      </c>
      <c r="J703" t="s">
        <v>33</v>
      </c>
      <c r="K703" t="s">
        <v>33</v>
      </c>
      <c r="L703">
        <v>21</v>
      </c>
      <c r="M703" s="4">
        <v>120</v>
      </c>
      <c r="N703" t="e">
        <f>(#REF!*Y703)/(T703*X703*O703)</f>
        <v>#REF!</v>
      </c>
      <c r="O703">
        <v>3</v>
      </c>
      <c r="P703" t="s">
        <v>33</v>
      </c>
      <c r="Q703" s="1">
        <f t="shared" ref="Q703:Q713" si="355">IFERROR(X703/Z703, "NA")</f>
        <v>6.3333333333333325E-2</v>
      </c>
      <c r="R703" t="s">
        <v>183</v>
      </c>
      <c r="S703" t="s">
        <v>612</v>
      </c>
      <c r="T703">
        <v>4</v>
      </c>
      <c r="U703">
        <v>3</v>
      </c>
      <c r="V703">
        <v>2.6</v>
      </c>
      <c r="W703">
        <v>1.5900000000000001E-2</v>
      </c>
      <c r="X703">
        <f>IFERROR(((PI())*(((V703*10^-1)/2)^2)*(U703*10^-1)), "NA")</f>
        <v>1.5927874753700257E-2</v>
      </c>
      <c r="Y703">
        <v>8.3333299999999999E-2</v>
      </c>
      <c r="Z703" s="3">
        <f t="shared" ref="Z703:Z719" si="356">IFERROR(X703*M703*O703*T703*AI703/AF703, "NA")</f>
        <v>0.25149275926895143</v>
      </c>
      <c r="AA703" t="s">
        <v>33</v>
      </c>
      <c r="AB703">
        <f t="shared" ref="AB703:AB713" si="357">IFERROR(((X703*M703)/Z703), "NA")</f>
        <v>7.6</v>
      </c>
      <c r="AC703" s="1" t="str">
        <f t="shared" si="353"/>
        <v>NA</v>
      </c>
      <c r="AE703" s="3">
        <f t="shared" si="354"/>
        <v>46.252079999999992</v>
      </c>
      <c r="AF703">
        <v>91.2</v>
      </c>
      <c r="AG703" s="1" t="str">
        <f>IFERROR((N703*P703*Q703), "NA")</f>
        <v>NA</v>
      </c>
      <c r="AH703" s="1" t="str">
        <f>IFERROR((AG703*U703*AI703), "NA")</f>
        <v>NA</v>
      </c>
      <c r="AI703" s="1">
        <v>1</v>
      </c>
      <c r="AJ703" s="11" t="s">
        <v>31</v>
      </c>
      <c r="AK703">
        <v>1150</v>
      </c>
      <c r="AL703" t="s">
        <v>551</v>
      </c>
      <c r="AM703" t="s">
        <v>86</v>
      </c>
      <c r="AN703" t="s">
        <v>186</v>
      </c>
      <c r="AO703" t="s">
        <v>794</v>
      </c>
      <c r="AP703">
        <v>5.92</v>
      </c>
      <c r="AQ703" t="s">
        <v>33</v>
      </c>
      <c r="AR703" t="s">
        <v>33</v>
      </c>
      <c r="AS703">
        <v>6</v>
      </c>
      <c r="AT703">
        <f>AS703-AU703</f>
        <v>4.62</v>
      </c>
      <c r="AU703" s="6">
        <v>1.38</v>
      </c>
      <c r="AV703" t="b">
        <v>1</v>
      </c>
      <c r="AW703" t="s">
        <v>626</v>
      </c>
      <c r="AX703" t="s">
        <v>627</v>
      </c>
      <c r="AY703" t="s">
        <v>631</v>
      </c>
      <c r="AZ703" t="s">
        <v>33</v>
      </c>
      <c r="BA703" s="18" t="s">
        <v>800</v>
      </c>
      <c r="BB703" s="3" t="b">
        <v>0</v>
      </c>
      <c r="BC703" t="s">
        <v>81</v>
      </c>
      <c r="BD703">
        <v>20</v>
      </c>
      <c r="BE703" t="s">
        <v>80</v>
      </c>
      <c r="BF703">
        <v>20</v>
      </c>
      <c r="BG703" t="s">
        <v>695</v>
      </c>
      <c r="BH703" t="s">
        <v>32</v>
      </c>
      <c r="BI703" t="s">
        <v>31</v>
      </c>
      <c r="BJ703">
        <f t="shared" si="339"/>
        <v>1.38</v>
      </c>
      <c r="BK703" s="3">
        <f t="shared" si="352"/>
        <v>0.13987908640123647</v>
      </c>
      <c r="BL703">
        <v>2</v>
      </c>
      <c r="BM703" s="3">
        <f t="shared" si="351"/>
        <v>1.52525218174863</v>
      </c>
      <c r="BN703" t="s">
        <v>33</v>
      </c>
      <c r="BO703" s="3">
        <f t="shared" si="337"/>
        <v>33.515999999999998</v>
      </c>
      <c r="BP703" t="s">
        <v>33</v>
      </c>
      <c r="BQ703" t="s">
        <v>33</v>
      </c>
      <c r="BR703" t="s">
        <v>33</v>
      </c>
      <c r="BS703" t="s">
        <v>33</v>
      </c>
      <c r="BT703" t="s">
        <v>32</v>
      </c>
      <c r="BU703" s="15" t="s">
        <v>207</v>
      </c>
      <c r="BV703">
        <v>2014</v>
      </c>
      <c r="BW703" t="s">
        <v>242</v>
      </c>
      <c r="BX703" t="s">
        <v>78</v>
      </c>
      <c r="BY703" s="13" t="s">
        <v>678</v>
      </c>
      <c r="CA703" t="str">
        <f t="shared" si="338"/>
        <v>low acid</v>
      </c>
    </row>
    <row r="704" spans="1:79">
      <c r="A704" t="s">
        <v>584</v>
      </c>
      <c r="B704" t="s">
        <v>566</v>
      </c>
      <c r="C704" t="s">
        <v>563</v>
      </c>
      <c r="D704" t="s">
        <v>607</v>
      </c>
      <c r="E704" t="s">
        <v>77</v>
      </c>
      <c r="F704" t="s">
        <v>33</v>
      </c>
      <c r="G704">
        <v>20</v>
      </c>
      <c r="H704">
        <v>35</v>
      </c>
      <c r="I704" t="b">
        <v>0</v>
      </c>
      <c r="J704">
        <v>1000</v>
      </c>
      <c r="K704">
        <v>200</v>
      </c>
      <c r="L704">
        <v>25</v>
      </c>
      <c r="M704" s="4">
        <v>1</v>
      </c>
      <c r="N704" t="e">
        <f>(#REF!*Y704)/(T704*X704*O704)</f>
        <v>#REF!</v>
      </c>
      <c r="O704">
        <v>3</v>
      </c>
      <c r="P704" t="s">
        <v>33</v>
      </c>
      <c r="Q704" s="1">
        <f t="shared" si="355"/>
        <v>25.000000000000004</v>
      </c>
      <c r="R704" t="s">
        <v>183</v>
      </c>
      <c r="S704" t="s">
        <v>33</v>
      </c>
      <c r="T704">
        <v>1</v>
      </c>
      <c r="U704">
        <v>2.5</v>
      </c>
      <c r="V704" t="s">
        <v>33</v>
      </c>
      <c r="W704">
        <v>0.50249999999999995</v>
      </c>
      <c r="X704">
        <f>W704</f>
        <v>0.50249999999999995</v>
      </c>
      <c r="Y704" t="s">
        <v>33</v>
      </c>
      <c r="Z704" s="3">
        <f t="shared" si="356"/>
        <v>2.0099999999999996E-2</v>
      </c>
      <c r="AA704" t="s">
        <v>33</v>
      </c>
      <c r="AB704">
        <f t="shared" si="357"/>
        <v>25.000000000000004</v>
      </c>
      <c r="AC704" s="1" t="str">
        <f t="shared" si="353"/>
        <v>NA</v>
      </c>
      <c r="AE704" s="3">
        <f t="shared" si="354"/>
        <v>46.875000000000007</v>
      </c>
      <c r="AF704">
        <v>75</v>
      </c>
      <c r="AG704" s="1" t="str">
        <f>IFERROR((N704*P704*Q704), "NA")</f>
        <v>NA</v>
      </c>
      <c r="AH704" s="1" t="str">
        <f>IFERROR((AG704*U704*AI704), "NA")</f>
        <v>NA</v>
      </c>
      <c r="AI704" s="1">
        <v>1</v>
      </c>
      <c r="AJ704" s="11" t="s">
        <v>31</v>
      </c>
      <c r="AK704">
        <v>1000</v>
      </c>
      <c r="AL704" t="s">
        <v>614</v>
      </c>
      <c r="AM704" s="3" t="s">
        <v>103</v>
      </c>
      <c r="AN704" t="s">
        <v>305</v>
      </c>
      <c r="AO704" t="s">
        <v>790</v>
      </c>
      <c r="AP704">
        <v>3.5</v>
      </c>
      <c r="AQ704" t="s">
        <v>33</v>
      </c>
      <c r="AR704" t="s">
        <v>33</v>
      </c>
      <c r="AS704">
        <v>8</v>
      </c>
      <c r="AT704">
        <f>AS704-AU704</f>
        <v>4.62</v>
      </c>
      <c r="AU704" s="6">
        <v>3.38</v>
      </c>
      <c r="AV704" t="b">
        <v>1</v>
      </c>
      <c r="AW704" t="s">
        <v>617</v>
      </c>
      <c r="AX704" t="s">
        <v>33</v>
      </c>
      <c r="AY704" t="s">
        <v>623</v>
      </c>
      <c r="AZ704" t="s">
        <v>621</v>
      </c>
      <c r="BA704" s="18" t="s">
        <v>802</v>
      </c>
      <c r="BB704" s="3" t="b">
        <v>0</v>
      </c>
      <c r="BC704" t="s">
        <v>81</v>
      </c>
      <c r="BD704">
        <v>18</v>
      </c>
      <c r="BE704" t="s">
        <v>80</v>
      </c>
      <c r="BF704">
        <v>24</v>
      </c>
      <c r="BG704" t="s">
        <v>642</v>
      </c>
      <c r="BH704" t="s">
        <v>32</v>
      </c>
      <c r="BI704" t="s">
        <v>31</v>
      </c>
      <c r="BJ704">
        <f t="shared" si="339"/>
        <v>3.38</v>
      </c>
      <c r="BK704" s="3">
        <f t="shared" si="352"/>
        <v>0.52891670027765469</v>
      </c>
      <c r="BL704">
        <v>2</v>
      </c>
      <c r="BM704" s="3">
        <f t="shared" si="351"/>
        <v>1.1420245804581206</v>
      </c>
      <c r="BN704" t="s">
        <v>33</v>
      </c>
      <c r="BO704" s="3">
        <f t="shared" si="337"/>
        <v>13.868343195266275</v>
      </c>
      <c r="BP704" t="s">
        <v>33</v>
      </c>
      <c r="BQ704" t="s">
        <v>33</v>
      </c>
      <c r="BR704" t="s">
        <v>33</v>
      </c>
      <c r="BS704" t="s">
        <v>33</v>
      </c>
      <c r="BT704" t="s">
        <v>31</v>
      </c>
      <c r="BU704" t="s">
        <v>255</v>
      </c>
      <c r="BV704">
        <v>2010</v>
      </c>
      <c r="BW704" t="s">
        <v>651</v>
      </c>
      <c r="BX704" t="s">
        <v>78</v>
      </c>
      <c r="BY704" s="13" t="s">
        <v>674</v>
      </c>
      <c r="CA704" t="str">
        <f t="shared" si="338"/>
        <v>high acid</v>
      </c>
    </row>
    <row r="705" spans="1:79">
      <c r="A705" t="s">
        <v>592</v>
      </c>
      <c r="B705" t="s">
        <v>566</v>
      </c>
      <c r="C705" t="s">
        <v>563</v>
      </c>
      <c r="D705" t="s">
        <v>607</v>
      </c>
      <c r="E705" t="s">
        <v>77</v>
      </c>
      <c r="F705" t="s">
        <v>32</v>
      </c>
      <c r="G705" t="s">
        <v>33</v>
      </c>
      <c r="H705">
        <v>35</v>
      </c>
      <c r="I705" t="b">
        <v>0</v>
      </c>
      <c r="J705">
        <v>30000</v>
      </c>
      <c r="K705">
        <v>200</v>
      </c>
      <c r="L705">
        <v>35</v>
      </c>
      <c r="M705" s="4">
        <v>1</v>
      </c>
      <c r="N705" t="e">
        <f>(#REF!*Y705)/(T705*X705*O705)</f>
        <v>#REF!</v>
      </c>
      <c r="O705">
        <v>3</v>
      </c>
      <c r="P705" t="s">
        <v>33</v>
      </c>
      <c r="Q705" s="1">
        <f t="shared" si="355"/>
        <v>9.9333333333333336</v>
      </c>
      <c r="R705" t="s">
        <v>183</v>
      </c>
      <c r="S705" t="s">
        <v>33</v>
      </c>
      <c r="T705">
        <v>1</v>
      </c>
      <c r="U705">
        <v>2.5</v>
      </c>
      <c r="V705" t="s">
        <v>33</v>
      </c>
      <c r="W705">
        <v>0.50249999999999995</v>
      </c>
      <c r="X705">
        <f>W705</f>
        <v>0.50249999999999995</v>
      </c>
      <c r="Y705" t="s">
        <v>33</v>
      </c>
      <c r="Z705" s="3">
        <f t="shared" si="356"/>
        <v>5.0587248322147643E-2</v>
      </c>
      <c r="AA705" t="s">
        <v>33</v>
      </c>
      <c r="AB705">
        <f t="shared" si="357"/>
        <v>9.9333333333333336</v>
      </c>
      <c r="AC705" s="1" t="str">
        <f t="shared" si="353"/>
        <v>NA</v>
      </c>
      <c r="AE705" s="3">
        <f t="shared" si="354"/>
        <v>36.505000000000003</v>
      </c>
      <c r="AF705">
        <v>29.8</v>
      </c>
      <c r="AG705" s="1" t="str">
        <f>IFERROR((N705*P705*Q705), "NA")</f>
        <v>NA</v>
      </c>
      <c r="AH705" s="1" t="str">
        <f>IFERROR((AG705*U705*AI705), "NA")</f>
        <v>NA</v>
      </c>
      <c r="AI705" s="1">
        <v>1</v>
      </c>
      <c r="AJ705" s="11" t="s">
        <v>31</v>
      </c>
      <c r="AK705">
        <v>1000</v>
      </c>
      <c r="AL705" t="s">
        <v>614</v>
      </c>
      <c r="AM705" s="3" t="s">
        <v>103</v>
      </c>
      <c r="AN705" t="s">
        <v>305</v>
      </c>
      <c r="AO705" t="s">
        <v>790</v>
      </c>
      <c r="AP705">
        <v>4.5</v>
      </c>
      <c r="AQ705" t="s">
        <v>33</v>
      </c>
      <c r="AR705" t="s">
        <v>33</v>
      </c>
      <c r="AS705">
        <v>8</v>
      </c>
      <c r="AT705">
        <f>AS705-AU705</f>
        <v>4.62</v>
      </c>
      <c r="AU705" s="6">
        <v>3.38</v>
      </c>
      <c r="AV705" t="b">
        <v>1</v>
      </c>
      <c r="AW705" t="s">
        <v>626</v>
      </c>
      <c r="AX705" t="s">
        <v>627</v>
      </c>
      <c r="AY705" t="s">
        <v>633</v>
      </c>
      <c r="AZ705" t="s">
        <v>33</v>
      </c>
      <c r="BA705" s="18" t="s">
        <v>800</v>
      </c>
      <c r="BB705" s="3" t="b">
        <v>0</v>
      </c>
      <c r="BC705" t="s">
        <v>81</v>
      </c>
      <c r="BD705">
        <v>24</v>
      </c>
      <c r="BE705" t="s">
        <v>80</v>
      </c>
      <c r="BF705">
        <v>48</v>
      </c>
      <c r="BG705" t="s">
        <v>569</v>
      </c>
      <c r="BH705" t="s">
        <v>31</v>
      </c>
      <c r="BI705" t="s">
        <v>31</v>
      </c>
      <c r="BJ705">
        <f t="shared" si="339"/>
        <v>3.38</v>
      </c>
      <c r="BK705" s="3">
        <f t="shared" si="352"/>
        <v>0.52891670027765469</v>
      </c>
      <c r="BL705">
        <v>2</v>
      </c>
      <c r="BM705" s="3">
        <f t="shared" si="351"/>
        <v>1.0334356524991517</v>
      </c>
      <c r="BN705" t="s">
        <v>33</v>
      </c>
      <c r="BO705" s="3">
        <f t="shared" si="337"/>
        <v>10.800295857988166</v>
      </c>
      <c r="BP705" t="s">
        <v>33</v>
      </c>
      <c r="BQ705" t="s">
        <v>33</v>
      </c>
      <c r="BR705" t="s">
        <v>33</v>
      </c>
      <c r="BS705" t="s">
        <v>33</v>
      </c>
      <c r="BT705" t="s">
        <v>31</v>
      </c>
      <c r="BU705" s="15" t="s">
        <v>255</v>
      </c>
      <c r="BV705">
        <v>2010</v>
      </c>
      <c r="BW705" t="s">
        <v>659</v>
      </c>
      <c r="BX705" t="s">
        <v>78</v>
      </c>
      <c r="BY705" s="13" t="s">
        <v>680</v>
      </c>
      <c r="CA705" t="str">
        <f t="shared" si="338"/>
        <v>high acid</v>
      </c>
    </row>
    <row r="706" spans="1:79">
      <c r="A706" t="s">
        <v>115</v>
      </c>
      <c r="B706" t="s">
        <v>565</v>
      </c>
      <c r="C706" t="s">
        <v>563</v>
      </c>
      <c r="D706" t="s">
        <v>118</v>
      </c>
      <c r="E706" t="s">
        <v>77</v>
      </c>
      <c r="F706" t="s">
        <v>32</v>
      </c>
      <c r="G706">
        <v>23</v>
      </c>
      <c r="H706">
        <v>56</v>
      </c>
      <c r="I706" t="b">
        <v>0</v>
      </c>
      <c r="J706" t="s">
        <v>33</v>
      </c>
      <c r="K706" t="s">
        <v>33</v>
      </c>
      <c r="L706">
        <v>25</v>
      </c>
      <c r="M706" s="4">
        <v>1000</v>
      </c>
      <c r="N706" s="3">
        <f>IFERROR(AF706/((T706*X706/Y706)*O706*AI706),"NA")</f>
        <v>995.95036417586573</v>
      </c>
      <c r="O706">
        <v>3</v>
      </c>
      <c r="P706" t="s">
        <v>33</v>
      </c>
      <c r="Q706" s="8">
        <f t="shared" si="355"/>
        <v>1.2E-2</v>
      </c>
      <c r="R706" t="s">
        <v>183</v>
      </c>
      <c r="S706" t="s">
        <v>613</v>
      </c>
      <c r="T706" s="11">
        <v>4</v>
      </c>
      <c r="U706">
        <v>2.9</v>
      </c>
      <c r="V706">
        <v>2.2999999999999998</v>
      </c>
      <c r="W706" t="s">
        <v>33</v>
      </c>
      <c r="X706" s="8">
        <f>IFERROR(((PI())*(((V706*10^-1)/2)^2)*(U706*10^-1)), "NA")</f>
        <v>1.204879322468025E-2</v>
      </c>
      <c r="Y706">
        <v>1</v>
      </c>
      <c r="Z706" s="9">
        <f t="shared" si="356"/>
        <v>1.0040661020566874</v>
      </c>
      <c r="AA706" t="s">
        <v>33</v>
      </c>
      <c r="AB706" s="6">
        <f t="shared" si="357"/>
        <v>12.000000000000002</v>
      </c>
      <c r="AC706" t="str">
        <f t="shared" si="353"/>
        <v>NA</v>
      </c>
      <c r="AD706" s="4">
        <f>IFERROR(AB706*T706*AI706, "NA")</f>
        <v>48.000000000000007</v>
      </c>
      <c r="AE706">
        <f t="shared" si="354"/>
        <v>189</v>
      </c>
      <c r="AF706">
        <v>144</v>
      </c>
      <c r="AG706" t="str">
        <f>IFERROR((M706*O706*P706), "NA")</f>
        <v>NA</v>
      </c>
      <c r="AH706" t="str">
        <f>IFERROR((AG706*T706*AI706), "NA")</f>
        <v>NA</v>
      </c>
      <c r="AI706" s="11">
        <v>1</v>
      </c>
      <c r="AJ706" t="s">
        <v>31</v>
      </c>
      <c r="AK706">
        <v>2100</v>
      </c>
      <c r="AL706" t="s">
        <v>114</v>
      </c>
      <c r="AM706" t="s">
        <v>103</v>
      </c>
      <c r="AN706" t="s">
        <v>130</v>
      </c>
      <c r="AO706" t="s">
        <v>795</v>
      </c>
      <c r="AP706">
        <v>7</v>
      </c>
      <c r="AQ706" t="s">
        <v>33</v>
      </c>
      <c r="AR706" t="s">
        <v>33</v>
      </c>
      <c r="AS706" s="3">
        <v>8</v>
      </c>
      <c r="AT706" s="3">
        <f>IFERROR(AS706-AU706,"NA")</f>
        <v>7.35</v>
      </c>
      <c r="AU706" s="6">
        <v>0.65</v>
      </c>
      <c r="AV706" t="b">
        <v>1</v>
      </c>
      <c r="AW706" t="s">
        <v>123</v>
      </c>
      <c r="AX706" t="s">
        <v>88</v>
      </c>
      <c r="AY706" t="s">
        <v>347</v>
      </c>
      <c r="AZ706" t="s">
        <v>33</v>
      </c>
      <c r="BA706" s="18" t="s">
        <v>579</v>
      </c>
      <c r="BB706" t="b">
        <v>1</v>
      </c>
      <c r="BC706" t="s">
        <v>81</v>
      </c>
      <c r="BD706">
        <v>18</v>
      </c>
      <c r="BE706" t="s">
        <v>80</v>
      </c>
      <c r="BF706" t="s">
        <v>33</v>
      </c>
      <c r="BG706" t="s">
        <v>395</v>
      </c>
      <c r="BH706" t="s">
        <v>31</v>
      </c>
      <c r="BI706" t="s">
        <v>31</v>
      </c>
      <c r="BJ706">
        <f t="shared" si="339"/>
        <v>0.65</v>
      </c>
      <c r="BK706" s="3">
        <f t="shared" si="352"/>
        <v>-0.18708664335714442</v>
      </c>
      <c r="BL706">
        <v>2</v>
      </c>
      <c r="BM706" s="3">
        <f>LOG(BO706)</f>
        <v>2.4635484475303886</v>
      </c>
      <c r="BN706" t="s">
        <v>33</v>
      </c>
      <c r="BO706" s="3">
        <f t="shared" ref="BO706:BO769" si="358">IFERROR((AE706/BJ706),"NA")</f>
        <v>290.76923076923077</v>
      </c>
      <c r="BP706" t="s">
        <v>33</v>
      </c>
      <c r="BQ706" t="s">
        <v>33</v>
      </c>
      <c r="BR706" t="s">
        <v>33</v>
      </c>
      <c r="BS706" t="s">
        <v>33</v>
      </c>
      <c r="BT706" t="s">
        <v>32</v>
      </c>
      <c r="BU706" t="s">
        <v>116</v>
      </c>
      <c r="BV706">
        <v>2015</v>
      </c>
      <c r="BW706" t="s">
        <v>91</v>
      </c>
      <c r="BX706" t="s">
        <v>78</v>
      </c>
      <c r="BY706" t="s">
        <v>33</v>
      </c>
      <c r="BZ706" t="s">
        <v>113</v>
      </c>
      <c r="CA706" t="str">
        <f t="shared" si="338"/>
        <v>low acid</v>
      </c>
    </row>
    <row r="707" spans="1:79">
      <c r="A707" t="s">
        <v>144</v>
      </c>
      <c r="B707" t="s">
        <v>565</v>
      </c>
      <c r="C707" t="s">
        <v>563</v>
      </c>
      <c r="D707" t="s">
        <v>118</v>
      </c>
      <c r="E707" t="s">
        <v>77</v>
      </c>
      <c r="F707" t="s">
        <v>32</v>
      </c>
      <c r="G707">
        <v>10</v>
      </c>
      <c r="H707" t="s">
        <v>33</v>
      </c>
      <c r="I707" t="b">
        <v>0</v>
      </c>
      <c r="J707" t="s">
        <v>33</v>
      </c>
      <c r="K707" t="s">
        <v>33</v>
      </c>
      <c r="L707">
        <v>17</v>
      </c>
      <c r="M707" s="4">
        <v>500</v>
      </c>
      <c r="N707" s="3">
        <f>IFERROR(AF707/((T707*X707/Y707)*O707*AI707),"NA")</f>
        <v>603.25697212812861</v>
      </c>
      <c r="O707">
        <v>3</v>
      </c>
      <c r="P707" t="s">
        <v>33</v>
      </c>
      <c r="Q707" s="8">
        <f t="shared" si="355"/>
        <v>1.7444444444444443E-2</v>
      </c>
      <c r="R707" t="s">
        <v>183</v>
      </c>
      <c r="S707" t="s">
        <v>613</v>
      </c>
      <c r="T707" s="11">
        <v>6</v>
      </c>
      <c r="U707">
        <v>2.9</v>
      </c>
      <c r="V707">
        <v>2.2999999999999998</v>
      </c>
      <c r="W707" t="s">
        <v>33</v>
      </c>
      <c r="X707">
        <f>IFERROR(((PI())*(((V707*10^-1)/2)^2)*(U707*10^-1)), "NA")</f>
        <v>1.204879322468025E-2</v>
      </c>
      <c r="Y707" s="8">
        <f>50/60</f>
        <v>0.83333333333333337</v>
      </c>
      <c r="Z707" s="9">
        <f t="shared" si="356"/>
        <v>0.69069515300714812</v>
      </c>
      <c r="AA707" t="s">
        <v>33</v>
      </c>
      <c r="AB707" s="6">
        <f t="shared" si="357"/>
        <v>8.7222222222222232</v>
      </c>
      <c r="AC707" t="str">
        <f t="shared" si="353"/>
        <v>NA</v>
      </c>
      <c r="AD707" s="4">
        <f>IFERROR(AB707*T707*AI707, "NA")</f>
        <v>52.333333333333343</v>
      </c>
      <c r="AE707" s="3">
        <f t="shared" si="354"/>
        <v>165.15771999999996</v>
      </c>
      <c r="AF707">
        <v>157</v>
      </c>
      <c r="AG707" t="str">
        <f>IFERROR((M707*O707*P707), "NA")</f>
        <v>NA</v>
      </c>
      <c r="AH707" t="str">
        <f>IFERROR((AG707*T707*AI707), "NA")</f>
        <v>NA</v>
      </c>
      <c r="AI707" s="11">
        <v>1</v>
      </c>
      <c r="AJ707" t="s">
        <v>31</v>
      </c>
      <c r="AK707">
        <v>3640</v>
      </c>
      <c r="AL707" t="s">
        <v>145</v>
      </c>
      <c r="AM707" t="s">
        <v>86</v>
      </c>
      <c r="AN707" t="s">
        <v>205</v>
      </c>
      <c r="AO707" t="s">
        <v>789</v>
      </c>
      <c r="AP707">
        <v>3.19</v>
      </c>
      <c r="AQ707" t="s">
        <v>33</v>
      </c>
      <c r="AR707" t="s">
        <v>33</v>
      </c>
      <c r="AS707" s="3">
        <v>6.0609999999999999</v>
      </c>
      <c r="AT707" s="3">
        <f>IFERROR(AS707-AU707,"NA")</f>
        <v>4.6210000000000004</v>
      </c>
      <c r="AU707" s="6">
        <v>1.44</v>
      </c>
      <c r="AV707" t="b">
        <v>1</v>
      </c>
      <c r="AW707" t="s">
        <v>92</v>
      </c>
      <c r="AX707" t="s">
        <v>93</v>
      </c>
      <c r="AY707" t="s">
        <v>137</v>
      </c>
      <c r="AZ707" t="s">
        <v>33</v>
      </c>
      <c r="BA707" s="18" t="s">
        <v>801</v>
      </c>
      <c r="BB707" t="b">
        <v>0</v>
      </c>
      <c r="BC707" t="s">
        <v>81</v>
      </c>
      <c r="BD707">
        <f>(48+24)/2</f>
        <v>36</v>
      </c>
      <c r="BE707" t="s">
        <v>80</v>
      </c>
      <c r="BF707" s="11">
        <f>(48+24)/2</f>
        <v>36</v>
      </c>
      <c r="BG707" t="s">
        <v>139</v>
      </c>
      <c r="BH707" t="s">
        <v>31</v>
      </c>
      <c r="BI707" t="s">
        <v>31</v>
      </c>
      <c r="BJ707">
        <f t="shared" si="339"/>
        <v>1.44</v>
      </c>
      <c r="BK707" s="3">
        <f t="shared" si="352"/>
        <v>0.15836249209524964</v>
      </c>
      <c r="BL707">
        <v>2</v>
      </c>
      <c r="BM707" s="3">
        <f>LOG(BO707)</f>
        <v>2.0595363867195879</v>
      </c>
      <c r="BN707" t="s">
        <v>33</v>
      </c>
      <c r="BO707" s="3">
        <f t="shared" si="358"/>
        <v>114.69286111111109</v>
      </c>
      <c r="BP707" t="s">
        <v>33</v>
      </c>
      <c r="BQ707" t="s">
        <v>33</v>
      </c>
      <c r="BR707" t="s">
        <v>33</v>
      </c>
      <c r="BS707" t="s">
        <v>33</v>
      </c>
      <c r="BT707" t="s">
        <v>31</v>
      </c>
      <c r="BU707" t="s">
        <v>135</v>
      </c>
      <c r="BV707">
        <v>2010</v>
      </c>
      <c r="BW707" t="s">
        <v>140</v>
      </c>
      <c r="BX707" t="s">
        <v>78</v>
      </c>
      <c r="BY707" t="s">
        <v>33</v>
      </c>
      <c r="BZ707" t="s">
        <v>148</v>
      </c>
      <c r="CA707" t="str">
        <f t="shared" ref="CA707:CA770" si="359">IF(OR(AN707="low acidic liquid medium", AN707="low acidic food product"), "low acid",
    IF(OR(AN707="high acidic food product", AN707="high acidic liquid medium"), "high acid", "NA"))</f>
        <v>high acid</v>
      </c>
    </row>
    <row r="708" spans="1:79">
      <c r="A708" t="s">
        <v>143</v>
      </c>
      <c r="B708" t="s">
        <v>565</v>
      </c>
      <c r="C708" t="s">
        <v>563</v>
      </c>
      <c r="D708" t="s">
        <v>118</v>
      </c>
      <c r="E708" t="s">
        <v>77</v>
      </c>
      <c r="F708" t="s">
        <v>32</v>
      </c>
      <c r="G708">
        <v>10</v>
      </c>
      <c r="H708" t="s">
        <v>33</v>
      </c>
      <c r="I708" t="b">
        <v>0</v>
      </c>
      <c r="J708" t="s">
        <v>33</v>
      </c>
      <c r="K708" t="s">
        <v>33</v>
      </c>
      <c r="L708">
        <v>23</v>
      </c>
      <c r="M708" s="4">
        <v>500</v>
      </c>
      <c r="N708" s="3">
        <f>IFERROR(AF708/((T708*X708/Y708)*O708*AI708),"NA")</f>
        <v>503.35454362283343</v>
      </c>
      <c r="O708">
        <v>3</v>
      </c>
      <c r="P708" t="s">
        <v>33</v>
      </c>
      <c r="Q708" s="8">
        <f t="shared" si="355"/>
        <v>1.4555555555555556E-2</v>
      </c>
      <c r="R708" t="s">
        <v>183</v>
      </c>
      <c r="S708" t="s">
        <v>613</v>
      </c>
      <c r="T708" s="11">
        <v>6</v>
      </c>
      <c r="U708">
        <v>2.9</v>
      </c>
      <c r="V708">
        <v>2.2999999999999998</v>
      </c>
      <c r="W708" t="s">
        <v>33</v>
      </c>
      <c r="X708">
        <f>IFERROR(((PI())*(((V708*10^-1)/2)^2)*(U708*10^-1)), "NA")</f>
        <v>1.204879322468025E-2</v>
      </c>
      <c r="Y708" s="8">
        <f>50/60</f>
        <v>0.83333333333333337</v>
      </c>
      <c r="Z708" s="9">
        <f t="shared" si="356"/>
        <v>0.82777968719177286</v>
      </c>
      <c r="AA708" t="s">
        <v>33</v>
      </c>
      <c r="AB708" s="6">
        <f t="shared" si="357"/>
        <v>7.2777777777777786</v>
      </c>
      <c r="AC708" t="str">
        <f t="shared" si="353"/>
        <v>NA</v>
      </c>
      <c r="AD708" s="4">
        <f>AB708*T708*AI708</f>
        <v>43.666666666666671</v>
      </c>
      <c r="AE708" s="3">
        <f t="shared" si="354"/>
        <v>252.24835999999999</v>
      </c>
      <c r="AF708">
        <v>131</v>
      </c>
      <c r="AG708" t="str">
        <f>IFERROR((M708*O708*P708), "NA")</f>
        <v>NA</v>
      </c>
      <c r="AH708" t="str">
        <f>IFERROR((AG708*T708*AI708), "NA")</f>
        <v>NA</v>
      </c>
      <c r="AI708">
        <v>1</v>
      </c>
      <c r="AJ708" t="s">
        <v>31</v>
      </c>
      <c r="AK708">
        <v>3640</v>
      </c>
      <c r="AL708" t="s">
        <v>145</v>
      </c>
      <c r="AM708" t="s">
        <v>86</v>
      </c>
      <c r="AN708" t="s">
        <v>205</v>
      </c>
      <c r="AO708" t="s">
        <v>789</v>
      </c>
      <c r="AP708">
        <v>3.19</v>
      </c>
      <c r="AQ708" t="s">
        <v>33</v>
      </c>
      <c r="AR708" t="s">
        <v>33</v>
      </c>
      <c r="AS708" s="3">
        <v>6.5919999999999996</v>
      </c>
      <c r="AT708" s="3">
        <f>IFERROR(AS708-AU708,"NA")</f>
        <v>4.6219999999999999</v>
      </c>
      <c r="AU708" s="6">
        <v>1.97</v>
      </c>
      <c r="AV708" t="b">
        <v>1</v>
      </c>
      <c r="AW708" t="s">
        <v>92</v>
      </c>
      <c r="AX708" t="s">
        <v>93</v>
      </c>
      <c r="AY708" t="s">
        <v>137</v>
      </c>
      <c r="AZ708" t="s">
        <v>33</v>
      </c>
      <c r="BA708" s="18" t="s">
        <v>801</v>
      </c>
      <c r="BB708" t="b">
        <v>0</v>
      </c>
      <c r="BC708" t="s">
        <v>81</v>
      </c>
      <c r="BD708">
        <f>(48+24)/2</f>
        <v>36</v>
      </c>
      <c r="BE708" t="s">
        <v>80</v>
      </c>
      <c r="BF708" s="11">
        <f>(48+24)/2</f>
        <v>36</v>
      </c>
      <c r="BG708" t="s">
        <v>139</v>
      </c>
      <c r="BH708" t="s">
        <v>31</v>
      </c>
      <c r="BI708" t="s">
        <v>31</v>
      </c>
      <c r="BJ708">
        <f t="shared" si="339"/>
        <v>1.97</v>
      </c>
      <c r="BK708" s="3">
        <f t="shared" si="352"/>
        <v>0.2944662261615929</v>
      </c>
      <c r="BL708">
        <v>2</v>
      </c>
      <c r="BM708" s="3">
        <f>LOG(BO708)</f>
        <v>2.1073621251784131</v>
      </c>
      <c r="BN708" t="s">
        <v>33</v>
      </c>
      <c r="BO708" s="3">
        <f t="shared" si="358"/>
        <v>128.04485279187816</v>
      </c>
      <c r="BP708" t="s">
        <v>33</v>
      </c>
      <c r="BQ708" t="s">
        <v>33</v>
      </c>
      <c r="BR708" t="s">
        <v>33</v>
      </c>
      <c r="BS708" t="s">
        <v>33</v>
      </c>
      <c r="BT708" t="s">
        <v>31</v>
      </c>
      <c r="BU708" t="s">
        <v>135</v>
      </c>
      <c r="BV708">
        <v>2010</v>
      </c>
      <c r="BW708" t="s">
        <v>140</v>
      </c>
      <c r="BX708" t="s">
        <v>78</v>
      </c>
      <c r="BY708" t="s">
        <v>33</v>
      </c>
      <c r="BZ708" t="s">
        <v>33</v>
      </c>
      <c r="CA708" t="str">
        <f t="shared" si="359"/>
        <v>high acid</v>
      </c>
    </row>
    <row r="709" spans="1:79">
      <c r="A709" t="s">
        <v>535</v>
      </c>
      <c r="B709" t="s">
        <v>565</v>
      </c>
      <c r="C709" t="s">
        <v>564</v>
      </c>
      <c r="D709" t="s">
        <v>243</v>
      </c>
      <c r="E709" t="s">
        <v>77</v>
      </c>
      <c r="F709" t="s">
        <v>32</v>
      </c>
      <c r="G709">
        <v>40</v>
      </c>
      <c r="H709">
        <v>43</v>
      </c>
      <c r="I709" t="b">
        <v>0</v>
      </c>
      <c r="J709" t="s">
        <v>33</v>
      </c>
      <c r="K709" t="s">
        <v>33</v>
      </c>
      <c r="L709">
        <v>21</v>
      </c>
      <c r="M709" s="4">
        <v>120</v>
      </c>
      <c r="N709" s="3">
        <f>IFERROR(AF709/((T709*X709/Y709)*O709*AI709),"NA")</f>
        <v>74.118837183931078</v>
      </c>
      <c r="O709">
        <v>3</v>
      </c>
      <c r="P709" t="s">
        <v>33</v>
      </c>
      <c r="Q709" s="9">
        <f t="shared" si="355"/>
        <v>2.361111111111111E-2</v>
      </c>
      <c r="R709" t="s">
        <v>183</v>
      </c>
      <c r="S709" t="s">
        <v>612</v>
      </c>
      <c r="T709" s="11">
        <v>4</v>
      </c>
      <c r="U709">
        <v>3</v>
      </c>
      <c r="V709">
        <v>2.6</v>
      </c>
      <c r="W709">
        <v>1.5900000000000001E-2</v>
      </c>
      <c r="X709" s="8">
        <f>IFERROR(((PI())*(((V709*10^-1)/2)^2)*(U709*10^-1)), "NA")</f>
        <v>1.5927874753700257E-2</v>
      </c>
      <c r="Y709" s="6">
        <f>25/60</f>
        <v>0.41666666666666669</v>
      </c>
      <c r="Z709" s="3">
        <f t="shared" si="356"/>
        <v>0.67459234250965794</v>
      </c>
      <c r="AA709" t="s">
        <v>33</v>
      </c>
      <c r="AB709" s="6">
        <f t="shared" si="357"/>
        <v>2.8333333333333335</v>
      </c>
      <c r="AC709" t="str">
        <f t="shared" si="353"/>
        <v>NA</v>
      </c>
      <c r="AD709" s="4">
        <f>IFERROR(AB709*T709*AI709, "NA")</f>
        <v>11.333333333333334</v>
      </c>
      <c r="AE709" s="3">
        <f t="shared" si="354"/>
        <v>13.79448</v>
      </c>
      <c r="AF709">
        <v>34</v>
      </c>
      <c r="AG709" t="str">
        <f>IFERROR((M709*O709*P709), "NA")</f>
        <v>NA</v>
      </c>
      <c r="AH709" t="str">
        <f>IFERROR((AG709*T709*AI709), "NA")</f>
        <v>NA</v>
      </c>
      <c r="AI709" s="11">
        <v>1</v>
      </c>
      <c r="AJ709" t="s">
        <v>31</v>
      </c>
      <c r="AK709">
        <v>920</v>
      </c>
      <c r="AL709" t="s">
        <v>551</v>
      </c>
      <c r="AM709" t="s">
        <v>86</v>
      </c>
      <c r="AN709" t="s">
        <v>186</v>
      </c>
      <c r="AO709" t="s">
        <v>794</v>
      </c>
      <c r="AP709">
        <v>5.92</v>
      </c>
      <c r="AQ709" t="s">
        <v>33</v>
      </c>
      <c r="AR709" t="s">
        <v>33</v>
      </c>
      <c r="AS709" s="6">
        <f>LOG(1.1*10^7)</f>
        <v>7.0413926851582254</v>
      </c>
      <c r="AT709" s="3">
        <f>IFERROR(AS709-AU709,"NA")</f>
        <v>4.6283926851582251</v>
      </c>
      <c r="AU709" s="6">
        <v>2.4129999999999998</v>
      </c>
      <c r="AV709" t="b">
        <v>1</v>
      </c>
      <c r="AW709" t="s">
        <v>172</v>
      </c>
      <c r="AX709" t="s">
        <v>173</v>
      </c>
      <c r="AY709" t="s">
        <v>246</v>
      </c>
      <c r="AZ709" t="s">
        <v>33</v>
      </c>
      <c r="BA709" s="18" t="s">
        <v>799</v>
      </c>
      <c r="BB709" t="b">
        <v>0</v>
      </c>
      <c r="BC709" t="s">
        <v>81</v>
      </c>
      <c r="BD709">
        <v>72</v>
      </c>
      <c r="BE709" t="s">
        <v>80</v>
      </c>
      <c r="BF709" s="11">
        <v>72</v>
      </c>
      <c r="BG709" t="s">
        <v>522</v>
      </c>
      <c r="BH709" t="s">
        <v>31</v>
      </c>
      <c r="BI709" t="s">
        <v>31</v>
      </c>
      <c r="BJ709" s="3">
        <f t="shared" ref="BJ709:BJ770" si="360">AU709</f>
        <v>2.4129999999999998</v>
      </c>
      <c r="BK709" s="3">
        <f t="shared" si="352"/>
        <v>0.38255732190878577</v>
      </c>
      <c r="BL709">
        <v>2</v>
      </c>
      <c r="BM709" s="3">
        <f t="shared" ref="BM709:BM724" si="361">IFERROR(LOG(BO709),"NA")</f>
        <v>0.7571480119468631</v>
      </c>
      <c r="BN709" t="s">
        <v>33</v>
      </c>
      <c r="BO709" s="3">
        <f t="shared" si="358"/>
        <v>5.7167343555739745</v>
      </c>
      <c r="BP709" t="s">
        <v>33</v>
      </c>
      <c r="BQ709" t="s">
        <v>33</v>
      </c>
      <c r="BR709" t="s">
        <v>33</v>
      </c>
      <c r="BS709" t="s">
        <v>33</v>
      </c>
      <c r="BT709" t="s">
        <v>32</v>
      </c>
      <c r="BU709" t="s">
        <v>207</v>
      </c>
      <c r="BV709">
        <v>2014</v>
      </c>
      <c r="BW709" s="2" t="s">
        <v>242</v>
      </c>
      <c r="BX709" t="s">
        <v>78</v>
      </c>
      <c r="BY709" t="s">
        <v>33</v>
      </c>
      <c r="BZ709" t="s">
        <v>33</v>
      </c>
      <c r="CA709" t="str">
        <f t="shared" si="359"/>
        <v>low acid</v>
      </c>
    </row>
    <row r="710" spans="1:79">
      <c r="A710" t="s">
        <v>596</v>
      </c>
      <c r="B710" t="s">
        <v>565</v>
      </c>
      <c r="C710" t="s">
        <v>563</v>
      </c>
      <c r="D710" t="s">
        <v>610</v>
      </c>
      <c r="E710" t="s">
        <v>77</v>
      </c>
      <c r="F710" t="s">
        <v>33</v>
      </c>
      <c r="G710">
        <v>20</v>
      </c>
      <c r="H710" t="s">
        <v>33</v>
      </c>
      <c r="I710" t="b">
        <v>0</v>
      </c>
      <c r="J710">
        <v>10000</v>
      </c>
      <c r="K710" t="s">
        <v>33</v>
      </c>
      <c r="L710">
        <v>25</v>
      </c>
      <c r="M710" s="4">
        <v>31.831088090218493</v>
      </c>
      <c r="N710" t="e">
        <f>(#REF!*Y710)/(T710*X710*O710)</f>
        <v>#REF!</v>
      </c>
      <c r="O710">
        <v>5</v>
      </c>
      <c r="P710" t="s">
        <v>33</v>
      </c>
      <c r="Q710" s="1">
        <f t="shared" si="355"/>
        <v>0.4712374254215147</v>
      </c>
      <c r="R710" t="s">
        <v>183</v>
      </c>
      <c r="S710" t="s">
        <v>613</v>
      </c>
      <c r="T710">
        <v>1</v>
      </c>
      <c r="U710">
        <v>4</v>
      </c>
      <c r="V710">
        <v>4</v>
      </c>
      <c r="W710" t="s">
        <v>33</v>
      </c>
      <c r="X710">
        <f>IFERROR(((PI())*(((V710*10^-1)/2)^2)*(U710*10^-1)), "NA")</f>
        <v>5.02654824574367E-2</v>
      </c>
      <c r="Y710">
        <v>0.106667</v>
      </c>
      <c r="Z710" s="3">
        <f t="shared" si="356"/>
        <v>0.10666699999999998</v>
      </c>
      <c r="AA710" t="s">
        <v>33</v>
      </c>
      <c r="AB710">
        <f t="shared" si="357"/>
        <v>15.000000000000002</v>
      </c>
      <c r="AC710" s="1" t="str">
        <f t="shared" si="353"/>
        <v>NA</v>
      </c>
      <c r="AE710" s="3">
        <f t="shared" si="354"/>
        <v>93.75</v>
      </c>
      <c r="AF710">
        <v>75</v>
      </c>
      <c r="AG710" s="1" t="str">
        <f>IFERROR((N710*P710*Q710), "NA")</f>
        <v>NA</v>
      </c>
      <c r="AH710" s="1" t="str">
        <f>IFERROR((AG710*U710*AI710), "NA")</f>
        <v>NA</v>
      </c>
      <c r="AI710" s="1">
        <v>1</v>
      </c>
      <c r="AJ710" s="11" t="s">
        <v>31</v>
      </c>
      <c r="AK710">
        <v>2000</v>
      </c>
      <c r="AL710" t="s">
        <v>149</v>
      </c>
      <c r="AM710" t="s">
        <v>86</v>
      </c>
      <c r="AN710" t="s">
        <v>205</v>
      </c>
      <c r="AO710" t="s">
        <v>789</v>
      </c>
      <c r="AP710" t="s">
        <v>33</v>
      </c>
      <c r="AQ710" t="s">
        <v>33</v>
      </c>
      <c r="AR710" t="s">
        <v>33</v>
      </c>
      <c r="AS710">
        <f>AVERAGE(6,8)</f>
        <v>7</v>
      </c>
      <c r="AT710">
        <f>AS710-AU710</f>
        <v>4.63</v>
      </c>
      <c r="AU710" s="6">
        <v>2.37</v>
      </c>
      <c r="AV710" t="b">
        <v>1</v>
      </c>
      <c r="AW710" t="s">
        <v>626</v>
      </c>
      <c r="AX710" t="s">
        <v>627</v>
      </c>
      <c r="AY710" t="s">
        <v>634</v>
      </c>
      <c r="AZ710" t="s">
        <v>33</v>
      </c>
      <c r="BA710" s="18" t="s">
        <v>800</v>
      </c>
      <c r="BB710" s="3" t="b">
        <v>0</v>
      </c>
      <c r="BC710" t="s">
        <v>81</v>
      </c>
      <c r="BD710">
        <v>18</v>
      </c>
      <c r="BE710" t="s">
        <v>80</v>
      </c>
      <c r="BF710">
        <v>24</v>
      </c>
      <c r="BG710" t="s">
        <v>644</v>
      </c>
      <c r="BH710" t="s">
        <v>31</v>
      </c>
      <c r="BI710" t="s">
        <v>31</v>
      </c>
      <c r="BJ710">
        <f t="shared" si="360"/>
        <v>2.37</v>
      </c>
      <c r="BK710" s="3">
        <f t="shared" si="352"/>
        <v>0.37474834601010387</v>
      </c>
      <c r="BL710">
        <v>2</v>
      </c>
      <c r="BM710" s="3">
        <f t="shared" si="361"/>
        <v>1.5972229303896526</v>
      </c>
      <c r="BN710" t="s">
        <v>33</v>
      </c>
      <c r="BO710" s="3">
        <f t="shared" si="358"/>
        <v>39.556962025316452</v>
      </c>
      <c r="BP710" t="s">
        <v>33</v>
      </c>
      <c r="BQ710" t="s">
        <v>33</v>
      </c>
      <c r="BR710" t="s">
        <v>33</v>
      </c>
      <c r="BS710" t="s">
        <v>33</v>
      </c>
      <c r="BT710" t="s">
        <v>32</v>
      </c>
      <c r="BU710" t="s">
        <v>661</v>
      </c>
      <c r="BV710">
        <v>2013</v>
      </c>
      <c r="BW710" t="s">
        <v>662</v>
      </c>
      <c r="BX710" s="13" t="s">
        <v>663</v>
      </c>
      <c r="BY710" s="13" t="s">
        <v>684</v>
      </c>
      <c r="CA710" t="str">
        <f t="shared" si="359"/>
        <v>high acid</v>
      </c>
    </row>
    <row r="711" spans="1:79">
      <c r="A711" t="s">
        <v>589</v>
      </c>
      <c r="B711" t="s">
        <v>566</v>
      </c>
      <c r="C711" t="s">
        <v>563</v>
      </c>
      <c r="D711" t="s">
        <v>33</v>
      </c>
      <c r="E711" t="s">
        <v>77</v>
      </c>
      <c r="F711" t="s">
        <v>33</v>
      </c>
      <c r="G711" t="s">
        <v>33</v>
      </c>
      <c r="H711">
        <v>35</v>
      </c>
      <c r="I711" t="b">
        <v>0</v>
      </c>
      <c r="J711" t="s">
        <v>33</v>
      </c>
      <c r="K711" t="s">
        <v>33</v>
      </c>
      <c r="L711">
        <v>28</v>
      </c>
      <c r="M711" s="4">
        <v>1</v>
      </c>
      <c r="N711" t="e">
        <f>(#REF!*Y711)/(T711*X711*O711)</f>
        <v>#REF!</v>
      </c>
      <c r="O711">
        <v>2</v>
      </c>
      <c r="P711" t="s">
        <v>33</v>
      </c>
      <c r="Q711" s="1">
        <f t="shared" si="355"/>
        <v>96.1</v>
      </c>
      <c r="R711" t="s">
        <v>183</v>
      </c>
      <c r="S711" t="s">
        <v>613</v>
      </c>
      <c r="T711">
        <v>1</v>
      </c>
      <c r="U711">
        <v>2.5</v>
      </c>
      <c r="V711" t="s">
        <v>33</v>
      </c>
      <c r="W711">
        <v>0.50249999999999995</v>
      </c>
      <c r="X711">
        <f>W711</f>
        <v>0.50249999999999995</v>
      </c>
      <c r="Y711" t="s">
        <v>33</v>
      </c>
      <c r="Z711" s="3">
        <f t="shared" si="356"/>
        <v>5.2289281997918834E-3</v>
      </c>
      <c r="AA711" t="s">
        <v>33</v>
      </c>
      <c r="AB711">
        <f t="shared" si="357"/>
        <v>96.1</v>
      </c>
      <c r="AC711" s="1" t="str">
        <f t="shared" si="353"/>
        <v>NA</v>
      </c>
      <c r="AE711" s="3">
        <f t="shared" si="354"/>
        <v>301.36959999999993</v>
      </c>
      <c r="AF711">
        <v>192.2</v>
      </c>
      <c r="AG711" s="1" t="str">
        <f>IFERROR((N711*P711*Q711), "NA")</f>
        <v>NA</v>
      </c>
      <c r="AH711" s="1" t="str">
        <f>IFERROR((AG711*U711*AI711), "NA")</f>
        <v>NA</v>
      </c>
      <c r="AI711" s="1">
        <v>1</v>
      </c>
      <c r="AJ711" s="11" t="s">
        <v>31</v>
      </c>
      <c r="AK711">
        <v>2000</v>
      </c>
      <c r="AL711" t="s">
        <v>616</v>
      </c>
      <c r="AM711" s="3" t="s">
        <v>103</v>
      </c>
      <c r="AN711" t="s">
        <v>130</v>
      </c>
      <c r="AO711" t="s">
        <v>795</v>
      </c>
      <c r="AP711">
        <v>7</v>
      </c>
      <c r="AQ711" t="s">
        <v>33</v>
      </c>
      <c r="AR711" t="s">
        <v>33</v>
      </c>
      <c r="AS711">
        <v>9</v>
      </c>
      <c r="AT711">
        <f>AS711-AU711</f>
        <v>4.63</v>
      </c>
      <c r="AU711" s="6">
        <v>4.37</v>
      </c>
      <c r="AV711" t="b">
        <v>1</v>
      </c>
      <c r="AW711" t="s">
        <v>617</v>
      </c>
      <c r="AX711" t="s">
        <v>33</v>
      </c>
      <c r="AY711" t="s">
        <v>628</v>
      </c>
      <c r="AZ711" t="s">
        <v>619</v>
      </c>
      <c r="BA711" s="18" t="s">
        <v>802</v>
      </c>
      <c r="BB711" s="3" t="b">
        <v>0</v>
      </c>
      <c r="BC711" t="s">
        <v>81</v>
      </c>
      <c r="BD711">
        <v>24</v>
      </c>
      <c r="BE711" t="s">
        <v>80</v>
      </c>
      <c r="BF711">
        <v>24</v>
      </c>
      <c r="BG711" t="s">
        <v>644</v>
      </c>
      <c r="BH711" t="s">
        <v>31</v>
      </c>
      <c r="BI711" t="s">
        <v>31</v>
      </c>
      <c r="BJ711">
        <f t="shared" si="360"/>
        <v>4.37</v>
      </c>
      <c r="BK711" s="3">
        <f t="shared" si="352"/>
        <v>0.64048143697042181</v>
      </c>
      <c r="BL711">
        <v>2</v>
      </c>
      <c r="BM711" s="3">
        <f t="shared" si="361"/>
        <v>1.8386180047105243</v>
      </c>
      <c r="BN711" t="s">
        <v>33</v>
      </c>
      <c r="BO711" s="3">
        <f t="shared" si="358"/>
        <v>68.963295194507992</v>
      </c>
      <c r="BP711" t="s">
        <v>33</v>
      </c>
      <c r="BQ711" t="s">
        <v>33</v>
      </c>
      <c r="BR711" t="s">
        <v>33</v>
      </c>
      <c r="BS711" t="s">
        <v>33</v>
      </c>
      <c r="BT711" t="s">
        <v>31</v>
      </c>
      <c r="BU711" s="15" t="s">
        <v>655</v>
      </c>
      <c r="BV711">
        <v>2003</v>
      </c>
      <c r="BW711" t="s">
        <v>656</v>
      </c>
      <c r="BX711" t="s">
        <v>78</v>
      </c>
      <c r="BY711" s="13" t="s">
        <v>677</v>
      </c>
      <c r="CA711" t="str">
        <f t="shared" si="359"/>
        <v>low acid</v>
      </c>
    </row>
    <row r="712" spans="1:79">
      <c r="A712" t="s">
        <v>343</v>
      </c>
      <c r="B712" t="s">
        <v>566</v>
      </c>
      <c r="C712" t="s">
        <v>563</v>
      </c>
      <c r="D712" t="s">
        <v>33</v>
      </c>
      <c r="E712" t="s">
        <v>77</v>
      </c>
      <c r="F712" t="s">
        <v>32</v>
      </c>
      <c r="G712">
        <v>30</v>
      </c>
      <c r="H712">
        <v>33</v>
      </c>
      <c r="I712" t="b">
        <v>0</v>
      </c>
      <c r="J712" t="s">
        <v>33</v>
      </c>
      <c r="K712" t="s">
        <v>33</v>
      </c>
      <c r="L712">
        <v>20</v>
      </c>
      <c r="M712" s="4">
        <v>2</v>
      </c>
      <c r="N712" s="3">
        <f>IFERROR(AF712/((T712*X712/Y712)*O712*AI712),"NA")</f>
        <v>2.1126760563380285</v>
      </c>
      <c r="O712">
        <v>2</v>
      </c>
      <c r="P712" t="s">
        <v>33</v>
      </c>
      <c r="Q712" s="8">
        <f t="shared" si="355"/>
        <v>7.5</v>
      </c>
      <c r="R712" t="s">
        <v>183</v>
      </c>
      <c r="S712" t="s">
        <v>613</v>
      </c>
      <c r="T712" s="11">
        <v>1</v>
      </c>
      <c r="U712">
        <v>5</v>
      </c>
      <c r="V712" t="s">
        <v>33</v>
      </c>
      <c r="W712">
        <v>0.71</v>
      </c>
      <c r="X712" s="8">
        <f>W712</f>
        <v>0.71</v>
      </c>
      <c r="Y712">
        <f>6/60</f>
        <v>0.1</v>
      </c>
      <c r="Z712" s="3">
        <f t="shared" si="356"/>
        <v>9.4666666666666663E-2</v>
      </c>
      <c r="AA712">
        <v>15</v>
      </c>
      <c r="AB712" s="6">
        <f t="shared" si="357"/>
        <v>15</v>
      </c>
      <c r="AC712" t="str">
        <f t="shared" si="353"/>
        <v>NA</v>
      </c>
      <c r="AD712" s="4">
        <f>AB712*T712*AI712</f>
        <v>105</v>
      </c>
      <c r="AE712" s="3">
        <f t="shared" si="354"/>
        <v>588</v>
      </c>
      <c r="AF712">
        <v>210</v>
      </c>
      <c r="AG712" t="str">
        <f>IFERROR((M712*O712*P712), "NA")</f>
        <v>NA</v>
      </c>
      <c r="AH712" t="str">
        <f>IFERROR((AG712*T712*AI712), "NA")</f>
        <v>NA</v>
      </c>
      <c r="AI712">
        <v>7</v>
      </c>
      <c r="AJ712" s="11" t="s">
        <v>32</v>
      </c>
      <c r="AK712">
        <v>7000</v>
      </c>
      <c r="AL712" t="s">
        <v>562</v>
      </c>
      <c r="AM712" s="3" t="s">
        <v>786</v>
      </c>
      <c r="AN712" t="s">
        <v>186</v>
      </c>
      <c r="AO712" t="s">
        <v>793</v>
      </c>
      <c r="AP712" t="s">
        <v>33</v>
      </c>
      <c r="AQ712" t="s">
        <v>33</v>
      </c>
      <c r="AR712" t="s">
        <v>33</v>
      </c>
      <c r="AS712" s="6">
        <f>LOG(10^8)</f>
        <v>8</v>
      </c>
      <c r="AT712" s="3">
        <f>IFERROR(AS712-AU712,"NA")</f>
        <v>4.6310000000000002</v>
      </c>
      <c r="AU712" s="6">
        <v>3.3690000000000002</v>
      </c>
      <c r="AV712" t="b">
        <v>1</v>
      </c>
      <c r="AW712" t="s">
        <v>29</v>
      </c>
      <c r="AX712" t="s">
        <v>30</v>
      </c>
      <c r="AY712" t="s">
        <v>33</v>
      </c>
      <c r="AZ712" t="s">
        <v>134</v>
      </c>
      <c r="BA712" s="18" t="s">
        <v>798</v>
      </c>
      <c r="BB712" t="b">
        <v>0</v>
      </c>
      <c r="BC712" t="s">
        <v>81</v>
      </c>
      <c r="BD712">
        <v>18</v>
      </c>
      <c r="BE712" t="s">
        <v>80</v>
      </c>
      <c r="BF712" s="11">
        <v>21</v>
      </c>
      <c r="BG712" t="s">
        <v>694</v>
      </c>
      <c r="BH712" t="s">
        <v>31</v>
      </c>
      <c r="BI712" t="s">
        <v>31</v>
      </c>
      <c r="BJ712" s="3">
        <f t="shared" si="360"/>
        <v>3.3690000000000002</v>
      </c>
      <c r="BK712" s="3">
        <f t="shared" si="352"/>
        <v>0.52750101098112023</v>
      </c>
      <c r="BL712">
        <v>2</v>
      </c>
      <c r="BM712" s="3">
        <f t="shared" si="361"/>
        <v>2.2418763150950181</v>
      </c>
      <c r="BN712" t="s">
        <v>33</v>
      </c>
      <c r="BO712" s="3">
        <f t="shared" si="358"/>
        <v>174.53250222617987</v>
      </c>
      <c r="BP712" t="s">
        <v>33</v>
      </c>
      <c r="BQ712" t="s">
        <v>33</v>
      </c>
      <c r="BR712" t="s">
        <v>33</v>
      </c>
      <c r="BS712" t="s">
        <v>33</v>
      </c>
      <c r="BT712" t="s">
        <v>31</v>
      </c>
      <c r="BU712" t="s">
        <v>338</v>
      </c>
      <c r="BV712">
        <v>2005</v>
      </c>
      <c r="BW712" s="2" t="s">
        <v>342</v>
      </c>
      <c r="BX712" t="s">
        <v>78</v>
      </c>
      <c r="BY712" t="s">
        <v>340</v>
      </c>
      <c r="BZ712" t="s">
        <v>33</v>
      </c>
      <c r="CA712" t="str">
        <f t="shared" si="359"/>
        <v>low acid</v>
      </c>
    </row>
    <row r="713" spans="1:79">
      <c r="A713" t="s">
        <v>152</v>
      </c>
      <c r="B713" t="s">
        <v>565</v>
      </c>
      <c r="C713" t="s">
        <v>563</v>
      </c>
      <c r="D713" t="s">
        <v>118</v>
      </c>
      <c r="E713" t="s">
        <v>77</v>
      </c>
      <c r="F713" t="s">
        <v>32</v>
      </c>
      <c r="G713">
        <v>20</v>
      </c>
      <c r="H713" t="s">
        <v>33</v>
      </c>
      <c r="I713" t="b">
        <v>0</v>
      </c>
      <c r="J713" t="s">
        <v>33</v>
      </c>
      <c r="K713" t="s">
        <v>33</v>
      </c>
      <c r="L713">
        <v>17</v>
      </c>
      <c r="M713" s="4">
        <v>500</v>
      </c>
      <c r="N713" s="3">
        <f>IFERROR(AF713/((T713*X713/Y713)*O713*AI713),"NA")</f>
        <v>806.90423023507651</v>
      </c>
      <c r="O713">
        <v>3</v>
      </c>
      <c r="P713" t="s">
        <v>33</v>
      </c>
      <c r="Q713" s="8">
        <f t="shared" si="355"/>
        <v>2.3333333333333334E-2</v>
      </c>
      <c r="R713" t="s">
        <v>183</v>
      </c>
      <c r="S713" t="s">
        <v>613</v>
      </c>
      <c r="T713" s="11">
        <v>6</v>
      </c>
      <c r="U713">
        <v>2.9</v>
      </c>
      <c r="V713">
        <v>2.2999999999999998</v>
      </c>
      <c r="W713" t="s">
        <v>33</v>
      </c>
      <c r="X713" s="8">
        <f>IFERROR(((PI())*(((V713*10^-1)/2)^2)*(U713*10^-1)), "NA")</f>
        <v>1.204879322468025E-2</v>
      </c>
      <c r="Y713" s="6">
        <f>50/60</f>
        <v>0.83333333333333337</v>
      </c>
      <c r="Z713" s="3">
        <f t="shared" si="356"/>
        <v>0.51637685248629639</v>
      </c>
      <c r="AA713" t="s">
        <v>33</v>
      </c>
      <c r="AB713" s="6">
        <f t="shared" si="357"/>
        <v>11.666666666666668</v>
      </c>
      <c r="AC713" t="str">
        <f t="shared" si="353"/>
        <v>NA</v>
      </c>
      <c r="AD713" s="4">
        <f>IFERROR(AB713*T713*AI713, "NA")</f>
        <v>70</v>
      </c>
      <c r="AE713" s="3">
        <f t="shared" si="354"/>
        <v>71.614200000000011</v>
      </c>
      <c r="AF713">
        <v>210</v>
      </c>
      <c r="AG713" t="str">
        <f>IFERROR((M713*O713*P713), "NA")</f>
        <v>NA</v>
      </c>
      <c r="AH713" t="str">
        <f>IFERROR((AG713*T713*AI713), "NA")</f>
        <v>NA</v>
      </c>
      <c r="AI713" s="11">
        <v>1</v>
      </c>
      <c r="AJ713" t="s">
        <v>31</v>
      </c>
      <c r="AK713">
        <v>1180</v>
      </c>
      <c r="AL713" t="s">
        <v>138</v>
      </c>
      <c r="AM713" t="s">
        <v>86</v>
      </c>
      <c r="AN713" t="s">
        <v>205</v>
      </c>
      <c r="AO713" t="s">
        <v>789</v>
      </c>
      <c r="AP713">
        <v>3.89</v>
      </c>
      <c r="AQ713" t="s">
        <v>33</v>
      </c>
      <c r="AR713" t="s">
        <v>33</v>
      </c>
      <c r="AS713" s="3">
        <v>7.7720000000000002</v>
      </c>
      <c r="AT713" s="3">
        <f>IFERROR(AS713-AU713,"NA")</f>
        <v>4.6319999999999997</v>
      </c>
      <c r="AU713" s="6">
        <v>3.14</v>
      </c>
      <c r="AV713" t="b">
        <v>1</v>
      </c>
      <c r="AW713" t="s">
        <v>29</v>
      </c>
      <c r="AX713" t="s">
        <v>30</v>
      </c>
      <c r="AY713" t="s">
        <v>33</v>
      </c>
      <c r="AZ713" t="s">
        <v>134</v>
      </c>
      <c r="BA713" s="18" t="s">
        <v>798</v>
      </c>
      <c r="BB713" t="b">
        <v>0</v>
      </c>
      <c r="BC713" t="s">
        <v>81</v>
      </c>
      <c r="BD713">
        <f>(48+24)/2</f>
        <v>36</v>
      </c>
      <c r="BE713" t="s">
        <v>80</v>
      </c>
      <c r="BF713" s="11">
        <f>(48+24)/2</f>
        <v>36</v>
      </c>
      <c r="BG713" t="s">
        <v>139</v>
      </c>
      <c r="BH713" t="s">
        <v>31</v>
      </c>
      <c r="BI713" t="s">
        <v>31</v>
      </c>
      <c r="BJ713" s="3">
        <f t="shared" si="360"/>
        <v>3.14</v>
      </c>
      <c r="BK713" s="3">
        <f t="shared" si="352"/>
        <v>0.49692964807321494</v>
      </c>
      <c r="BL713">
        <v>2</v>
      </c>
      <c r="BM713" s="3">
        <f t="shared" si="361"/>
        <v>1.3580694967233775</v>
      </c>
      <c r="BN713" t="s">
        <v>33</v>
      </c>
      <c r="BO713" s="3">
        <f t="shared" si="358"/>
        <v>22.807070063694269</v>
      </c>
      <c r="BP713" t="s">
        <v>33</v>
      </c>
      <c r="BQ713" t="s">
        <v>33</v>
      </c>
      <c r="BR713" t="s">
        <v>33</v>
      </c>
      <c r="BS713" t="s">
        <v>33</v>
      </c>
      <c r="BT713" t="s">
        <v>31</v>
      </c>
      <c r="BU713" t="s">
        <v>135</v>
      </c>
      <c r="BV713">
        <v>2011</v>
      </c>
      <c r="BW713" s="7" t="s">
        <v>136</v>
      </c>
      <c r="BX713" t="s">
        <v>78</v>
      </c>
      <c r="BY713" t="s">
        <v>33</v>
      </c>
      <c r="BZ713" t="s">
        <v>33</v>
      </c>
      <c r="CA713" t="str">
        <f t="shared" si="359"/>
        <v>high acid</v>
      </c>
    </row>
    <row r="714" spans="1:79">
      <c r="A714" t="s">
        <v>698</v>
      </c>
      <c r="B714" t="s">
        <v>566</v>
      </c>
      <c r="C714" t="s">
        <v>563</v>
      </c>
      <c r="D714" t="s">
        <v>699</v>
      </c>
      <c r="E714" t="s">
        <v>77</v>
      </c>
      <c r="F714" t="s">
        <v>32</v>
      </c>
      <c r="G714">
        <v>20</v>
      </c>
      <c r="H714">
        <v>41</v>
      </c>
      <c r="I714" t="b">
        <v>1</v>
      </c>
      <c r="J714" t="s">
        <v>33</v>
      </c>
      <c r="K714" t="s">
        <v>33</v>
      </c>
      <c r="L714">
        <v>20</v>
      </c>
      <c r="M714" s="4">
        <v>30</v>
      </c>
      <c r="N714" s="3">
        <f>IFERROR(AF714/((T714*X714/Y714)*O714*AI714),"NA")</f>
        <v>29.861111111111104</v>
      </c>
      <c r="O714">
        <v>5</v>
      </c>
      <c r="P714">
        <v>0.43</v>
      </c>
      <c r="Q714" s="8">
        <f>IFERROR(X714/Y714, "NA")</f>
        <v>0.43200000000000011</v>
      </c>
      <c r="R714" t="s">
        <v>183</v>
      </c>
      <c r="S714" t="s">
        <v>612</v>
      </c>
      <c r="T714" s="11">
        <v>1</v>
      </c>
      <c r="U714">
        <v>4</v>
      </c>
      <c r="V714" t="s">
        <v>33</v>
      </c>
      <c r="W714">
        <f>0.4*3*0.5</f>
        <v>0.60000000000000009</v>
      </c>
      <c r="X714" s="9">
        <f>W714</f>
        <v>0.60000000000000009</v>
      </c>
      <c r="Y714" s="6">
        <f>5000/3600</f>
        <v>1.3888888888888888</v>
      </c>
      <c r="Z714" s="3">
        <f t="shared" si="356"/>
        <v>1.3953488372093026</v>
      </c>
      <c r="AA714" t="s">
        <v>33</v>
      </c>
      <c r="AB714" s="4">
        <f>IFERROR(((X714*M714)/Y714), "NA")</f>
        <v>12.960000000000003</v>
      </c>
      <c r="AC714" s="4">
        <f t="shared" si="353"/>
        <v>12.9</v>
      </c>
      <c r="AD714" s="4">
        <f>AB714*T714*AI714</f>
        <v>12.960000000000003</v>
      </c>
      <c r="AE714" s="3">
        <f t="shared" si="354"/>
        <v>51.840000000000011</v>
      </c>
      <c r="AF714">
        <v>64.5</v>
      </c>
      <c r="AG714" s="4">
        <f>IFERROR((M714*O714*P714), "NA")</f>
        <v>64.5</v>
      </c>
      <c r="AH714" s="4">
        <f>IFERROR((AG714*T714*AI714), "NA")</f>
        <v>64.5</v>
      </c>
      <c r="AI714">
        <v>1</v>
      </c>
      <c r="AJ714" s="11" t="s">
        <v>31</v>
      </c>
      <c r="AK714">
        <v>2000</v>
      </c>
      <c r="AL714" t="s">
        <v>784</v>
      </c>
      <c r="AM714" t="s">
        <v>103</v>
      </c>
      <c r="AN714" t="s">
        <v>130</v>
      </c>
      <c r="AO714" t="s">
        <v>795</v>
      </c>
      <c r="AP714">
        <v>7</v>
      </c>
      <c r="AQ714" t="s">
        <v>33</v>
      </c>
      <c r="AR714" t="s">
        <v>33</v>
      </c>
      <c r="AS714" s="6">
        <f>LOG(AVERAGE(10^8, 10^9))</f>
        <v>8.7403626894942441</v>
      </c>
      <c r="AT714" s="3">
        <f>IFERROR(AS714-AU714,"NA")</f>
        <v>4.6383626894942438</v>
      </c>
      <c r="AU714" s="6">
        <v>4.1020000000000003</v>
      </c>
      <c r="AV714" t="b">
        <v>1</v>
      </c>
      <c r="AW714" t="s">
        <v>29</v>
      </c>
      <c r="AX714" t="s">
        <v>30</v>
      </c>
      <c r="AY714" t="s">
        <v>704</v>
      </c>
      <c r="AZ714" t="s">
        <v>33</v>
      </c>
      <c r="BA714" s="18" t="s">
        <v>798</v>
      </c>
      <c r="BB714" s="3" t="b">
        <v>0</v>
      </c>
      <c r="BC714" t="s">
        <v>81</v>
      </c>
      <c r="BD714">
        <v>24</v>
      </c>
      <c r="BE714" t="s">
        <v>80</v>
      </c>
      <c r="BF714">
        <v>24</v>
      </c>
      <c r="BG714" t="s">
        <v>568</v>
      </c>
      <c r="BH714" t="s">
        <v>31</v>
      </c>
      <c r="BI714" t="s">
        <v>31</v>
      </c>
      <c r="BJ714" s="3">
        <f t="shared" si="360"/>
        <v>4.1020000000000003</v>
      </c>
      <c r="BK714" s="3">
        <f t="shared" si="352"/>
        <v>0.61299565603234751</v>
      </c>
      <c r="BL714">
        <v>2</v>
      </c>
      <c r="BM714" s="3">
        <f t="shared" si="361"/>
        <v>1.1016693368301895</v>
      </c>
      <c r="BN714" t="s">
        <v>33</v>
      </c>
      <c r="BO714" s="3">
        <f t="shared" si="358"/>
        <v>12.63773768893223</v>
      </c>
      <c r="BP714" t="s">
        <v>33</v>
      </c>
      <c r="BQ714" t="s">
        <v>33</v>
      </c>
      <c r="BR714" t="s">
        <v>33</v>
      </c>
      <c r="BS714" t="s">
        <v>33</v>
      </c>
      <c r="BT714" t="s">
        <v>32</v>
      </c>
      <c r="BU714" t="s">
        <v>709</v>
      </c>
      <c r="BV714">
        <v>2024</v>
      </c>
      <c r="BW714" t="s">
        <v>710</v>
      </c>
      <c r="BX714" t="s">
        <v>78</v>
      </c>
      <c r="BY714" t="s">
        <v>711</v>
      </c>
      <c r="CA714" t="str">
        <f t="shared" si="359"/>
        <v>low acid</v>
      </c>
    </row>
    <row r="715" spans="1:79">
      <c r="A715" t="s">
        <v>584</v>
      </c>
      <c r="B715" t="s">
        <v>566</v>
      </c>
      <c r="C715" t="s">
        <v>563</v>
      </c>
      <c r="D715" t="s">
        <v>607</v>
      </c>
      <c r="E715" t="s">
        <v>77</v>
      </c>
      <c r="F715" t="s">
        <v>33</v>
      </c>
      <c r="G715">
        <v>20</v>
      </c>
      <c r="H715">
        <v>35</v>
      </c>
      <c r="I715" t="b">
        <v>0</v>
      </c>
      <c r="J715">
        <v>1000</v>
      </c>
      <c r="K715">
        <v>200</v>
      </c>
      <c r="L715">
        <v>25</v>
      </c>
      <c r="M715" s="4">
        <v>1</v>
      </c>
      <c r="N715" t="e">
        <f>(#REF!*Y715)/(T715*X715*O715)</f>
        <v>#REF!</v>
      </c>
      <c r="O715">
        <v>3</v>
      </c>
      <c r="P715" t="s">
        <v>33</v>
      </c>
      <c r="Q715" s="1">
        <f t="shared" ref="Q715:Q726" si="362">IFERROR(X715/Z715, "NA")</f>
        <v>50.000000000000007</v>
      </c>
      <c r="R715" t="s">
        <v>183</v>
      </c>
      <c r="S715" t="s">
        <v>33</v>
      </c>
      <c r="T715">
        <v>1</v>
      </c>
      <c r="U715">
        <v>2.5</v>
      </c>
      <c r="V715" t="s">
        <v>33</v>
      </c>
      <c r="W715">
        <v>0.50249999999999995</v>
      </c>
      <c r="X715">
        <f>W715</f>
        <v>0.50249999999999995</v>
      </c>
      <c r="Y715" t="s">
        <v>33</v>
      </c>
      <c r="Z715" s="3">
        <f t="shared" si="356"/>
        <v>1.0049999999999998E-2</v>
      </c>
      <c r="AA715" t="s">
        <v>33</v>
      </c>
      <c r="AB715">
        <f>IFERROR(((X715*M715)/Z715), "NA")</f>
        <v>50.000000000000007</v>
      </c>
      <c r="AC715" s="1" t="str">
        <f t="shared" si="353"/>
        <v>NA</v>
      </c>
      <c r="AE715" s="3">
        <f t="shared" si="354"/>
        <v>93.750000000000014</v>
      </c>
      <c r="AF715">
        <v>150</v>
      </c>
      <c r="AG715" s="1" t="str">
        <f>IFERROR((N715*P715*Q715), "NA")</f>
        <v>NA</v>
      </c>
      <c r="AH715" s="1" t="str">
        <f>IFERROR((AG715*U715*AI715), "NA")</f>
        <v>NA</v>
      </c>
      <c r="AI715" s="1">
        <v>1</v>
      </c>
      <c r="AJ715" s="11" t="s">
        <v>31</v>
      </c>
      <c r="AK715">
        <v>1000</v>
      </c>
      <c r="AL715" t="s">
        <v>614</v>
      </c>
      <c r="AM715" s="3" t="s">
        <v>103</v>
      </c>
      <c r="AN715" t="s">
        <v>305</v>
      </c>
      <c r="AO715" t="s">
        <v>790</v>
      </c>
      <c r="AP715">
        <v>3.5</v>
      </c>
      <c r="AQ715" t="s">
        <v>33</v>
      </c>
      <c r="AR715" t="s">
        <v>33</v>
      </c>
      <c r="AS715">
        <v>8</v>
      </c>
      <c r="AT715">
        <f>AS715-AU715</f>
        <v>4.6400000000000006</v>
      </c>
      <c r="AU715" s="6">
        <v>3.36</v>
      </c>
      <c r="AV715" t="b">
        <v>1</v>
      </c>
      <c r="AW715" t="s">
        <v>617</v>
      </c>
      <c r="AX715" t="s">
        <v>33</v>
      </c>
      <c r="AY715" t="s">
        <v>623</v>
      </c>
      <c r="AZ715" t="s">
        <v>621</v>
      </c>
      <c r="BA715" s="18" t="s">
        <v>802</v>
      </c>
      <c r="BB715" s="3" t="b">
        <v>0</v>
      </c>
      <c r="BC715" t="s">
        <v>81</v>
      </c>
      <c r="BD715">
        <v>18</v>
      </c>
      <c r="BE715" t="s">
        <v>80</v>
      </c>
      <c r="BF715">
        <v>24</v>
      </c>
      <c r="BG715" t="s">
        <v>569</v>
      </c>
      <c r="BH715" t="s">
        <v>31</v>
      </c>
      <c r="BI715" t="s">
        <v>31</v>
      </c>
      <c r="BJ715">
        <f t="shared" si="360"/>
        <v>3.36</v>
      </c>
      <c r="BK715" s="3">
        <f t="shared" si="352"/>
        <v>0.52633927738984398</v>
      </c>
      <c r="BL715">
        <v>2</v>
      </c>
      <c r="BM715" s="3">
        <f t="shared" si="361"/>
        <v>1.4456319990099125</v>
      </c>
      <c r="BN715" t="s">
        <v>33</v>
      </c>
      <c r="BO715" s="3">
        <f t="shared" si="358"/>
        <v>27.901785714285719</v>
      </c>
      <c r="BP715" t="s">
        <v>33</v>
      </c>
      <c r="BQ715" t="s">
        <v>33</v>
      </c>
      <c r="BR715" t="s">
        <v>33</v>
      </c>
      <c r="BS715" t="s">
        <v>33</v>
      </c>
      <c r="BT715" t="s">
        <v>31</v>
      </c>
      <c r="BU715" t="s">
        <v>255</v>
      </c>
      <c r="BV715">
        <v>2010</v>
      </c>
      <c r="BW715" t="s">
        <v>651</v>
      </c>
      <c r="BX715" t="s">
        <v>78</v>
      </c>
      <c r="BY715" s="13" t="s">
        <v>674</v>
      </c>
      <c r="CA715" t="str">
        <f t="shared" si="359"/>
        <v>high acid</v>
      </c>
    </row>
    <row r="716" spans="1:79">
      <c r="A716" t="s">
        <v>584</v>
      </c>
      <c r="B716" t="s">
        <v>566</v>
      </c>
      <c r="C716" t="s">
        <v>563</v>
      </c>
      <c r="D716" t="s">
        <v>607</v>
      </c>
      <c r="E716" t="s">
        <v>77</v>
      </c>
      <c r="F716" t="s">
        <v>33</v>
      </c>
      <c r="G716">
        <v>20</v>
      </c>
      <c r="H716">
        <v>35</v>
      </c>
      <c r="I716" t="b">
        <v>0</v>
      </c>
      <c r="J716">
        <v>1000</v>
      </c>
      <c r="K716">
        <v>200</v>
      </c>
      <c r="L716">
        <v>25</v>
      </c>
      <c r="M716" s="4">
        <v>1</v>
      </c>
      <c r="N716" t="e">
        <f>(#REF!*Y716)/(T716*X716*O716)</f>
        <v>#REF!</v>
      </c>
      <c r="O716">
        <v>3</v>
      </c>
      <c r="P716" t="s">
        <v>33</v>
      </c>
      <c r="Q716" s="1">
        <f t="shared" si="362"/>
        <v>50.000000000000007</v>
      </c>
      <c r="R716" t="s">
        <v>183</v>
      </c>
      <c r="S716" t="s">
        <v>33</v>
      </c>
      <c r="T716">
        <v>1</v>
      </c>
      <c r="U716">
        <v>2.5</v>
      </c>
      <c r="V716" t="s">
        <v>33</v>
      </c>
      <c r="W716">
        <v>0.50249999999999995</v>
      </c>
      <c r="X716">
        <f>W716</f>
        <v>0.50249999999999995</v>
      </c>
      <c r="Y716" t="s">
        <v>33</v>
      </c>
      <c r="Z716" s="3">
        <f t="shared" si="356"/>
        <v>1.0049999999999998E-2</v>
      </c>
      <c r="AA716" t="s">
        <v>33</v>
      </c>
      <c r="AB716">
        <f>IFERROR(((X716*M716)/Z716), "NA")</f>
        <v>50.000000000000007</v>
      </c>
      <c r="AC716" s="1" t="str">
        <f t="shared" si="353"/>
        <v>NA</v>
      </c>
      <c r="AE716" s="3">
        <f t="shared" si="354"/>
        <v>93.750000000000014</v>
      </c>
      <c r="AF716">
        <v>150</v>
      </c>
      <c r="AG716" s="1" t="str">
        <f>IFERROR((N716*P716*Q716), "NA")</f>
        <v>NA</v>
      </c>
      <c r="AH716" s="1" t="str">
        <f>IFERROR((AG716*U716*AI716), "NA")</f>
        <v>NA</v>
      </c>
      <c r="AI716" s="1">
        <v>1</v>
      </c>
      <c r="AJ716" s="11" t="s">
        <v>31</v>
      </c>
      <c r="AK716">
        <v>1000</v>
      </c>
      <c r="AL716" t="s">
        <v>614</v>
      </c>
      <c r="AM716" s="3" t="s">
        <v>103</v>
      </c>
      <c r="AN716" t="s">
        <v>305</v>
      </c>
      <c r="AO716" t="s">
        <v>790</v>
      </c>
      <c r="AP716">
        <v>3.5</v>
      </c>
      <c r="AQ716" t="s">
        <v>33</v>
      </c>
      <c r="AR716" t="s">
        <v>33</v>
      </c>
      <c r="AS716">
        <v>8</v>
      </c>
      <c r="AT716">
        <f>AS716-AU716</f>
        <v>4.6400000000000006</v>
      </c>
      <c r="AU716" s="6">
        <v>3.36</v>
      </c>
      <c r="AV716" t="b">
        <v>1</v>
      </c>
      <c r="AW716" t="s">
        <v>617</v>
      </c>
      <c r="AX716" t="s">
        <v>33</v>
      </c>
      <c r="AY716" t="s">
        <v>623</v>
      </c>
      <c r="AZ716" t="s">
        <v>621</v>
      </c>
      <c r="BA716" s="18" t="s">
        <v>802</v>
      </c>
      <c r="BB716" s="3" t="b">
        <v>0</v>
      </c>
      <c r="BC716" t="s">
        <v>81</v>
      </c>
      <c r="BD716">
        <v>18</v>
      </c>
      <c r="BE716" t="s">
        <v>80</v>
      </c>
      <c r="BF716">
        <v>24</v>
      </c>
      <c r="BG716" t="s">
        <v>569</v>
      </c>
      <c r="BH716" t="s">
        <v>31</v>
      </c>
      <c r="BI716" t="s">
        <v>31</v>
      </c>
      <c r="BJ716">
        <f t="shared" si="360"/>
        <v>3.36</v>
      </c>
      <c r="BK716" s="3">
        <f t="shared" si="352"/>
        <v>0.52633927738984398</v>
      </c>
      <c r="BL716">
        <v>2</v>
      </c>
      <c r="BM716" s="3">
        <f t="shared" si="361"/>
        <v>1.4456319990099125</v>
      </c>
      <c r="BN716" t="s">
        <v>33</v>
      </c>
      <c r="BO716" s="3">
        <f t="shared" si="358"/>
        <v>27.901785714285719</v>
      </c>
      <c r="BP716" t="s">
        <v>33</v>
      </c>
      <c r="BQ716" t="s">
        <v>33</v>
      </c>
      <c r="BR716" t="s">
        <v>33</v>
      </c>
      <c r="BS716" t="s">
        <v>33</v>
      </c>
      <c r="BT716" t="s">
        <v>31</v>
      </c>
      <c r="BU716" t="s">
        <v>255</v>
      </c>
      <c r="BV716">
        <v>2010</v>
      </c>
      <c r="BW716" t="s">
        <v>651</v>
      </c>
      <c r="BX716" t="s">
        <v>78</v>
      </c>
      <c r="BY716" s="13" t="s">
        <v>674</v>
      </c>
      <c r="CA716" t="str">
        <f t="shared" si="359"/>
        <v>high acid</v>
      </c>
    </row>
    <row r="717" spans="1:79">
      <c r="A717" t="s">
        <v>534</v>
      </c>
      <c r="B717" t="s">
        <v>565</v>
      </c>
      <c r="C717" t="s">
        <v>564</v>
      </c>
      <c r="D717" t="s">
        <v>243</v>
      </c>
      <c r="E717" t="s">
        <v>77</v>
      </c>
      <c r="F717" t="s">
        <v>32</v>
      </c>
      <c r="G717">
        <v>40</v>
      </c>
      <c r="H717">
        <v>50.2</v>
      </c>
      <c r="I717" t="b">
        <v>0</v>
      </c>
      <c r="J717" t="s">
        <v>33</v>
      </c>
      <c r="K717" t="s">
        <v>33</v>
      </c>
      <c r="L717">
        <v>24</v>
      </c>
      <c r="M717" s="4">
        <v>120</v>
      </c>
      <c r="N717" s="3">
        <f>IFERROR(AF717/((T717*X717/Y717)*O717*AI717),"NA")</f>
        <v>300.8352803347791</v>
      </c>
      <c r="O717">
        <v>3</v>
      </c>
      <c r="P717" t="s">
        <v>33</v>
      </c>
      <c r="Q717" s="8">
        <f t="shared" si="362"/>
        <v>9.5833333333333326E-2</v>
      </c>
      <c r="R717" t="s">
        <v>183</v>
      </c>
      <c r="S717" t="s">
        <v>612</v>
      </c>
      <c r="T717" s="11">
        <v>4</v>
      </c>
      <c r="U717">
        <v>3</v>
      </c>
      <c r="V717">
        <v>2.6</v>
      </c>
      <c r="W717">
        <v>1.5900000000000001E-2</v>
      </c>
      <c r="X717" s="8">
        <f>IFERROR(((PI())*(((V717*10^-1)/2)^2)*(U717*10^-1)), "NA")</f>
        <v>1.5927874753700257E-2</v>
      </c>
      <c r="Y717" s="6">
        <f>25/60</f>
        <v>0.41666666666666669</v>
      </c>
      <c r="Z717" s="3">
        <f t="shared" si="356"/>
        <v>0.166203910473394</v>
      </c>
      <c r="AA717" t="s">
        <v>33</v>
      </c>
      <c r="AB717" s="6">
        <f>IFERROR(((X717*M717)/Z717), "NA")</f>
        <v>11.499999999999998</v>
      </c>
      <c r="AC717" t="str">
        <f t="shared" si="353"/>
        <v>NA</v>
      </c>
      <c r="AD717" s="4">
        <f>IFERROR(AB717*T717*AI717, "NA")</f>
        <v>45.999999999999993</v>
      </c>
      <c r="AE717" s="3">
        <f t="shared" si="354"/>
        <v>73.128959999999992</v>
      </c>
      <c r="AF717">
        <v>138</v>
      </c>
      <c r="AG717" t="str">
        <f>IFERROR((M717*O717*P717), "NA")</f>
        <v>NA</v>
      </c>
      <c r="AH717" t="str">
        <f>IFERROR((AG717*T717*AI717), "NA")</f>
        <v>NA</v>
      </c>
      <c r="AI717" s="11">
        <v>1</v>
      </c>
      <c r="AJ717" t="s">
        <v>31</v>
      </c>
      <c r="AK717">
        <v>920</v>
      </c>
      <c r="AL717" t="s">
        <v>551</v>
      </c>
      <c r="AM717" t="s">
        <v>86</v>
      </c>
      <c r="AN717" t="s">
        <v>186</v>
      </c>
      <c r="AO717" t="s">
        <v>794</v>
      </c>
      <c r="AP717">
        <v>5.92</v>
      </c>
      <c r="AQ717" t="s">
        <v>33</v>
      </c>
      <c r="AR717" t="s">
        <v>33</v>
      </c>
      <c r="AS717" s="6">
        <f>LOG(1.4*10^6)</f>
        <v>6.1461280356782382</v>
      </c>
      <c r="AT717" s="3">
        <f>IFERROR(AS717-AU717,"NA")</f>
        <v>4.6431280356782381</v>
      </c>
      <c r="AU717" s="6">
        <v>1.5029999999999999</v>
      </c>
      <c r="AV717" t="b">
        <v>1</v>
      </c>
      <c r="AW717" t="s">
        <v>29</v>
      </c>
      <c r="AX717" t="s">
        <v>30</v>
      </c>
      <c r="AY717" t="s">
        <v>244</v>
      </c>
      <c r="AZ717" t="s">
        <v>33</v>
      </c>
      <c r="BA717" s="18" t="s">
        <v>798</v>
      </c>
      <c r="BB717" t="b">
        <v>0</v>
      </c>
      <c r="BC717" t="s">
        <v>81</v>
      </c>
      <c r="BD717">
        <v>20</v>
      </c>
      <c r="BE717" t="s">
        <v>80</v>
      </c>
      <c r="BF717" s="11">
        <v>20</v>
      </c>
      <c r="BG717" t="s">
        <v>245</v>
      </c>
      <c r="BH717" t="s">
        <v>31</v>
      </c>
      <c r="BI717" t="s">
        <v>31</v>
      </c>
      <c r="BJ717" s="3">
        <f t="shared" si="360"/>
        <v>1.5029999999999999</v>
      </c>
      <c r="BK717" s="3">
        <f t="shared" si="352"/>
        <v>0.17695898058690812</v>
      </c>
      <c r="BL717">
        <v>2</v>
      </c>
      <c r="BM717" s="3">
        <f t="shared" si="361"/>
        <v>1.6871304165830956</v>
      </c>
      <c r="BN717" t="s">
        <v>33</v>
      </c>
      <c r="BO717" s="3">
        <f t="shared" si="358"/>
        <v>48.655329341317362</v>
      </c>
      <c r="BP717" t="s">
        <v>33</v>
      </c>
      <c r="BQ717" t="s">
        <v>33</v>
      </c>
      <c r="BR717" t="s">
        <v>33</v>
      </c>
      <c r="BS717" t="s">
        <v>33</v>
      </c>
      <c r="BT717" t="s">
        <v>32</v>
      </c>
      <c r="BU717" t="s">
        <v>207</v>
      </c>
      <c r="BV717">
        <v>2014</v>
      </c>
      <c r="BW717" s="2" t="s">
        <v>242</v>
      </c>
      <c r="BX717" t="s">
        <v>78</v>
      </c>
      <c r="BY717" t="s">
        <v>33</v>
      </c>
      <c r="BZ717" t="s">
        <v>33</v>
      </c>
      <c r="CA717" t="str">
        <f t="shared" si="359"/>
        <v>low acid</v>
      </c>
    </row>
    <row r="718" spans="1:79">
      <c r="A718" t="s">
        <v>534</v>
      </c>
      <c r="B718" t="s">
        <v>565</v>
      </c>
      <c r="C718" t="s">
        <v>564</v>
      </c>
      <c r="D718" t="s">
        <v>243</v>
      </c>
      <c r="E718" t="s">
        <v>77</v>
      </c>
      <c r="F718" t="s">
        <v>32</v>
      </c>
      <c r="G718">
        <v>40</v>
      </c>
      <c r="H718">
        <v>50.2</v>
      </c>
      <c r="I718" t="b">
        <v>0</v>
      </c>
      <c r="J718" t="s">
        <v>33</v>
      </c>
      <c r="K718" t="s">
        <v>33</v>
      </c>
      <c r="L718">
        <v>27</v>
      </c>
      <c r="M718" s="4">
        <v>120</v>
      </c>
      <c r="N718" s="3">
        <f>IFERROR(AF718/((T718*X718/Y718)*O718*AI718),"NA")</f>
        <v>150.41764016738955</v>
      </c>
      <c r="O718">
        <v>3</v>
      </c>
      <c r="P718" t="s">
        <v>33</v>
      </c>
      <c r="Q718" s="8">
        <f t="shared" si="362"/>
        <v>4.7916666666666663E-2</v>
      </c>
      <c r="R718" t="s">
        <v>183</v>
      </c>
      <c r="S718" t="s">
        <v>612</v>
      </c>
      <c r="T718" s="11">
        <v>4</v>
      </c>
      <c r="U718">
        <v>3</v>
      </c>
      <c r="V718">
        <v>2.6</v>
      </c>
      <c r="W718">
        <v>1.5900000000000001E-2</v>
      </c>
      <c r="X718" s="8">
        <f>IFERROR(((PI())*(((V718*10^-1)/2)^2)*(U718*10^-1)), "NA")</f>
        <v>1.5927874753700257E-2</v>
      </c>
      <c r="Y718" s="6">
        <f>25/60</f>
        <v>0.41666666666666669</v>
      </c>
      <c r="Z718" s="3">
        <f t="shared" si="356"/>
        <v>0.332407820946788</v>
      </c>
      <c r="AA718" t="s">
        <v>33</v>
      </c>
      <c r="AB718" s="6">
        <f>IFERROR(((X718*M718)/Z718), "NA")</f>
        <v>5.7499999999999991</v>
      </c>
      <c r="AC718" t="str">
        <f t="shared" si="353"/>
        <v>NA</v>
      </c>
      <c r="AD718" s="4">
        <f>IFERROR(AB718*T718*AI718, "NA")</f>
        <v>22.999999999999996</v>
      </c>
      <c r="AE718" s="3">
        <f t="shared" si="354"/>
        <v>46.276919999999997</v>
      </c>
      <c r="AF718">
        <v>69</v>
      </c>
      <c r="AG718" t="str">
        <f>IFERROR((M718*O718*P718), "NA")</f>
        <v>NA</v>
      </c>
      <c r="AH718" t="str">
        <f>IFERROR((AG718*T718*AI718), "NA")</f>
        <v>NA</v>
      </c>
      <c r="AI718" s="11">
        <v>1</v>
      </c>
      <c r="AJ718" t="s">
        <v>31</v>
      </c>
      <c r="AK718">
        <v>920</v>
      </c>
      <c r="AL718" t="s">
        <v>551</v>
      </c>
      <c r="AM718" t="s">
        <v>86</v>
      </c>
      <c r="AN718" t="s">
        <v>186</v>
      </c>
      <c r="AO718" t="s">
        <v>794</v>
      </c>
      <c r="AP718">
        <v>5.92</v>
      </c>
      <c r="AQ718" t="s">
        <v>33</v>
      </c>
      <c r="AR718" t="s">
        <v>33</v>
      </c>
      <c r="AS718" s="6">
        <f>LOG(1.4*10^6)</f>
        <v>6.1461280356782382</v>
      </c>
      <c r="AT718" s="3">
        <f>IFERROR(AS718-AU718,"NA")</f>
        <v>4.648128035678238</v>
      </c>
      <c r="AU718" s="6">
        <v>1.498</v>
      </c>
      <c r="AV718" t="b">
        <v>1</v>
      </c>
      <c r="AW718" t="s">
        <v>29</v>
      </c>
      <c r="AX718" t="s">
        <v>30</v>
      </c>
      <c r="AY718" t="s">
        <v>244</v>
      </c>
      <c r="AZ718" t="s">
        <v>33</v>
      </c>
      <c r="BA718" s="18" t="s">
        <v>798</v>
      </c>
      <c r="BB718" t="b">
        <v>0</v>
      </c>
      <c r="BC718" t="s">
        <v>81</v>
      </c>
      <c r="BD718">
        <v>20</v>
      </c>
      <c r="BE718" t="s">
        <v>80</v>
      </c>
      <c r="BF718" s="11">
        <v>20</v>
      </c>
      <c r="BG718" t="s">
        <v>245</v>
      </c>
      <c r="BH718" t="s">
        <v>31</v>
      </c>
      <c r="BI718" t="s">
        <v>31</v>
      </c>
      <c r="BJ718" s="3">
        <f t="shared" si="360"/>
        <v>1.498</v>
      </c>
      <c r="BK718" s="3">
        <f t="shared" si="352"/>
        <v>0.17551181336344768</v>
      </c>
      <c r="BL718">
        <v>2</v>
      </c>
      <c r="BM718" s="3">
        <f t="shared" si="361"/>
        <v>1.4898526330373374</v>
      </c>
      <c r="BN718" t="s">
        <v>33</v>
      </c>
      <c r="BO718" s="3">
        <f t="shared" si="358"/>
        <v>30.892469959946592</v>
      </c>
      <c r="BP718" t="s">
        <v>33</v>
      </c>
      <c r="BQ718" t="s">
        <v>33</v>
      </c>
      <c r="BR718" t="s">
        <v>33</v>
      </c>
      <c r="BS718" t="s">
        <v>33</v>
      </c>
      <c r="BT718" t="s">
        <v>32</v>
      </c>
      <c r="BU718" t="s">
        <v>207</v>
      </c>
      <c r="BV718">
        <v>2014</v>
      </c>
      <c r="BW718" s="2" t="s">
        <v>242</v>
      </c>
      <c r="BX718" t="s">
        <v>78</v>
      </c>
      <c r="BY718" t="s">
        <v>33</v>
      </c>
      <c r="BZ718" t="s">
        <v>33</v>
      </c>
      <c r="CA718" t="str">
        <f t="shared" si="359"/>
        <v>low acid</v>
      </c>
    </row>
    <row r="719" spans="1:79">
      <c r="A719" t="s">
        <v>590</v>
      </c>
      <c r="B719" t="s">
        <v>565</v>
      </c>
      <c r="C719" t="s">
        <v>564</v>
      </c>
      <c r="D719" t="s">
        <v>609</v>
      </c>
      <c r="E719" t="s">
        <v>77</v>
      </c>
      <c r="F719" t="s">
        <v>32</v>
      </c>
      <c r="G719">
        <v>40</v>
      </c>
      <c r="H719">
        <v>49</v>
      </c>
      <c r="I719" t="b">
        <v>0</v>
      </c>
      <c r="J719" t="s">
        <v>33</v>
      </c>
      <c r="K719" t="s">
        <v>33</v>
      </c>
      <c r="L719">
        <v>15</v>
      </c>
      <c r="M719" s="4">
        <v>120</v>
      </c>
      <c r="N719" t="e">
        <f>(#REF!*Y719)/(T719*X719*O719)</f>
        <v>#REF!</v>
      </c>
      <c r="O719">
        <v>3</v>
      </c>
      <c r="P719" t="s">
        <v>33</v>
      </c>
      <c r="Q719" s="1">
        <f t="shared" si="362"/>
        <v>0.12743055555555555</v>
      </c>
      <c r="R719" t="s">
        <v>183</v>
      </c>
      <c r="S719" t="s">
        <v>612</v>
      </c>
      <c r="T719">
        <v>4</v>
      </c>
      <c r="U719">
        <v>3</v>
      </c>
      <c r="V719">
        <v>2.6</v>
      </c>
      <c r="W719">
        <v>1.5900000000000001E-2</v>
      </c>
      <c r="X719">
        <f>IFERROR(((PI())*(((V719*10^-1)/2)^2)*(U719*10^-1)), "NA")</f>
        <v>1.5927874753700257E-2</v>
      </c>
      <c r="Y719">
        <v>8.3333299999999999E-2</v>
      </c>
      <c r="Z719" s="3">
        <f t="shared" si="356"/>
        <v>0.1249925866230429</v>
      </c>
      <c r="AA719" t="s">
        <v>33</v>
      </c>
      <c r="AB719">
        <f>IFERROR(((X719*M719)/Z719), "NA")</f>
        <v>15.291666666666666</v>
      </c>
      <c r="AC719" s="1" t="str">
        <f t="shared" si="353"/>
        <v>NA</v>
      </c>
      <c r="AE719" s="3">
        <f t="shared" si="354"/>
        <v>47.480624999999989</v>
      </c>
      <c r="AF719">
        <v>183.5</v>
      </c>
      <c r="AG719" s="1" t="str">
        <f>IFERROR((N719*P719*Q719), "NA")</f>
        <v>NA</v>
      </c>
      <c r="AH719" s="1" t="str">
        <f>IFERROR((AG719*U719*AI719), "NA")</f>
        <v>NA</v>
      </c>
      <c r="AI719" s="1">
        <v>1</v>
      </c>
      <c r="AJ719" s="11" t="s">
        <v>31</v>
      </c>
      <c r="AK719">
        <v>1150</v>
      </c>
      <c r="AL719" t="s">
        <v>551</v>
      </c>
      <c r="AM719" t="s">
        <v>86</v>
      </c>
      <c r="AN719" t="s">
        <v>186</v>
      </c>
      <c r="AO719" t="s">
        <v>794</v>
      </c>
      <c r="AP719">
        <v>5.92</v>
      </c>
      <c r="AQ719" t="s">
        <v>33</v>
      </c>
      <c r="AR719" t="s">
        <v>33</v>
      </c>
      <c r="AS719">
        <v>6</v>
      </c>
      <c r="AT719">
        <f>AS719-AU719</f>
        <v>4.6500000000000004</v>
      </c>
      <c r="AU719" s="6">
        <v>1.35</v>
      </c>
      <c r="AV719" t="b">
        <v>1</v>
      </c>
      <c r="AW719" t="s">
        <v>626</v>
      </c>
      <c r="AX719" t="s">
        <v>627</v>
      </c>
      <c r="AY719" t="s">
        <v>631</v>
      </c>
      <c r="AZ719" t="s">
        <v>33</v>
      </c>
      <c r="BA719" s="18" t="s">
        <v>800</v>
      </c>
      <c r="BB719" s="3" t="b">
        <v>0</v>
      </c>
      <c r="BC719" t="s">
        <v>81</v>
      </c>
      <c r="BD719">
        <v>20</v>
      </c>
      <c r="BE719" t="s">
        <v>80</v>
      </c>
      <c r="BF719">
        <v>20</v>
      </c>
      <c r="BG719" t="s">
        <v>695</v>
      </c>
      <c r="BH719" t="s">
        <v>32</v>
      </c>
      <c r="BI719" t="s">
        <v>31</v>
      </c>
      <c r="BJ719">
        <f t="shared" si="360"/>
        <v>1.35</v>
      </c>
      <c r="BK719" s="3">
        <f t="shared" si="352"/>
        <v>0.13033376849500614</v>
      </c>
      <c r="BL719">
        <v>2</v>
      </c>
      <c r="BM719" s="3">
        <f t="shared" si="361"/>
        <v>1.546182658558076</v>
      </c>
      <c r="BN719" t="s">
        <v>33</v>
      </c>
      <c r="BO719" s="3">
        <f t="shared" si="358"/>
        <v>35.17083333333332</v>
      </c>
      <c r="BP719" t="s">
        <v>33</v>
      </c>
      <c r="BQ719" t="s">
        <v>33</v>
      </c>
      <c r="BR719" t="s">
        <v>33</v>
      </c>
      <c r="BS719" t="s">
        <v>33</v>
      </c>
      <c r="BT719" t="s">
        <v>32</v>
      </c>
      <c r="BU719" s="15" t="s">
        <v>207</v>
      </c>
      <c r="BV719">
        <v>2014</v>
      </c>
      <c r="BW719" t="s">
        <v>242</v>
      </c>
      <c r="BX719" t="s">
        <v>78</v>
      </c>
      <c r="BY719" s="13" t="s">
        <v>678</v>
      </c>
      <c r="CA719" t="str">
        <f t="shared" si="359"/>
        <v>low acid</v>
      </c>
    </row>
    <row r="720" spans="1:79">
      <c r="A720" t="s">
        <v>594</v>
      </c>
      <c r="B720" t="s">
        <v>566</v>
      </c>
      <c r="C720" t="s">
        <v>563</v>
      </c>
      <c r="D720" t="s">
        <v>33</v>
      </c>
      <c r="E720" t="s">
        <v>77</v>
      </c>
      <c r="F720" t="s">
        <v>32</v>
      </c>
      <c r="G720" t="s">
        <v>33</v>
      </c>
      <c r="H720">
        <v>30</v>
      </c>
      <c r="I720" t="b">
        <v>1</v>
      </c>
      <c r="J720" t="s">
        <v>33</v>
      </c>
      <c r="K720" t="s">
        <v>33</v>
      </c>
      <c r="L720">
        <v>30</v>
      </c>
      <c r="M720" s="4">
        <v>2</v>
      </c>
      <c r="N720" t="e">
        <f>(#REF!*Y720)/(T720*X720*O720)</f>
        <v>#REF!</v>
      </c>
      <c r="O720">
        <v>2</v>
      </c>
      <c r="P720" t="s">
        <v>33</v>
      </c>
      <c r="Q720" s="1">
        <f t="shared" si="362"/>
        <v>7.1</v>
      </c>
      <c r="R720" t="s">
        <v>183</v>
      </c>
      <c r="S720" t="s">
        <v>613</v>
      </c>
      <c r="T720">
        <v>1</v>
      </c>
      <c r="U720">
        <v>5</v>
      </c>
      <c r="V720" t="s">
        <v>33</v>
      </c>
      <c r="W720">
        <v>0.71</v>
      </c>
      <c r="X720">
        <f>W720</f>
        <v>0.71</v>
      </c>
      <c r="Y720">
        <v>0.1</v>
      </c>
      <c r="Z720" s="3">
        <f>Y720</f>
        <v>0.1</v>
      </c>
      <c r="AA720" s="3">
        <v>14.8409893992932</v>
      </c>
      <c r="AB720">
        <f>IFERROR(((X720*M720)/Y720), "NA")</f>
        <v>14.2</v>
      </c>
      <c r="AC720" s="1" t="str">
        <f t="shared" si="353"/>
        <v>NA</v>
      </c>
      <c r="AE720" s="3">
        <f t="shared" si="354"/>
        <v>787.24799999999993</v>
      </c>
      <c r="AF720" t="s">
        <v>33</v>
      </c>
      <c r="AG720" s="1">
        <f>IFERROR((M720*O720*Q720), "NA")</f>
        <v>28.4</v>
      </c>
      <c r="AH720" s="1">
        <f>IFERROR((AG720*U720*AI720), "NA")</f>
        <v>568</v>
      </c>
      <c r="AI720" s="1">
        <v>4</v>
      </c>
      <c r="AJ720" s="11" t="s">
        <v>31</v>
      </c>
      <c r="AK720">
        <f>7700</f>
        <v>7700</v>
      </c>
      <c r="AL720" t="s">
        <v>561</v>
      </c>
      <c r="AM720" s="3" t="s">
        <v>786</v>
      </c>
      <c r="AN720" t="s">
        <v>186</v>
      </c>
      <c r="AO720" t="s">
        <v>793</v>
      </c>
      <c r="AP720" t="s">
        <v>33</v>
      </c>
      <c r="AQ720" t="s">
        <v>33</v>
      </c>
      <c r="AR720" t="s">
        <v>33</v>
      </c>
      <c r="AS720">
        <v>8</v>
      </c>
      <c r="AT720">
        <f>AS720-AU720</f>
        <v>4.6500000000000004</v>
      </c>
      <c r="AU720" s="6">
        <v>3.35</v>
      </c>
      <c r="AV720" t="b">
        <v>1</v>
      </c>
      <c r="AW720" t="s">
        <v>617</v>
      </c>
      <c r="AX720" t="s">
        <v>624</v>
      </c>
      <c r="AY720" t="s">
        <v>622</v>
      </c>
      <c r="AZ720" t="s">
        <v>33</v>
      </c>
      <c r="BA720" s="18" t="s">
        <v>802</v>
      </c>
      <c r="BB720" s="3" t="b">
        <v>0</v>
      </c>
      <c r="BC720" t="s">
        <v>81</v>
      </c>
      <c r="BD720">
        <v>18</v>
      </c>
      <c r="BE720" t="s">
        <v>80</v>
      </c>
      <c r="BF720">
        <v>24</v>
      </c>
      <c r="BG720" t="s">
        <v>696</v>
      </c>
      <c r="BH720" t="s">
        <v>32</v>
      </c>
      <c r="BI720" t="s">
        <v>31</v>
      </c>
      <c r="BJ720">
        <f t="shared" si="360"/>
        <v>3.35</v>
      </c>
      <c r="BK720" s="3">
        <f t="shared" si="352"/>
        <v>0.5250448070368452</v>
      </c>
      <c r="BL720">
        <v>2</v>
      </c>
      <c r="BM720" s="3">
        <f t="shared" si="361"/>
        <v>2.3710667589499614</v>
      </c>
      <c r="BN720" t="s">
        <v>33</v>
      </c>
      <c r="BO720" s="3">
        <f t="shared" si="358"/>
        <v>234.9994029850746</v>
      </c>
      <c r="BP720" t="s">
        <v>33</v>
      </c>
      <c r="BQ720" t="s">
        <v>33</v>
      </c>
      <c r="BR720" t="s">
        <v>33</v>
      </c>
      <c r="BS720" t="s">
        <v>33</v>
      </c>
      <c r="BT720" t="s">
        <v>31</v>
      </c>
      <c r="BU720" t="s">
        <v>338</v>
      </c>
      <c r="BV720">
        <v>2006</v>
      </c>
      <c r="BW720" t="s">
        <v>339</v>
      </c>
      <c r="BX720" t="s">
        <v>78</v>
      </c>
      <c r="BY720" s="13" t="s">
        <v>682</v>
      </c>
      <c r="CA720" t="str">
        <f t="shared" si="359"/>
        <v>low acid</v>
      </c>
    </row>
    <row r="721" spans="1:79">
      <c r="A721" t="s">
        <v>487</v>
      </c>
      <c r="B721" t="s">
        <v>566</v>
      </c>
      <c r="C721" t="s">
        <v>564</v>
      </c>
      <c r="D721" t="s">
        <v>321</v>
      </c>
      <c r="E721" t="s">
        <v>77</v>
      </c>
      <c r="F721" t="s">
        <v>32</v>
      </c>
      <c r="G721">
        <v>4</v>
      </c>
      <c r="H721" t="s">
        <v>33</v>
      </c>
      <c r="I721" t="b">
        <v>0</v>
      </c>
      <c r="J721" t="s">
        <v>33</v>
      </c>
      <c r="K721" t="s">
        <v>33</v>
      </c>
      <c r="L721">
        <v>20</v>
      </c>
      <c r="M721" s="4">
        <v>10</v>
      </c>
      <c r="N721" s="3">
        <f>IFERROR(AF721/((T721*X721/Y721)*O721*AI721),"NA")</f>
        <v>10</v>
      </c>
      <c r="O721">
        <v>1.5</v>
      </c>
      <c r="P721" s="3">
        <f>6/(52.5/60)</f>
        <v>6.8571428571428568</v>
      </c>
      <c r="Q721" s="8">
        <f t="shared" si="362"/>
        <v>6.8571428571428568</v>
      </c>
      <c r="R721" t="s">
        <v>278</v>
      </c>
      <c r="S721" t="s">
        <v>613</v>
      </c>
      <c r="T721" s="11">
        <v>1</v>
      </c>
      <c r="U721">
        <v>100</v>
      </c>
      <c r="V721" t="s">
        <v>33</v>
      </c>
      <c r="W721">
        <v>6</v>
      </c>
      <c r="X721" s="9">
        <f>W721</f>
        <v>6</v>
      </c>
      <c r="Y721" s="6">
        <f>52.5/60</f>
        <v>0.875</v>
      </c>
      <c r="Z721" s="3">
        <f t="shared" ref="Z721:Z728" si="363">IFERROR(X721*M721*O721*T721*AI721/AF721, "NA")</f>
        <v>0.875</v>
      </c>
      <c r="AA721" t="s">
        <v>33</v>
      </c>
      <c r="AB721" s="4">
        <f>IFERROR(((X721*M721)/Y721), "NA")</f>
        <v>68.571428571428569</v>
      </c>
      <c r="AC721" s="4">
        <f t="shared" si="353"/>
        <v>68.571428571428569</v>
      </c>
      <c r="AD721" s="4">
        <f>AB721*T721*AI721</f>
        <v>414</v>
      </c>
      <c r="AE721" s="3">
        <f t="shared" si="354"/>
        <v>1266.8399999999999</v>
      </c>
      <c r="AF721">
        <f>414*O721</f>
        <v>621</v>
      </c>
      <c r="AG721" s="4">
        <f>IFERROR((M721*O721*P721), "NA")</f>
        <v>102.85714285714285</v>
      </c>
      <c r="AH721" s="4">
        <f>IFERROR((AG721*T721*AI721), "NA")</f>
        <v>621</v>
      </c>
      <c r="AI721" s="3">
        <f>AF721/(AG721*T721)</f>
        <v>6.0375000000000005</v>
      </c>
      <c r="AJ721" s="11" t="s">
        <v>32</v>
      </c>
      <c r="AK721">
        <v>5100</v>
      </c>
      <c r="AL721" t="s">
        <v>319</v>
      </c>
      <c r="AM721" t="s">
        <v>86</v>
      </c>
      <c r="AN721" t="s">
        <v>186</v>
      </c>
      <c r="AO721" t="s">
        <v>794</v>
      </c>
      <c r="AP721">
        <v>6.05</v>
      </c>
      <c r="AQ721" t="s">
        <v>33</v>
      </c>
      <c r="AR721" t="s">
        <v>33</v>
      </c>
      <c r="AS721" s="6">
        <f>LOG((10^7+10^8)/2)</f>
        <v>7.7403626894942441</v>
      </c>
      <c r="AT721" s="3">
        <f>IFERROR(AS721-AU721,"NA")</f>
        <v>4.6533626894942444</v>
      </c>
      <c r="AU721" s="6">
        <v>3.0870000000000002</v>
      </c>
      <c r="AV721" t="b">
        <v>1</v>
      </c>
      <c r="AW721" t="s">
        <v>29</v>
      </c>
      <c r="AX721" t="s">
        <v>30</v>
      </c>
      <c r="AY721" t="s">
        <v>320</v>
      </c>
      <c r="AZ721" t="s">
        <v>33</v>
      </c>
      <c r="BA721" s="18" t="s">
        <v>798</v>
      </c>
      <c r="BB721" s="3" t="b">
        <v>0</v>
      </c>
      <c r="BC721" t="s">
        <v>81</v>
      </c>
      <c r="BD721">
        <v>12</v>
      </c>
      <c r="BE721" t="s">
        <v>80</v>
      </c>
      <c r="BF721" t="s">
        <v>33</v>
      </c>
      <c r="BG721" t="s">
        <v>488</v>
      </c>
      <c r="BH721" t="s">
        <v>31</v>
      </c>
      <c r="BI721" t="s">
        <v>31</v>
      </c>
      <c r="BJ721" s="3">
        <f t="shared" si="360"/>
        <v>3.0870000000000002</v>
      </c>
      <c r="BK721" s="3">
        <f t="shared" si="352"/>
        <v>0.48953662948209542</v>
      </c>
      <c r="BL721">
        <v>2</v>
      </c>
      <c r="BM721" s="3">
        <f t="shared" si="361"/>
        <v>2.6131851381203837</v>
      </c>
      <c r="BN721" t="s">
        <v>33</v>
      </c>
      <c r="BO721" s="3">
        <f t="shared" si="358"/>
        <v>410.37900874635562</v>
      </c>
      <c r="BP721" t="s">
        <v>33</v>
      </c>
      <c r="BQ721" t="s">
        <v>33</v>
      </c>
      <c r="BR721" t="s">
        <v>33</v>
      </c>
      <c r="BS721" t="s">
        <v>33</v>
      </c>
      <c r="BT721" t="s">
        <v>31</v>
      </c>
      <c r="BU721" t="s">
        <v>318</v>
      </c>
      <c r="BV721">
        <v>2005</v>
      </c>
      <c r="BW721" t="s">
        <v>489</v>
      </c>
      <c r="BX721" t="s">
        <v>78</v>
      </c>
      <c r="BY721" t="s">
        <v>33</v>
      </c>
      <c r="BZ721" t="s">
        <v>490</v>
      </c>
      <c r="CA721" t="str">
        <f t="shared" si="359"/>
        <v>low acid</v>
      </c>
    </row>
    <row r="722" spans="1:79">
      <c r="A722" t="s">
        <v>580</v>
      </c>
      <c r="B722" t="s">
        <v>565</v>
      </c>
      <c r="C722" t="s">
        <v>563</v>
      </c>
      <c r="D722" t="s">
        <v>118</v>
      </c>
      <c r="E722" t="s">
        <v>77</v>
      </c>
      <c r="F722" t="s">
        <v>32</v>
      </c>
      <c r="G722">
        <v>22</v>
      </c>
      <c r="H722">
        <v>40</v>
      </c>
      <c r="I722" t="b">
        <v>0</v>
      </c>
      <c r="J722">
        <v>10220</v>
      </c>
      <c r="K722">
        <v>62.82</v>
      </c>
      <c r="L722">
        <v>35</v>
      </c>
      <c r="M722" s="4">
        <v>175</v>
      </c>
      <c r="N722" t="e">
        <f>(#REF!*Y722)/(T722*X722*O722)</f>
        <v>#REF!</v>
      </c>
      <c r="O722">
        <v>4</v>
      </c>
      <c r="P722">
        <f>AVERAGE(0.0066, 0.0091)</f>
        <v>7.8499999999999993E-3</v>
      </c>
      <c r="Q722" s="1">
        <f t="shared" si="362"/>
        <v>8.9285714285714288E-2</v>
      </c>
      <c r="R722" t="s">
        <v>183</v>
      </c>
      <c r="S722" t="s">
        <v>613</v>
      </c>
      <c r="T722">
        <v>8</v>
      </c>
      <c r="U722">
        <v>2.92</v>
      </c>
      <c r="V722">
        <v>2.2999999999999998</v>
      </c>
      <c r="W722">
        <v>1.21E-2</v>
      </c>
      <c r="X722">
        <f>IFERROR(((PI())*(((V722*10^-1)/2)^2)*(U722*10^-1)), "NA")</f>
        <v>1.2131888350367701E-2</v>
      </c>
      <c r="Y722">
        <v>1.8333299999999999</v>
      </c>
      <c r="Z722" s="3">
        <f t="shared" si="363"/>
        <v>0.13587714952411825</v>
      </c>
      <c r="AA722" t="s">
        <v>33</v>
      </c>
      <c r="AB722">
        <f>IFERROR(((X722*M722)/Z722), "NA")</f>
        <v>15.624999999999998</v>
      </c>
      <c r="AC722" s="1">
        <f t="shared" si="353"/>
        <v>1.3737499999999998</v>
      </c>
      <c r="AE722" s="3">
        <f t="shared" si="354"/>
        <v>3307.5</v>
      </c>
      <c r="AF722">
        <v>500</v>
      </c>
      <c r="AG722" s="1" t="str">
        <f>IFERROR((N722*P722*Q722), "NA")</f>
        <v>NA</v>
      </c>
      <c r="AH722" s="1" t="str">
        <f>IFERROR((AG722*U722*AI722), "NA")</f>
        <v>NA</v>
      </c>
      <c r="AI722" s="1">
        <v>1</v>
      </c>
      <c r="AJ722" s="11" t="s">
        <v>31</v>
      </c>
      <c r="AK722">
        <v>5400</v>
      </c>
      <c r="AL722" t="s">
        <v>238</v>
      </c>
      <c r="AM722" t="s">
        <v>86</v>
      </c>
      <c r="AN722" t="s">
        <v>205</v>
      </c>
      <c r="AO722" t="s">
        <v>789</v>
      </c>
      <c r="AP722">
        <v>3.44</v>
      </c>
      <c r="AQ722" t="s">
        <v>33</v>
      </c>
      <c r="AR722" t="s">
        <v>33</v>
      </c>
      <c r="AS722">
        <v>7.5</v>
      </c>
      <c r="AT722">
        <f>AS722-AU722</f>
        <v>4.66</v>
      </c>
      <c r="AU722" s="6">
        <v>2.84</v>
      </c>
      <c r="AV722" t="b">
        <v>1</v>
      </c>
      <c r="AW722" t="s">
        <v>617</v>
      </c>
      <c r="AX722" t="s">
        <v>33</v>
      </c>
      <c r="AY722" t="s">
        <v>33</v>
      </c>
      <c r="AZ722" t="s">
        <v>619</v>
      </c>
      <c r="BA722" s="18" t="s">
        <v>802</v>
      </c>
      <c r="BB722" s="3" t="b">
        <v>0</v>
      </c>
      <c r="BC722" t="s">
        <v>81</v>
      </c>
      <c r="BD722">
        <v>15</v>
      </c>
      <c r="BE722" t="s">
        <v>80</v>
      </c>
      <c r="BF722">
        <v>24</v>
      </c>
      <c r="BG722" t="s">
        <v>697</v>
      </c>
      <c r="BH722" t="s">
        <v>32</v>
      </c>
      <c r="BI722" t="s">
        <v>31</v>
      </c>
      <c r="BJ722">
        <f t="shared" si="360"/>
        <v>2.84</v>
      </c>
      <c r="BK722" s="3">
        <f t="shared" si="352"/>
        <v>0.45331834004703764</v>
      </c>
      <c r="BL722">
        <v>2</v>
      </c>
      <c r="BM722" s="3">
        <f t="shared" si="361"/>
        <v>3.0661815128125012</v>
      </c>
      <c r="BN722" t="s">
        <v>33</v>
      </c>
      <c r="BO722" s="3">
        <f t="shared" si="358"/>
        <v>1164.6126760563382</v>
      </c>
      <c r="BP722" t="s">
        <v>33</v>
      </c>
      <c r="BQ722" t="s">
        <v>33</v>
      </c>
      <c r="BR722" t="s">
        <v>33</v>
      </c>
      <c r="BS722" t="s">
        <v>33</v>
      </c>
      <c r="BT722" t="s">
        <v>31</v>
      </c>
      <c r="BU722" t="s">
        <v>219</v>
      </c>
      <c r="BV722" s="14">
        <v>2008</v>
      </c>
      <c r="BW722" t="s">
        <v>257</v>
      </c>
      <c r="BX722" t="s">
        <v>78</v>
      </c>
      <c r="BY722" s="13" t="s">
        <v>670</v>
      </c>
      <c r="CA722" t="str">
        <f t="shared" si="359"/>
        <v>high acid</v>
      </c>
    </row>
    <row r="723" spans="1:79">
      <c r="A723" t="s">
        <v>605</v>
      </c>
      <c r="B723" t="s">
        <v>565</v>
      </c>
      <c r="C723" t="s">
        <v>563</v>
      </c>
      <c r="D723" t="s">
        <v>118</v>
      </c>
      <c r="E723" t="s">
        <v>77</v>
      </c>
      <c r="F723" t="s">
        <v>33</v>
      </c>
      <c r="G723" t="s">
        <v>33</v>
      </c>
      <c r="H723" t="s">
        <v>33</v>
      </c>
      <c r="I723" t="b">
        <v>0</v>
      </c>
      <c r="J723" t="s">
        <v>33</v>
      </c>
      <c r="K723" t="s">
        <v>33</v>
      </c>
      <c r="L723">
        <v>17</v>
      </c>
      <c r="M723" s="4">
        <v>500</v>
      </c>
      <c r="N723" t="e">
        <f>(#REF!*Y723)/(T723*X723*O723)</f>
        <v>#REF!</v>
      </c>
      <c r="O723">
        <v>3</v>
      </c>
      <c r="P723" t="s">
        <v>33</v>
      </c>
      <c r="Q723" s="1">
        <f t="shared" si="362"/>
        <v>1.4555555555555556E-2</v>
      </c>
      <c r="R723" t="s">
        <v>183</v>
      </c>
      <c r="S723" t="s">
        <v>613</v>
      </c>
      <c r="T723">
        <v>6</v>
      </c>
      <c r="U723">
        <v>2.9</v>
      </c>
      <c r="V723">
        <v>2.2999999999999998</v>
      </c>
      <c r="W723" t="s">
        <v>33</v>
      </c>
      <c r="X723">
        <f>IFERROR(((PI())*(((V723*10^-1)/2)^2)*(U723*10^-1)), "NA")</f>
        <v>1.204879322468025E-2</v>
      </c>
      <c r="Y723">
        <v>0.83333299999999999</v>
      </c>
      <c r="Z723" s="3">
        <f t="shared" si="363"/>
        <v>0.82777968719177286</v>
      </c>
      <c r="AA723" t="s">
        <v>33</v>
      </c>
      <c r="AB723">
        <f>IFERROR(((X723*M723)/Z723), "NA")</f>
        <v>7.2777777777777786</v>
      </c>
      <c r="AC723" s="1" t="str">
        <f t="shared" si="353"/>
        <v>NA</v>
      </c>
      <c r="AE723" s="3">
        <f t="shared" si="354"/>
        <v>44.295029999999997</v>
      </c>
      <c r="AF723">
        <v>131</v>
      </c>
      <c r="AG723" s="1" t="str">
        <f>IFERROR((N723*P723*Q723), "NA")</f>
        <v>NA</v>
      </c>
      <c r="AH723" s="1" t="str">
        <f>IFERROR((AG723*U723*AI723), "NA")</f>
        <v>NA</v>
      </c>
      <c r="AI723" s="1">
        <v>1</v>
      </c>
      <c r="AJ723" s="11" t="s">
        <v>31</v>
      </c>
      <c r="AK723">
        <f>1.17*10^3</f>
        <v>1170</v>
      </c>
      <c r="AL723" t="s">
        <v>138</v>
      </c>
      <c r="AM723" t="s">
        <v>86</v>
      </c>
      <c r="AN723" t="s">
        <v>205</v>
      </c>
      <c r="AO723" t="s">
        <v>789</v>
      </c>
      <c r="AP723">
        <v>3.85</v>
      </c>
      <c r="AQ723" t="s">
        <v>33</v>
      </c>
      <c r="AR723" t="s">
        <v>33</v>
      </c>
      <c r="AS723">
        <v>7.78</v>
      </c>
      <c r="AT723">
        <v>4.66</v>
      </c>
      <c r="AU723" s="6">
        <f>AS723-AT723</f>
        <v>3.12</v>
      </c>
      <c r="AV723" t="b">
        <v>1</v>
      </c>
      <c r="AW723" t="s">
        <v>632</v>
      </c>
      <c r="AX723" t="s">
        <v>639</v>
      </c>
      <c r="AY723" t="s">
        <v>33</v>
      </c>
      <c r="AZ723" t="s">
        <v>33</v>
      </c>
      <c r="BA723" s="18" t="s">
        <v>803</v>
      </c>
      <c r="BB723" s="3" t="b">
        <v>0</v>
      </c>
      <c r="BC723" t="s">
        <v>81</v>
      </c>
      <c r="BD723">
        <f>AVERAGE(24,48)</f>
        <v>36</v>
      </c>
      <c r="BE723" t="s">
        <v>80</v>
      </c>
      <c r="BF723">
        <v>48</v>
      </c>
      <c r="BG723" t="s">
        <v>647</v>
      </c>
      <c r="BH723" t="s">
        <v>31</v>
      </c>
      <c r="BI723" t="s">
        <v>31</v>
      </c>
      <c r="BJ723" s="3">
        <f t="shared" si="360"/>
        <v>3.12</v>
      </c>
      <c r="BK723" s="3">
        <f t="shared" si="352"/>
        <v>0.49415459401844281</v>
      </c>
      <c r="BL723">
        <v>2</v>
      </c>
      <c r="BM723" s="3">
        <f t="shared" si="361"/>
        <v>1.1522004061400308</v>
      </c>
      <c r="BN723" t="s">
        <v>33</v>
      </c>
      <c r="BO723" s="3">
        <f t="shared" si="358"/>
        <v>14.197124999999998</v>
      </c>
      <c r="BP723" t="s">
        <v>33</v>
      </c>
      <c r="BQ723" t="s">
        <v>33</v>
      </c>
      <c r="BR723" t="s">
        <v>33</v>
      </c>
      <c r="BS723" t="s">
        <v>33</v>
      </c>
      <c r="BT723" t="s">
        <v>31</v>
      </c>
      <c r="BU723" s="13" t="s">
        <v>135</v>
      </c>
      <c r="BV723" s="14">
        <v>2009</v>
      </c>
      <c r="BW723" s="13" t="s">
        <v>136</v>
      </c>
      <c r="BX723" t="s">
        <v>78</v>
      </c>
      <c r="BY723" s="13" t="s">
        <v>692</v>
      </c>
      <c r="CA723" t="str">
        <f t="shared" si="359"/>
        <v>high acid</v>
      </c>
    </row>
    <row r="724" spans="1:79">
      <c r="A724" t="s">
        <v>587</v>
      </c>
      <c r="B724" t="s">
        <v>565</v>
      </c>
      <c r="C724" t="s">
        <v>563</v>
      </c>
      <c r="D724" t="s">
        <v>118</v>
      </c>
      <c r="E724" t="s">
        <v>77</v>
      </c>
      <c r="F724" t="s">
        <v>32</v>
      </c>
      <c r="G724">
        <v>40</v>
      </c>
      <c r="H724">
        <v>40</v>
      </c>
      <c r="I724" t="b">
        <v>1</v>
      </c>
      <c r="J724" t="s">
        <v>33</v>
      </c>
      <c r="K724" t="s">
        <v>33</v>
      </c>
      <c r="L724">
        <v>30</v>
      </c>
      <c r="M724" s="4">
        <v>100</v>
      </c>
      <c r="N724" t="e">
        <f>(#REF!*Y724)/(T724*X724*O724)</f>
        <v>#REF!</v>
      </c>
      <c r="O724">
        <v>2</v>
      </c>
      <c r="P724" t="s">
        <v>33</v>
      </c>
      <c r="Q724" s="1">
        <f t="shared" si="362"/>
        <v>0.5</v>
      </c>
      <c r="R724" t="s">
        <v>183</v>
      </c>
      <c r="S724" t="s">
        <v>613</v>
      </c>
      <c r="T724">
        <v>6</v>
      </c>
      <c r="U724">
        <v>2.92</v>
      </c>
      <c r="V724">
        <v>2.2999999999999998</v>
      </c>
      <c r="W724" t="s">
        <v>33</v>
      </c>
      <c r="X724">
        <f>IFERROR(((PI())*(((V724*10^-1)/2)^2)*(U724*10^-1)), "NA")</f>
        <v>1.2131888350367701E-2</v>
      </c>
      <c r="Y724">
        <v>1.4</v>
      </c>
      <c r="Z724" s="3">
        <f t="shared" si="363"/>
        <v>2.4263776700735401E-2</v>
      </c>
      <c r="AA724" t="s">
        <v>33</v>
      </c>
      <c r="AB724">
        <f>IFERROR(((X724*M724)/Z724), "NA")</f>
        <v>50</v>
      </c>
      <c r="AC724" s="1" t="str">
        <f t="shared" si="353"/>
        <v>NA</v>
      </c>
      <c r="AE724" s="3">
        <f t="shared" si="354"/>
        <v>3348</v>
      </c>
      <c r="AF724">
        <v>600</v>
      </c>
      <c r="AG724" s="1" t="str">
        <f>IFERROR((N724*P724*Q724), "NA")</f>
        <v>NA</v>
      </c>
      <c r="AH724" s="1" t="str">
        <f>IFERROR((AG724*U724*AI724), "NA")</f>
        <v>NA</v>
      </c>
      <c r="AI724" s="1">
        <v>1</v>
      </c>
      <c r="AJ724" s="11" t="s">
        <v>31</v>
      </c>
      <c r="AK724">
        <v>6200</v>
      </c>
      <c r="AL724" t="s">
        <v>561</v>
      </c>
      <c r="AM724" s="3" t="s">
        <v>786</v>
      </c>
      <c r="AN724" t="s">
        <v>186</v>
      </c>
      <c r="AO724" t="s">
        <v>793</v>
      </c>
      <c r="AP724">
        <v>7.6</v>
      </c>
      <c r="AQ724" t="s">
        <v>33</v>
      </c>
      <c r="AR724" t="s">
        <v>33</v>
      </c>
      <c r="AS724">
        <v>8</v>
      </c>
      <c r="AT724">
        <f>AS724-AU724</f>
        <v>4.66</v>
      </c>
      <c r="AU724" s="6">
        <v>3.34</v>
      </c>
      <c r="AV724" t="b">
        <v>1</v>
      </c>
      <c r="AW724" t="s">
        <v>626</v>
      </c>
      <c r="AX724" t="s">
        <v>627</v>
      </c>
      <c r="AY724" t="s">
        <v>622</v>
      </c>
      <c r="AZ724" t="s">
        <v>33</v>
      </c>
      <c r="BA724" s="18" t="s">
        <v>800</v>
      </c>
      <c r="BB724" s="3" t="b">
        <v>0</v>
      </c>
      <c r="BC724" t="s">
        <v>81</v>
      </c>
      <c r="BD724">
        <v>13</v>
      </c>
      <c r="BE724" t="s">
        <v>80</v>
      </c>
      <c r="BF724">
        <v>48</v>
      </c>
      <c r="BG724" t="s">
        <v>568</v>
      </c>
      <c r="BH724" t="s">
        <v>31</v>
      </c>
      <c r="BI724" t="s">
        <v>31</v>
      </c>
      <c r="BJ724">
        <f t="shared" si="360"/>
        <v>3.34</v>
      </c>
      <c r="BK724" s="3">
        <f t="shared" si="352"/>
        <v>0.52374646681156445</v>
      </c>
      <c r="BL724">
        <v>2</v>
      </c>
      <c r="BM724" s="3">
        <f t="shared" si="361"/>
        <v>3.0010389825096579</v>
      </c>
      <c r="BN724" t="s">
        <v>33</v>
      </c>
      <c r="BO724" s="3">
        <f t="shared" si="358"/>
        <v>1002.3952095808384</v>
      </c>
      <c r="BP724" t="s">
        <v>33</v>
      </c>
      <c r="BQ724" t="s">
        <v>33</v>
      </c>
      <c r="BR724" t="s">
        <v>33</v>
      </c>
      <c r="BS724" t="s">
        <v>33</v>
      </c>
      <c r="BT724" t="s">
        <v>31</v>
      </c>
      <c r="BU724" t="s">
        <v>344</v>
      </c>
      <c r="BV724">
        <v>2007</v>
      </c>
      <c r="BW724" t="s">
        <v>345</v>
      </c>
      <c r="BX724" t="s">
        <v>78</v>
      </c>
      <c r="BY724" s="13" t="s">
        <v>676</v>
      </c>
      <c r="CA724" t="str">
        <f t="shared" si="359"/>
        <v>low acid</v>
      </c>
    </row>
    <row r="725" spans="1:79">
      <c r="A725" t="s">
        <v>142</v>
      </c>
      <c r="B725" t="s">
        <v>565</v>
      </c>
      <c r="C725" t="s">
        <v>563</v>
      </c>
      <c r="D725" t="s">
        <v>118</v>
      </c>
      <c r="E725" t="s">
        <v>77</v>
      </c>
      <c r="F725" t="s">
        <v>32</v>
      </c>
      <c r="G725">
        <v>20</v>
      </c>
      <c r="H725" t="s">
        <v>33</v>
      </c>
      <c r="I725" t="b">
        <v>0</v>
      </c>
      <c r="J725" t="s">
        <v>33</v>
      </c>
      <c r="K725" t="s">
        <v>33</v>
      </c>
      <c r="L725">
        <v>17</v>
      </c>
      <c r="M725" s="4">
        <v>500</v>
      </c>
      <c r="N725" s="3">
        <f>IFERROR(AF725/((T725*X725/Y725)*O725*AI725),"NA")</f>
        <v>603.25697212812861</v>
      </c>
      <c r="O725">
        <v>3</v>
      </c>
      <c r="P725" t="s">
        <v>33</v>
      </c>
      <c r="Q725" s="8">
        <f t="shared" si="362"/>
        <v>1.7444444444444443E-2</v>
      </c>
      <c r="R725" t="s">
        <v>183</v>
      </c>
      <c r="S725" t="s">
        <v>613</v>
      </c>
      <c r="T725" s="11">
        <v>6</v>
      </c>
      <c r="U725">
        <v>2.9</v>
      </c>
      <c r="V725">
        <v>2.2999999999999998</v>
      </c>
      <c r="W725" t="s">
        <v>33</v>
      </c>
      <c r="X725">
        <f>IFERROR(((PI())*(((V725*10^-1)/2)^2)*(U725*10^-1)), "NA")</f>
        <v>1.204879322468025E-2</v>
      </c>
      <c r="Y725" s="8">
        <f>50/60</f>
        <v>0.83333333333333337</v>
      </c>
      <c r="Z725" s="9">
        <f t="shared" si="363"/>
        <v>0.69069515300714812</v>
      </c>
      <c r="AA725" t="s">
        <v>33</v>
      </c>
      <c r="AB725" s="6">
        <f>IFERROR(((X725*M725)/Z725), "NA")</f>
        <v>8.7222222222222232</v>
      </c>
      <c r="AC725" t="str">
        <f t="shared" si="353"/>
        <v>NA</v>
      </c>
      <c r="AD725" s="4">
        <f>IFERROR(AB725*T725*AI725, "NA")</f>
        <v>52.333333333333343</v>
      </c>
      <c r="AE725" s="3">
        <f t="shared" si="354"/>
        <v>53.086409999999987</v>
      </c>
      <c r="AF725">
        <v>157</v>
      </c>
      <c r="AG725" t="str">
        <f>IFERROR((M725*O725*P725), "NA")</f>
        <v>NA</v>
      </c>
      <c r="AH725" t="str">
        <f>IFERROR((AG725*T725*AI725), "NA")</f>
        <v>NA</v>
      </c>
      <c r="AI725" s="11">
        <v>1</v>
      </c>
      <c r="AJ725" t="s">
        <v>31</v>
      </c>
      <c r="AK725">
        <v>1170</v>
      </c>
      <c r="AL725" t="s">
        <v>138</v>
      </c>
      <c r="AM725" t="s">
        <v>86</v>
      </c>
      <c r="AN725" t="s">
        <v>205</v>
      </c>
      <c r="AO725" t="s">
        <v>789</v>
      </c>
      <c r="AP725">
        <v>3.89</v>
      </c>
      <c r="AQ725" t="s">
        <v>33</v>
      </c>
      <c r="AR725" t="s">
        <v>33</v>
      </c>
      <c r="AS725" s="3">
        <v>7.3810000000000002</v>
      </c>
      <c r="AT725" s="3">
        <f>IFERROR(AS725-AU725,"NA")</f>
        <v>4.6609999999999996</v>
      </c>
      <c r="AU725" s="6">
        <v>2.72</v>
      </c>
      <c r="AV725" t="b">
        <v>1</v>
      </c>
      <c r="AW725" t="s">
        <v>92</v>
      </c>
      <c r="AX725" t="s">
        <v>93</v>
      </c>
      <c r="AY725" t="s">
        <v>137</v>
      </c>
      <c r="AZ725" t="s">
        <v>33</v>
      </c>
      <c r="BA725" s="18" t="s">
        <v>801</v>
      </c>
      <c r="BB725" t="b">
        <v>0</v>
      </c>
      <c r="BC725" t="s">
        <v>81</v>
      </c>
      <c r="BD725">
        <f>(48+24)/2</f>
        <v>36</v>
      </c>
      <c r="BE725" t="s">
        <v>80</v>
      </c>
      <c r="BF725" s="11">
        <f>(48+24)/2</f>
        <v>36</v>
      </c>
      <c r="BG725" t="s">
        <v>139</v>
      </c>
      <c r="BH725" t="s">
        <v>31</v>
      </c>
      <c r="BI725" t="s">
        <v>31</v>
      </c>
      <c r="BJ725">
        <f t="shared" si="360"/>
        <v>2.72</v>
      </c>
      <c r="BK725" s="3">
        <f t="shared" si="352"/>
        <v>0.43456890403419873</v>
      </c>
      <c r="BL725">
        <v>2</v>
      </c>
      <c r="BM725" s="3">
        <f>LOG(BO725)</f>
        <v>1.2904144528777444</v>
      </c>
      <c r="BN725" t="s">
        <v>33</v>
      </c>
      <c r="BO725" s="3">
        <f t="shared" si="358"/>
        <v>19.517062499999994</v>
      </c>
      <c r="BP725" t="s">
        <v>33</v>
      </c>
      <c r="BQ725" t="s">
        <v>33</v>
      </c>
      <c r="BR725" t="s">
        <v>33</v>
      </c>
      <c r="BS725" t="s">
        <v>33</v>
      </c>
      <c r="BT725" t="s">
        <v>31</v>
      </c>
      <c r="BU725" t="s">
        <v>135</v>
      </c>
      <c r="BV725">
        <v>2011</v>
      </c>
      <c r="BW725" s="2" t="s">
        <v>136</v>
      </c>
      <c r="BX725" t="s">
        <v>78</v>
      </c>
      <c r="BY725" t="s">
        <v>33</v>
      </c>
      <c r="BZ725" t="s">
        <v>33</v>
      </c>
      <c r="CA725" t="str">
        <f t="shared" si="359"/>
        <v>high acid</v>
      </c>
    </row>
    <row r="726" spans="1:79">
      <c r="A726" t="s">
        <v>151</v>
      </c>
      <c r="B726" t="s">
        <v>565</v>
      </c>
      <c r="C726" t="s">
        <v>563</v>
      </c>
      <c r="D726" t="s">
        <v>118</v>
      </c>
      <c r="E726" t="s">
        <v>77</v>
      </c>
      <c r="F726" t="s">
        <v>32</v>
      </c>
      <c r="G726">
        <v>20</v>
      </c>
      <c r="H726" t="s">
        <v>33</v>
      </c>
      <c r="I726" t="b">
        <v>0</v>
      </c>
      <c r="J726" t="s">
        <v>33</v>
      </c>
      <c r="K726" t="s">
        <v>33</v>
      </c>
      <c r="L726">
        <v>20</v>
      </c>
      <c r="M726" s="4">
        <v>500</v>
      </c>
      <c r="N726" s="3">
        <f>IFERROR(AF726/((T726*X726/Y726)*O726*AI726),"NA")</f>
        <v>503.35454362283343</v>
      </c>
      <c r="O726">
        <v>3</v>
      </c>
      <c r="P726" t="s">
        <v>33</v>
      </c>
      <c r="Q726" s="8">
        <f t="shared" si="362"/>
        <v>1.4555555555555556E-2</v>
      </c>
      <c r="R726" t="s">
        <v>183</v>
      </c>
      <c r="S726" t="s">
        <v>613</v>
      </c>
      <c r="T726" s="11">
        <v>6</v>
      </c>
      <c r="U726">
        <v>2.9</v>
      </c>
      <c r="V726">
        <v>2.2999999999999998</v>
      </c>
      <c r="W726" t="s">
        <v>33</v>
      </c>
      <c r="X726" s="8">
        <f>IFERROR(((PI())*(((V726*10^-1)/2)^2)*(U726*10^-1)), "NA")</f>
        <v>1.204879322468025E-2</v>
      </c>
      <c r="Y726" s="6">
        <f>50/60</f>
        <v>0.83333333333333337</v>
      </c>
      <c r="Z726" s="3">
        <f t="shared" si="363"/>
        <v>0.82777968719177286</v>
      </c>
      <c r="AA726" t="s">
        <v>33</v>
      </c>
      <c r="AB726" s="6">
        <f>IFERROR(((X726*M726)/Z726), "NA")</f>
        <v>7.2777777777777786</v>
      </c>
      <c r="AC726" t="str">
        <f t="shared" si="353"/>
        <v>NA</v>
      </c>
      <c r="AD726" s="4">
        <f>AB726*T726*AI726</f>
        <v>43.666666666666671</v>
      </c>
      <c r="AE726" s="3">
        <f t="shared" si="354"/>
        <v>202.26400000000001</v>
      </c>
      <c r="AF726">
        <v>131</v>
      </c>
      <c r="AG726" t="str">
        <f>IFERROR((M726*O726*P726), "NA")</f>
        <v>NA</v>
      </c>
      <c r="AH726" t="str">
        <f>IFERROR((AG726*T726*AI726), "NA")</f>
        <v>NA</v>
      </c>
      <c r="AI726">
        <v>1</v>
      </c>
      <c r="AJ726" t="s">
        <v>31</v>
      </c>
      <c r="AK726">
        <v>3860</v>
      </c>
      <c r="AL726" t="s">
        <v>138</v>
      </c>
      <c r="AM726" t="s">
        <v>86</v>
      </c>
      <c r="AN726" t="s">
        <v>205</v>
      </c>
      <c r="AO726" t="s">
        <v>789</v>
      </c>
      <c r="AP726">
        <v>3.89</v>
      </c>
      <c r="AQ726" t="s">
        <v>33</v>
      </c>
      <c r="AR726" t="s">
        <v>33</v>
      </c>
      <c r="AS726" s="3">
        <v>7.2050000000000001</v>
      </c>
      <c r="AT726" s="3">
        <f>IFERROR(AS726-AU726,"NA")</f>
        <v>4.6630000000000003</v>
      </c>
      <c r="AU726" s="6">
        <v>2.5419999999999998</v>
      </c>
      <c r="AV726" t="b">
        <v>1</v>
      </c>
      <c r="AW726" t="s">
        <v>29</v>
      </c>
      <c r="AX726" t="s">
        <v>30</v>
      </c>
      <c r="AY726" t="s">
        <v>33</v>
      </c>
      <c r="AZ726" t="s">
        <v>134</v>
      </c>
      <c r="BA726" s="18" t="s">
        <v>798</v>
      </c>
      <c r="BB726" t="b">
        <v>0</v>
      </c>
      <c r="BC726" t="s">
        <v>81</v>
      </c>
      <c r="BD726">
        <f>(48+24)/2</f>
        <v>36</v>
      </c>
      <c r="BE726" t="s">
        <v>80</v>
      </c>
      <c r="BF726" s="11">
        <f>(48+24)/2</f>
        <v>36</v>
      </c>
      <c r="BG726" t="s">
        <v>139</v>
      </c>
      <c r="BH726" t="s">
        <v>31</v>
      </c>
      <c r="BI726" t="s">
        <v>31</v>
      </c>
      <c r="BJ726" s="3">
        <f t="shared" si="360"/>
        <v>2.5419999999999998</v>
      </c>
      <c r="BK726" s="3">
        <f t="shared" si="352"/>
        <v>0.40517554621798935</v>
      </c>
      <c r="BL726">
        <v>2</v>
      </c>
      <c r="BM726" s="3">
        <f t="shared" ref="BM726:BM765" si="364">IFERROR(LOG(BO726),"NA")</f>
        <v>1.9007430454374923</v>
      </c>
      <c r="BN726" t="s">
        <v>33</v>
      </c>
      <c r="BO726" s="3">
        <f t="shared" si="358"/>
        <v>79.568843430369796</v>
      </c>
      <c r="BP726" t="s">
        <v>33</v>
      </c>
      <c r="BQ726" t="s">
        <v>33</v>
      </c>
      <c r="BR726" t="s">
        <v>33</v>
      </c>
      <c r="BS726" t="s">
        <v>33</v>
      </c>
      <c r="BT726" t="s">
        <v>31</v>
      </c>
      <c r="BU726" t="s">
        <v>135</v>
      </c>
      <c r="BV726">
        <v>2011</v>
      </c>
      <c r="BW726" s="7" t="s">
        <v>136</v>
      </c>
      <c r="BX726" t="s">
        <v>78</v>
      </c>
      <c r="BY726" t="s">
        <v>33</v>
      </c>
      <c r="BZ726" t="s">
        <v>33</v>
      </c>
      <c r="CA726" t="str">
        <f t="shared" si="359"/>
        <v>high acid</v>
      </c>
    </row>
    <row r="727" spans="1:79">
      <c r="A727" t="s">
        <v>722</v>
      </c>
      <c r="B727" t="s">
        <v>566</v>
      </c>
      <c r="C727" t="s">
        <v>563</v>
      </c>
      <c r="D727" t="s">
        <v>699</v>
      </c>
      <c r="E727" t="s">
        <v>77</v>
      </c>
      <c r="F727" t="s">
        <v>32</v>
      </c>
      <c r="G727">
        <v>20</v>
      </c>
      <c r="H727">
        <v>64</v>
      </c>
      <c r="I727" t="b">
        <v>1</v>
      </c>
      <c r="J727" t="s">
        <v>33</v>
      </c>
      <c r="K727" t="s">
        <v>33</v>
      </c>
      <c r="L727">
        <v>20</v>
      </c>
      <c r="M727" s="4">
        <v>64</v>
      </c>
      <c r="N727" s="3">
        <f>IFERROR(AF727/((T727*X727/Y727)*O727*AI727),"NA")</f>
        <v>63.657407407407391</v>
      </c>
      <c r="O727">
        <v>5</v>
      </c>
      <c r="P727">
        <v>0.43</v>
      </c>
      <c r="Q727" s="8">
        <f>IFERROR(X727/Y727, "NA")</f>
        <v>0.43200000000000011</v>
      </c>
      <c r="R727" t="s">
        <v>183</v>
      </c>
      <c r="S727" t="s">
        <v>612</v>
      </c>
      <c r="T727" s="11">
        <v>1</v>
      </c>
      <c r="U727">
        <v>4</v>
      </c>
      <c r="V727" t="s">
        <v>33</v>
      </c>
      <c r="W727">
        <f>0.4*3*0.5</f>
        <v>0.60000000000000009</v>
      </c>
      <c r="X727" s="9">
        <f>W727</f>
        <v>0.60000000000000009</v>
      </c>
      <c r="Y727" s="6">
        <f>5000/3600</f>
        <v>1.3888888888888888</v>
      </c>
      <c r="Z727" s="3">
        <f t="shared" si="363"/>
        <v>1.3963636363636365</v>
      </c>
      <c r="AA727" t="s">
        <v>33</v>
      </c>
      <c r="AB727" s="4">
        <f>IFERROR(((X727*M727)/Y727), "NA")</f>
        <v>27.648000000000007</v>
      </c>
      <c r="AC727" s="4">
        <f t="shared" si="353"/>
        <v>27.52</v>
      </c>
      <c r="AD727" s="4">
        <f>AB727*T727*AI727</f>
        <v>27.648000000000007</v>
      </c>
      <c r="AE727" s="3">
        <f t="shared" si="354"/>
        <v>110.59200000000003</v>
      </c>
      <c r="AF727">
        <v>137.5</v>
      </c>
      <c r="AG727" s="4">
        <f>IFERROR((M727*O727*P727), "NA")</f>
        <v>137.6</v>
      </c>
      <c r="AH727" s="4">
        <f>IFERROR((AG727*T727*AI727), "NA")</f>
        <v>137.6</v>
      </c>
      <c r="AI727">
        <v>1</v>
      </c>
      <c r="AJ727" s="11" t="s">
        <v>31</v>
      </c>
      <c r="AK727">
        <v>2000</v>
      </c>
      <c r="AL727" t="s">
        <v>784</v>
      </c>
      <c r="AM727" t="s">
        <v>103</v>
      </c>
      <c r="AN727" t="s">
        <v>130</v>
      </c>
      <c r="AO727" t="s">
        <v>795</v>
      </c>
      <c r="AP727">
        <v>7</v>
      </c>
      <c r="AQ727" t="s">
        <v>33</v>
      </c>
      <c r="AR727" t="s">
        <v>33</v>
      </c>
      <c r="AS727" s="6">
        <f>LOG(AVERAGE(10^8, 10^9))</f>
        <v>8.7403626894942441</v>
      </c>
      <c r="AT727" s="3">
        <f>IFERROR(AS727-AU727,"NA")</f>
        <v>4.6653626894942439</v>
      </c>
      <c r="AU727" s="6">
        <v>4.0750000000000002</v>
      </c>
      <c r="AV727" t="b">
        <v>1</v>
      </c>
      <c r="AW727" t="s">
        <v>123</v>
      </c>
      <c r="AX727" t="s">
        <v>88</v>
      </c>
      <c r="AY727" t="s">
        <v>730</v>
      </c>
      <c r="AZ727" t="s">
        <v>33</v>
      </c>
      <c r="BA727" s="18" t="s">
        <v>579</v>
      </c>
      <c r="BB727" s="3" t="b">
        <v>1</v>
      </c>
      <c r="BC727" t="s">
        <v>81</v>
      </c>
      <c r="BD727">
        <v>24</v>
      </c>
      <c r="BE727" t="s">
        <v>80</v>
      </c>
      <c r="BF727">
        <v>48</v>
      </c>
      <c r="BG727" t="s">
        <v>395</v>
      </c>
      <c r="BH727" t="s">
        <v>31</v>
      </c>
      <c r="BI727" t="s">
        <v>31</v>
      </c>
      <c r="BJ727" s="3">
        <f t="shared" si="360"/>
        <v>4.0750000000000002</v>
      </c>
      <c r="BK727" s="3">
        <f t="shared" si="352"/>
        <v>0.61012761307599539</v>
      </c>
      <c r="BL727">
        <v>2</v>
      </c>
      <c r="BM727" s="3">
        <f t="shared" si="364"/>
        <v>1.4335960990507663</v>
      </c>
      <c r="BN727" t="s">
        <v>33</v>
      </c>
      <c r="BO727" s="3">
        <f t="shared" si="358"/>
        <v>27.139141104294485</v>
      </c>
      <c r="BP727" t="s">
        <v>33</v>
      </c>
      <c r="BQ727" t="s">
        <v>33</v>
      </c>
      <c r="BR727" t="s">
        <v>33</v>
      </c>
      <c r="BS727" t="s">
        <v>33</v>
      </c>
      <c r="BT727" t="s">
        <v>32</v>
      </c>
      <c r="BU727" t="s">
        <v>709</v>
      </c>
      <c r="BV727">
        <v>2024</v>
      </c>
      <c r="BW727" t="s">
        <v>710</v>
      </c>
      <c r="BX727" t="s">
        <v>78</v>
      </c>
      <c r="BY727" t="s">
        <v>711</v>
      </c>
      <c r="CA727" t="str">
        <f t="shared" si="359"/>
        <v>low acid</v>
      </c>
    </row>
    <row r="728" spans="1:79">
      <c r="A728" t="s">
        <v>722</v>
      </c>
      <c r="B728" t="s">
        <v>566</v>
      </c>
      <c r="C728" t="s">
        <v>563</v>
      </c>
      <c r="D728" t="s">
        <v>699</v>
      </c>
      <c r="E728" t="s">
        <v>77</v>
      </c>
      <c r="F728" t="s">
        <v>32</v>
      </c>
      <c r="G728">
        <v>20</v>
      </c>
      <c r="H728">
        <v>64</v>
      </c>
      <c r="I728" t="b">
        <v>1</v>
      </c>
      <c r="J728" t="s">
        <v>33</v>
      </c>
      <c r="K728" t="s">
        <v>33</v>
      </c>
      <c r="L728">
        <v>20</v>
      </c>
      <c r="M728" s="4">
        <v>64</v>
      </c>
      <c r="N728" s="3">
        <f>IFERROR(AF728/((T728*X728/Y728)*O728*AI728),"NA")</f>
        <v>63.657407407407391</v>
      </c>
      <c r="O728">
        <v>5</v>
      </c>
      <c r="P728">
        <v>0.43</v>
      </c>
      <c r="Q728" s="8">
        <f>IFERROR(X728/Y728, "NA")</f>
        <v>0.43200000000000011</v>
      </c>
      <c r="R728" t="s">
        <v>183</v>
      </c>
      <c r="S728" t="s">
        <v>612</v>
      </c>
      <c r="T728" s="11">
        <v>1</v>
      </c>
      <c r="U728">
        <v>4</v>
      </c>
      <c r="V728" t="s">
        <v>33</v>
      </c>
      <c r="W728">
        <f>0.4*3*0.5</f>
        <v>0.60000000000000009</v>
      </c>
      <c r="X728" s="9">
        <f>W728</f>
        <v>0.60000000000000009</v>
      </c>
      <c r="Y728" s="6">
        <f>5000/3600</f>
        <v>1.3888888888888888</v>
      </c>
      <c r="Z728" s="3">
        <f t="shared" si="363"/>
        <v>1.3963636363636365</v>
      </c>
      <c r="AA728" t="s">
        <v>33</v>
      </c>
      <c r="AB728" s="4">
        <f>IFERROR(((X728*M728)/Y728), "NA")</f>
        <v>27.648000000000007</v>
      </c>
      <c r="AC728" s="4">
        <f t="shared" si="353"/>
        <v>27.52</v>
      </c>
      <c r="AD728" s="4">
        <f>AB728*T728*AI728</f>
        <v>27.648000000000007</v>
      </c>
      <c r="AE728" s="3">
        <f t="shared" si="354"/>
        <v>110.59200000000003</v>
      </c>
      <c r="AF728">
        <v>137.5</v>
      </c>
      <c r="AG728" s="4">
        <f>IFERROR((M728*O728*P728), "NA")</f>
        <v>137.6</v>
      </c>
      <c r="AH728" s="4">
        <f>IFERROR((AG728*T728*AI728), "NA")</f>
        <v>137.6</v>
      </c>
      <c r="AI728">
        <v>1</v>
      </c>
      <c r="AJ728" s="11" t="s">
        <v>31</v>
      </c>
      <c r="AK728">
        <v>2000</v>
      </c>
      <c r="AL728" t="s">
        <v>784</v>
      </c>
      <c r="AM728" t="s">
        <v>103</v>
      </c>
      <c r="AN728" t="s">
        <v>130</v>
      </c>
      <c r="AO728" t="s">
        <v>795</v>
      </c>
      <c r="AP728">
        <v>7</v>
      </c>
      <c r="AQ728" t="s">
        <v>33</v>
      </c>
      <c r="AR728" t="s">
        <v>33</v>
      </c>
      <c r="AS728" s="6">
        <f>LOG(AVERAGE(10^8, 10^9))</f>
        <v>8.7403626894942441</v>
      </c>
      <c r="AT728" s="3">
        <f>IFERROR(AS728-AU728,"NA")</f>
        <v>4.6653626894942439</v>
      </c>
      <c r="AU728" s="6">
        <v>4.0750000000000002</v>
      </c>
      <c r="AV728" t="b">
        <v>1</v>
      </c>
      <c r="AW728" t="s">
        <v>123</v>
      </c>
      <c r="AX728" t="s">
        <v>88</v>
      </c>
      <c r="AY728" t="s">
        <v>731</v>
      </c>
      <c r="AZ728" t="s">
        <v>33</v>
      </c>
      <c r="BA728" s="18" t="s">
        <v>579</v>
      </c>
      <c r="BB728" s="3" t="b">
        <v>1</v>
      </c>
      <c r="BC728" t="s">
        <v>81</v>
      </c>
      <c r="BD728">
        <v>24</v>
      </c>
      <c r="BE728" t="s">
        <v>80</v>
      </c>
      <c r="BF728">
        <v>48</v>
      </c>
      <c r="BG728" t="s">
        <v>395</v>
      </c>
      <c r="BH728" t="s">
        <v>31</v>
      </c>
      <c r="BI728" t="s">
        <v>31</v>
      </c>
      <c r="BJ728" s="3">
        <f t="shared" si="360"/>
        <v>4.0750000000000002</v>
      </c>
      <c r="BK728" s="3">
        <f t="shared" si="352"/>
        <v>0.61012761307599539</v>
      </c>
      <c r="BL728">
        <v>2</v>
      </c>
      <c r="BM728" s="3">
        <f t="shared" si="364"/>
        <v>1.4335960990507663</v>
      </c>
      <c r="BN728" t="s">
        <v>33</v>
      </c>
      <c r="BO728" s="3">
        <f t="shared" si="358"/>
        <v>27.139141104294485</v>
      </c>
      <c r="BP728" t="s">
        <v>33</v>
      </c>
      <c r="BQ728" t="s">
        <v>33</v>
      </c>
      <c r="BR728" t="s">
        <v>33</v>
      </c>
      <c r="BS728" t="s">
        <v>33</v>
      </c>
      <c r="BT728" t="s">
        <v>32</v>
      </c>
      <c r="BU728" t="s">
        <v>709</v>
      </c>
      <c r="BV728">
        <v>2024</v>
      </c>
      <c r="BW728" t="s">
        <v>710</v>
      </c>
      <c r="BX728" t="s">
        <v>78</v>
      </c>
      <c r="BY728" t="s">
        <v>711</v>
      </c>
      <c r="CA728" t="str">
        <f t="shared" si="359"/>
        <v>low acid</v>
      </c>
    </row>
    <row r="729" spans="1:79">
      <c r="A729" t="s">
        <v>538</v>
      </c>
      <c r="B729" t="s">
        <v>565</v>
      </c>
      <c r="C729" t="s">
        <v>563</v>
      </c>
      <c r="D729" t="s">
        <v>118</v>
      </c>
      <c r="E729" t="s">
        <v>77</v>
      </c>
      <c r="F729" t="s">
        <v>32</v>
      </c>
      <c r="G729">
        <v>20</v>
      </c>
      <c r="H729">
        <v>55</v>
      </c>
      <c r="I729" t="b">
        <v>0</v>
      </c>
      <c r="J729" t="s">
        <v>33</v>
      </c>
      <c r="K729" t="s">
        <v>33</v>
      </c>
      <c r="L729">
        <v>15</v>
      </c>
      <c r="M729" s="4" t="s">
        <v>33</v>
      </c>
      <c r="N729" s="3">
        <f>IFERROR(AF729/((T729*X729/Y729)*O729*AI729),"NA")</f>
        <v>219.05620448312555</v>
      </c>
      <c r="O729">
        <v>2.5</v>
      </c>
      <c r="P729" t="s">
        <v>33</v>
      </c>
      <c r="Q729" s="8">
        <f t="shared" ref="Q729:Q737" si="365">IFERROR(X729/Z729, "NA")</f>
        <v>1.2173435913211425E-2</v>
      </c>
      <c r="R729" t="s">
        <v>183</v>
      </c>
      <c r="S729" t="s">
        <v>613</v>
      </c>
      <c r="T729" s="11">
        <v>6</v>
      </c>
      <c r="U729">
        <v>2.93</v>
      </c>
      <c r="V729">
        <v>2.2999999999999998</v>
      </c>
      <c r="W729" t="s">
        <v>33</v>
      </c>
      <c r="X729" s="8">
        <f>IFERROR(((PI())*(((V729*10^-1)/2)^2)*(U729*10^-1)), "NA")</f>
        <v>1.2173435913211428E-2</v>
      </c>
      <c r="Y729">
        <f>60/60</f>
        <v>1</v>
      </c>
      <c r="Z729" s="3">
        <f>IFERROR(X729*N729*O729*T729*AI729/AF729, "NA")</f>
        <v>1.0000000000000002</v>
      </c>
      <c r="AA729" t="s">
        <v>33</v>
      </c>
      <c r="AB729" s="6">
        <f>IFERROR(((X729*N729)/Y729), "NA")</f>
        <v>2.666666666666667</v>
      </c>
      <c r="AC729" t="str">
        <f t="shared" si="353"/>
        <v>NA</v>
      </c>
      <c r="AD729" s="4">
        <f>IFERROR(AB729*T729*AI729, "NA")</f>
        <v>16</v>
      </c>
      <c r="AE729" s="3">
        <f>IFERROR(((L729^2)*N729*O729*AK729*10^-6*Q729*T729*AI729), "NA")</f>
        <v>26.189999999999998</v>
      </c>
      <c r="AF729">
        <v>40</v>
      </c>
      <c r="AG729" t="str">
        <f>IFERROR((M729*O729*P729), "NA")</f>
        <v>NA</v>
      </c>
      <c r="AH729" t="str">
        <f>IFERROR((AG729*T729*AI729), "NA")</f>
        <v>NA</v>
      </c>
      <c r="AI729" s="11">
        <v>1</v>
      </c>
      <c r="AJ729" t="s">
        <v>31</v>
      </c>
      <c r="AK729">
        <v>2910</v>
      </c>
      <c r="AL729" t="s">
        <v>543</v>
      </c>
      <c r="AM729" t="s">
        <v>86</v>
      </c>
      <c r="AN729" t="s">
        <v>205</v>
      </c>
      <c r="AO729" t="s">
        <v>789</v>
      </c>
      <c r="AP729">
        <v>4.05</v>
      </c>
      <c r="AQ729" t="s">
        <v>33</v>
      </c>
      <c r="AR729" t="s">
        <v>33</v>
      </c>
      <c r="AS729">
        <f>LOG(10^6)</f>
        <v>6</v>
      </c>
      <c r="AT729" s="3">
        <f>IFERROR(AS729-AU729,"NA")</f>
        <v>4.67</v>
      </c>
      <c r="AU729" s="6">
        <v>1.33</v>
      </c>
      <c r="AV729" t="b">
        <v>1</v>
      </c>
      <c r="AW729" t="s">
        <v>29</v>
      </c>
      <c r="AX729" t="s">
        <v>30</v>
      </c>
      <c r="AY729" t="s">
        <v>216</v>
      </c>
      <c r="AZ729" t="s">
        <v>33</v>
      </c>
      <c r="BA729" s="18" t="s">
        <v>798</v>
      </c>
      <c r="BB729" t="b">
        <v>0</v>
      </c>
      <c r="BC729" t="s">
        <v>81</v>
      </c>
      <c r="BD729">
        <v>4</v>
      </c>
      <c r="BE729" t="s">
        <v>159</v>
      </c>
      <c r="BF729" s="11">
        <v>24</v>
      </c>
      <c r="BG729" t="s">
        <v>572</v>
      </c>
      <c r="BH729" t="s">
        <v>31</v>
      </c>
      <c r="BI729" t="s">
        <v>31</v>
      </c>
      <c r="BJ729" s="3">
        <f t="shared" si="360"/>
        <v>1.33</v>
      </c>
      <c r="BK729" s="3">
        <f t="shared" si="352"/>
        <v>0.12385164096708581</v>
      </c>
      <c r="BL729">
        <v>2</v>
      </c>
      <c r="BM729" s="3">
        <f t="shared" si="364"/>
        <v>1.2942838574581463</v>
      </c>
      <c r="BN729" t="s">
        <v>33</v>
      </c>
      <c r="BO729" s="3">
        <f t="shared" si="358"/>
        <v>19.69172932330827</v>
      </c>
      <c r="BP729" t="s">
        <v>33</v>
      </c>
      <c r="BQ729" t="s">
        <v>33</v>
      </c>
      <c r="BR729" t="s">
        <v>33</v>
      </c>
      <c r="BS729" t="s">
        <v>33</v>
      </c>
      <c r="BT729" t="s">
        <v>31</v>
      </c>
      <c r="BU729" t="s">
        <v>274</v>
      </c>
      <c r="BV729">
        <v>2006</v>
      </c>
      <c r="BW729" t="s">
        <v>275</v>
      </c>
      <c r="BX729" t="s">
        <v>78</v>
      </c>
      <c r="BY729" t="s">
        <v>277</v>
      </c>
      <c r="BZ729" t="s">
        <v>33</v>
      </c>
      <c r="CA729" t="str">
        <f t="shared" si="359"/>
        <v>high acid</v>
      </c>
    </row>
    <row r="730" spans="1:79">
      <c r="A730" t="s">
        <v>592</v>
      </c>
      <c r="B730" t="s">
        <v>566</v>
      </c>
      <c r="C730" t="s">
        <v>563</v>
      </c>
      <c r="D730" t="s">
        <v>607</v>
      </c>
      <c r="E730" t="s">
        <v>77</v>
      </c>
      <c r="F730" t="s">
        <v>32</v>
      </c>
      <c r="G730" t="s">
        <v>33</v>
      </c>
      <c r="H730">
        <v>35</v>
      </c>
      <c r="I730" t="b">
        <v>0</v>
      </c>
      <c r="J730">
        <v>30000</v>
      </c>
      <c r="K730">
        <v>200</v>
      </c>
      <c r="L730">
        <v>25</v>
      </c>
      <c r="M730" s="4">
        <v>1</v>
      </c>
      <c r="N730" t="e">
        <f>(#REF!*Y730)/(T730*X730*O730)</f>
        <v>#REF!</v>
      </c>
      <c r="O730">
        <v>3</v>
      </c>
      <c r="P730" t="s">
        <v>33</v>
      </c>
      <c r="Q730" s="1">
        <f t="shared" si="365"/>
        <v>50.693333333333342</v>
      </c>
      <c r="R730" t="s">
        <v>183</v>
      </c>
      <c r="S730" t="s">
        <v>33</v>
      </c>
      <c r="T730">
        <v>1</v>
      </c>
      <c r="U730">
        <v>2.5</v>
      </c>
      <c r="V730" t="s">
        <v>33</v>
      </c>
      <c r="W730">
        <v>0.50249999999999995</v>
      </c>
      <c r="X730">
        <f>W730</f>
        <v>0.50249999999999995</v>
      </c>
      <c r="Y730" t="s">
        <v>33</v>
      </c>
      <c r="Z730" s="3">
        <f t="shared" ref="Z730:Z747" si="366">IFERROR(X730*M730*O730*T730*AI730/AF730, "NA")</f>
        <v>9.9125460284060999E-3</v>
      </c>
      <c r="AA730" t="s">
        <v>33</v>
      </c>
      <c r="AB730">
        <f>IFERROR(((X730*M730)/Z730), "NA")</f>
        <v>50.693333333333342</v>
      </c>
      <c r="AC730" s="1" t="str">
        <f t="shared" ref="AC730:AC747" si="367">IFERROR(M730*P730,"NA")</f>
        <v>NA</v>
      </c>
      <c r="AE730" s="3">
        <f t="shared" ref="AE730:AE737" si="368">IFERROR(((L730^2)*M730*O730*AK730*10^-6*Q730*T730*AI730), "NA")</f>
        <v>95.050000000000011</v>
      </c>
      <c r="AF730">
        <v>152.08000000000001</v>
      </c>
      <c r="AG730" s="1" t="str">
        <f>IFERROR((N730*P730*Q730), "NA")</f>
        <v>NA</v>
      </c>
      <c r="AH730" s="1" t="str">
        <f>IFERROR((AG730*U730*AI730), "NA")</f>
        <v>NA</v>
      </c>
      <c r="AI730" s="1">
        <v>1</v>
      </c>
      <c r="AJ730" s="11" t="s">
        <v>31</v>
      </c>
      <c r="AK730">
        <v>1000</v>
      </c>
      <c r="AL730" t="s">
        <v>614</v>
      </c>
      <c r="AM730" s="3" t="s">
        <v>103</v>
      </c>
      <c r="AN730" t="s">
        <v>305</v>
      </c>
      <c r="AO730" t="s">
        <v>790</v>
      </c>
      <c r="AP730">
        <v>3.5</v>
      </c>
      <c r="AQ730" t="s">
        <v>33</v>
      </c>
      <c r="AR730" t="s">
        <v>33</v>
      </c>
      <c r="AS730">
        <v>8</v>
      </c>
      <c r="AT730">
        <f>AS730-AU730</f>
        <v>4.67</v>
      </c>
      <c r="AU730" s="6">
        <v>3.33</v>
      </c>
      <c r="AV730" t="b">
        <v>1</v>
      </c>
      <c r="AW730" t="s">
        <v>626</v>
      </c>
      <c r="AX730" t="s">
        <v>627</v>
      </c>
      <c r="AY730" t="s">
        <v>633</v>
      </c>
      <c r="AZ730" t="s">
        <v>33</v>
      </c>
      <c r="BA730" s="18" t="s">
        <v>800</v>
      </c>
      <c r="BB730" s="3" t="b">
        <v>0</v>
      </c>
      <c r="BC730" t="s">
        <v>81</v>
      </c>
      <c r="BD730">
        <v>24</v>
      </c>
      <c r="BE730" t="s">
        <v>80</v>
      </c>
      <c r="BF730">
        <v>48</v>
      </c>
      <c r="BG730" t="s">
        <v>569</v>
      </c>
      <c r="BH730" t="s">
        <v>31</v>
      </c>
      <c r="BI730" t="s">
        <v>31</v>
      </c>
      <c r="BJ730">
        <f t="shared" si="360"/>
        <v>3.33</v>
      </c>
      <c r="BK730" s="3">
        <f t="shared" si="352"/>
        <v>0.52244423350631986</v>
      </c>
      <c r="BL730">
        <v>2</v>
      </c>
      <c r="BM730" s="3">
        <f t="shared" si="364"/>
        <v>1.4555078876951422</v>
      </c>
      <c r="BN730" t="s">
        <v>33</v>
      </c>
      <c r="BO730" s="3">
        <f t="shared" si="358"/>
        <v>28.543543543543546</v>
      </c>
      <c r="BP730" t="s">
        <v>33</v>
      </c>
      <c r="BQ730" t="s">
        <v>33</v>
      </c>
      <c r="BR730" t="s">
        <v>33</v>
      </c>
      <c r="BS730" t="s">
        <v>33</v>
      </c>
      <c r="BT730" t="s">
        <v>31</v>
      </c>
      <c r="BU730" s="15" t="s">
        <v>255</v>
      </c>
      <c r="BV730">
        <v>2010</v>
      </c>
      <c r="BW730" t="s">
        <v>659</v>
      </c>
      <c r="BX730" t="s">
        <v>78</v>
      </c>
      <c r="BY730" s="13" t="s">
        <v>680</v>
      </c>
      <c r="CA730" t="str">
        <f t="shared" si="359"/>
        <v>high acid</v>
      </c>
    </row>
    <row r="731" spans="1:79">
      <c r="A731" t="s">
        <v>770</v>
      </c>
      <c r="B731" t="s">
        <v>565</v>
      </c>
      <c r="C731" t="s">
        <v>563</v>
      </c>
      <c r="D731" t="s">
        <v>118</v>
      </c>
      <c r="E731" t="s">
        <v>77</v>
      </c>
      <c r="F731" t="s">
        <v>32</v>
      </c>
      <c r="G731">
        <v>20</v>
      </c>
      <c r="H731" t="s">
        <v>33</v>
      </c>
      <c r="I731" t="b">
        <v>0</v>
      </c>
      <c r="J731" t="s">
        <v>33</v>
      </c>
      <c r="K731" t="s">
        <v>33</v>
      </c>
      <c r="L731">
        <v>30</v>
      </c>
      <c r="M731" s="4">
        <v>500</v>
      </c>
      <c r="N731" s="3">
        <f>IFERROR(AF731/((T731*X731/Y731)*O731*AI731),"NA")</f>
        <v>1599.3968245772394</v>
      </c>
      <c r="O731">
        <v>3</v>
      </c>
      <c r="P731" s="8">
        <f>Q731</f>
        <v>4.4777777777777771E-2</v>
      </c>
      <c r="Q731" s="8">
        <f t="shared" si="365"/>
        <v>4.4777777777777771E-2</v>
      </c>
      <c r="R731" t="s">
        <v>183</v>
      </c>
      <c r="S731" t="s">
        <v>613</v>
      </c>
      <c r="T731" s="11">
        <v>6</v>
      </c>
      <c r="U731">
        <v>2.92</v>
      </c>
      <c r="V731">
        <v>2.2999999999999998</v>
      </c>
      <c r="W731" s="16">
        <f>X731</f>
        <v>1.2131888350367701E-2</v>
      </c>
      <c r="X731" s="16">
        <f>IFERROR(((PI())*(((V731*10^-1)/2)^2)*(U731*10^-1)), "NA")</f>
        <v>1.2131888350367701E-2</v>
      </c>
      <c r="Y731" s="6">
        <f>52/60</f>
        <v>0.8666666666666667</v>
      </c>
      <c r="Z731" s="3">
        <f t="shared" si="366"/>
        <v>0.27093547184444</v>
      </c>
      <c r="AA731" t="s">
        <v>33</v>
      </c>
      <c r="AB731" s="4">
        <f>IFERROR(((X731*M731)/Y731), "NA")</f>
        <v>6.9991663559813659</v>
      </c>
      <c r="AC731" s="4">
        <f t="shared" si="367"/>
        <v>22.388888888888886</v>
      </c>
      <c r="AD731" s="4">
        <f>AB731*T731*AI731</f>
        <v>41.994998135888196</v>
      </c>
      <c r="AE731" s="3">
        <f t="shared" si="368"/>
        <v>997.42499999999995</v>
      </c>
      <c r="AF731">
        <v>403</v>
      </c>
      <c r="AG731" s="4">
        <f>IFERROR((M731*O731*P731), "NA")</f>
        <v>67.166666666666657</v>
      </c>
      <c r="AH731" s="4">
        <f>IFERROR((AG731*T731*AI731), "NA")</f>
        <v>402.99999999999994</v>
      </c>
      <c r="AI731">
        <v>1</v>
      </c>
      <c r="AJ731" s="11" t="s">
        <v>31</v>
      </c>
      <c r="AK731">
        <v>2750</v>
      </c>
      <c r="AL731" t="s">
        <v>149</v>
      </c>
      <c r="AM731" t="s">
        <v>86</v>
      </c>
      <c r="AN731" t="s">
        <v>205</v>
      </c>
      <c r="AO731" t="s">
        <v>789</v>
      </c>
      <c r="AP731">
        <v>3.67</v>
      </c>
      <c r="AQ731" t="s">
        <v>33</v>
      </c>
      <c r="AR731" t="s">
        <v>33</v>
      </c>
      <c r="AS731">
        <v>6.7469999999999999</v>
      </c>
      <c r="AT731" s="3">
        <f>IFERROR(AS731-AU731,"NA")</f>
        <v>4.6749999999999998</v>
      </c>
      <c r="AU731" s="6">
        <f>AS731-4.675</f>
        <v>2.0720000000000001</v>
      </c>
      <c r="AV731" t="b">
        <v>1</v>
      </c>
      <c r="AW731" t="s">
        <v>29</v>
      </c>
      <c r="AX731" t="s">
        <v>30</v>
      </c>
      <c r="AY731" t="s">
        <v>773</v>
      </c>
      <c r="AZ731" t="s">
        <v>134</v>
      </c>
      <c r="BA731" s="18" t="s">
        <v>798</v>
      </c>
      <c r="BB731" s="3" t="b">
        <v>0</v>
      </c>
      <c r="BC731" t="s">
        <v>81</v>
      </c>
      <c r="BD731">
        <v>24</v>
      </c>
      <c r="BE731" t="s">
        <v>80</v>
      </c>
      <c r="BF731">
        <v>36</v>
      </c>
      <c r="BG731" t="s">
        <v>774</v>
      </c>
      <c r="BH731" t="s">
        <v>32</v>
      </c>
      <c r="BI731" t="s">
        <v>31</v>
      </c>
      <c r="BJ731" s="3">
        <f t="shared" si="360"/>
        <v>2.0720000000000001</v>
      </c>
      <c r="BK731" s="3">
        <f t="shared" si="352"/>
        <v>0.31638975107319545</v>
      </c>
      <c r="BL731">
        <v>2</v>
      </c>
      <c r="BM731" s="3">
        <f t="shared" si="364"/>
        <v>2.6824904983375015</v>
      </c>
      <c r="BN731" t="s">
        <v>33</v>
      </c>
      <c r="BO731" s="3">
        <f t="shared" si="358"/>
        <v>481.38272200772195</v>
      </c>
      <c r="BP731" t="s">
        <v>33</v>
      </c>
      <c r="BQ731" t="s">
        <v>33</v>
      </c>
      <c r="BR731" t="s">
        <v>33</v>
      </c>
      <c r="BS731" t="s">
        <v>33</v>
      </c>
      <c r="BT731" t="s">
        <v>31</v>
      </c>
      <c r="BU731" t="s">
        <v>163</v>
      </c>
      <c r="BV731">
        <v>2023</v>
      </c>
      <c r="BW731" t="s">
        <v>776</v>
      </c>
      <c r="BX731" t="s">
        <v>78</v>
      </c>
      <c r="BY731" t="s">
        <v>772</v>
      </c>
      <c r="CA731" t="str">
        <f t="shared" si="359"/>
        <v>high acid</v>
      </c>
    </row>
    <row r="732" spans="1:79">
      <c r="A732" t="s">
        <v>179</v>
      </c>
      <c r="B732" t="s">
        <v>565</v>
      </c>
      <c r="C732" t="s">
        <v>563</v>
      </c>
      <c r="D732" t="s">
        <v>118</v>
      </c>
      <c r="E732" t="s">
        <v>77</v>
      </c>
      <c r="F732" t="s">
        <v>32</v>
      </c>
      <c r="G732">
        <v>22</v>
      </c>
      <c r="H732">
        <v>35</v>
      </c>
      <c r="I732" t="b">
        <v>0</v>
      </c>
      <c r="J732" t="s">
        <v>33</v>
      </c>
      <c r="K732" t="s">
        <v>33</v>
      </c>
      <c r="L732">
        <v>25</v>
      </c>
      <c r="M732" s="4">
        <v>1000</v>
      </c>
      <c r="N732" s="3">
        <f>IFERROR(AF732/((T732*X732/Y732)*O732*AI732),"NA")</f>
        <v>1000.1191061872564</v>
      </c>
      <c r="O732">
        <v>3</v>
      </c>
      <c r="P732" t="s">
        <v>33</v>
      </c>
      <c r="Q732" s="8">
        <f t="shared" si="365"/>
        <v>1.2133333333333333E-2</v>
      </c>
      <c r="R732" t="s">
        <v>183</v>
      </c>
      <c r="S732" t="s">
        <v>613</v>
      </c>
      <c r="T732" s="11">
        <v>4</v>
      </c>
      <c r="U732">
        <v>2.92</v>
      </c>
      <c r="V732">
        <v>2.2999999999999998</v>
      </c>
      <c r="W732" t="s">
        <v>33</v>
      </c>
      <c r="X732" s="8">
        <f>IFERROR(((PI())*(((V732*10^-1)/2)^2)*(U732*10^-1)), "NA")</f>
        <v>1.2131888350367701E-2</v>
      </c>
      <c r="Y732">
        <v>1</v>
      </c>
      <c r="Z732" s="3">
        <f t="shared" si="366"/>
        <v>0.99988090799733798</v>
      </c>
      <c r="AA732">
        <v>12</v>
      </c>
      <c r="AB732" s="6">
        <f t="shared" ref="AB732:AB737" si="369">IFERROR(((X732*M732)/Z732), "NA")</f>
        <v>12.133333333333333</v>
      </c>
      <c r="AC732" t="str">
        <f t="shared" si="367"/>
        <v>NA</v>
      </c>
      <c r="AD732" s="4">
        <f>IFERROR(AB732*T732*AI732, "NA")</f>
        <v>48.533333333333331</v>
      </c>
      <c r="AE732" s="3">
        <f t="shared" si="368"/>
        <v>182</v>
      </c>
      <c r="AF732">
        <v>145.6</v>
      </c>
      <c r="AG732" t="str">
        <f>IFERROR((M732*O732*P732), "NA")</f>
        <v>NA</v>
      </c>
      <c r="AH732" t="str">
        <f>IFERROR((AG732*T732*AI732), "NA")</f>
        <v>NA</v>
      </c>
      <c r="AI732" s="11">
        <v>1</v>
      </c>
      <c r="AJ732" t="s">
        <v>31</v>
      </c>
      <c r="AK732">
        <v>2000</v>
      </c>
      <c r="AL732" t="s">
        <v>114</v>
      </c>
      <c r="AM732" t="s">
        <v>103</v>
      </c>
      <c r="AN732" t="s">
        <v>130</v>
      </c>
      <c r="AO732" t="s">
        <v>795</v>
      </c>
      <c r="AP732" t="s">
        <v>33</v>
      </c>
      <c r="AQ732" t="s">
        <v>33</v>
      </c>
      <c r="AR732" t="s">
        <v>33</v>
      </c>
      <c r="AS732" s="6">
        <f>LOG(3*10^7)</f>
        <v>7.4771212547196626</v>
      </c>
      <c r="AT732" s="3">
        <f>IFERROR(AS732-AU732,"NA")</f>
        <v>4.6771212547196628</v>
      </c>
      <c r="AU732" s="6">
        <v>2.8</v>
      </c>
      <c r="AV732" t="b">
        <v>1</v>
      </c>
      <c r="AW732" t="s">
        <v>123</v>
      </c>
      <c r="AX732" t="s">
        <v>180</v>
      </c>
      <c r="AY732" t="s">
        <v>129</v>
      </c>
      <c r="AZ732" t="s">
        <v>33</v>
      </c>
      <c r="BA732" s="18" t="s">
        <v>579</v>
      </c>
      <c r="BB732" t="b">
        <v>1</v>
      </c>
      <c r="BC732" t="s">
        <v>81</v>
      </c>
      <c r="BD732" t="s">
        <v>33</v>
      </c>
      <c r="BE732" t="s">
        <v>33</v>
      </c>
      <c r="BF732" s="11">
        <v>48</v>
      </c>
      <c r="BG732" t="s">
        <v>395</v>
      </c>
      <c r="BH732" t="s">
        <v>31</v>
      </c>
      <c r="BI732" t="s">
        <v>31</v>
      </c>
      <c r="BJ732" s="3">
        <f t="shared" si="360"/>
        <v>2.8</v>
      </c>
      <c r="BK732" s="3">
        <f t="shared" si="352"/>
        <v>0.44715803134221921</v>
      </c>
      <c r="BL732">
        <v>2</v>
      </c>
      <c r="BM732" s="3">
        <f t="shared" si="364"/>
        <v>1.8129133566428555</v>
      </c>
      <c r="BN732" t="s">
        <v>33</v>
      </c>
      <c r="BO732" s="3">
        <f t="shared" si="358"/>
        <v>65</v>
      </c>
      <c r="BP732" t="s">
        <v>33</v>
      </c>
      <c r="BQ732" t="s">
        <v>33</v>
      </c>
      <c r="BR732" t="s">
        <v>33</v>
      </c>
      <c r="BS732" t="s">
        <v>33</v>
      </c>
      <c r="BT732" t="s">
        <v>32</v>
      </c>
      <c r="BU732" t="s">
        <v>177</v>
      </c>
      <c r="BV732">
        <v>2001</v>
      </c>
      <c r="BW732" s="2" t="s">
        <v>178</v>
      </c>
      <c r="BX732" t="s">
        <v>78</v>
      </c>
      <c r="BY732" t="s">
        <v>33</v>
      </c>
      <c r="BZ732" t="s">
        <v>33</v>
      </c>
      <c r="CA732" t="str">
        <f t="shared" si="359"/>
        <v>low acid</v>
      </c>
    </row>
    <row r="733" spans="1:79">
      <c r="A733" t="s">
        <v>597</v>
      </c>
      <c r="B733" t="s">
        <v>565</v>
      </c>
      <c r="C733" t="s">
        <v>563</v>
      </c>
      <c r="D733" t="s">
        <v>33</v>
      </c>
      <c r="E733" t="s">
        <v>77</v>
      </c>
      <c r="F733" t="s">
        <v>33</v>
      </c>
      <c r="G733">
        <v>20</v>
      </c>
      <c r="H733">
        <v>35</v>
      </c>
      <c r="I733" t="b">
        <v>0</v>
      </c>
      <c r="J733" t="s">
        <v>33</v>
      </c>
      <c r="K733" t="s">
        <v>33</v>
      </c>
      <c r="L733">
        <v>22</v>
      </c>
      <c r="M733" s="4">
        <v>1</v>
      </c>
      <c r="N733" t="e">
        <f>(#REF!*Y733)/(T733*X733*O733)</f>
        <v>#REF!</v>
      </c>
      <c r="O733">
        <v>2</v>
      </c>
      <c r="P733" t="s">
        <v>33</v>
      </c>
      <c r="Q733" s="1">
        <f t="shared" si="365"/>
        <v>502.00000000000006</v>
      </c>
      <c r="R733" t="s">
        <v>183</v>
      </c>
      <c r="S733" t="s">
        <v>33</v>
      </c>
      <c r="T733">
        <v>1</v>
      </c>
      <c r="U733">
        <v>2.5</v>
      </c>
      <c r="V733" t="s">
        <v>33</v>
      </c>
      <c r="W733">
        <v>0.50249999999999995</v>
      </c>
      <c r="X733">
        <f>W733</f>
        <v>0.50249999999999995</v>
      </c>
      <c r="Y733" t="s">
        <v>33</v>
      </c>
      <c r="Z733" s="3">
        <f t="shared" si="366"/>
        <v>1.0009960159362548E-3</v>
      </c>
      <c r="AA733" t="s">
        <v>33</v>
      </c>
      <c r="AB733">
        <f t="shared" si="369"/>
        <v>502.00000000000006</v>
      </c>
      <c r="AC733" s="1" t="str">
        <f t="shared" si="367"/>
        <v>NA</v>
      </c>
      <c r="AE733" s="3">
        <f t="shared" si="368"/>
        <v>971.87200000000007</v>
      </c>
      <c r="AF733">
        <v>1004</v>
      </c>
      <c r="AG733" s="1" t="str">
        <f>IFERROR((N733*P733*Q733), "NA")</f>
        <v>NA</v>
      </c>
      <c r="AH733" s="1" t="str">
        <f>IFERROR((AG733*U733*AI733), "NA")</f>
        <v>NA</v>
      </c>
      <c r="AI733" s="1">
        <v>1</v>
      </c>
      <c r="AJ733" s="11" t="s">
        <v>31</v>
      </c>
      <c r="AK733">
        <v>2000</v>
      </c>
      <c r="AL733" t="s">
        <v>784</v>
      </c>
      <c r="AM733" s="3" t="s">
        <v>103</v>
      </c>
      <c r="AN733" t="s">
        <v>130</v>
      </c>
      <c r="AO733" t="s">
        <v>795</v>
      </c>
      <c r="AP733">
        <v>7</v>
      </c>
      <c r="AQ733" t="s">
        <v>33</v>
      </c>
      <c r="AR733" t="s">
        <v>33</v>
      </c>
      <c r="AS733">
        <v>9</v>
      </c>
      <c r="AT733">
        <f>AS733-AU733</f>
        <v>4.68</v>
      </c>
      <c r="AU733" s="6">
        <v>4.32</v>
      </c>
      <c r="AV733" t="b">
        <v>1</v>
      </c>
      <c r="AW733" t="s">
        <v>617</v>
      </c>
      <c r="AX733" t="s">
        <v>635</v>
      </c>
      <c r="AY733" t="s">
        <v>636</v>
      </c>
      <c r="AZ733" t="s">
        <v>33</v>
      </c>
      <c r="BA733" s="18" t="s">
        <v>802</v>
      </c>
      <c r="BB733" s="3" t="b">
        <v>0</v>
      </c>
      <c r="BC733" t="s">
        <v>81</v>
      </c>
      <c r="BD733">
        <v>24</v>
      </c>
      <c r="BE733" t="s">
        <v>80</v>
      </c>
      <c r="BF733">
        <v>24</v>
      </c>
      <c r="BG733" t="s">
        <v>644</v>
      </c>
      <c r="BH733" t="s">
        <v>31</v>
      </c>
      <c r="BI733" t="s">
        <v>31</v>
      </c>
      <c r="BJ733">
        <f t="shared" si="360"/>
        <v>4.32</v>
      </c>
      <c r="BK733" s="3">
        <f t="shared" si="352"/>
        <v>0.63548374681491215</v>
      </c>
      <c r="BL733">
        <v>2</v>
      </c>
      <c r="BM733" s="3">
        <f t="shared" si="364"/>
        <v>2.3521253233024821</v>
      </c>
      <c r="BN733" t="s">
        <v>33</v>
      </c>
      <c r="BO733" s="3">
        <f t="shared" si="358"/>
        <v>224.97037037037038</v>
      </c>
      <c r="BP733" t="s">
        <v>33</v>
      </c>
      <c r="BQ733" t="s">
        <v>33</v>
      </c>
      <c r="BR733" t="s">
        <v>33</v>
      </c>
      <c r="BS733" t="s">
        <v>33</v>
      </c>
      <c r="BT733" t="s">
        <v>31</v>
      </c>
      <c r="BU733" t="s">
        <v>664</v>
      </c>
      <c r="BV733">
        <v>2000</v>
      </c>
      <c r="BW733" t="s">
        <v>665</v>
      </c>
      <c r="BX733" t="s">
        <v>78</v>
      </c>
      <c r="BY733" s="13" t="s">
        <v>685</v>
      </c>
      <c r="CA733" t="str">
        <f t="shared" si="359"/>
        <v>low acid</v>
      </c>
    </row>
    <row r="734" spans="1:79">
      <c r="A734" t="s">
        <v>534</v>
      </c>
      <c r="B734" t="s">
        <v>565</v>
      </c>
      <c r="C734" t="s">
        <v>564</v>
      </c>
      <c r="D734" t="s">
        <v>243</v>
      </c>
      <c r="E734" t="s">
        <v>77</v>
      </c>
      <c r="F734" t="s">
        <v>32</v>
      </c>
      <c r="G734">
        <v>40</v>
      </c>
      <c r="H734">
        <v>50.2</v>
      </c>
      <c r="I734" t="b">
        <v>0</v>
      </c>
      <c r="J734" t="s">
        <v>33</v>
      </c>
      <c r="K734" t="s">
        <v>33</v>
      </c>
      <c r="L734">
        <v>21</v>
      </c>
      <c r="M734" s="4">
        <v>120</v>
      </c>
      <c r="N734" s="3">
        <f>IFERROR(AF734/((T734*X734/Y734)*O734*AI734),"NA")</f>
        <v>401.11370711303874</v>
      </c>
      <c r="O734">
        <v>3</v>
      </c>
      <c r="P734" t="s">
        <v>33</v>
      </c>
      <c r="Q734" s="8">
        <f t="shared" si="365"/>
        <v>0.12777777777777777</v>
      </c>
      <c r="R734" t="s">
        <v>183</v>
      </c>
      <c r="S734" t="s">
        <v>612</v>
      </c>
      <c r="T734" s="11">
        <v>4</v>
      </c>
      <c r="U734">
        <v>3</v>
      </c>
      <c r="V734">
        <v>2.6</v>
      </c>
      <c r="W734">
        <v>1.5900000000000001E-2</v>
      </c>
      <c r="X734" s="8">
        <f>IFERROR(((PI())*(((V734*10^-1)/2)^2)*(U734*10^-1)), "NA")</f>
        <v>1.5927874753700257E-2</v>
      </c>
      <c r="Y734" s="6">
        <f>25/60</f>
        <v>0.41666666666666669</v>
      </c>
      <c r="Z734" s="3">
        <f t="shared" si="366"/>
        <v>0.1246529328550455</v>
      </c>
      <c r="AA734" t="s">
        <v>33</v>
      </c>
      <c r="AB734" s="6">
        <f t="shared" si="369"/>
        <v>15.333333333333332</v>
      </c>
      <c r="AC734" t="str">
        <f t="shared" si="367"/>
        <v>NA</v>
      </c>
      <c r="AD734" s="4">
        <f>IFERROR(AB734*T734*AI734, "NA")</f>
        <v>61.333333333333329</v>
      </c>
      <c r="AE734" s="3">
        <f t="shared" si="368"/>
        <v>74.652479999999997</v>
      </c>
      <c r="AF734">
        <v>184</v>
      </c>
      <c r="AG734" t="str">
        <f>IFERROR((M734*O734*P734), "NA")</f>
        <v>NA</v>
      </c>
      <c r="AH734" t="str">
        <f>IFERROR((AG734*T734*AI734), "NA")</f>
        <v>NA</v>
      </c>
      <c r="AI734" s="11">
        <v>1</v>
      </c>
      <c r="AJ734" t="s">
        <v>31</v>
      </c>
      <c r="AK734">
        <v>920</v>
      </c>
      <c r="AL734" t="s">
        <v>551</v>
      </c>
      <c r="AM734" t="s">
        <v>86</v>
      </c>
      <c r="AN734" t="s">
        <v>186</v>
      </c>
      <c r="AO734" t="s">
        <v>794</v>
      </c>
      <c r="AP734">
        <v>5.92</v>
      </c>
      <c r="AQ734" t="s">
        <v>33</v>
      </c>
      <c r="AR734" t="s">
        <v>33</v>
      </c>
      <c r="AS734" s="6">
        <f>LOG(1.4*10^6)</f>
        <v>6.1461280356782382</v>
      </c>
      <c r="AT734" s="3">
        <f>IFERROR(AS734-AU734,"NA")</f>
        <v>4.6871280356782385</v>
      </c>
      <c r="AU734" s="6">
        <v>1.4590000000000001</v>
      </c>
      <c r="AV734" t="b">
        <v>1</v>
      </c>
      <c r="AW734" t="s">
        <v>29</v>
      </c>
      <c r="AX734" t="s">
        <v>30</v>
      </c>
      <c r="AY734" t="s">
        <v>244</v>
      </c>
      <c r="AZ734" t="s">
        <v>33</v>
      </c>
      <c r="BA734" s="18" t="s">
        <v>798</v>
      </c>
      <c r="BB734" t="b">
        <v>0</v>
      </c>
      <c r="BC734" t="s">
        <v>81</v>
      </c>
      <c r="BD734">
        <v>20</v>
      </c>
      <c r="BE734" t="s">
        <v>80</v>
      </c>
      <c r="BF734" s="11">
        <v>20</v>
      </c>
      <c r="BG734" t="s">
        <v>245</v>
      </c>
      <c r="BH734" t="s">
        <v>31</v>
      </c>
      <c r="BI734" t="s">
        <v>31</v>
      </c>
      <c r="BJ734" s="3">
        <f t="shared" si="360"/>
        <v>1.4590000000000001</v>
      </c>
      <c r="BK734" s="3">
        <f t="shared" si="352"/>
        <v>0.16405529189345164</v>
      </c>
      <c r="BL734">
        <v>2</v>
      </c>
      <c r="BM734" s="3">
        <f t="shared" si="364"/>
        <v>1.7089889479294786</v>
      </c>
      <c r="BN734" t="s">
        <v>33</v>
      </c>
      <c r="BO734" s="3">
        <f t="shared" si="358"/>
        <v>51.166881425633989</v>
      </c>
      <c r="BP734" t="s">
        <v>33</v>
      </c>
      <c r="BQ734" t="s">
        <v>33</v>
      </c>
      <c r="BR734" t="s">
        <v>33</v>
      </c>
      <c r="BS734" t="s">
        <v>33</v>
      </c>
      <c r="BT734" t="s">
        <v>32</v>
      </c>
      <c r="BU734" t="s">
        <v>207</v>
      </c>
      <c r="BV734">
        <v>2014</v>
      </c>
      <c r="BW734" s="2" t="s">
        <v>242</v>
      </c>
      <c r="BX734" t="s">
        <v>78</v>
      </c>
      <c r="BY734" t="s">
        <v>33</v>
      </c>
      <c r="BZ734" t="s">
        <v>33</v>
      </c>
      <c r="CA734" t="str">
        <f t="shared" si="359"/>
        <v>low acid</v>
      </c>
    </row>
    <row r="735" spans="1:79">
      <c r="A735" t="s">
        <v>580</v>
      </c>
      <c r="B735" t="s">
        <v>565</v>
      </c>
      <c r="C735" t="s">
        <v>563</v>
      </c>
      <c r="D735" t="s">
        <v>118</v>
      </c>
      <c r="E735" t="s">
        <v>77</v>
      </c>
      <c r="F735" t="s">
        <v>32</v>
      </c>
      <c r="G735">
        <v>22</v>
      </c>
      <c r="H735">
        <v>40</v>
      </c>
      <c r="I735" t="b">
        <v>0</v>
      </c>
      <c r="J735">
        <v>10220</v>
      </c>
      <c r="K735">
        <v>34.78</v>
      </c>
      <c r="L735">
        <v>35</v>
      </c>
      <c r="M735" s="4">
        <v>250</v>
      </c>
      <c r="N735" t="e">
        <f>(#REF!*Y735)/(T735*X735*O735)</f>
        <v>#REF!</v>
      </c>
      <c r="O735">
        <v>4</v>
      </c>
      <c r="P735">
        <f>AVERAGE(0.0066, 0.0091)</f>
        <v>7.8499999999999993E-3</v>
      </c>
      <c r="Q735" s="1">
        <f t="shared" si="365"/>
        <v>6.25E-2</v>
      </c>
      <c r="R735" t="s">
        <v>183</v>
      </c>
      <c r="S735" t="s">
        <v>613</v>
      </c>
      <c r="T735">
        <v>8</v>
      </c>
      <c r="U735">
        <v>2.92</v>
      </c>
      <c r="V735">
        <v>2.2999999999999998</v>
      </c>
      <c r="W735">
        <v>1.21E-2</v>
      </c>
      <c r="X735">
        <f>IFERROR(((PI())*(((V735*10^-1)/2)^2)*(U735*10^-1)), "NA")</f>
        <v>1.2131888350367701E-2</v>
      </c>
      <c r="Y735">
        <v>1.5</v>
      </c>
      <c r="Z735" s="3">
        <f t="shared" si="366"/>
        <v>0.19411021360588321</v>
      </c>
      <c r="AA735" t="s">
        <v>33</v>
      </c>
      <c r="AB735">
        <f t="shared" si="369"/>
        <v>15.625</v>
      </c>
      <c r="AC735" s="1">
        <f t="shared" si="367"/>
        <v>1.9624999999999999</v>
      </c>
      <c r="AE735" s="3">
        <f t="shared" si="368"/>
        <v>1831.375</v>
      </c>
      <c r="AF735">
        <v>500</v>
      </c>
      <c r="AG735" s="1" t="str">
        <f>IFERROR((N735*P735*Q735), "NA")</f>
        <v>NA</v>
      </c>
      <c r="AH735" s="1" t="str">
        <f>IFERROR((AG735*U735*AI735), "NA")</f>
        <v>NA</v>
      </c>
      <c r="AI735" s="1">
        <v>1</v>
      </c>
      <c r="AJ735" s="11" t="s">
        <v>31</v>
      </c>
      <c r="AK735">
        <v>2990</v>
      </c>
      <c r="AL735" t="s">
        <v>544</v>
      </c>
      <c r="AM735" t="s">
        <v>86</v>
      </c>
      <c r="AN735" t="s">
        <v>205</v>
      </c>
      <c r="AO735" t="s">
        <v>789</v>
      </c>
      <c r="AP735">
        <v>4.4000000000000004</v>
      </c>
      <c r="AQ735" t="s">
        <v>33</v>
      </c>
      <c r="AR735" t="s">
        <v>33</v>
      </c>
      <c r="AS735">
        <v>7.5</v>
      </c>
      <c r="AT735">
        <f>AS735-AU735</f>
        <v>4.6899999999999995</v>
      </c>
      <c r="AU735" s="6">
        <v>2.81</v>
      </c>
      <c r="AV735" t="b">
        <v>1</v>
      </c>
      <c r="AW735" t="s">
        <v>617</v>
      </c>
      <c r="AX735" t="s">
        <v>33</v>
      </c>
      <c r="AY735" t="s">
        <v>33</v>
      </c>
      <c r="AZ735" t="s">
        <v>619</v>
      </c>
      <c r="BA735" s="18" t="s">
        <v>802</v>
      </c>
      <c r="BB735" s="3" t="b">
        <v>0</v>
      </c>
      <c r="BC735" t="s">
        <v>81</v>
      </c>
      <c r="BD735">
        <v>15</v>
      </c>
      <c r="BE735" t="s">
        <v>80</v>
      </c>
      <c r="BF735">
        <v>24</v>
      </c>
      <c r="BG735" t="s">
        <v>697</v>
      </c>
      <c r="BH735" t="s">
        <v>32</v>
      </c>
      <c r="BI735" t="s">
        <v>31</v>
      </c>
      <c r="BJ735">
        <f t="shared" si="360"/>
        <v>2.81</v>
      </c>
      <c r="BK735" s="3">
        <f t="shared" si="352"/>
        <v>0.44870631990507992</v>
      </c>
      <c r="BL735">
        <v>2</v>
      </c>
      <c r="BM735" s="3">
        <f t="shared" si="364"/>
        <v>2.8140709614559198</v>
      </c>
      <c r="BN735" t="s">
        <v>33</v>
      </c>
      <c r="BO735" s="3">
        <f t="shared" si="358"/>
        <v>651.73487544483987</v>
      </c>
      <c r="BP735" t="s">
        <v>33</v>
      </c>
      <c r="BQ735" t="s">
        <v>33</v>
      </c>
      <c r="BR735" t="s">
        <v>33</v>
      </c>
      <c r="BS735" t="s">
        <v>33</v>
      </c>
      <c r="BT735" t="s">
        <v>31</v>
      </c>
      <c r="BU735" t="s">
        <v>219</v>
      </c>
      <c r="BV735" s="14">
        <v>2008</v>
      </c>
      <c r="BW735" t="s">
        <v>257</v>
      </c>
      <c r="BX735" t="s">
        <v>78</v>
      </c>
      <c r="BY735" s="13" t="s">
        <v>670</v>
      </c>
      <c r="CA735" t="str">
        <f t="shared" si="359"/>
        <v>high acid</v>
      </c>
    </row>
    <row r="736" spans="1:79">
      <c r="A736" t="s">
        <v>527</v>
      </c>
      <c r="B736" t="s">
        <v>565</v>
      </c>
      <c r="C736" t="s">
        <v>564</v>
      </c>
      <c r="D736" t="s">
        <v>215</v>
      </c>
      <c r="E736" t="s">
        <v>77</v>
      </c>
      <c r="F736" t="s">
        <v>32</v>
      </c>
      <c r="G736">
        <v>22.7</v>
      </c>
      <c r="H736">
        <v>46</v>
      </c>
      <c r="I736" t="b">
        <v>0</v>
      </c>
      <c r="J736" t="s">
        <v>33</v>
      </c>
      <c r="K736" t="s">
        <v>33</v>
      </c>
      <c r="L736">
        <v>35</v>
      </c>
      <c r="M736" s="4">
        <v>155</v>
      </c>
      <c r="N736" s="3">
        <f>IFERROR(AF736/((T736*X736/Y736)*O736*AI736),"NA")</f>
        <v>57.132543674013711</v>
      </c>
      <c r="O736">
        <v>2</v>
      </c>
      <c r="P736" t="s">
        <v>33</v>
      </c>
      <c r="Q736" s="8">
        <f t="shared" si="365"/>
        <v>8.0645161290322578E-3</v>
      </c>
      <c r="R736" t="s">
        <v>183</v>
      </c>
      <c r="S736" t="s">
        <v>612</v>
      </c>
      <c r="T736" s="11">
        <v>2</v>
      </c>
      <c r="U736">
        <v>6.5</v>
      </c>
      <c r="V736">
        <v>5</v>
      </c>
      <c r="W736" t="s">
        <v>33</v>
      </c>
      <c r="X736" s="8">
        <f>IFERROR(((PI())*(((V736*10^-1)/2)^2)*(U736*10^-1)), "NA")</f>
        <v>0.12762720155208535</v>
      </c>
      <c r="Y736" s="6">
        <f>350/60</f>
        <v>5.833333333333333</v>
      </c>
      <c r="Z736" s="3">
        <f t="shared" si="366"/>
        <v>15.825772992458582</v>
      </c>
      <c r="AA736">
        <f>3/2</f>
        <v>1.5</v>
      </c>
      <c r="AB736" s="6">
        <f t="shared" si="369"/>
        <v>1.25</v>
      </c>
      <c r="AC736" t="str">
        <f t="shared" si="367"/>
        <v>NA</v>
      </c>
      <c r="AD736" s="4">
        <f>IFERROR(AB736*T736*AI736, "NA")</f>
        <v>2.5</v>
      </c>
      <c r="AE736" s="3">
        <f t="shared" si="368"/>
        <v>23.887499999999996</v>
      </c>
      <c r="AF736">
        <v>5</v>
      </c>
      <c r="AG736" t="str">
        <f>IFERROR((M736*O736*P736), "NA")</f>
        <v>NA</v>
      </c>
      <c r="AH736" t="str">
        <f>IFERROR((AG736*T736*AI736), "NA")</f>
        <v>NA</v>
      </c>
      <c r="AI736" s="11">
        <v>1</v>
      </c>
      <c r="AJ736" t="s">
        <v>31</v>
      </c>
      <c r="AK736">
        <v>3900</v>
      </c>
      <c r="AL736" t="s">
        <v>528</v>
      </c>
      <c r="AM736" s="3" t="s">
        <v>86</v>
      </c>
      <c r="AN736" t="s">
        <v>205</v>
      </c>
      <c r="AO736" t="s">
        <v>789</v>
      </c>
      <c r="AP736">
        <v>3.4</v>
      </c>
      <c r="AQ736" t="s">
        <v>33</v>
      </c>
      <c r="AR736">
        <v>3750</v>
      </c>
      <c r="AS736" s="6">
        <f>LOG(10^6)</f>
        <v>6</v>
      </c>
      <c r="AT736" s="3">
        <f>IFERROR(AS736-AU736,"NA")</f>
        <v>4.6899999999999995</v>
      </c>
      <c r="AU736" s="6">
        <f>(1.29+1.33)/2</f>
        <v>1.31</v>
      </c>
      <c r="AV736" t="b">
        <v>1</v>
      </c>
      <c r="AW736" t="s">
        <v>29</v>
      </c>
      <c r="AX736" t="s">
        <v>30</v>
      </c>
      <c r="AY736" t="s">
        <v>33</v>
      </c>
      <c r="AZ736" t="s">
        <v>134</v>
      </c>
      <c r="BA736" s="18" t="s">
        <v>798</v>
      </c>
      <c r="BB736" s="3" t="b">
        <v>0</v>
      </c>
      <c r="BC736" t="s">
        <v>81</v>
      </c>
      <c r="BD736">
        <v>18</v>
      </c>
      <c r="BE736" t="s">
        <v>80</v>
      </c>
      <c r="BF736" s="11">
        <v>24</v>
      </c>
      <c r="BG736" t="s">
        <v>87</v>
      </c>
      <c r="BH736" t="s">
        <v>31</v>
      </c>
      <c r="BI736" t="s">
        <v>31</v>
      </c>
      <c r="BJ736" s="3">
        <f t="shared" si="360"/>
        <v>1.31</v>
      </c>
      <c r="BK736" s="3">
        <f t="shared" si="352"/>
        <v>0.11727129565576427</v>
      </c>
      <c r="BL736">
        <v>2</v>
      </c>
      <c r="BM736" s="3">
        <f t="shared" si="364"/>
        <v>1.260899404407305</v>
      </c>
      <c r="BN736" t="s">
        <v>33</v>
      </c>
      <c r="BO736" s="3">
        <f t="shared" si="358"/>
        <v>18.234732824427478</v>
      </c>
      <c r="BP736" t="s">
        <v>33</v>
      </c>
      <c r="BQ736" t="s">
        <v>33</v>
      </c>
      <c r="BR736" t="s">
        <v>33</v>
      </c>
      <c r="BS736" t="s">
        <v>33</v>
      </c>
      <c r="BT736" t="s">
        <v>32</v>
      </c>
      <c r="BU736" t="s">
        <v>34</v>
      </c>
      <c r="BV736">
        <v>2019</v>
      </c>
      <c r="BW736" t="s">
        <v>35</v>
      </c>
      <c r="BX736" t="s">
        <v>78</v>
      </c>
      <c r="BY736" t="s">
        <v>33</v>
      </c>
      <c r="BZ736" t="s">
        <v>33</v>
      </c>
      <c r="CA736" t="str">
        <f t="shared" si="359"/>
        <v>high acid</v>
      </c>
    </row>
    <row r="737" spans="1:79">
      <c r="A737" t="s">
        <v>584</v>
      </c>
      <c r="B737" t="s">
        <v>566</v>
      </c>
      <c r="C737" t="s">
        <v>563</v>
      </c>
      <c r="D737" t="s">
        <v>607</v>
      </c>
      <c r="E737" t="s">
        <v>77</v>
      </c>
      <c r="F737" t="s">
        <v>33</v>
      </c>
      <c r="G737">
        <v>20</v>
      </c>
      <c r="H737">
        <v>35</v>
      </c>
      <c r="I737" t="b">
        <v>0</v>
      </c>
      <c r="J737">
        <v>1000</v>
      </c>
      <c r="K737">
        <v>200</v>
      </c>
      <c r="L737">
        <v>25</v>
      </c>
      <c r="M737" s="4">
        <v>1</v>
      </c>
      <c r="N737" t="e">
        <f>(#REF!*Y737)/(T737*X737*O737)</f>
        <v>#REF!</v>
      </c>
      <c r="O737">
        <v>3</v>
      </c>
      <c r="P737" t="s">
        <v>33</v>
      </c>
      <c r="Q737" s="1">
        <f t="shared" si="365"/>
        <v>25.000000000000004</v>
      </c>
      <c r="R737" t="s">
        <v>183</v>
      </c>
      <c r="S737" t="s">
        <v>33</v>
      </c>
      <c r="T737">
        <v>1</v>
      </c>
      <c r="U737">
        <v>2.5</v>
      </c>
      <c r="V737" t="s">
        <v>33</v>
      </c>
      <c r="W737">
        <v>0.50249999999999995</v>
      </c>
      <c r="X737">
        <f>W737</f>
        <v>0.50249999999999995</v>
      </c>
      <c r="Y737" t="s">
        <v>33</v>
      </c>
      <c r="Z737" s="3">
        <f t="shared" si="366"/>
        <v>2.0099999999999996E-2</v>
      </c>
      <c r="AA737" t="s">
        <v>33</v>
      </c>
      <c r="AB737">
        <f t="shared" si="369"/>
        <v>25.000000000000004</v>
      </c>
      <c r="AC737" s="1" t="str">
        <f t="shared" si="367"/>
        <v>NA</v>
      </c>
      <c r="AE737" s="3">
        <f t="shared" si="368"/>
        <v>46.875000000000007</v>
      </c>
      <c r="AF737">
        <v>75</v>
      </c>
      <c r="AG737" s="1" t="str">
        <f>IFERROR((N737*P737*Q737), "NA")</f>
        <v>NA</v>
      </c>
      <c r="AH737" s="1" t="str">
        <f>IFERROR((AG737*U737*AI737), "NA")</f>
        <v>NA</v>
      </c>
      <c r="AI737" s="1">
        <v>1</v>
      </c>
      <c r="AJ737" s="11" t="s">
        <v>31</v>
      </c>
      <c r="AK737">
        <v>1000</v>
      </c>
      <c r="AL737" t="s">
        <v>614</v>
      </c>
      <c r="AM737" s="3" t="s">
        <v>103</v>
      </c>
      <c r="AN737" t="s">
        <v>305</v>
      </c>
      <c r="AO737" t="s">
        <v>790</v>
      </c>
      <c r="AP737">
        <v>4.5</v>
      </c>
      <c r="AQ737" t="s">
        <v>33</v>
      </c>
      <c r="AR737" t="s">
        <v>33</v>
      </c>
      <c r="AS737">
        <v>8</v>
      </c>
      <c r="AT737">
        <f>AS737-AU737</f>
        <v>4.6899999999999995</v>
      </c>
      <c r="AU737" s="6">
        <v>3.31</v>
      </c>
      <c r="AV737" t="b">
        <v>1</v>
      </c>
      <c r="AW737" t="s">
        <v>617</v>
      </c>
      <c r="AX737" t="s">
        <v>33</v>
      </c>
      <c r="AY737" t="s">
        <v>623</v>
      </c>
      <c r="AZ737" t="s">
        <v>621</v>
      </c>
      <c r="BA737" s="18" t="s">
        <v>802</v>
      </c>
      <c r="BB737" s="3" t="b">
        <v>0</v>
      </c>
      <c r="BC737" t="s">
        <v>81</v>
      </c>
      <c r="BD737">
        <v>18</v>
      </c>
      <c r="BE737" t="s">
        <v>80</v>
      </c>
      <c r="BF737">
        <v>24</v>
      </c>
      <c r="BG737" t="s">
        <v>642</v>
      </c>
      <c r="BH737" t="s">
        <v>32</v>
      </c>
      <c r="BI737" t="s">
        <v>31</v>
      </c>
      <c r="BJ737">
        <f t="shared" si="360"/>
        <v>3.31</v>
      </c>
      <c r="BK737" s="3">
        <f t="shared" si="352"/>
        <v>0.51982799377571876</v>
      </c>
      <c r="BL737">
        <v>2</v>
      </c>
      <c r="BM737" s="3">
        <f t="shared" si="364"/>
        <v>1.1511132869600567</v>
      </c>
      <c r="BN737" t="s">
        <v>33</v>
      </c>
      <c r="BO737" s="3">
        <f t="shared" si="358"/>
        <v>14.161631419939578</v>
      </c>
      <c r="BP737" t="s">
        <v>33</v>
      </c>
      <c r="BQ737" t="s">
        <v>33</v>
      </c>
      <c r="BR737" t="s">
        <v>33</v>
      </c>
      <c r="BS737" t="s">
        <v>33</v>
      </c>
      <c r="BT737" t="s">
        <v>31</v>
      </c>
      <c r="BU737" t="s">
        <v>255</v>
      </c>
      <c r="BV737">
        <v>2010</v>
      </c>
      <c r="BW737" t="s">
        <v>651</v>
      </c>
      <c r="BX737" t="s">
        <v>78</v>
      </c>
      <c r="BY737" s="13" t="s">
        <v>674</v>
      </c>
      <c r="CA737" t="str">
        <f t="shared" si="359"/>
        <v>high acid</v>
      </c>
    </row>
    <row r="738" spans="1:79">
      <c r="A738" t="s">
        <v>733</v>
      </c>
      <c r="B738" t="s">
        <v>566</v>
      </c>
      <c r="C738" t="s">
        <v>563</v>
      </c>
      <c r="D738" t="s">
        <v>699</v>
      </c>
      <c r="E738" t="s">
        <v>77</v>
      </c>
      <c r="F738" t="s">
        <v>32</v>
      </c>
      <c r="G738">
        <v>20</v>
      </c>
      <c r="H738">
        <v>64</v>
      </c>
      <c r="I738" t="b">
        <v>1</v>
      </c>
      <c r="J738" t="s">
        <v>33</v>
      </c>
      <c r="K738" t="s">
        <v>33</v>
      </c>
      <c r="L738">
        <v>20</v>
      </c>
      <c r="M738" s="4">
        <v>64</v>
      </c>
      <c r="N738" s="3">
        <f>IFERROR(AF738/((T738*X738/Y738)*O738*AI738),"NA")</f>
        <v>63.657407407407391</v>
      </c>
      <c r="O738">
        <v>5</v>
      </c>
      <c r="P738">
        <v>0.43</v>
      </c>
      <c r="Q738" s="8">
        <f>IFERROR(X738/Y738, "NA")</f>
        <v>0.43200000000000011</v>
      </c>
      <c r="R738" t="s">
        <v>183</v>
      </c>
      <c r="S738" t="s">
        <v>612</v>
      </c>
      <c r="T738" s="11">
        <v>1</v>
      </c>
      <c r="U738">
        <v>4</v>
      </c>
      <c r="V738" t="s">
        <v>33</v>
      </c>
      <c r="W738">
        <f>0.4*3*0.5</f>
        <v>0.60000000000000009</v>
      </c>
      <c r="X738" s="9">
        <f>W738</f>
        <v>0.60000000000000009</v>
      </c>
      <c r="Y738" s="6">
        <f>5000/3600</f>
        <v>1.3888888888888888</v>
      </c>
      <c r="Z738" s="3">
        <f t="shared" si="366"/>
        <v>1.3963636363636365</v>
      </c>
      <c r="AA738" t="s">
        <v>33</v>
      </c>
      <c r="AB738" s="4">
        <f>IFERROR(((X738*M738)/Y738), "NA")</f>
        <v>27.648000000000007</v>
      </c>
      <c r="AC738" s="4">
        <f t="shared" si="367"/>
        <v>27.52</v>
      </c>
      <c r="AD738" s="4">
        <f>AB738*T738*AI738</f>
        <v>27.648000000000007</v>
      </c>
      <c r="AE738" s="3">
        <f>IFERROR(((L738^2)*N738*O738*AK738*10^-6*Q738*T738*AI738), "NA")</f>
        <v>109.99999999999999</v>
      </c>
      <c r="AF738">
        <v>137.5</v>
      </c>
      <c r="AG738" s="4">
        <f>IFERROR((M738*O738*P738), "NA")</f>
        <v>137.6</v>
      </c>
      <c r="AH738" s="4">
        <f>IFERROR((AG738*T738*AI738), "NA")</f>
        <v>137.6</v>
      </c>
      <c r="AI738">
        <v>1</v>
      </c>
      <c r="AJ738" s="11" t="s">
        <v>31</v>
      </c>
      <c r="AK738">
        <v>2000</v>
      </c>
      <c r="AL738" t="s">
        <v>784</v>
      </c>
      <c r="AM738" t="s">
        <v>103</v>
      </c>
      <c r="AN738" t="s">
        <v>130</v>
      </c>
      <c r="AO738" t="s">
        <v>795</v>
      </c>
      <c r="AP738">
        <v>7</v>
      </c>
      <c r="AQ738" t="s">
        <v>33</v>
      </c>
      <c r="AR738" t="s">
        <v>33</v>
      </c>
      <c r="AS738" s="6">
        <f>LOG(AVERAGE(10^8, 10^9))</f>
        <v>8.7403626894942441</v>
      </c>
      <c r="AT738" s="3">
        <f>IFERROR(AS738-AU738,"NA")</f>
        <v>4.6923626894942441</v>
      </c>
      <c r="AU738" s="6">
        <v>4.048</v>
      </c>
      <c r="AV738" t="b">
        <v>1</v>
      </c>
      <c r="AW738" t="s">
        <v>172</v>
      </c>
      <c r="AX738" t="s">
        <v>173</v>
      </c>
      <c r="AY738" t="s">
        <v>739</v>
      </c>
      <c r="AZ738" t="s">
        <v>33</v>
      </c>
      <c r="BA738" s="18" t="s">
        <v>799</v>
      </c>
      <c r="BB738" s="3" t="b">
        <v>0</v>
      </c>
      <c r="BC738" t="s">
        <v>81</v>
      </c>
      <c r="BD738">
        <v>24</v>
      </c>
      <c r="BE738" t="s">
        <v>80</v>
      </c>
      <c r="BF738">
        <v>48</v>
      </c>
      <c r="BG738" t="s">
        <v>734</v>
      </c>
      <c r="BH738" t="s">
        <v>31</v>
      </c>
      <c r="BI738" t="s">
        <v>31</v>
      </c>
      <c r="BJ738" s="3">
        <f t="shared" si="360"/>
        <v>4.048</v>
      </c>
      <c r="BK738" s="3">
        <f t="shared" si="352"/>
        <v>0.60724050383174266</v>
      </c>
      <c r="BL738">
        <v>2</v>
      </c>
      <c r="BM738" s="3">
        <f t="shared" si="364"/>
        <v>1.4341521813264824</v>
      </c>
      <c r="BN738" t="s">
        <v>33</v>
      </c>
      <c r="BO738" s="3">
        <f t="shared" si="358"/>
        <v>27.173913043478258</v>
      </c>
      <c r="BP738" t="s">
        <v>33</v>
      </c>
      <c r="BQ738" t="s">
        <v>33</v>
      </c>
      <c r="BR738" t="s">
        <v>33</v>
      </c>
      <c r="BS738" t="s">
        <v>33</v>
      </c>
      <c r="BT738" t="s">
        <v>32</v>
      </c>
      <c r="BU738" t="s">
        <v>709</v>
      </c>
      <c r="BV738">
        <v>2024</v>
      </c>
      <c r="BW738" t="s">
        <v>710</v>
      </c>
      <c r="BX738" t="s">
        <v>78</v>
      </c>
      <c r="BY738" t="s">
        <v>711</v>
      </c>
      <c r="CA738" t="str">
        <f t="shared" si="359"/>
        <v>low acid</v>
      </c>
    </row>
    <row r="739" spans="1:79">
      <c r="A739" t="s">
        <v>588</v>
      </c>
      <c r="B739" t="s">
        <v>565</v>
      </c>
      <c r="C739" t="s">
        <v>563</v>
      </c>
      <c r="D739" t="s">
        <v>608</v>
      </c>
      <c r="E739" t="s">
        <v>77</v>
      </c>
      <c r="F739" t="s">
        <v>32</v>
      </c>
      <c r="G739" t="s">
        <v>33</v>
      </c>
      <c r="H739">
        <v>40</v>
      </c>
      <c r="I739" t="b">
        <v>0</v>
      </c>
      <c r="J739" t="s">
        <v>33</v>
      </c>
      <c r="K739" t="s">
        <v>33</v>
      </c>
      <c r="L739">
        <v>35</v>
      </c>
      <c r="M739" s="4">
        <v>250</v>
      </c>
      <c r="N739" t="e">
        <f>(#REF!*Y739)/(T739*X739*O739)</f>
        <v>#REF!</v>
      </c>
      <c r="O739">
        <v>3.7</v>
      </c>
      <c r="P739" t="s">
        <v>33</v>
      </c>
      <c r="Q739" s="1">
        <f>IFERROR(X739/Z739, "NA")</f>
        <v>4.8648648648648644E-2</v>
      </c>
      <c r="R739" t="s">
        <v>183</v>
      </c>
      <c r="S739" t="s">
        <v>613</v>
      </c>
      <c r="T739">
        <v>6</v>
      </c>
      <c r="U739">
        <v>1.9</v>
      </c>
      <c r="V739">
        <v>2.2999999999999998</v>
      </c>
      <c r="W739" t="s">
        <v>33</v>
      </c>
      <c r="X739">
        <f>IFERROR(((PI())*(((V739*10^-1)/2)^2)*(U739*10^-1)), "NA")</f>
        <v>7.8940369403077502E-3</v>
      </c>
      <c r="Y739">
        <v>1</v>
      </c>
      <c r="Z739" s="3">
        <f t="shared" si="366"/>
        <v>0.16226631488410376</v>
      </c>
      <c r="AA739" t="s">
        <v>33</v>
      </c>
      <c r="AB739">
        <f>IFERROR(((X739*M739)/Z739), "NA")</f>
        <v>12.162162162162163</v>
      </c>
      <c r="AC739" s="1" t="str">
        <f t="shared" si="367"/>
        <v>NA</v>
      </c>
      <c r="AE739" s="3">
        <f t="shared" ref="AE739:AE747" si="370">IFERROR(((L739^2)*M739*O739*AK739*10^-6*Q739*T739*AI739), "NA")</f>
        <v>1587.6</v>
      </c>
      <c r="AF739">
        <v>270</v>
      </c>
      <c r="AG739" s="1" t="str">
        <f>IFERROR((N739*P739*Q739), "NA")</f>
        <v>NA</v>
      </c>
      <c r="AH739" s="1" t="str">
        <f>IFERROR((AG739*U739*AI739), "NA")</f>
        <v>NA</v>
      </c>
      <c r="AI739" s="1">
        <v>1</v>
      </c>
      <c r="AJ739" s="11" t="s">
        <v>31</v>
      </c>
      <c r="AK739">
        <v>4800</v>
      </c>
      <c r="AL739" t="s">
        <v>156</v>
      </c>
      <c r="AM739" t="s">
        <v>157</v>
      </c>
      <c r="AN739" t="s">
        <v>186</v>
      </c>
      <c r="AO739" t="s">
        <v>792</v>
      </c>
      <c r="AP739">
        <v>6.53</v>
      </c>
      <c r="AQ739" t="s">
        <v>33</v>
      </c>
      <c r="AR739" t="s">
        <v>33</v>
      </c>
      <c r="AS739">
        <v>6.5</v>
      </c>
      <c r="AT739">
        <v>4.7</v>
      </c>
      <c r="AU739" s="6">
        <f>AS739-AT739</f>
        <v>1.7999999999999998</v>
      </c>
      <c r="AV739" t="b">
        <v>1</v>
      </c>
      <c r="AW739" t="s">
        <v>626</v>
      </c>
      <c r="AX739" t="s">
        <v>627</v>
      </c>
      <c r="AY739" t="s">
        <v>625</v>
      </c>
      <c r="AZ739" t="s">
        <v>33</v>
      </c>
      <c r="BA739" s="18" t="s">
        <v>800</v>
      </c>
      <c r="BB739" s="3" t="b">
        <v>0</v>
      </c>
      <c r="BC739" t="s">
        <v>81</v>
      </c>
      <c r="BD739">
        <v>12</v>
      </c>
      <c r="BE739" t="s">
        <v>80</v>
      </c>
      <c r="BF739">
        <v>48</v>
      </c>
      <c r="BG739" t="s">
        <v>643</v>
      </c>
      <c r="BH739" t="s">
        <v>31</v>
      </c>
      <c r="BI739" t="s">
        <v>31</v>
      </c>
      <c r="BJ739">
        <f t="shared" si="360"/>
        <v>1.7999999999999998</v>
      </c>
      <c r="BK739" s="3">
        <f t="shared" si="352"/>
        <v>0.25527250510330601</v>
      </c>
      <c r="BL739">
        <v>2</v>
      </c>
      <c r="BM739" s="3">
        <f t="shared" si="364"/>
        <v>2.9454685851318199</v>
      </c>
      <c r="BN739" t="s">
        <v>33</v>
      </c>
      <c r="BO739" s="3">
        <f t="shared" si="358"/>
        <v>882</v>
      </c>
      <c r="BP739" t="s">
        <v>33</v>
      </c>
      <c r="BQ739" t="s">
        <v>33</v>
      </c>
      <c r="BR739" t="s">
        <v>33</v>
      </c>
      <c r="BS739" t="s">
        <v>33</v>
      </c>
      <c r="BT739" t="s">
        <v>31</v>
      </c>
      <c r="BU739" s="13" t="s">
        <v>163</v>
      </c>
      <c r="BV739">
        <v>2004</v>
      </c>
      <c r="BW739" t="s">
        <v>654</v>
      </c>
      <c r="BX739" t="s">
        <v>78</v>
      </c>
      <c r="BY739" s="13" t="s">
        <v>677</v>
      </c>
      <c r="CA739" t="str">
        <f t="shared" si="359"/>
        <v>low acid</v>
      </c>
    </row>
    <row r="740" spans="1:79">
      <c r="A740" t="s">
        <v>605</v>
      </c>
      <c r="B740" t="s">
        <v>565</v>
      </c>
      <c r="C740" t="s">
        <v>563</v>
      </c>
      <c r="D740" t="s">
        <v>118</v>
      </c>
      <c r="E740" t="s">
        <v>77</v>
      </c>
      <c r="F740" t="s">
        <v>33</v>
      </c>
      <c r="G740" t="s">
        <v>33</v>
      </c>
      <c r="H740" t="s">
        <v>33</v>
      </c>
      <c r="I740" t="b">
        <v>0</v>
      </c>
      <c r="J740" t="s">
        <v>33</v>
      </c>
      <c r="K740" t="s">
        <v>33</v>
      </c>
      <c r="L740">
        <v>27</v>
      </c>
      <c r="M740" s="4">
        <v>500</v>
      </c>
      <c r="N740" t="e">
        <f>(#REF!*Y740)/(T740*X740*O740)</f>
        <v>#REF!</v>
      </c>
      <c r="O740">
        <v>3</v>
      </c>
      <c r="P740" t="s">
        <v>33</v>
      </c>
      <c r="Q740" s="1">
        <f>IFERROR(X740/Z740, "NA")</f>
        <v>1.4555555555555556E-2</v>
      </c>
      <c r="R740" t="s">
        <v>183</v>
      </c>
      <c r="S740" t="s">
        <v>613</v>
      </c>
      <c r="T740">
        <v>6</v>
      </c>
      <c r="U740">
        <v>2.9</v>
      </c>
      <c r="V740">
        <v>2.2999999999999998</v>
      </c>
      <c r="W740" t="s">
        <v>33</v>
      </c>
      <c r="X740">
        <f>IFERROR(((PI())*(((V740*10^-1)/2)^2)*(U740*10^-1)), "NA")</f>
        <v>1.204879322468025E-2</v>
      </c>
      <c r="Y740">
        <v>0.83333299999999999</v>
      </c>
      <c r="Z740" s="3">
        <f t="shared" si="366"/>
        <v>0.82777968719177286</v>
      </c>
      <c r="AA740" t="s">
        <v>33</v>
      </c>
      <c r="AB740">
        <f>IFERROR(((X740*M740)/Z740), "NA")</f>
        <v>7.2777777777777786</v>
      </c>
      <c r="AC740" s="1" t="str">
        <f t="shared" si="367"/>
        <v>NA</v>
      </c>
      <c r="AE740" s="3">
        <f t="shared" si="370"/>
        <v>368.62613999999996</v>
      </c>
      <c r="AF740">
        <v>131</v>
      </c>
      <c r="AG740" s="1" t="str">
        <f>IFERROR((N740*P740*Q740), "NA")</f>
        <v>NA</v>
      </c>
      <c r="AH740" s="1" t="str">
        <f>IFERROR((AG740*U740*AI740), "NA")</f>
        <v>NA</v>
      </c>
      <c r="AI740" s="1">
        <v>1</v>
      </c>
      <c r="AJ740" s="11" t="s">
        <v>31</v>
      </c>
      <c r="AK740">
        <f>3.86*10^3</f>
        <v>3860</v>
      </c>
      <c r="AL740" t="s">
        <v>138</v>
      </c>
      <c r="AM740" t="s">
        <v>86</v>
      </c>
      <c r="AN740" t="s">
        <v>205</v>
      </c>
      <c r="AO740" t="s">
        <v>789</v>
      </c>
      <c r="AP740">
        <v>3.9</v>
      </c>
      <c r="AQ740" t="s">
        <v>33</v>
      </c>
      <c r="AR740" t="s">
        <v>33</v>
      </c>
      <c r="AS740">
        <v>7.78</v>
      </c>
      <c r="AT740">
        <v>4.7</v>
      </c>
      <c r="AU740" s="6">
        <f>AS740-AT740</f>
        <v>3.08</v>
      </c>
      <c r="AV740" t="b">
        <v>1</v>
      </c>
      <c r="AW740" t="s">
        <v>632</v>
      </c>
      <c r="AX740" t="s">
        <v>639</v>
      </c>
      <c r="AY740" t="s">
        <v>33</v>
      </c>
      <c r="AZ740" t="s">
        <v>33</v>
      </c>
      <c r="BA740" s="18" t="s">
        <v>803</v>
      </c>
      <c r="BB740" s="3" t="b">
        <v>0</v>
      </c>
      <c r="BC740" t="s">
        <v>81</v>
      </c>
      <c r="BD740">
        <f>AVERAGE(24, 48)</f>
        <v>36</v>
      </c>
      <c r="BE740" t="s">
        <v>80</v>
      </c>
      <c r="BF740">
        <v>48</v>
      </c>
      <c r="BG740" t="s">
        <v>647</v>
      </c>
      <c r="BH740" t="s">
        <v>31</v>
      </c>
      <c r="BI740" t="s">
        <v>31</v>
      </c>
      <c r="BJ740" s="3">
        <f t="shared" si="360"/>
        <v>3.08</v>
      </c>
      <c r="BK740" s="3">
        <f t="shared" si="352"/>
        <v>0.48855071650044429</v>
      </c>
      <c r="BL740">
        <v>2</v>
      </c>
      <c r="BM740" s="3">
        <f t="shared" si="364"/>
        <v>2.0780354121450495</v>
      </c>
      <c r="BN740" t="s">
        <v>33</v>
      </c>
      <c r="BO740" s="3">
        <f t="shared" si="358"/>
        <v>119.68381168831168</v>
      </c>
      <c r="BP740" t="s">
        <v>33</v>
      </c>
      <c r="BQ740" t="s">
        <v>33</v>
      </c>
      <c r="BR740" t="s">
        <v>33</v>
      </c>
      <c r="BS740" t="s">
        <v>33</v>
      </c>
      <c r="BT740" t="s">
        <v>31</v>
      </c>
      <c r="BU740" s="13" t="s">
        <v>135</v>
      </c>
      <c r="BV740" s="14">
        <v>2009</v>
      </c>
      <c r="BW740" s="13" t="s">
        <v>136</v>
      </c>
      <c r="BX740" t="s">
        <v>78</v>
      </c>
      <c r="BY740" s="13" t="s">
        <v>692</v>
      </c>
      <c r="CA740" t="str">
        <f t="shared" si="359"/>
        <v>high acid</v>
      </c>
    </row>
    <row r="741" spans="1:79">
      <c r="A741" t="s">
        <v>592</v>
      </c>
      <c r="B741" t="s">
        <v>566</v>
      </c>
      <c r="C741" t="s">
        <v>563</v>
      </c>
      <c r="D741" t="s">
        <v>607</v>
      </c>
      <c r="E741" t="s">
        <v>77</v>
      </c>
      <c r="F741" t="s">
        <v>32</v>
      </c>
      <c r="G741" t="s">
        <v>33</v>
      </c>
      <c r="H741">
        <v>35</v>
      </c>
      <c r="I741" t="b">
        <v>0</v>
      </c>
      <c r="J741">
        <v>30000</v>
      </c>
      <c r="K741">
        <v>200</v>
      </c>
      <c r="L741">
        <v>25</v>
      </c>
      <c r="M741" s="4">
        <v>1</v>
      </c>
      <c r="N741" t="e">
        <f>(#REF!*Y741)/(T741*X741*O741)</f>
        <v>#REF!</v>
      </c>
      <c r="O741">
        <v>3</v>
      </c>
      <c r="P741" t="s">
        <v>33</v>
      </c>
      <c r="Q741" s="1">
        <f>IFERROR(X741/Z741, "NA")</f>
        <v>167.70000000000002</v>
      </c>
      <c r="R741" t="s">
        <v>183</v>
      </c>
      <c r="S741" t="s">
        <v>33</v>
      </c>
      <c r="T741">
        <v>1</v>
      </c>
      <c r="U741">
        <v>2.5</v>
      </c>
      <c r="V741" t="s">
        <v>33</v>
      </c>
      <c r="W741">
        <v>0.50249999999999995</v>
      </c>
      <c r="X741">
        <f>W741</f>
        <v>0.50249999999999995</v>
      </c>
      <c r="Y741" t="s">
        <v>33</v>
      </c>
      <c r="Z741" s="3">
        <f t="shared" si="366"/>
        <v>2.9964221824686937E-3</v>
      </c>
      <c r="AA741" t="s">
        <v>33</v>
      </c>
      <c r="AB741">
        <f>IFERROR(((X741*M741)/Z741), "NA")</f>
        <v>167.70000000000002</v>
      </c>
      <c r="AC741" s="1" t="str">
        <f t="shared" si="367"/>
        <v>NA</v>
      </c>
      <c r="AE741" s="3">
        <f t="shared" si="370"/>
        <v>314.43750000000006</v>
      </c>
      <c r="AF741">
        <v>503.1</v>
      </c>
      <c r="AG741" s="1" t="str">
        <f>IFERROR((N741*P741*Q741), "NA")</f>
        <v>NA</v>
      </c>
      <c r="AH741" s="1" t="str">
        <f>IFERROR((AG741*U741*AI741), "NA")</f>
        <v>NA</v>
      </c>
      <c r="AI741" s="1">
        <v>1</v>
      </c>
      <c r="AJ741" s="11" t="s">
        <v>31</v>
      </c>
      <c r="AK741">
        <v>1000</v>
      </c>
      <c r="AL741" t="s">
        <v>614</v>
      </c>
      <c r="AM741" s="3" t="s">
        <v>103</v>
      </c>
      <c r="AN741" t="s">
        <v>130</v>
      </c>
      <c r="AO741" t="s">
        <v>795</v>
      </c>
      <c r="AP741">
        <v>5.5</v>
      </c>
      <c r="AQ741" t="s">
        <v>33</v>
      </c>
      <c r="AR741" t="s">
        <v>33</v>
      </c>
      <c r="AS741">
        <v>8</v>
      </c>
      <c r="AT741">
        <f>AS741-AU741</f>
        <v>4.7</v>
      </c>
      <c r="AU741" s="6">
        <v>3.3</v>
      </c>
      <c r="AV741" t="b">
        <v>1</v>
      </c>
      <c r="AW741" t="s">
        <v>626</v>
      </c>
      <c r="AX741" t="s">
        <v>627</v>
      </c>
      <c r="AY741" t="s">
        <v>633</v>
      </c>
      <c r="AZ741" t="s">
        <v>33</v>
      </c>
      <c r="BA741" s="18" t="s">
        <v>800</v>
      </c>
      <c r="BB741" s="3" t="b">
        <v>0</v>
      </c>
      <c r="BC741" t="s">
        <v>81</v>
      </c>
      <c r="BD741">
        <v>24</v>
      </c>
      <c r="BE741" t="s">
        <v>80</v>
      </c>
      <c r="BF741">
        <v>48</v>
      </c>
      <c r="BG741" t="s">
        <v>569</v>
      </c>
      <c r="BH741" t="s">
        <v>31</v>
      </c>
      <c r="BI741" t="s">
        <v>31</v>
      </c>
      <c r="BJ741">
        <f t="shared" si="360"/>
        <v>3.3</v>
      </c>
      <c r="BK741" s="3">
        <f t="shared" si="352"/>
        <v>0.51851393987788741</v>
      </c>
      <c r="BL741">
        <v>2</v>
      </c>
      <c r="BM741" s="3">
        <f t="shared" si="364"/>
        <v>1.979020394791936</v>
      </c>
      <c r="BN741" t="s">
        <v>33</v>
      </c>
      <c r="BO741" s="3">
        <f t="shared" si="358"/>
        <v>95.284090909090935</v>
      </c>
      <c r="BP741" t="s">
        <v>33</v>
      </c>
      <c r="BQ741" t="s">
        <v>33</v>
      </c>
      <c r="BR741" t="s">
        <v>33</v>
      </c>
      <c r="BS741" t="s">
        <v>33</v>
      </c>
      <c r="BT741" t="s">
        <v>31</v>
      </c>
      <c r="BU741" s="15" t="s">
        <v>255</v>
      </c>
      <c r="BV741">
        <v>2010</v>
      </c>
      <c r="BW741" t="s">
        <v>659</v>
      </c>
      <c r="BX741" t="s">
        <v>78</v>
      </c>
      <c r="BY741" s="13" t="s">
        <v>680</v>
      </c>
      <c r="CA741" t="str">
        <f t="shared" si="359"/>
        <v>low acid</v>
      </c>
    </row>
    <row r="742" spans="1:79">
      <c r="A742" t="s">
        <v>698</v>
      </c>
      <c r="B742" t="s">
        <v>566</v>
      </c>
      <c r="C742" t="s">
        <v>563</v>
      </c>
      <c r="D742" t="s">
        <v>699</v>
      </c>
      <c r="E742" t="s">
        <v>77</v>
      </c>
      <c r="F742" t="s">
        <v>32</v>
      </c>
      <c r="G742">
        <v>20</v>
      </c>
      <c r="H742">
        <v>64</v>
      </c>
      <c r="I742" t="b">
        <v>1</v>
      </c>
      <c r="J742" t="s">
        <v>33</v>
      </c>
      <c r="K742" t="s">
        <v>33</v>
      </c>
      <c r="L742">
        <v>20</v>
      </c>
      <c r="M742" s="4">
        <v>64</v>
      </c>
      <c r="N742" s="3">
        <f>IFERROR(AF742/((T742*X742/Y742)*O742*AI742),"NA")</f>
        <v>63.657407407407391</v>
      </c>
      <c r="O742">
        <v>5</v>
      </c>
      <c r="P742">
        <v>0.43</v>
      </c>
      <c r="Q742" s="8">
        <f>IFERROR(X742/Y742, "NA")</f>
        <v>0.43200000000000011</v>
      </c>
      <c r="R742" t="s">
        <v>183</v>
      </c>
      <c r="S742" t="s">
        <v>612</v>
      </c>
      <c r="T742" s="11">
        <v>1</v>
      </c>
      <c r="U742">
        <v>4</v>
      </c>
      <c r="V742" t="s">
        <v>33</v>
      </c>
      <c r="W742">
        <f>0.4*3*0.5</f>
        <v>0.60000000000000009</v>
      </c>
      <c r="X742" s="9">
        <f>W742</f>
        <v>0.60000000000000009</v>
      </c>
      <c r="Y742" s="6">
        <f>5000/3600</f>
        <v>1.3888888888888888</v>
      </c>
      <c r="Z742" s="3">
        <f t="shared" si="366"/>
        <v>1.3963636363636365</v>
      </c>
      <c r="AA742" t="s">
        <v>33</v>
      </c>
      <c r="AB742" s="4">
        <f>IFERROR(((X742*M742)/Y742), "NA")</f>
        <v>27.648000000000007</v>
      </c>
      <c r="AC742" s="4">
        <f t="shared" si="367"/>
        <v>27.52</v>
      </c>
      <c r="AD742" s="4">
        <f>AB742*T742*AI742</f>
        <v>27.648000000000007</v>
      </c>
      <c r="AE742" s="3">
        <f t="shared" si="370"/>
        <v>110.59200000000003</v>
      </c>
      <c r="AF742">
        <v>137.5</v>
      </c>
      <c r="AG742" s="4">
        <f>IFERROR((M742*O742*P742), "NA")</f>
        <v>137.6</v>
      </c>
      <c r="AH742" s="4">
        <f>IFERROR((AG742*T742*AI742), "NA")</f>
        <v>137.6</v>
      </c>
      <c r="AI742">
        <v>1</v>
      </c>
      <c r="AJ742" s="11" t="s">
        <v>31</v>
      </c>
      <c r="AK742">
        <v>2000</v>
      </c>
      <c r="AL742" t="s">
        <v>784</v>
      </c>
      <c r="AM742" t="s">
        <v>103</v>
      </c>
      <c r="AN742" t="s">
        <v>130</v>
      </c>
      <c r="AO742" t="s">
        <v>795</v>
      </c>
      <c r="AP742">
        <v>7</v>
      </c>
      <c r="AQ742" t="s">
        <v>33</v>
      </c>
      <c r="AR742" t="s">
        <v>33</v>
      </c>
      <c r="AS742" s="6">
        <f>LOG(AVERAGE(10^8, 10^9))</f>
        <v>8.7403626894942441</v>
      </c>
      <c r="AT742" s="3">
        <f>IFERROR(AS742-AU742,"NA")</f>
        <v>4.7063626894942443</v>
      </c>
      <c r="AU742" s="6">
        <v>4.0339999999999998</v>
      </c>
      <c r="AV742" t="b">
        <v>1</v>
      </c>
      <c r="AW742" t="s">
        <v>29</v>
      </c>
      <c r="AX742" t="s">
        <v>30</v>
      </c>
      <c r="AY742" t="s">
        <v>708</v>
      </c>
      <c r="AZ742" t="s">
        <v>33</v>
      </c>
      <c r="BA742" s="18" t="s">
        <v>798</v>
      </c>
      <c r="BB742" s="3" t="b">
        <v>0</v>
      </c>
      <c r="BC742" t="s">
        <v>81</v>
      </c>
      <c r="BD742">
        <v>24</v>
      </c>
      <c r="BE742" t="s">
        <v>80</v>
      </c>
      <c r="BF742">
        <v>24</v>
      </c>
      <c r="BG742" t="s">
        <v>568</v>
      </c>
      <c r="BH742" t="s">
        <v>31</v>
      </c>
      <c r="BI742" t="s">
        <v>31</v>
      </c>
      <c r="BJ742" s="3">
        <f t="shared" si="360"/>
        <v>4.0339999999999998</v>
      </c>
      <c r="BK742" s="3">
        <f t="shared" si="352"/>
        <v>0.60573589387674664</v>
      </c>
      <c r="BL742">
        <v>2</v>
      </c>
      <c r="BM742" s="3">
        <f t="shared" si="364"/>
        <v>1.4379878182500152</v>
      </c>
      <c r="BN742" t="s">
        <v>33</v>
      </c>
      <c r="BO742" s="3">
        <f t="shared" si="358"/>
        <v>27.41497273177988</v>
      </c>
      <c r="BP742" t="s">
        <v>33</v>
      </c>
      <c r="BQ742" t="s">
        <v>33</v>
      </c>
      <c r="BR742" t="s">
        <v>33</v>
      </c>
      <c r="BS742" t="s">
        <v>33</v>
      </c>
      <c r="BT742" t="s">
        <v>32</v>
      </c>
      <c r="BU742" t="s">
        <v>709</v>
      </c>
      <c r="BV742">
        <v>2024</v>
      </c>
      <c r="BW742" t="s">
        <v>710</v>
      </c>
      <c r="BX742" t="s">
        <v>78</v>
      </c>
      <c r="BY742" t="s">
        <v>711</v>
      </c>
      <c r="CA742" t="str">
        <f t="shared" si="359"/>
        <v>low acid</v>
      </c>
    </row>
    <row r="743" spans="1:79">
      <c r="A743" t="s">
        <v>588</v>
      </c>
      <c r="B743" t="s">
        <v>565</v>
      </c>
      <c r="C743" t="s">
        <v>563</v>
      </c>
      <c r="D743" t="s">
        <v>608</v>
      </c>
      <c r="E743" t="s">
        <v>77</v>
      </c>
      <c r="F743" t="s">
        <v>32</v>
      </c>
      <c r="G743" t="s">
        <v>33</v>
      </c>
      <c r="H743">
        <v>40</v>
      </c>
      <c r="I743" t="b">
        <v>0</v>
      </c>
      <c r="J743" t="s">
        <v>33</v>
      </c>
      <c r="K743" t="s">
        <v>33</v>
      </c>
      <c r="L743">
        <v>35</v>
      </c>
      <c r="M743" s="4">
        <v>250</v>
      </c>
      <c r="N743" t="e">
        <f>(#REF!*Y743)/(T743*X743*O743)</f>
        <v>#REF!</v>
      </c>
      <c r="O743">
        <v>3.7</v>
      </c>
      <c r="P743" t="s">
        <v>33</v>
      </c>
      <c r="Q743" s="1">
        <f t="shared" ref="Q743:Q761" si="371">IFERROR(X743/Z743, "NA")</f>
        <v>8.1081081081081072E-2</v>
      </c>
      <c r="R743" t="s">
        <v>183</v>
      </c>
      <c r="S743" t="s">
        <v>613</v>
      </c>
      <c r="T743">
        <v>6</v>
      </c>
      <c r="U743">
        <v>1.9</v>
      </c>
      <c r="V743">
        <v>2.2999999999999998</v>
      </c>
      <c r="W743" t="s">
        <v>33</v>
      </c>
      <c r="X743">
        <f>IFERROR(((PI())*(((V743*10^-1)/2)^2)*(U743*10^-1)), "NA")</f>
        <v>7.8940369403077502E-3</v>
      </c>
      <c r="Y743">
        <v>1</v>
      </c>
      <c r="Z743" s="3">
        <f t="shared" si="366"/>
        <v>9.7359788930462265E-2</v>
      </c>
      <c r="AA743" t="s">
        <v>33</v>
      </c>
      <c r="AB743">
        <f t="shared" ref="AB743:AB747" si="372">IFERROR(((X743*M743)/Z743), "NA")</f>
        <v>20.27027027027027</v>
      </c>
      <c r="AC743" s="1" t="str">
        <f t="shared" si="367"/>
        <v>NA</v>
      </c>
      <c r="AE743" s="3">
        <f t="shared" si="370"/>
        <v>2645.9999999999995</v>
      </c>
      <c r="AF743">
        <v>450</v>
      </c>
      <c r="AG743" s="1" t="str">
        <f>IFERROR((N743*P743*Q743), "NA")</f>
        <v>NA</v>
      </c>
      <c r="AH743" s="1" t="str">
        <f>IFERROR((AG743*U743*AI743), "NA")</f>
        <v>NA</v>
      </c>
      <c r="AI743" s="1">
        <v>1</v>
      </c>
      <c r="AJ743" s="11" t="s">
        <v>31</v>
      </c>
      <c r="AK743">
        <v>4800</v>
      </c>
      <c r="AL743" t="s">
        <v>156</v>
      </c>
      <c r="AM743" t="s">
        <v>157</v>
      </c>
      <c r="AN743" t="s">
        <v>186</v>
      </c>
      <c r="AO743" t="s">
        <v>792</v>
      </c>
      <c r="AP743">
        <v>6.53</v>
      </c>
      <c r="AQ743" t="s">
        <v>33</v>
      </c>
      <c r="AR743" t="s">
        <v>33</v>
      </c>
      <c r="AS743">
        <v>6.5</v>
      </c>
      <c r="AT743">
        <v>4.71</v>
      </c>
      <c r="AU743" s="6">
        <f>AS743-AT743</f>
        <v>1.79</v>
      </c>
      <c r="AV743" t="b">
        <v>1</v>
      </c>
      <c r="AW743" t="s">
        <v>626</v>
      </c>
      <c r="AX743" t="s">
        <v>627</v>
      </c>
      <c r="AY743" t="s">
        <v>625</v>
      </c>
      <c r="AZ743" t="s">
        <v>33</v>
      </c>
      <c r="BA743" s="18" t="s">
        <v>800</v>
      </c>
      <c r="BB743" s="3" t="b">
        <v>0</v>
      </c>
      <c r="BC743" t="s">
        <v>81</v>
      </c>
      <c r="BD743">
        <v>12</v>
      </c>
      <c r="BE743" t="s">
        <v>80</v>
      </c>
      <c r="BF743">
        <v>48</v>
      </c>
      <c r="BG743" t="s">
        <v>568</v>
      </c>
      <c r="BH743" t="s">
        <v>31</v>
      </c>
      <c r="BI743" t="s">
        <v>31</v>
      </c>
      <c r="BJ743">
        <f t="shared" si="360"/>
        <v>1.79</v>
      </c>
      <c r="BK743" s="3">
        <f t="shared" si="352"/>
        <v>0.2528530309798932</v>
      </c>
      <c r="BL743">
        <v>2</v>
      </c>
      <c r="BM743" s="3">
        <f t="shared" si="364"/>
        <v>3.1697368088715887</v>
      </c>
      <c r="BN743" t="s">
        <v>33</v>
      </c>
      <c r="BO743" s="3">
        <f t="shared" si="358"/>
        <v>1478.2122905027929</v>
      </c>
      <c r="BP743" t="s">
        <v>33</v>
      </c>
      <c r="BQ743" t="s">
        <v>33</v>
      </c>
      <c r="BR743" t="s">
        <v>33</v>
      </c>
      <c r="BS743" t="s">
        <v>33</v>
      </c>
      <c r="BT743" t="s">
        <v>31</v>
      </c>
      <c r="BU743" s="13" t="s">
        <v>163</v>
      </c>
      <c r="BV743">
        <v>2004</v>
      </c>
      <c r="BW743" t="s">
        <v>654</v>
      </c>
      <c r="BX743" t="s">
        <v>78</v>
      </c>
      <c r="BY743" s="13" t="s">
        <v>677</v>
      </c>
      <c r="CA743" t="str">
        <f t="shared" si="359"/>
        <v>low acid</v>
      </c>
    </row>
    <row r="744" spans="1:79">
      <c r="A744" t="s">
        <v>590</v>
      </c>
      <c r="B744" t="s">
        <v>565</v>
      </c>
      <c r="C744" t="s">
        <v>564</v>
      </c>
      <c r="D744" t="s">
        <v>609</v>
      </c>
      <c r="E744" t="s">
        <v>77</v>
      </c>
      <c r="F744" t="s">
        <v>32</v>
      </c>
      <c r="G744">
        <v>40</v>
      </c>
      <c r="H744">
        <v>49</v>
      </c>
      <c r="I744" t="b">
        <v>0</v>
      </c>
      <c r="J744" t="s">
        <v>33</v>
      </c>
      <c r="K744" t="s">
        <v>33</v>
      </c>
      <c r="L744">
        <v>24</v>
      </c>
      <c r="M744" s="4">
        <v>120</v>
      </c>
      <c r="N744" t="e">
        <f>(#REF!*Y744)/(T744*X744*O744)</f>
        <v>#REF!</v>
      </c>
      <c r="O744">
        <v>3</v>
      </c>
      <c r="P744" t="s">
        <v>33</v>
      </c>
      <c r="Q744" s="1">
        <f t="shared" si="371"/>
        <v>3.770833333333333E-2</v>
      </c>
      <c r="R744" t="s">
        <v>183</v>
      </c>
      <c r="S744" t="s">
        <v>612</v>
      </c>
      <c r="T744">
        <v>4</v>
      </c>
      <c r="U744">
        <v>3</v>
      </c>
      <c r="V744">
        <v>2.6</v>
      </c>
      <c r="W744">
        <v>1.5900000000000001E-2</v>
      </c>
      <c r="X744">
        <f>IFERROR(((PI())*(((V744*10^-1)/2)^2)*(U744*10^-1)), "NA")</f>
        <v>1.5927874753700257E-2</v>
      </c>
      <c r="Y744">
        <v>8.3333299999999999E-2</v>
      </c>
      <c r="Z744" s="3">
        <f t="shared" si="366"/>
        <v>0.42239667855116708</v>
      </c>
      <c r="AA744" t="s">
        <v>33</v>
      </c>
      <c r="AB744">
        <f t="shared" si="372"/>
        <v>4.5249999999999995</v>
      </c>
      <c r="AC744" s="1" t="str">
        <f t="shared" si="367"/>
        <v>NA</v>
      </c>
      <c r="AE744" s="3">
        <f t="shared" si="370"/>
        <v>35.968319999999999</v>
      </c>
      <c r="AF744">
        <v>54.3</v>
      </c>
      <c r="AG744" s="1" t="str">
        <f>IFERROR((N744*P744*Q744), "NA")</f>
        <v>NA</v>
      </c>
      <c r="AH744" s="1" t="str">
        <f>IFERROR((AG744*U744*AI744), "NA")</f>
        <v>NA</v>
      </c>
      <c r="AI744" s="1">
        <v>1</v>
      </c>
      <c r="AJ744" s="11" t="s">
        <v>31</v>
      </c>
      <c r="AK744">
        <v>1150</v>
      </c>
      <c r="AL744" t="s">
        <v>551</v>
      </c>
      <c r="AM744" t="s">
        <v>86</v>
      </c>
      <c r="AN744" t="s">
        <v>186</v>
      </c>
      <c r="AO744" t="s">
        <v>794</v>
      </c>
      <c r="AP744">
        <v>5.92</v>
      </c>
      <c r="AQ744" t="s">
        <v>33</v>
      </c>
      <c r="AR744" t="s">
        <v>33</v>
      </c>
      <c r="AS744">
        <v>6</v>
      </c>
      <c r="AT744">
        <f>AS744-AU744</f>
        <v>4.71</v>
      </c>
      <c r="AU744" s="6">
        <v>1.29</v>
      </c>
      <c r="AV744" t="b">
        <v>1</v>
      </c>
      <c r="AW744" t="s">
        <v>626</v>
      </c>
      <c r="AX744" t="s">
        <v>627</v>
      </c>
      <c r="AY744" t="s">
        <v>631</v>
      </c>
      <c r="AZ744" t="s">
        <v>33</v>
      </c>
      <c r="BA744" s="18" t="s">
        <v>800</v>
      </c>
      <c r="BB744" s="3" t="b">
        <v>0</v>
      </c>
      <c r="BC744" t="s">
        <v>81</v>
      </c>
      <c r="BD744">
        <v>20</v>
      </c>
      <c r="BE744" t="s">
        <v>80</v>
      </c>
      <c r="BF744">
        <v>20</v>
      </c>
      <c r="BG744" t="s">
        <v>695</v>
      </c>
      <c r="BH744" t="s">
        <v>32</v>
      </c>
      <c r="BI744" t="s">
        <v>31</v>
      </c>
      <c r="BJ744">
        <f t="shared" si="360"/>
        <v>1.29</v>
      </c>
      <c r="BK744" s="3">
        <f t="shared" si="352"/>
        <v>0.11058971029924898</v>
      </c>
      <c r="BL744">
        <v>2</v>
      </c>
      <c r="BM744" s="3">
        <f t="shared" si="364"/>
        <v>1.4453304430664218</v>
      </c>
      <c r="BN744" t="s">
        <v>33</v>
      </c>
      <c r="BO744" s="3">
        <f t="shared" si="358"/>
        <v>27.882418604651161</v>
      </c>
      <c r="BP744" t="s">
        <v>33</v>
      </c>
      <c r="BQ744" t="s">
        <v>33</v>
      </c>
      <c r="BR744" t="s">
        <v>33</v>
      </c>
      <c r="BS744" t="s">
        <v>33</v>
      </c>
      <c r="BT744" t="s">
        <v>32</v>
      </c>
      <c r="BU744" s="15" t="s">
        <v>207</v>
      </c>
      <c r="BV744">
        <v>2014</v>
      </c>
      <c r="BW744" t="s">
        <v>242</v>
      </c>
      <c r="BX744" t="s">
        <v>78</v>
      </c>
      <c r="BY744" s="13" t="s">
        <v>678</v>
      </c>
      <c r="CA744" t="str">
        <f t="shared" si="359"/>
        <v>low acid</v>
      </c>
    </row>
    <row r="745" spans="1:79">
      <c r="A745" t="s">
        <v>527</v>
      </c>
      <c r="B745" t="s">
        <v>565</v>
      </c>
      <c r="C745" t="s">
        <v>564</v>
      </c>
      <c r="D745" t="s">
        <v>215</v>
      </c>
      <c r="E745" t="s">
        <v>77</v>
      </c>
      <c r="F745" t="s">
        <v>32</v>
      </c>
      <c r="G745">
        <v>22.7</v>
      </c>
      <c r="H745">
        <v>46</v>
      </c>
      <c r="I745" t="b">
        <v>0</v>
      </c>
      <c r="J745" t="s">
        <v>33</v>
      </c>
      <c r="K745" t="s">
        <v>33</v>
      </c>
      <c r="L745">
        <v>25</v>
      </c>
      <c r="M745" s="4">
        <v>155</v>
      </c>
      <c r="N745" s="3">
        <f>IFERROR(AF745/((T745*X745/Y745)*O745*AI745),"NA")</f>
        <v>182.82413975684386</v>
      </c>
      <c r="O745">
        <v>2</v>
      </c>
      <c r="P745" t="s">
        <v>33</v>
      </c>
      <c r="Q745" s="8">
        <f t="shared" si="371"/>
        <v>2.5806451612903229E-2</v>
      </c>
      <c r="R745" t="s">
        <v>183</v>
      </c>
      <c r="S745" t="s">
        <v>612</v>
      </c>
      <c r="T745" s="11">
        <v>2</v>
      </c>
      <c r="U745">
        <v>6.5</v>
      </c>
      <c r="V745">
        <v>5</v>
      </c>
      <c r="W745" t="s">
        <v>33</v>
      </c>
      <c r="X745" s="8">
        <f>IFERROR(((PI())*(((V745*10^-1)/2)^2)*(U745*10^-1)), "NA")</f>
        <v>0.12762720155208535</v>
      </c>
      <c r="Y745" s="6">
        <f>350/60</f>
        <v>5.833333333333333</v>
      </c>
      <c r="Z745" s="3">
        <f t="shared" si="366"/>
        <v>4.9455540601433068</v>
      </c>
      <c r="AA745">
        <f>8/2</f>
        <v>4</v>
      </c>
      <c r="AB745" s="6">
        <f t="shared" si="372"/>
        <v>4</v>
      </c>
      <c r="AC745" t="str">
        <f t="shared" si="367"/>
        <v>NA</v>
      </c>
      <c r="AD745" s="4">
        <f>IFERROR(AB745*T745*AI745, "NA")</f>
        <v>8</v>
      </c>
      <c r="AE745" s="3">
        <f t="shared" si="370"/>
        <v>39.000000000000007</v>
      </c>
      <c r="AF745">
        <v>16</v>
      </c>
      <c r="AG745" t="str">
        <f>IFERROR((M745*O745*P745), "NA")</f>
        <v>NA</v>
      </c>
      <c r="AH745" t="str">
        <f>IFERROR((AG745*T745*AI745), "NA")</f>
        <v>NA</v>
      </c>
      <c r="AI745" s="11">
        <v>1</v>
      </c>
      <c r="AJ745" t="s">
        <v>31</v>
      </c>
      <c r="AK745">
        <v>3900</v>
      </c>
      <c r="AL745" t="s">
        <v>528</v>
      </c>
      <c r="AM745" s="3" t="s">
        <v>86</v>
      </c>
      <c r="AN745" t="s">
        <v>205</v>
      </c>
      <c r="AO745" t="s">
        <v>789</v>
      </c>
      <c r="AP745">
        <v>3.4</v>
      </c>
      <c r="AQ745" t="s">
        <v>33</v>
      </c>
      <c r="AR745">
        <v>3750</v>
      </c>
      <c r="AS745" s="6">
        <f>LOG(10^6)</f>
        <v>6</v>
      </c>
      <c r="AT745" s="3">
        <f>IFERROR(AS745-AU745,"NA")</f>
        <v>4.7149999999999999</v>
      </c>
      <c r="AU745" s="6">
        <f>(1.12+1.45)/2</f>
        <v>1.2850000000000001</v>
      </c>
      <c r="AV745" t="b">
        <v>1</v>
      </c>
      <c r="AW745" t="s">
        <v>29</v>
      </c>
      <c r="AX745" t="s">
        <v>30</v>
      </c>
      <c r="AY745" t="s">
        <v>33</v>
      </c>
      <c r="AZ745" t="s">
        <v>134</v>
      </c>
      <c r="BA745" s="18" t="s">
        <v>798</v>
      </c>
      <c r="BB745" s="3" t="b">
        <v>0</v>
      </c>
      <c r="BC745" t="s">
        <v>81</v>
      </c>
      <c r="BD745">
        <v>18</v>
      </c>
      <c r="BE745" t="s">
        <v>80</v>
      </c>
      <c r="BF745" s="11">
        <v>24</v>
      </c>
      <c r="BG745" t="s">
        <v>87</v>
      </c>
      <c r="BH745" t="s">
        <v>31</v>
      </c>
      <c r="BI745" t="s">
        <v>31</v>
      </c>
      <c r="BJ745" s="3">
        <f t="shared" si="360"/>
        <v>1.2850000000000001</v>
      </c>
      <c r="BK745" s="3">
        <f t="shared" si="352"/>
        <v>0.10890312766731339</v>
      </c>
      <c r="BL745">
        <v>2</v>
      </c>
      <c r="BM745" s="3">
        <f t="shared" si="364"/>
        <v>1.482161479359186</v>
      </c>
      <c r="BN745" t="s">
        <v>33</v>
      </c>
      <c r="BO745" s="3">
        <f t="shared" si="358"/>
        <v>30.350194552529185</v>
      </c>
      <c r="BP745" t="s">
        <v>33</v>
      </c>
      <c r="BQ745" t="s">
        <v>33</v>
      </c>
      <c r="BR745" t="s">
        <v>33</v>
      </c>
      <c r="BS745" t="s">
        <v>33</v>
      </c>
      <c r="BT745" t="s">
        <v>32</v>
      </c>
      <c r="BU745" t="s">
        <v>34</v>
      </c>
      <c r="BV745">
        <v>2019</v>
      </c>
      <c r="BW745" t="s">
        <v>35</v>
      </c>
      <c r="BX745" t="s">
        <v>78</v>
      </c>
      <c r="BY745" t="s">
        <v>33</v>
      </c>
      <c r="BZ745" t="s">
        <v>33</v>
      </c>
      <c r="CA745" t="str">
        <f t="shared" si="359"/>
        <v>high acid</v>
      </c>
    </row>
    <row r="746" spans="1:79">
      <c r="A746" t="s">
        <v>220</v>
      </c>
      <c r="B746" t="s">
        <v>565</v>
      </c>
      <c r="C746" t="s">
        <v>563</v>
      </c>
      <c r="D746" t="s">
        <v>118</v>
      </c>
      <c r="E746" t="s">
        <v>77</v>
      </c>
      <c r="F746" t="s">
        <v>32</v>
      </c>
      <c r="G746">
        <v>5</v>
      </c>
      <c r="H746">
        <v>39.1</v>
      </c>
      <c r="I746" t="b">
        <v>0</v>
      </c>
      <c r="J746" t="s">
        <v>33</v>
      </c>
      <c r="K746" t="s">
        <v>33</v>
      </c>
      <c r="L746">
        <v>35</v>
      </c>
      <c r="M746" s="4">
        <v>250</v>
      </c>
      <c r="N746" s="3">
        <f>IFERROR(AF746/((T746*X746/Y746)*O746*AI746),"NA")</f>
        <v>2146.5468453538301</v>
      </c>
      <c r="O746">
        <v>4</v>
      </c>
      <c r="P746" t="s">
        <v>33</v>
      </c>
      <c r="Q746">
        <f t="shared" si="371"/>
        <v>6.25E-2</v>
      </c>
      <c r="R746" t="s">
        <v>183</v>
      </c>
      <c r="S746" t="s">
        <v>613</v>
      </c>
      <c r="T746" s="11">
        <v>8</v>
      </c>
      <c r="U746">
        <v>2.92</v>
      </c>
      <c r="V746">
        <v>2.2999999999999998</v>
      </c>
      <c r="W746">
        <v>1.21E-2</v>
      </c>
      <c r="X746" s="8">
        <f>IFERROR(((PI())*(((V746*10^-1)/2)^2)*(U746*10^-1)), "NA")</f>
        <v>1.2131888350367701E-2</v>
      </c>
      <c r="Y746" s="6">
        <f>100/60</f>
        <v>1.6666666666666667</v>
      </c>
      <c r="Z746" s="3">
        <f t="shared" si="366"/>
        <v>0.19411021360588321</v>
      </c>
      <c r="AA746" t="s">
        <v>33</v>
      </c>
      <c r="AB746" s="6">
        <f t="shared" si="372"/>
        <v>15.625</v>
      </c>
      <c r="AC746" t="str">
        <f t="shared" si="367"/>
        <v>NA</v>
      </c>
      <c r="AD746" s="4">
        <f>AB746*T746*AI746</f>
        <v>125</v>
      </c>
      <c r="AE746" s="3">
        <f t="shared" si="370"/>
        <v>3203.375</v>
      </c>
      <c r="AF746">
        <v>500</v>
      </c>
      <c r="AG746" t="str">
        <f>IFERROR((M746*O746*P746), "NA")</f>
        <v>NA</v>
      </c>
      <c r="AH746" t="str">
        <f>IFERROR((AG746*T746*AI746), "NA")</f>
        <v>NA</v>
      </c>
      <c r="AI746">
        <v>1</v>
      </c>
      <c r="AJ746" t="s">
        <v>31</v>
      </c>
      <c r="AK746">
        <v>5230</v>
      </c>
      <c r="AL746" t="s">
        <v>542</v>
      </c>
      <c r="AM746" t="s">
        <v>86</v>
      </c>
      <c r="AN746" t="s">
        <v>186</v>
      </c>
      <c r="AO746" t="s">
        <v>794</v>
      </c>
      <c r="AP746">
        <v>5.82</v>
      </c>
      <c r="AQ746" t="s">
        <v>33</v>
      </c>
      <c r="AR746" t="s">
        <v>33</v>
      </c>
      <c r="AS746" s="6">
        <f>LOG((10^7+10^8)/2)</f>
        <v>7.7403626894942441</v>
      </c>
      <c r="AT746" s="3">
        <f>IFERROR(AS746-AU746,"NA")</f>
        <v>4.7153626894942438</v>
      </c>
      <c r="AU746" s="6">
        <v>3.0249999999999999</v>
      </c>
      <c r="AV746" t="b">
        <v>1</v>
      </c>
      <c r="AW746" t="s">
        <v>29</v>
      </c>
      <c r="AX746" t="s">
        <v>30</v>
      </c>
      <c r="AY746" s="10">
        <v>1107</v>
      </c>
      <c r="AZ746" t="s">
        <v>33</v>
      </c>
      <c r="BA746" s="18" t="s">
        <v>798</v>
      </c>
      <c r="BB746" t="b">
        <v>0</v>
      </c>
      <c r="BC746" t="s">
        <v>81</v>
      </c>
      <c r="BD746">
        <f>(16+14)/2</f>
        <v>15</v>
      </c>
      <c r="BE746" t="s">
        <v>80</v>
      </c>
      <c r="BF746" t="s">
        <v>33</v>
      </c>
      <c r="BG746" t="s">
        <v>222</v>
      </c>
      <c r="BH746" t="s">
        <v>31</v>
      </c>
      <c r="BI746" t="s">
        <v>31</v>
      </c>
      <c r="BJ746" s="3">
        <f t="shared" si="360"/>
        <v>3.0249999999999999</v>
      </c>
      <c r="BK746" s="3">
        <f t="shared" si="352"/>
        <v>0.48072537898848766</v>
      </c>
      <c r="BL746">
        <v>2</v>
      </c>
      <c r="BM746" s="3">
        <f t="shared" si="364"/>
        <v>3.0248824029153565</v>
      </c>
      <c r="BN746" t="s">
        <v>33</v>
      </c>
      <c r="BO746" s="3">
        <f t="shared" si="358"/>
        <v>1058.9669421487604</v>
      </c>
      <c r="BP746" t="s">
        <v>33</v>
      </c>
      <c r="BQ746" t="s">
        <v>33</v>
      </c>
      <c r="BR746" t="s">
        <v>33</v>
      </c>
      <c r="BS746" t="s">
        <v>33</v>
      </c>
      <c r="BT746" t="s">
        <v>31</v>
      </c>
      <c r="BU746" t="s">
        <v>219</v>
      </c>
      <c r="BV746">
        <v>2007</v>
      </c>
      <c r="BW746" t="s">
        <v>218</v>
      </c>
      <c r="BX746" t="s">
        <v>78</v>
      </c>
      <c r="BY746" t="s">
        <v>33</v>
      </c>
      <c r="BZ746" t="s">
        <v>33</v>
      </c>
      <c r="CA746" t="str">
        <f t="shared" si="359"/>
        <v>low acid</v>
      </c>
    </row>
    <row r="747" spans="1:79">
      <c r="A747" t="s">
        <v>583</v>
      </c>
      <c r="B747" t="s">
        <v>566</v>
      </c>
      <c r="C747" t="s">
        <v>563</v>
      </c>
      <c r="D747" t="s">
        <v>33</v>
      </c>
      <c r="E747" t="s">
        <v>77</v>
      </c>
      <c r="F747" t="s">
        <v>32</v>
      </c>
      <c r="G747" t="s">
        <v>33</v>
      </c>
      <c r="H747">
        <v>30</v>
      </c>
      <c r="I747" t="b">
        <v>1</v>
      </c>
      <c r="J747" t="s">
        <v>33</v>
      </c>
      <c r="K747" t="s">
        <v>33</v>
      </c>
      <c r="L747">
        <v>30</v>
      </c>
      <c r="M747" s="4">
        <v>2</v>
      </c>
      <c r="N747" t="e">
        <f>(#REF!*Y747)/(T747*X747*O747)</f>
        <v>#REF!</v>
      </c>
      <c r="O747">
        <v>2</v>
      </c>
      <c r="P747" t="s">
        <v>33</v>
      </c>
      <c r="Q747" s="1">
        <f t="shared" si="371"/>
        <v>52.5</v>
      </c>
      <c r="R747" t="s">
        <v>183</v>
      </c>
      <c r="S747" t="s">
        <v>613</v>
      </c>
      <c r="T747">
        <v>1</v>
      </c>
      <c r="U747">
        <v>5</v>
      </c>
      <c r="V747" t="s">
        <v>33</v>
      </c>
      <c r="W747">
        <v>0.71</v>
      </c>
      <c r="X747">
        <f>W747</f>
        <v>0.71</v>
      </c>
      <c r="Y747">
        <v>0.1</v>
      </c>
      <c r="Z747" s="3">
        <f t="shared" si="366"/>
        <v>1.3523809523809523E-2</v>
      </c>
      <c r="AA747" t="s">
        <v>33</v>
      </c>
      <c r="AB747">
        <f t="shared" si="372"/>
        <v>105</v>
      </c>
      <c r="AC747" s="1" t="str">
        <f t="shared" si="367"/>
        <v>NA</v>
      </c>
      <c r="AE747" s="3">
        <f t="shared" si="370"/>
        <v>888.3</v>
      </c>
      <c r="AF747">
        <v>210</v>
      </c>
      <c r="AG747" s="1" t="str">
        <f>IFERROR((N747*P747*Q747), "NA")</f>
        <v>NA</v>
      </c>
      <c r="AH747" s="1" t="str">
        <f>IFERROR((AG747*U747*AI747), "NA")</f>
        <v>NA</v>
      </c>
      <c r="AI747" s="1">
        <v>1</v>
      </c>
      <c r="AJ747" s="11" t="s">
        <v>31</v>
      </c>
      <c r="AK747">
        <v>4700</v>
      </c>
      <c r="AL747" t="s">
        <v>562</v>
      </c>
      <c r="AM747" s="3" t="s">
        <v>786</v>
      </c>
      <c r="AN747" t="s">
        <v>186</v>
      </c>
      <c r="AO747" t="s">
        <v>793</v>
      </c>
      <c r="AP747" t="s">
        <v>33</v>
      </c>
      <c r="AQ747" t="s">
        <v>33</v>
      </c>
      <c r="AR747" t="s">
        <v>33</v>
      </c>
      <c r="AS747">
        <v>8</v>
      </c>
      <c r="AT747">
        <f>AS747-AU747</f>
        <v>4.7200000000000006</v>
      </c>
      <c r="AU747" s="6">
        <v>3.28</v>
      </c>
      <c r="AV747" t="b">
        <v>1</v>
      </c>
      <c r="AW747" t="s">
        <v>617</v>
      </c>
      <c r="AX747" t="s">
        <v>33</v>
      </c>
      <c r="AY747" t="s">
        <v>622</v>
      </c>
      <c r="AZ747" t="s">
        <v>619</v>
      </c>
      <c r="BA747" s="18" t="s">
        <v>802</v>
      </c>
      <c r="BB747" s="3" t="b">
        <v>0</v>
      </c>
      <c r="BC747" t="s">
        <v>81</v>
      </c>
      <c r="BD747">
        <v>18</v>
      </c>
      <c r="BE747" t="s">
        <v>80</v>
      </c>
      <c r="BF747">
        <v>24</v>
      </c>
      <c r="BG747" t="s">
        <v>696</v>
      </c>
      <c r="BH747" t="s">
        <v>32</v>
      </c>
      <c r="BI747" t="s">
        <v>31</v>
      </c>
      <c r="BJ747">
        <f t="shared" si="360"/>
        <v>3.28</v>
      </c>
      <c r="BK747" s="3">
        <f t="shared" si="352"/>
        <v>0.5158738437116791</v>
      </c>
      <c r="BL747">
        <v>2</v>
      </c>
      <c r="BM747" s="3">
        <f t="shared" si="364"/>
        <v>2.4326858183972826</v>
      </c>
      <c r="BN747" t="s">
        <v>33</v>
      </c>
      <c r="BO747" s="3">
        <f t="shared" si="358"/>
        <v>270.82317073170731</v>
      </c>
      <c r="BP747" t="s">
        <v>33</v>
      </c>
      <c r="BQ747" t="s">
        <v>33</v>
      </c>
      <c r="BR747" t="s">
        <v>33</v>
      </c>
      <c r="BS747" t="s">
        <v>33</v>
      </c>
      <c r="BT747" t="s">
        <v>31</v>
      </c>
      <c r="BU747" t="s">
        <v>338</v>
      </c>
      <c r="BV747">
        <v>2005</v>
      </c>
      <c r="BW747" t="s">
        <v>342</v>
      </c>
      <c r="BX747" t="s">
        <v>78</v>
      </c>
      <c r="BY747" s="13" t="s">
        <v>673</v>
      </c>
      <c r="CA747" t="str">
        <f t="shared" si="359"/>
        <v>low acid</v>
      </c>
    </row>
    <row r="748" spans="1:79">
      <c r="A748" t="s">
        <v>457</v>
      </c>
      <c r="B748" t="s">
        <v>565</v>
      </c>
      <c r="C748" t="s">
        <v>563</v>
      </c>
      <c r="D748" t="s">
        <v>182</v>
      </c>
      <c r="E748" t="s">
        <v>77</v>
      </c>
      <c r="F748" t="s">
        <v>32</v>
      </c>
      <c r="G748">
        <v>18</v>
      </c>
      <c r="H748">
        <v>49</v>
      </c>
      <c r="I748" t="b">
        <v>1</v>
      </c>
      <c r="J748" t="s">
        <v>33</v>
      </c>
      <c r="K748" t="s">
        <v>33</v>
      </c>
      <c r="L748">
        <v>33</v>
      </c>
      <c r="M748" s="4" t="s">
        <v>33</v>
      </c>
      <c r="N748" s="3">
        <f>IFERROR(AF748/((T748*X748/Y748)*O748*AI748),"NA")</f>
        <v>281.42752925843115</v>
      </c>
      <c r="O748">
        <v>8</v>
      </c>
      <c r="P748">
        <f>0.047/2</f>
        <v>2.35E-2</v>
      </c>
      <c r="Q748" s="8">
        <f t="shared" si="371"/>
        <v>2.3318614270936313E-2</v>
      </c>
      <c r="R748" t="s">
        <v>183</v>
      </c>
      <c r="S748" t="s">
        <v>613</v>
      </c>
      <c r="T748" s="11">
        <v>2</v>
      </c>
      <c r="U748">
        <v>5.6</v>
      </c>
      <c r="V748">
        <v>4.5</v>
      </c>
      <c r="W748" t="s">
        <v>33</v>
      </c>
      <c r="X748" s="9">
        <f>IFERROR(((PI())*(((V748*10^-1)/2)^2)*(U748*10^-1)), "NA")</f>
        <v>8.9064151729270638E-2</v>
      </c>
      <c r="Y748" s="6">
        <f>13750/3600</f>
        <v>3.8194444444444446</v>
      </c>
      <c r="Z748" s="3">
        <f>IFERROR(X748*N748*O748*T748*AI748/AF748, "NA")</f>
        <v>3.8194444444444442</v>
      </c>
      <c r="AA748" t="s">
        <v>33</v>
      </c>
      <c r="AB748" s="4">
        <f>IFERROR(((X748*N748)/Y748), "NA")</f>
        <v>6.5624999999999991</v>
      </c>
      <c r="AC748" s="4">
        <f>IFERROR(N748*P748,"NA")</f>
        <v>6.6135469375731324</v>
      </c>
      <c r="AD748" s="4">
        <f>AB748*T748*AI748</f>
        <v>13.124999999999998</v>
      </c>
      <c r="AE748" s="3">
        <f>IFERROR(((L748^2)*N748*O748*AK748*10^-6*Q748*T748*AI748), "NA")</f>
        <v>262.99349999999998</v>
      </c>
      <c r="AF748">
        <v>105</v>
      </c>
      <c r="AG748" s="4">
        <f>IFERROR((N748*O748*P748), "NA")</f>
        <v>52.908375500585059</v>
      </c>
      <c r="AH748" s="4">
        <f>IFERROR((AG748*T748*AI748), "NA")</f>
        <v>105.81675100117012</v>
      </c>
      <c r="AI748" s="11">
        <v>1</v>
      </c>
      <c r="AJ748" t="s">
        <v>31</v>
      </c>
      <c r="AK748">
        <v>2300</v>
      </c>
      <c r="AL748" t="s">
        <v>805</v>
      </c>
      <c r="AM748" t="s">
        <v>515</v>
      </c>
      <c r="AN748" t="s">
        <v>205</v>
      </c>
      <c r="AO748" t="s">
        <v>788</v>
      </c>
      <c r="AP748">
        <v>3.68</v>
      </c>
      <c r="AQ748" t="s">
        <v>33</v>
      </c>
      <c r="AR748" t="s">
        <v>33</v>
      </c>
      <c r="AS748">
        <f>LOG(10^8)</f>
        <v>8</v>
      </c>
      <c r="AT748" s="3">
        <f>IFERROR(AS748-AU748,"NA")</f>
        <v>4.7300000000000004</v>
      </c>
      <c r="AU748" s="6">
        <v>3.27</v>
      </c>
      <c r="AV748" t="b">
        <v>1</v>
      </c>
      <c r="AW748" t="s">
        <v>477</v>
      </c>
      <c r="AX748" t="s">
        <v>471</v>
      </c>
      <c r="AY748" t="s">
        <v>474</v>
      </c>
      <c r="AZ748" t="s">
        <v>33</v>
      </c>
      <c r="BA748" s="18" t="s">
        <v>579</v>
      </c>
      <c r="BB748" t="b">
        <v>1</v>
      </c>
      <c r="BC748" t="s">
        <v>81</v>
      </c>
      <c r="BD748" t="s">
        <v>33</v>
      </c>
      <c r="BE748" t="s">
        <v>80</v>
      </c>
      <c r="BF748" t="s">
        <v>33</v>
      </c>
      <c r="BG748" t="s">
        <v>483</v>
      </c>
      <c r="BH748" t="s">
        <v>31</v>
      </c>
      <c r="BI748" t="s">
        <v>31</v>
      </c>
      <c r="BJ748" s="3">
        <f t="shared" si="360"/>
        <v>3.27</v>
      </c>
      <c r="BK748" s="3">
        <f t="shared" si="352"/>
        <v>0.51454775266028607</v>
      </c>
      <c r="BL748">
        <v>2</v>
      </c>
      <c r="BM748" s="3">
        <f t="shared" si="364"/>
        <v>1.9053972621830197</v>
      </c>
      <c r="BN748" t="s">
        <v>33</v>
      </c>
      <c r="BO748" s="3">
        <f t="shared" si="358"/>
        <v>80.42614678899082</v>
      </c>
      <c r="BP748" t="s">
        <v>33</v>
      </c>
      <c r="BQ748" t="s">
        <v>33</v>
      </c>
      <c r="BR748" t="s">
        <v>33</v>
      </c>
      <c r="BS748" t="s">
        <v>33</v>
      </c>
      <c r="BT748" t="s">
        <v>32</v>
      </c>
      <c r="BU748" t="s">
        <v>484</v>
      </c>
      <c r="BV748">
        <v>2015</v>
      </c>
      <c r="BW748" t="s">
        <v>485</v>
      </c>
      <c r="BX748" t="s">
        <v>78</v>
      </c>
      <c r="BY748" t="s">
        <v>486</v>
      </c>
      <c r="CA748" t="str">
        <f t="shared" si="359"/>
        <v>high acid</v>
      </c>
    </row>
    <row r="749" spans="1:79">
      <c r="A749" t="s">
        <v>593</v>
      </c>
      <c r="B749" t="s">
        <v>565</v>
      </c>
      <c r="C749" t="s">
        <v>563</v>
      </c>
      <c r="D749" t="s">
        <v>118</v>
      </c>
      <c r="E749" t="s">
        <v>77</v>
      </c>
      <c r="F749" t="s">
        <v>32</v>
      </c>
      <c r="G749" t="s">
        <v>33</v>
      </c>
      <c r="H749">
        <v>35</v>
      </c>
      <c r="I749" t="b">
        <v>0</v>
      </c>
      <c r="J749" t="s">
        <v>33</v>
      </c>
      <c r="K749" t="s">
        <v>33</v>
      </c>
      <c r="L749">
        <v>35</v>
      </c>
      <c r="M749" s="4">
        <v>400</v>
      </c>
      <c r="N749" t="e">
        <f>(#REF!*Y749)/(T749*X749*O749)</f>
        <v>#REF!</v>
      </c>
      <c r="O749">
        <v>2</v>
      </c>
      <c r="P749" t="s">
        <v>33</v>
      </c>
      <c r="Q749" s="1">
        <f t="shared" si="371"/>
        <v>0.06</v>
      </c>
      <c r="R749" t="s">
        <v>183</v>
      </c>
      <c r="S749" t="s">
        <v>613</v>
      </c>
      <c r="T749">
        <v>6</v>
      </c>
      <c r="U749">
        <v>2.92</v>
      </c>
      <c r="V749">
        <v>2.2999999999999998</v>
      </c>
      <c r="W749" t="s">
        <v>33</v>
      </c>
      <c r="X749">
        <f>IFERROR(((PI())*(((V749*10^-1)/2)^2)*(U749*10^-1)), "NA")</f>
        <v>1.2131888350367701E-2</v>
      </c>
      <c r="Y749">
        <v>1</v>
      </c>
      <c r="Z749" s="3">
        <f t="shared" ref="Z749:Z761" si="373">IFERROR(X749*M749*O749*T749*AI749/AF749, "NA")</f>
        <v>0.20219813917279503</v>
      </c>
      <c r="AA749" t="s">
        <v>33</v>
      </c>
      <c r="AB749">
        <f t="shared" ref="AB749:AB761" si="374">IFERROR(((X749*M749)/Z749), "NA")</f>
        <v>24</v>
      </c>
      <c r="AC749" s="1" t="str">
        <f t="shared" ref="AC749:AC780" si="375">IFERROR(M749*P749,"NA")</f>
        <v>NA</v>
      </c>
      <c r="AE749" s="3">
        <f t="shared" ref="AE749:AE780" si="376">IFERROR(((L749^2)*M749*O749*AK749*10^-6*Q749*T749*AI749), "NA")</f>
        <v>776.15999999999985</v>
      </c>
      <c r="AF749">
        <v>288</v>
      </c>
      <c r="AG749" s="1" t="str">
        <f>IFERROR((N749*P749*Q749), "NA")</f>
        <v>NA</v>
      </c>
      <c r="AH749" s="1" t="str">
        <f>IFERROR((AG749*U749*AI749), "NA")</f>
        <v>NA</v>
      </c>
      <c r="AI749">
        <v>1</v>
      </c>
      <c r="AJ749" s="11" t="s">
        <v>31</v>
      </c>
      <c r="AK749">
        <v>2200</v>
      </c>
      <c r="AL749" t="s">
        <v>693</v>
      </c>
      <c r="AM749" t="s">
        <v>530</v>
      </c>
      <c r="AN749" t="s">
        <v>186</v>
      </c>
      <c r="AO749" t="s">
        <v>796</v>
      </c>
      <c r="AP749">
        <v>7.19</v>
      </c>
      <c r="AQ749" t="s">
        <v>33</v>
      </c>
      <c r="AR749" t="s">
        <v>33</v>
      </c>
      <c r="AS749">
        <v>6.5</v>
      </c>
      <c r="AT749">
        <f>AS749-AU749</f>
        <v>4.7300000000000004</v>
      </c>
      <c r="AU749" s="6">
        <v>1.77</v>
      </c>
      <c r="AV749" t="b">
        <v>1</v>
      </c>
      <c r="AW749" t="s">
        <v>626</v>
      </c>
      <c r="AX749" t="s">
        <v>627</v>
      </c>
      <c r="AY749" t="s">
        <v>625</v>
      </c>
      <c r="AZ749" t="s">
        <v>33</v>
      </c>
      <c r="BA749" s="18" t="s">
        <v>800</v>
      </c>
      <c r="BB749" s="3" t="b">
        <v>0</v>
      </c>
      <c r="BC749" t="s">
        <v>81</v>
      </c>
      <c r="BD749">
        <f>AVERAGE(14, 16)</f>
        <v>15</v>
      </c>
      <c r="BE749" t="s">
        <v>80</v>
      </c>
      <c r="BF749">
        <v>48</v>
      </c>
      <c r="BG749" t="s">
        <v>568</v>
      </c>
      <c r="BH749" t="s">
        <v>31</v>
      </c>
      <c r="BI749" t="s">
        <v>31</v>
      </c>
      <c r="BJ749">
        <f t="shared" si="360"/>
        <v>1.77</v>
      </c>
      <c r="BK749" s="3">
        <f t="shared" si="352"/>
        <v>0.24797326636180664</v>
      </c>
      <c r="BL749">
        <v>2</v>
      </c>
      <c r="BM749" s="3">
        <f t="shared" si="364"/>
        <v>2.6419779909201817</v>
      </c>
      <c r="BN749" t="s">
        <v>33</v>
      </c>
      <c r="BO749" s="3">
        <f t="shared" si="358"/>
        <v>438.50847457627111</v>
      </c>
      <c r="BP749" t="s">
        <v>33</v>
      </c>
      <c r="BQ749" t="s">
        <v>33</v>
      </c>
      <c r="BR749" t="s">
        <v>33</v>
      </c>
      <c r="BS749" t="s">
        <v>33</v>
      </c>
      <c r="BT749" t="s">
        <v>31</v>
      </c>
      <c r="BU749" s="15" t="s">
        <v>217</v>
      </c>
      <c r="BV749">
        <v>2012</v>
      </c>
      <c r="BW749" t="s">
        <v>660</v>
      </c>
      <c r="BX749" t="s">
        <v>78</v>
      </c>
      <c r="BY749" s="13" t="s">
        <v>681</v>
      </c>
      <c r="CA749" t="str">
        <f t="shared" si="359"/>
        <v>low acid</v>
      </c>
    </row>
    <row r="750" spans="1:79">
      <c r="A750" t="s">
        <v>354</v>
      </c>
      <c r="B750" t="s">
        <v>565</v>
      </c>
      <c r="C750" t="s">
        <v>563</v>
      </c>
      <c r="D750" t="s">
        <v>118</v>
      </c>
      <c r="E750" t="s">
        <v>77</v>
      </c>
      <c r="F750" t="s">
        <v>32</v>
      </c>
      <c r="G750">
        <v>20</v>
      </c>
      <c r="H750">
        <v>38</v>
      </c>
      <c r="I750" t="b">
        <v>0</v>
      </c>
      <c r="J750" t="s">
        <v>33</v>
      </c>
      <c r="K750" t="s">
        <v>33</v>
      </c>
      <c r="L750">
        <v>25</v>
      </c>
      <c r="M750" s="4">
        <v>800</v>
      </c>
      <c r="N750" s="3">
        <f>IFERROR(AF750/((T750*X750/Y750)*O750*AI750),"NA")</f>
        <v>798.65912581555494</v>
      </c>
      <c r="O750">
        <v>4</v>
      </c>
      <c r="P750">
        <v>1.4999999999999999E-2</v>
      </c>
      <c r="Q750" s="8">
        <f t="shared" si="371"/>
        <v>8.6458333333333352E-3</v>
      </c>
      <c r="R750" t="s">
        <v>183</v>
      </c>
      <c r="S750" t="s">
        <v>613</v>
      </c>
      <c r="T750" s="11">
        <v>6</v>
      </c>
      <c r="U750">
        <v>2.92</v>
      </c>
      <c r="V750">
        <v>2.38</v>
      </c>
      <c r="W750" t="s">
        <v>33</v>
      </c>
      <c r="X750" s="8">
        <f>IFERROR(((PI())*(((V750*10^-1)/2)^2)*(U750*10^-1)), "NA")</f>
        <v>1.2990523321705635E-2</v>
      </c>
      <c r="Y750">
        <v>1.5</v>
      </c>
      <c r="Z750" s="3">
        <f t="shared" si="373"/>
        <v>1.5025183601008925</v>
      </c>
      <c r="AA750" t="s">
        <v>33</v>
      </c>
      <c r="AB750" s="6">
        <f t="shared" si="374"/>
        <v>6.916666666666667</v>
      </c>
      <c r="AC750">
        <f t="shared" si="375"/>
        <v>12</v>
      </c>
      <c r="AD750" s="4">
        <f>AB750*T750*AI750</f>
        <v>41.5</v>
      </c>
      <c r="AE750" s="3">
        <f t="shared" si="376"/>
        <v>269.75000000000006</v>
      </c>
      <c r="AF750" s="3">
        <v>166</v>
      </c>
      <c r="AG750">
        <f>IFERROR((M750*O750*P750), "NA")</f>
        <v>48</v>
      </c>
      <c r="AH750">
        <f>IFERROR((AG750*T750*AI750), "NA")</f>
        <v>288</v>
      </c>
      <c r="AI750">
        <v>1</v>
      </c>
      <c r="AJ750" t="s">
        <v>31</v>
      </c>
      <c r="AK750">
        <v>2600</v>
      </c>
      <c r="AL750" t="s">
        <v>351</v>
      </c>
      <c r="AM750" t="s">
        <v>86</v>
      </c>
      <c r="AN750" t="s">
        <v>205</v>
      </c>
      <c r="AO750" t="s">
        <v>789</v>
      </c>
      <c r="AP750">
        <v>3.7</v>
      </c>
      <c r="AQ750" t="s">
        <v>33</v>
      </c>
      <c r="AR750" t="s">
        <v>33</v>
      </c>
      <c r="AS750" s="6">
        <v>6.5</v>
      </c>
      <c r="AT750" s="3">
        <f>IFERROR(AS750-AU750,"NA")</f>
        <v>4.7389999999999999</v>
      </c>
      <c r="AU750" s="6">
        <v>1.7609999999999999</v>
      </c>
      <c r="AV750" t="b">
        <v>1</v>
      </c>
      <c r="AW750" t="s">
        <v>29</v>
      </c>
      <c r="AX750" t="s">
        <v>30</v>
      </c>
      <c r="AY750" t="s">
        <v>33</v>
      </c>
      <c r="AZ750" t="s">
        <v>134</v>
      </c>
      <c r="BA750" s="18" t="s">
        <v>798</v>
      </c>
      <c r="BB750" t="b">
        <v>0</v>
      </c>
      <c r="BC750" t="s">
        <v>81</v>
      </c>
      <c r="BD750">
        <v>12</v>
      </c>
      <c r="BE750" t="s">
        <v>80</v>
      </c>
      <c r="BF750" s="11">
        <v>24</v>
      </c>
      <c r="BG750" t="s">
        <v>352</v>
      </c>
      <c r="BH750" t="s">
        <v>31</v>
      </c>
      <c r="BI750" t="s">
        <v>31</v>
      </c>
      <c r="BJ750" s="3">
        <f t="shared" si="360"/>
        <v>1.7609999999999999</v>
      </c>
      <c r="BK750" s="3">
        <f t="shared" si="352"/>
        <v>0.24575935596727688</v>
      </c>
      <c r="BL750">
        <v>2</v>
      </c>
      <c r="BM750" s="3">
        <f t="shared" si="364"/>
        <v>2.1852020973876716</v>
      </c>
      <c r="BN750" t="s">
        <v>33</v>
      </c>
      <c r="BO750" s="3">
        <f t="shared" si="358"/>
        <v>153.18001135718345</v>
      </c>
      <c r="BP750" t="s">
        <v>33</v>
      </c>
      <c r="BQ750" t="s">
        <v>33</v>
      </c>
      <c r="BR750" t="s">
        <v>33</v>
      </c>
      <c r="BS750" t="s">
        <v>33</v>
      </c>
      <c r="BT750" t="s">
        <v>31</v>
      </c>
      <c r="BU750" t="s">
        <v>163</v>
      </c>
      <c r="BV750">
        <v>2000</v>
      </c>
      <c r="BW750" t="s">
        <v>353</v>
      </c>
      <c r="BX750" t="s">
        <v>78</v>
      </c>
      <c r="BY750" t="s">
        <v>33</v>
      </c>
      <c r="BZ750" t="s">
        <v>780</v>
      </c>
      <c r="CA750" t="str">
        <f t="shared" si="359"/>
        <v>high acid</v>
      </c>
    </row>
    <row r="751" spans="1:79">
      <c r="A751" t="s">
        <v>585</v>
      </c>
      <c r="B751" t="s">
        <v>565</v>
      </c>
      <c r="C751" t="s">
        <v>563</v>
      </c>
      <c r="D751" t="s">
        <v>608</v>
      </c>
      <c r="E751" t="s">
        <v>77</v>
      </c>
      <c r="F751" t="s">
        <v>32</v>
      </c>
      <c r="G751" t="s">
        <v>33</v>
      </c>
      <c r="H751" t="s">
        <v>33</v>
      </c>
      <c r="I751" t="b">
        <v>0</v>
      </c>
      <c r="J751" t="s">
        <v>33</v>
      </c>
      <c r="K751">
        <v>13.5</v>
      </c>
      <c r="L751">
        <v>25</v>
      </c>
      <c r="M751" s="4">
        <v>200</v>
      </c>
      <c r="N751" t="e">
        <f>(#REF!*Y751)/(T751*X751*O751)</f>
        <v>#REF!</v>
      </c>
      <c r="O751">
        <v>2.12</v>
      </c>
      <c r="P751" t="s">
        <v>33</v>
      </c>
      <c r="Q751" s="1">
        <f t="shared" si="371"/>
        <v>0.14740566037735847</v>
      </c>
      <c r="R751" t="s">
        <v>183</v>
      </c>
      <c r="S751" t="s">
        <v>613</v>
      </c>
      <c r="T751">
        <v>4</v>
      </c>
      <c r="U751">
        <v>1.9</v>
      </c>
      <c r="V751">
        <v>2.2999999999999998</v>
      </c>
      <c r="W751" t="s">
        <v>33</v>
      </c>
      <c r="X751">
        <f>IFERROR(((PI())*(((V751*10^-1)/2)^2)*(U751*10^-1)), "NA")</f>
        <v>7.8940369403077502E-3</v>
      </c>
      <c r="Y751">
        <v>1.2</v>
      </c>
      <c r="Z751" s="3">
        <f t="shared" si="373"/>
        <v>5.3553146603047781E-2</v>
      </c>
      <c r="AA751" t="s">
        <v>33</v>
      </c>
      <c r="AB751">
        <f t="shared" si="374"/>
        <v>29.481132075471695</v>
      </c>
      <c r="AC751" s="1" t="str">
        <f t="shared" si="375"/>
        <v>NA</v>
      </c>
      <c r="AE751" s="3">
        <f t="shared" si="376"/>
        <v>1012.4999999999998</v>
      </c>
      <c r="AF751">
        <v>250</v>
      </c>
      <c r="AG751" s="1" t="str">
        <f>IFERROR((N751*P751*Q751), "NA")</f>
        <v>NA</v>
      </c>
      <c r="AH751" s="1" t="str">
        <f>IFERROR((AG751*U751*AI751), "NA")</f>
        <v>NA</v>
      </c>
      <c r="AI751" s="1">
        <v>1</v>
      </c>
      <c r="AJ751" s="11" t="s">
        <v>31</v>
      </c>
      <c r="AK751">
        <v>6480</v>
      </c>
      <c r="AL751" t="s">
        <v>562</v>
      </c>
      <c r="AM751" s="3" t="s">
        <v>786</v>
      </c>
      <c r="AN751" t="s">
        <v>186</v>
      </c>
      <c r="AO751" t="s">
        <v>793</v>
      </c>
      <c r="AP751">
        <v>7.67</v>
      </c>
      <c r="AQ751" t="s">
        <v>33</v>
      </c>
      <c r="AR751" t="s">
        <v>33</v>
      </c>
      <c r="AS751">
        <v>5.73</v>
      </c>
      <c r="AT751">
        <v>4.74</v>
      </c>
      <c r="AU751" s="6">
        <f>AS751-AT751</f>
        <v>0.99000000000000021</v>
      </c>
      <c r="AV751" t="b">
        <v>1</v>
      </c>
      <c r="AW751" t="s">
        <v>617</v>
      </c>
      <c r="AX751" t="s">
        <v>33</v>
      </c>
      <c r="AY751" t="s">
        <v>622</v>
      </c>
      <c r="AZ751" t="s">
        <v>619</v>
      </c>
      <c r="BA751" s="18" t="s">
        <v>802</v>
      </c>
      <c r="BB751" s="3" t="b">
        <v>0</v>
      </c>
      <c r="BC751" t="s">
        <v>81</v>
      </c>
      <c r="BD751">
        <v>48</v>
      </c>
      <c r="BE751" t="s">
        <v>80</v>
      </c>
      <c r="BF751">
        <v>48</v>
      </c>
      <c r="BG751" t="s">
        <v>569</v>
      </c>
      <c r="BH751" t="s">
        <v>31</v>
      </c>
      <c r="BI751" t="s">
        <v>31</v>
      </c>
      <c r="BJ751">
        <f t="shared" si="360"/>
        <v>0.99000000000000021</v>
      </c>
      <c r="BK751" s="3">
        <f t="shared" si="352"/>
        <v>-4.3648054024499911E-3</v>
      </c>
      <c r="BL751">
        <v>2</v>
      </c>
      <c r="BM751" s="3">
        <f t="shared" si="364"/>
        <v>3.0097598372891561</v>
      </c>
      <c r="BN751" t="s">
        <v>33</v>
      </c>
      <c r="BO751" s="3">
        <f t="shared" si="358"/>
        <v>1022.7272727272723</v>
      </c>
      <c r="BP751" t="s">
        <v>33</v>
      </c>
      <c r="BQ751" t="s">
        <v>33</v>
      </c>
      <c r="BR751" t="s">
        <v>33</v>
      </c>
      <c r="BS751" t="s">
        <v>33</v>
      </c>
      <c r="BT751" t="s">
        <v>31</v>
      </c>
      <c r="BU751" t="s">
        <v>652</v>
      </c>
      <c r="BV751">
        <v>2004</v>
      </c>
      <c r="BW751" t="s">
        <v>653</v>
      </c>
      <c r="BX751" t="s">
        <v>78</v>
      </c>
      <c r="BY751" s="13" t="s">
        <v>675</v>
      </c>
      <c r="CA751" t="str">
        <f t="shared" si="359"/>
        <v>low acid</v>
      </c>
    </row>
    <row r="752" spans="1:79">
      <c r="A752" t="s">
        <v>584</v>
      </c>
      <c r="B752" t="s">
        <v>566</v>
      </c>
      <c r="C752" t="s">
        <v>563</v>
      </c>
      <c r="D752" t="s">
        <v>607</v>
      </c>
      <c r="E752" t="s">
        <v>77</v>
      </c>
      <c r="F752" t="s">
        <v>33</v>
      </c>
      <c r="G752">
        <v>20</v>
      </c>
      <c r="H752">
        <v>35</v>
      </c>
      <c r="I752" t="b">
        <v>0</v>
      </c>
      <c r="J752">
        <v>1000</v>
      </c>
      <c r="K752">
        <v>200</v>
      </c>
      <c r="L752">
        <v>25</v>
      </c>
      <c r="M752" s="4">
        <v>1</v>
      </c>
      <c r="N752" t="e">
        <f>(#REF!*Y752)/(T752*X752*O752)</f>
        <v>#REF!</v>
      </c>
      <c r="O752">
        <v>3</v>
      </c>
      <c r="P752" t="s">
        <v>33</v>
      </c>
      <c r="Q752" s="1">
        <f t="shared" si="371"/>
        <v>10</v>
      </c>
      <c r="R752" t="s">
        <v>183</v>
      </c>
      <c r="S752" t="s">
        <v>33</v>
      </c>
      <c r="T752">
        <v>1</v>
      </c>
      <c r="U752">
        <v>2.5</v>
      </c>
      <c r="V752" t="s">
        <v>33</v>
      </c>
      <c r="W752">
        <v>0.50249999999999995</v>
      </c>
      <c r="X752">
        <f>W752</f>
        <v>0.50249999999999995</v>
      </c>
      <c r="Y752" t="s">
        <v>33</v>
      </c>
      <c r="Z752" s="3">
        <f t="shared" si="373"/>
        <v>5.0249999999999996E-2</v>
      </c>
      <c r="AA752" t="s">
        <v>33</v>
      </c>
      <c r="AB752">
        <f t="shared" si="374"/>
        <v>10</v>
      </c>
      <c r="AC752" s="1" t="str">
        <f t="shared" si="375"/>
        <v>NA</v>
      </c>
      <c r="AE752" s="3">
        <f t="shared" si="376"/>
        <v>18.75</v>
      </c>
      <c r="AF752">
        <v>30</v>
      </c>
      <c r="AG752" s="1" t="str">
        <f>IFERROR((N752*P752*Q752), "NA")</f>
        <v>NA</v>
      </c>
      <c r="AH752" s="1" t="str">
        <f>IFERROR((AG752*U752*AI752), "NA")</f>
        <v>NA</v>
      </c>
      <c r="AI752" s="1">
        <v>1</v>
      </c>
      <c r="AJ752" s="11" t="s">
        <v>31</v>
      </c>
      <c r="AK752">
        <v>1000</v>
      </c>
      <c r="AL752" t="s">
        <v>614</v>
      </c>
      <c r="AM752" s="3" t="s">
        <v>103</v>
      </c>
      <c r="AN752" t="s">
        <v>305</v>
      </c>
      <c r="AO752" t="s">
        <v>790</v>
      </c>
      <c r="AP752">
        <v>3.5</v>
      </c>
      <c r="AQ752" t="s">
        <v>33</v>
      </c>
      <c r="AR752" t="s">
        <v>33</v>
      </c>
      <c r="AS752">
        <v>8</v>
      </c>
      <c r="AT752">
        <f>AS752-AU752</f>
        <v>4.74</v>
      </c>
      <c r="AU752" s="6">
        <v>3.26</v>
      </c>
      <c r="AV752" t="b">
        <v>1</v>
      </c>
      <c r="AW752" t="s">
        <v>617</v>
      </c>
      <c r="AX752" t="s">
        <v>33</v>
      </c>
      <c r="AY752" t="s">
        <v>623</v>
      </c>
      <c r="AZ752" t="s">
        <v>621</v>
      </c>
      <c r="BA752" s="18" t="s">
        <v>802</v>
      </c>
      <c r="BB752" s="3" t="b">
        <v>0</v>
      </c>
      <c r="BC752" t="s">
        <v>81</v>
      </c>
      <c r="BD752">
        <v>18</v>
      </c>
      <c r="BE752" t="s">
        <v>80</v>
      </c>
      <c r="BF752">
        <v>24</v>
      </c>
      <c r="BG752" t="s">
        <v>642</v>
      </c>
      <c r="BH752" t="s">
        <v>32</v>
      </c>
      <c r="BI752" t="s">
        <v>31</v>
      </c>
      <c r="BJ752">
        <f t="shared" si="360"/>
        <v>3.26</v>
      </c>
      <c r="BK752" s="3">
        <f t="shared" si="352"/>
        <v>0.51321760006793893</v>
      </c>
      <c r="BL752">
        <v>2</v>
      </c>
      <c r="BM752" s="3">
        <f t="shared" si="364"/>
        <v>0.75978367199579866</v>
      </c>
      <c r="BN752" t="s">
        <v>33</v>
      </c>
      <c r="BO752" s="3">
        <f t="shared" si="358"/>
        <v>5.7515337423312891</v>
      </c>
      <c r="BP752" t="s">
        <v>33</v>
      </c>
      <c r="BQ752" t="s">
        <v>33</v>
      </c>
      <c r="BR752" t="s">
        <v>33</v>
      </c>
      <c r="BS752" t="s">
        <v>33</v>
      </c>
      <c r="BT752" t="s">
        <v>31</v>
      </c>
      <c r="BU752" t="s">
        <v>255</v>
      </c>
      <c r="BV752">
        <v>2010</v>
      </c>
      <c r="BW752" t="s">
        <v>651</v>
      </c>
      <c r="BX752" t="s">
        <v>78</v>
      </c>
      <c r="BY752" s="13" t="s">
        <v>674</v>
      </c>
      <c r="CA752" t="str">
        <f t="shared" si="359"/>
        <v>high acid</v>
      </c>
    </row>
    <row r="753" spans="1:79">
      <c r="A753" t="s">
        <v>604</v>
      </c>
      <c r="B753" t="s">
        <v>565</v>
      </c>
      <c r="C753" t="s">
        <v>563</v>
      </c>
      <c r="D753" t="s">
        <v>118</v>
      </c>
      <c r="E753" t="s">
        <v>77</v>
      </c>
      <c r="F753" t="s">
        <v>33</v>
      </c>
      <c r="G753">
        <v>20</v>
      </c>
      <c r="H753">
        <v>25</v>
      </c>
      <c r="I753" t="b">
        <v>0</v>
      </c>
      <c r="J753" t="s">
        <v>33</v>
      </c>
      <c r="K753" t="s">
        <v>33</v>
      </c>
      <c r="L753">
        <v>27.4</v>
      </c>
      <c r="M753" s="4">
        <v>667</v>
      </c>
      <c r="N753" t="e">
        <f>(#REF!*Y753)/(T753*X753*O753)</f>
        <v>#REF!</v>
      </c>
      <c r="O753">
        <v>2</v>
      </c>
      <c r="P753" t="s">
        <v>33</v>
      </c>
      <c r="Q753" s="1">
        <f t="shared" si="371"/>
        <v>1.4992503748125939E-2</v>
      </c>
      <c r="R753" t="s">
        <v>183</v>
      </c>
      <c r="S753" t="s">
        <v>613</v>
      </c>
      <c r="T753">
        <v>6</v>
      </c>
      <c r="U753">
        <v>2.92</v>
      </c>
      <c r="V753">
        <v>2.2999999999999998</v>
      </c>
      <c r="W753" t="s">
        <v>33</v>
      </c>
      <c r="X753">
        <f t="shared" ref="X753:X761" si="377">IFERROR(((PI())*(((V753*10^-1)/2)^2)*(U753*10^-1)), "NA")</f>
        <v>1.2131888350367701E-2</v>
      </c>
      <c r="Y753" t="s">
        <v>33</v>
      </c>
      <c r="Z753" s="3">
        <f t="shared" si="373"/>
        <v>0.80919695296952554</v>
      </c>
      <c r="AA753" t="s">
        <v>33</v>
      </c>
      <c r="AB753">
        <f t="shared" si="374"/>
        <v>10</v>
      </c>
      <c r="AC753" s="1" t="str">
        <f t="shared" si="375"/>
        <v>NA</v>
      </c>
      <c r="AE753" s="3">
        <f t="shared" si="376"/>
        <v>90.091200000000001</v>
      </c>
      <c r="AF753">
        <v>120</v>
      </c>
      <c r="AG753" s="1" t="str">
        <f>IFERROR((N753*P753*Q753), "NA")</f>
        <v>NA</v>
      </c>
      <c r="AH753" s="1" t="str">
        <f>IFERROR((O753*Q753*R753), "NA")</f>
        <v>NA</v>
      </c>
      <c r="AI753" s="1">
        <v>1</v>
      </c>
      <c r="AJ753" s="11" t="s">
        <v>31</v>
      </c>
      <c r="AK753">
        <v>1000</v>
      </c>
      <c r="AL753" t="s">
        <v>430</v>
      </c>
      <c r="AM753" t="s">
        <v>530</v>
      </c>
      <c r="AN753" t="s">
        <v>186</v>
      </c>
      <c r="AO753" t="s">
        <v>796</v>
      </c>
      <c r="AP753">
        <v>6</v>
      </c>
      <c r="AQ753" t="s">
        <v>33</v>
      </c>
      <c r="AR753" t="s">
        <v>33</v>
      </c>
      <c r="AS753">
        <v>6.5</v>
      </c>
      <c r="AT753">
        <f>AS753-AU753</f>
        <v>4.74</v>
      </c>
      <c r="AU753" s="6">
        <v>1.76</v>
      </c>
      <c r="AV753" t="b">
        <v>1</v>
      </c>
      <c r="AW753" t="s">
        <v>626</v>
      </c>
      <c r="AX753" t="s">
        <v>627</v>
      </c>
      <c r="AY753" t="s">
        <v>625</v>
      </c>
      <c r="AZ753" t="s">
        <v>33</v>
      </c>
      <c r="BA753" s="18" t="s">
        <v>800</v>
      </c>
      <c r="BB753" s="3" t="b">
        <v>0</v>
      </c>
      <c r="BC753" t="s">
        <v>81</v>
      </c>
      <c r="BD753">
        <v>15</v>
      </c>
      <c r="BE753" t="s">
        <v>80</v>
      </c>
      <c r="BF753">
        <v>48</v>
      </c>
      <c r="BG753" t="s">
        <v>568</v>
      </c>
      <c r="BH753" t="s">
        <v>31</v>
      </c>
      <c r="BI753" t="s">
        <v>31</v>
      </c>
      <c r="BJ753">
        <f t="shared" si="360"/>
        <v>1.76</v>
      </c>
      <c r="BK753" s="3">
        <f t="shared" si="352"/>
        <v>0.24551266781414982</v>
      </c>
      <c r="BL753">
        <v>2</v>
      </c>
      <c r="BM753" s="3">
        <f t="shared" si="364"/>
        <v>1.7091697038742508</v>
      </c>
      <c r="BN753" t="s">
        <v>33</v>
      </c>
      <c r="BO753" s="3">
        <f t="shared" si="358"/>
        <v>51.188181818181818</v>
      </c>
      <c r="BP753" t="s">
        <v>33</v>
      </c>
      <c r="BQ753" t="s">
        <v>33</v>
      </c>
      <c r="BR753" t="s">
        <v>33</v>
      </c>
      <c r="BS753" t="s">
        <v>33</v>
      </c>
      <c r="BT753" t="s">
        <v>32</v>
      </c>
      <c r="BU753" s="15" t="s">
        <v>344</v>
      </c>
      <c r="BV753" s="14">
        <v>2008</v>
      </c>
      <c r="BW753" t="s">
        <v>432</v>
      </c>
      <c r="BX753" t="s">
        <v>78</v>
      </c>
      <c r="BY753" s="13" t="s">
        <v>691</v>
      </c>
      <c r="BZ753" s="13" t="s">
        <v>781</v>
      </c>
      <c r="CA753" t="str">
        <f t="shared" si="359"/>
        <v>low acid</v>
      </c>
    </row>
    <row r="754" spans="1:79">
      <c r="A754" t="s">
        <v>202</v>
      </c>
      <c r="B754" t="s">
        <v>565</v>
      </c>
      <c r="C754" t="s">
        <v>563</v>
      </c>
      <c r="D754" t="s">
        <v>118</v>
      </c>
      <c r="E754" t="s">
        <v>77</v>
      </c>
      <c r="F754" t="s">
        <v>32</v>
      </c>
      <c r="G754">
        <v>23</v>
      </c>
      <c r="H754">
        <v>56</v>
      </c>
      <c r="I754" t="b">
        <v>0</v>
      </c>
      <c r="J754" t="s">
        <v>33</v>
      </c>
      <c r="K754" t="s">
        <v>33</v>
      </c>
      <c r="L754">
        <v>25</v>
      </c>
      <c r="M754" s="4">
        <v>667</v>
      </c>
      <c r="N754" s="3">
        <f>IFERROR(AF754/((T754*X754/Y754)*O754*AI754),"NA")</f>
        <v>995.95036417586573</v>
      </c>
      <c r="O754">
        <v>3</v>
      </c>
      <c r="P754" t="s">
        <v>33</v>
      </c>
      <c r="Q754" s="8">
        <f t="shared" si="371"/>
        <v>1.7991004497751126E-2</v>
      </c>
      <c r="R754" t="s">
        <v>183</v>
      </c>
      <c r="S754" t="s">
        <v>613</v>
      </c>
      <c r="T754" s="11">
        <v>4</v>
      </c>
      <c r="U754">
        <v>2.9</v>
      </c>
      <c r="V754">
        <v>2.2999999999999998</v>
      </c>
      <c r="W754" t="s">
        <v>33</v>
      </c>
      <c r="X754" s="8">
        <f t="shared" si="377"/>
        <v>1.204879322468025E-2</v>
      </c>
      <c r="Y754">
        <v>1</v>
      </c>
      <c r="Z754" s="3">
        <f t="shared" si="373"/>
        <v>0.66971209007181054</v>
      </c>
      <c r="AA754" t="s">
        <v>33</v>
      </c>
      <c r="AB754" s="6">
        <f t="shared" si="374"/>
        <v>12</v>
      </c>
      <c r="AC754" t="str">
        <f t="shared" si="375"/>
        <v>NA</v>
      </c>
      <c r="AD754" s="4">
        <f>AB754*T754*AI754</f>
        <v>48</v>
      </c>
      <c r="AE754" s="3">
        <f t="shared" si="376"/>
        <v>414.00000000000006</v>
      </c>
      <c r="AF754">
        <v>144</v>
      </c>
      <c r="AG754" t="str">
        <f>IFERROR((M754*O754*P754), "NA")</f>
        <v>NA</v>
      </c>
      <c r="AH754" t="str">
        <f>IFERROR((AG754*T754*AI754), "NA")</f>
        <v>NA</v>
      </c>
      <c r="AI754">
        <v>1</v>
      </c>
      <c r="AJ754" t="s">
        <v>31</v>
      </c>
      <c r="AK754">
        <v>4600</v>
      </c>
      <c r="AL754" t="s">
        <v>204</v>
      </c>
      <c r="AM754" t="s">
        <v>785</v>
      </c>
      <c r="AN754" t="s">
        <v>205</v>
      </c>
      <c r="AO754" t="s">
        <v>791</v>
      </c>
      <c r="AP754">
        <v>4.2</v>
      </c>
      <c r="AQ754" t="s">
        <v>33</v>
      </c>
      <c r="AR754" t="s">
        <v>33</v>
      </c>
      <c r="AS754">
        <v>8.3239999999999998</v>
      </c>
      <c r="AT754" s="3">
        <f>IFERROR(AS754-AU754,"NA")</f>
        <v>4.742</v>
      </c>
      <c r="AU754" s="6">
        <v>3.5819999999999999</v>
      </c>
      <c r="AV754" t="b">
        <v>1</v>
      </c>
      <c r="AW754" t="s">
        <v>92</v>
      </c>
      <c r="AX754" t="s">
        <v>93</v>
      </c>
      <c r="AY754" t="s">
        <v>101</v>
      </c>
      <c r="AZ754" t="s">
        <v>33</v>
      </c>
      <c r="BA754" s="18" t="s">
        <v>801</v>
      </c>
      <c r="BB754" t="b">
        <v>0</v>
      </c>
      <c r="BC754" t="s">
        <v>81</v>
      </c>
      <c r="BD754">
        <v>18</v>
      </c>
      <c r="BE754" t="s">
        <v>80</v>
      </c>
      <c r="BF754" t="s">
        <v>33</v>
      </c>
      <c r="BG754" t="s">
        <v>568</v>
      </c>
      <c r="BH754" t="s">
        <v>31</v>
      </c>
      <c r="BI754" t="s">
        <v>31</v>
      </c>
      <c r="BJ754" s="3">
        <f t="shared" si="360"/>
        <v>3.5819999999999999</v>
      </c>
      <c r="BK754" s="3">
        <f t="shared" si="352"/>
        <v>0.55412558151301272</v>
      </c>
      <c r="BL754">
        <v>2</v>
      </c>
      <c r="BM754" s="3">
        <f t="shared" si="364"/>
        <v>2.0628747596078862</v>
      </c>
      <c r="BN754" t="s">
        <v>33</v>
      </c>
      <c r="BO754" s="3">
        <f t="shared" si="358"/>
        <v>115.5778894472362</v>
      </c>
      <c r="BP754" t="s">
        <v>33</v>
      </c>
      <c r="BQ754" t="s">
        <v>33</v>
      </c>
      <c r="BR754" t="s">
        <v>33</v>
      </c>
      <c r="BS754" t="s">
        <v>33</v>
      </c>
      <c r="BT754" t="s">
        <v>31</v>
      </c>
      <c r="BU754" t="s">
        <v>187</v>
      </c>
      <c r="BV754">
        <v>2003</v>
      </c>
      <c r="BW754" t="s">
        <v>192</v>
      </c>
      <c r="BX754" t="s">
        <v>78</v>
      </c>
      <c r="BY754" t="s">
        <v>33</v>
      </c>
      <c r="BZ754" t="s">
        <v>33</v>
      </c>
      <c r="CA754" t="str">
        <f t="shared" si="359"/>
        <v>high acid</v>
      </c>
    </row>
    <row r="755" spans="1:79">
      <c r="A755" t="s">
        <v>155</v>
      </c>
      <c r="B755" t="s">
        <v>565</v>
      </c>
      <c r="C755" t="s">
        <v>563</v>
      </c>
      <c r="D755" t="s">
        <v>118</v>
      </c>
      <c r="E755" t="s">
        <v>77</v>
      </c>
      <c r="F755" t="s">
        <v>32</v>
      </c>
      <c r="G755">
        <v>7</v>
      </c>
      <c r="H755">
        <v>30</v>
      </c>
      <c r="I755" t="b">
        <v>1</v>
      </c>
      <c r="J755">
        <v>7000</v>
      </c>
      <c r="K755" t="s">
        <v>33</v>
      </c>
      <c r="L755">
        <v>24</v>
      </c>
      <c r="M755" s="4">
        <v>700</v>
      </c>
      <c r="N755" s="3">
        <f>IFERROR(AF755/((T755*X755/Y755)*O755*AI755),"NA")</f>
        <v>400.83412820094338</v>
      </c>
      <c r="O755">
        <v>2.8</v>
      </c>
      <c r="P755" t="s">
        <v>33</v>
      </c>
      <c r="Q755" s="8">
        <f t="shared" si="371"/>
        <v>1.1989795918367347E-2</v>
      </c>
      <c r="R755" t="s">
        <v>183</v>
      </c>
      <c r="S755" t="s">
        <v>612</v>
      </c>
      <c r="T755" s="11">
        <v>6</v>
      </c>
      <c r="U755">
        <v>3.17</v>
      </c>
      <c r="V755">
        <v>2.9</v>
      </c>
      <c r="W755" t="s">
        <v>33</v>
      </c>
      <c r="X755" s="8">
        <f t="shared" si="377"/>
        <v>2.0938479416726951E-2</v>
      </c>
      <c r="Y755" s="6">
        <v>1</v>
      </c>
      <c r="Z755" s="3">
        <f t="shared" si="373"/>
        <v>1.7463582832674394</v>
      </c>
      <c r="AA755" t="s">
        <v>33</v>
      </c>
      <c r="AB755" s="6">
        <f t="shared" si="374"/>
        <v>8.3928571428571423</v>
      </c>
      <c r="AC755" t="str">
        <f t="shared" si="375"/>
        <v>NA</v>
      </c>
      <c r="AD755" s="4">
        <f>AB755*T755*AI755</f>
        <v>50.357142857142854</v>
      </c>
      <c r="AE755" s="3">
        <f t="shared" si="376"/>
        <v>503.53919999999994</v>
      </c>
      <c r="AF755">
        <v>141</v>
      </c>
      <c r="AG755" t="str">
        <f>IFERROR((M755*O755*P755), "NA")</f>
        <v>NA</v>
      </c>
      <c r="AH755" t="str">
        <f>IFERROR((AG755*T755*AI755), "NA")</f>
        <v>NA</v>
      </c>
      <c r="AI755">
        <v>1</v>
      </c>
      <c r="AJ755" t="s">
        <v>31</v>
      </c>
      <c r="AK755">
        <v>6200</v>
      </c>
      <c r="AL755" t="s">
        <v>156</v>
      </c>
      <c r="AM755" t="s">
        <v>157</v>
      </c>
      <c r="AN755" t="s">
        <v>186</v>
      </c>
      <c r="AO755" t="s">
        <v>792</v>
      </c>
      <c r="AP755">
        <v>6.7</v>
      </c>
      <c r="AQ755" t="s">
        <v>33</v>
      </c>
      <c r="AR755" t="s">
        <v>33</v>
      </c>
      <c r="AS755" s="3">
        <v>6.0380000000000003</v>
      </c>
      <c r="AT755" s="3">
        <f>IFERROR(AS755-AU755,"NA")</f>
        <v>4.758</v>
      </c>
      <c r="AU755" s="6">
        <v>1.28</v>
      </c>
      <c r="AV755" t="b">
        <v>1</v>
      </c>
      <c r="AW755" t="s">
        <v>29</v>
      </c>
      <c r="AX755" t="s">
        <v>30</v>
      </c>
      <c r="AY755" t="s">
        <v>33</v>
      </c>
      <c r="AZ755" t="s">
        <v>134</v>
      </c>
      <c r="BA755" s="18" t="s">
        <v>798</v>
      </c>
      <c r="BB755" t="b">
        <v>0</v>
      </c>
      <c r="BC755" t="s">
        <v>81</v>
      </c>
      <c r="BD755">
        <v>12</v>
      </c>
      <c r="BE755" t="s">
        <v>159</v>
      </c>
      <c r="BF755" s="11">
        <v>48</v>
      </c>
      <c r="BG755" t="s">
        <v>158</v>
      </c>
      <c r="BH755" t="s">
        <v>31</v>
      </c>
      <c r="BI755" t="s">
        <v>31</v>
      </c>
      <c r="BJ755" s="3">
        <f t="shared" si="360"/>
        <v>1.28</v>
      </c>
      <c r="BK755" s="3">
        <f t="shared" si="352"/>
        <v>0.10720996964786837</v>
      </c>
      <c r="BL755">
        <v>2</v>
      </c>
      <c r="BM755" s="3">
        <f t="shared" si="364"/>
        <v>2.5948233159289775</v>
      </c>
      <c r="BN755" t="s">
        <v>33</v>
      </c>
      <c r="BO755" s="3">
        <f t="shared" si="358"/>
        <v>393.38999999999993</v>
      </c>
      <c r="BP755" t="s">
        <v>33</v>
      </c>
      <c r="BQ755" t="s">
        <v>33</v>
      </c>
      <c r="BR755" t="s">
        <v>33</v>
      </c>
      <c r="BS755" t="s">
        <v>33</v>
      </c>
      <c r="BT755" t="s">
        <v>31</v>
      </c>
      <c r="BU755" t="s">
        <v>160</v>
      </c>
      <c r="BV755">
        <v>2004</v>
      </c>
      <c r="BW755" s="1" t="s">
        <v>161</v>
      </c>
      <c r="BX755" t="s">
        <v>78</v>
      </c>
      <c r="BY755" t="s">
        <v>33</v>
      </c>
      <c r="BZ755" t="s">
        <v>33</v>
      </c>
      <c r="CA755" t="str">
        <f t="shared" si="359"/>
        <v>low acid</v>
      </c>
    </row>
    <row r="756" spans="1:79">
      <c r="A756" t="s">
        <v>598</v>
      </c>
      <c r="B756" t="s">
        <v>565</v>
      </c>
      <c r="C756" t="s">
        <v>563</v>
      </c>
      <c r="D756" t="s">
        <v>118</v>
      </c>
      <c r="E756" t="s">
        <v>77</v>
      </c>
      <c r="F756" t="s">
        <v>32</v>
      </c>
      <c r="G756">
        <v>40</v>
      </c>
      <c r="H756">
        <f>40+AVERAGE(2,7)</f>
        <v>44.5</v>
      </c>
      <c r="I756" t="b">
        <v>1</v>
      </c>
      <c r="J756" t="s">
        <v>33</v>
      </c>
      <c r="K756" t="s">
        <v>33</v>
      </c>
      <c r="L756">
        <v>26</v>
      </c>
      <c r="M756" s="4">
        <v>548</v>
      </c>
      <c r="N756" t="e">
        <f>(#REF!*Y756)/(T756*X756*O756)</f>
        <v>#REF!</v>
      </c>
      <c r="O756">
        <v>2.5</v>
      </c>
      <c r="P756" t="s">
        <v>33</v>
      </c>
      <c r="Q756" s="1">
        <f t="shared" si="371"/>
        <v>6.0827250608272501E-3</v>
      </c>
      <c r="R756" t="s">
        <v>183</v>
      </c>
      <c r="S756" t="s">
        <v>612</v>
      </c>
      <c r="T756">
        <v>6</v>
      </c>
      <c r="U756">
        <v>2.9</v>
      </c>
      <c r="V756">
        <v>2.2999999999999998</v>
      </c>
      <c r="W756" t="s">
        <v>33</v>
      </c>
      <c r="X756">
        <f t="shared" si="377"/>
        <v>1.204879322468025E-2</v>
      </c>
      <c r="Y756">
        <v>2</v>
      </c>
      <c r="Z756" s="3">
        <f t="shared" si="373"/>
        <v>1.9808216061374333</v>
      </c>
      <c r="AA756">
        <v>3.3</v>
      </c>
      <c r="AB756">
        <f t="shared" si="374"/>
        <v>3.333333333333333</v>
      </c>
      <c r="AC756" s="1" t="str">
        <f t="shared" si="375"/>
        <v>NA</v>
      </c>
      <c r="AE756" s="3">
        <f t="shared" si="376"/>
        <v>72.669999999999987</v>
      </c>
      <c r="AF756">
        <v>50</v>
      </c>
      <c r="AG756" s="1" t="str">
        <f>IFERROR((N756*P756*Q756), "NA")</f>
        <v>NA</v>
      </c>
      <c r="AH756" s="1" t="str">
        <f>IFERROR((AG756*U756*AI756), "NA")</f>
        <v>NA</v>
      </c>
      <c r="AI756" s="1">
        <v>1</v>
      </c>
      <c r="AJ756" s="11" t="s">
        <v>31</v>
      </c>
      <c r="AK756">
        <f>2.15*10^3</f>
        <v>2150</v>
      </c>
      <c r="AL756" t="s">
        <v>238</v>
      </c>
      <c r="AM756" t="s">
        <v>86</v>
      </c>
      <c r="AN756" t="s">
        <v>205</v>
      </c>
      <c r="AO756" t="s">
        <v>789</v>
      </c>
      <c r="AP756">
        <v>4.16</v>
      </c>
      <c r="AQ756" t="s">
        <v>33</v>
      </c>
      <c r="AR756" t="s">
        <v>33</v>
      </c>
      <c r="AS756">
        <f>AVERAGE(6.63, 6.39)</f>
        <v>6.51</v>
      </c>
      <c r="AT756">
        <f>AS756-AU756</f>
        <v>4.76</v>
      </c>
      <c r="AU756" s="6">
        <v>1.75</v>
      </c>
      <c r="AV756" t="b">
        <v>1</v>
      </c>
      <c r="AW756" t="s">
        <v>617</v>
      </c>
      <c r="AX756" t="s">
        <v>638</v>
      </c>
      <c r="AY756" t="s">
        <v>637</v>
      </c>
      <c r="AZ756" t="s">
        <v>33</v>
      </c>
      <c r="BA756" s="18" t="s">
        <v>802</v>
      </c>
      <c r="BB756" s="3" t="b">
        <v>0</v>
      </c>
      <c r="BC756" t="s">
        <v>81</v>
      </c>
      <c r="BD756">
        <v>16</v>
      </c>
      <c r="BE756" t="s">
        <v>80</v>
      </c>
      <c r="BF756">
        <v>24</v>
      </c>
      <c r="BG756" t="s">
        <v>646</v>
      </c>
      <c r="BH756" t="s">
        <v>31</v>
      </c>
      <c r="BI756" t="s">
        <v>31</v>
      </c>
      <c r="BJ756">
        <f t="shared" si="360"/>
        <v>1.75</v>
      </c>
      <c r="BK756" s="3">
        <f t="shared" si="352"/>
        <v>0.24303804868629444</v>
      </c>
      <c r="BL756">
        <v>2</v>
      </c>
      <c r="BM756" s="3">
        <f t="shared" si="364"/>
        <v>1.6183171115069657</v>
      </c>
      <c r="BN756" t="s">
        <v>33</v>
      </c>
      <c r="BO756" s="3">
        <f t="shared" si="358"/>
        <v>41.52571428571428</v>
      </c>
      <c r="BP756" t="s">
        <v>33</v>
      </c>
      <c r="BQ756" t="s">
        <v>33</v>
      </c>
      <c r="BR756" t="s">
        <v>33</v>
      </c>
      <c r="BS756" t="s">
        <v>33</v>
      </c>
      <c r="BT756" t="s">
        <v>32</v>
      </c>
      <c r="BU756" s="13" t="s">
        <v>84</v>
      </c>
      <c r="BV756" s="14">
        <v>2012</v>
      </c>
      <c r="BW756" s="13" t="s">
        <v>83</v>
      </c>
      <c r="BX756" t="s">
        <v>78</v>
      </c>
      <c r="BY756" s="13" t="s">
        <v>686</v>
      </c>
      <c r="CA756" t="str">
        <f t="shared" si="359"/>
        <v>high acid</v>
      </c>
    </row>
    <row r="757" spans="1:79">
      <c r="A757" t="s">
        <v>588</v>
      </c>
      <c r="B757" t="s">
        <v>565</v>
      </c>
      <c r="C757" t="s">
        <v>563</v>
      </c>
      <c r="D757" t="s">
        <v>608</v>
      </c>
      <c r="E757" t="s">
        <v>77</v>
      </c>
      <c r="F757" t="s">
        <v>32</v>
      </c>
      <c r="G757" t="s">
        <v>33</v>
      </c>
      <c r="H757">
        <v>40</v>
      </c>
      <c r="I757" t="b">
        <v>0</v>
      </c>
      <c r="J757" t="s">
        <v>33</v>
      </c>
      <c r="K757" t="s">
        <v>33</v>
      </c>
      <c r="L757">
        <v>35</v>
      </c>
      <c r="M757" s="4">
        <v>250</v>
      </c>
      <c r="N757" t="e">
        <f>(#REF!*Y757)/(T757*X757*O757)</f>
        <v>#REF!</v>
      </c>
      <c r="O757">
        <v>3.7</v>
      </c>
      <c r="P757" t="s">
        <v>33</v>
      </c>
      <c r="Q757" s="1">
        <f t="shared" si="371"/>
        <v>8.1081081081081072E-2</v>
      </c>
      <c r="R757" t="s">
        <v>183</v>
      </c>
      <c r="S757" t="s">
        <v>613</v>
      </c>
      <c r="T757">
        <v>6</v>
      </c>
      <c r="U757">
        <v>1.9</v>
      </c>
      <c r="V757">
        <v>2.2999999999999998</v>
      </c>
      <c r="W757" t="s">
        <v>33</v>
      </c>
      <c r="X757">
        <f t="shared" si="377"/>
        <v>7.8940369403077502E-3</v>
      </c>
      <c r="Y757">
        <v>1</v>
      </c>
      <c r="Z757" s="3">
        <f t="shared" si="373"/>
        <v>9.7359788930462265E-2</v>
      </c>
      <c r="AA757" t="s">
        <v>33</v>
      </c>
      <c r="AB757">
        <f t="shared" si="374"/>
        <v>20.27027027027027</v>
      </c>
      <c r="AC757" s="1" t="str">
        <f t="shared" si="375"/>
        <v>NA</v>
      </c>
      <c r="AE757" s="3">
        <f t="shared" si="376"/>
        <v>2645.9999999999995</v>
      </c>
      <c r="AF757">
        <v>450</v>
      </c>
      <c r="AG757" s="1" t="str">
        <f>IFERROR((N757*P757*Q757), "NA")</f>
        <v>NA</v>
      </c>
      <c r="AH757" s="1" t="str">
        <f>IFERROR((AG757*U757*AI757), "NA")</f>
        <v>NA</v>
      </c>
      <c r="AI757" s="1">
        <v>1</v>
      </c>
      <c r="AJ757" s="11" t="s">
        <v>31</v>
      </c>
      <c r="AK757">
        <v>4800</v>
      </c>
      <c r="AL757" t="s">
        <v>156</v>
      </c>
      <c r="AM757" t="s">
        <v>157</v>
      </c>
      <c r="AN757" t="s">
        <v>186</v>
      </c>
      <c r="AO757" t="s">
        <v>792</v>
      </c>
      <c r="AP757">
        <v>6.53</v>
      </c>
      <c r="AQ757" t="s">
        <v>33</v>
      </c>
      <c r="AR757" t="s">
        <v>33</v>
      </c>
      <c r="AS757">
        <v>6.5</v>
      </c>
      <c r="AT757">
        <v>4.76</v>
      </c>
      <c r="AU757" s="6">
        <f>AS757-AT757</f>
        <v>1.7400000000000002</v>
      </c>
      <c r="AV757" t="b">
        <v>1</v>
      </c>
      <c r="AW757" t="s">
        <v>626</v>
      </c>
      <c r="AX757" t="s">
        <v>627</v>
      </c>
      <c r="AY757" t="s">
        <v>625</v>
      </c>
      <c r="AZ757" t="s">
        <v>33</v>
      </c>
      <c r="BA757" s="18" t="s">
        <v>800</v>
      </c>
      <c r="BB757" s="3" t="b">
        <v>0</v>
      </c>
      <c r="BC757" t="s">
        <v>81</v>
      </c>
      <c r="BD757">
        <v>12</v>
      </c>
      <c r="BE757" t="s">
        <v>80</v>
      </c>
      <c r="BF757">
        <v>48</v>
      </c>
      <c r="BG757" t="s">
        <v>568</v>
      </c>
      <c r="BH757" t="s">
        <v>31</v>
      </c>
      <c r="BI757" t="s">
        <v>31</v>
      </c>
      <c r="BJ757">
        <f t="shared" si="360"/>
        <v>1.7400000000000002</v>
      </c>
      <c r="BK757" s="3">
        <f t="shared" si="352"/>
        <v>0.24054924828259977</v>
      </c>
      <c r="BL757">
        <v>2</v>
      </c>
      <c r="BM757" s="3">
        <f t="shared" si="364"/>
        <v>3.1820405915688821</v>
      </c>
      <c r="BN757" t="s">
        <v>33</v>
      </c>
      <c r="BO757" s="3">
        <f t="shared" si="358"/>
        <v>1520.6896551724133</v>
      </c>
      <c r="BP757" t="s">
        <v>33</v>
      </c>
      <c r="BQ757" t="s">
        <v>33</v>
      </c>
      <c r="BR757" t="s">
        <v>33</v>
      </c>
      <c r="BS757" t="s">
        <v>33</v>
      </c>
      <c r="BT757" t="s">
        <v>31</v>
      </c>
      <c r="BU757" s="13" t="s">
        <v>163</v>
      </c>
      <c r="BV757">
        <v>2004</v>
      </c>
      <c r="BW757" t="s">
        <v>654</v>
      </c>
      <c r="BX757" t="s">
        <v>78</v>
      </c>
      <c r="BY757" s="13" t="s">
        <v>677</v>
      </c>
      <c r="CA757" t="str">
        <f t="shared" si="359"/>
        <v>low acid</v>
      </c>
    </row>
    <row r="758" spans="1:79">
      <c r="A758" t="s">
        <v>533</v>
      </c>
      <c r="B758" t="s">
        <v>565</v>
      </c>
      <c r="C758" t="s">
        <v>564</v>
      </c>
      <c r="D758" t="s">
        <v>209</v>
      </c>
      <c r="E758" t="s">
        <v>77</v>
      </c>
      <c r="F758" t="s">
        <v>32</v>
      </c>
      <c r="G758">
        <v>30</v>
      </c>
      <c r="H758">
        <v>38.200000000000003</v>
      </c>
      <c r="I758" t="b">
        <v>0</v>
      </c>
      <c r="J758" t="s">
        <v>33</v>
      </c>
      <c r="K758" t="s">
        <v>33</v>
      </c>
      <c r="L758">
        <v>18</v>
      </c>
      <c r="M758" s="4">
        <v>120</v>
      </c>
      <c r="N758" s="3">
        <f t="shared" ref="N758:N766" si="378">IFERROR(AF758/((T758*X758/Y758)*O758*AI758),"NA")</f>
        <v>119.28772855013848</v>
      </c>
      <c r="O758">
        <v>3</v>
      </c>
      <c r="P758" t="s">
        <v>33</v>
      </c>
      <c r="Q758">
        <f t="shared" si="371"/>
        <v>0.125</v>
      </c>
      <c r="R758" t="s">
        <v>183</v>
      </c>
      <c r="S758" t="s">
        <v>612</v>
      </c>
      <c r="T758" s="11">
        <v>4</v>
      </c>
      <c r="U758">
        <v>3</v>
      </c>
      <c r="V758">
        <v>2.6</v>
      </c>
      <c r="W758" t="s">
        <v>33</v>
      </c>
      <c r="X758" s="8">
        <f t="shared" si="377"/>
        <v>1.5927874753700257E-2</v>
      </c>
      <c r="Y758" s="6">
        <f>7.6/60</f>
        <v>0.12666666666666665</v>
      </c>
      <c r="Z758" s="3">
        <f t="shared" si="373"/>
        <v>0.12742299802960205</v>
      </c>
      <c r="AA758" t="s">
        <v>33</v>
      </c>
      <c r="AB758" s="6">
        <f t="shared" si="374"/>
        <v>15</v>
      </c>
      <c r="AC758" t="str">
        <f t="shared" si="375"/>
        <v>NA</v>
      </c>
      <c r="AD758" s="4">
        <f>IFERROR(AB758*T758*AI758, "NA")</f>
        <v>60</v>
      </c>
      <c r="AE758" s="3">
        <f t="shared" si="376"/>
        <v>57.153599999999997</v>
      </c>
      <c r="AF758">
        <v>180</v>
      </c>
      <c r="AG758" t="str">
        <f t="shared" ref="AG758:AG766" si="379">IFERROR((M758*O758*P758), "NA")</f>
        <v>NA</v>
      </c>
      <c r="AH758" t="str">
        <f t="shared" ref="AH758:AH766" si="380">IFERROR((AG758*T758*AI758), "NA")</f>
        <v>NA</v>
      </c>
      <c r="AI758" s="11">
        <v>1</v>
      </c>
      <c r="AJ758" t="s">
        <v>31</v>
      </c>
      <c r="AK758">
        <v>980</v>
      </c>
      <c r="AL758" t="s">
        <v>551</v>
      </c>
      <c r="AM758" t="s">
        <v>86</v>
      </c>
      <c r="AN758" t="s">
        <v>186</v>
      </c>
      <c r="AO758" t="s">
        <v>794</v>
      </c>
      <c r="AP758">
        <v>5.98</v>
      </c>
      <c r="AQ758" t="s">
        <v>33</v>
      </c>
      <c r="AR758" t="s">
        <v>33</v>
      </c>
      <c r="AS758" s="6">
        <v>6.4</v>
      </c>
      <c r="AT758" s="3">
        <f t="shared" ref="AT758:AT766" si="381">IFERROR(AS758-AU758,"NA")</f>
        <v>4.7600000000000007</v>
      </c>
      <c r="AU758" s="6">
        <v>1.64</v>
      </c>
      <c r="AV758" t="b">
        <v>1</v>
      </c>
      <c r="AW758" t="s">
        <v>29</v>
      </c>
      <c r="AX758" t="s">
        <v>30</v>
      </c>
      <c r="AY758" t="s">
        <v>211</v>
      </c>
      <c r="AZ758" t="s">
        <v>33</v>
      </c>
      <c r="BA758" s="18" t="s">
        <v>798</v>
      </c>
      <c r="BB758" t="b">
        <v>0</v>
      </c>
      <c r="BC758" t="s">
        <v>81</v>
      </c>
      <c r="BD758">
        <v>20</v>
      </c>
      <c r="BE758" t="s">
        <v>80</v>
      </c>
      <c r="BF758" s="11">
        <v>20</v>
      </c>
      <c r="BG758" t="s">
        <v>570</v>
      </c>
      <c r="BH758" t="s">
        <v>31</v>
      </c>
      <c r="BI758" t="s">
        <v>31</v>
      </c>
      <c r="BJ758" s="3">
        <f t="shared" si="360"/>
        <v>1.64</v>
      </c>
      <c r="BK758" s="3">
        <f t="shared" si="352"/>
        <v>0.21484384804769785</v>
      </c>
      <c r="BL758">
        <v>2</v>
      </c>
      <c r="BM758" s="3">
        <f t="shared" si="364"/>
        <v>1.5421997429547152</v>
      </c>
      <c r="BN758" t="s">
        <v>33</v>
      </c>
      <c r="BO758" s="3">
        <f t="shared" si="358"/>
        <v>34.849756097560977</v>
      </c>
      <c r="BP758" t="s">
        <v>33</v>
      </c>
      <c r="BQ758" t="s">
        <v>33</v>
      </c>
      <c r="BR758" t="s">
        <v>33</v>
      </c>
      <c r="BS758" t="s">
        <v>33</v>
      </c>
      <c r="BT758" t="s">
        <v>32</v>
      </c>
      <c r="BU758" t="s">
        <v>207</v>
      </c>
      <c r="BV758">
        <v>2014</v>
      </c>
      <c r="BW758" t="s">
        <v>208</v>
      </c>
      <c r="BX758" t="s">
        <v>78</v>
      </c>
      <c r="BY758" t="s">
        <v>33</v>
      </c>
      <c r="BZ758" t="s">
        <v>33</v>
      </c>
      <c r="CA758" t="str">
        <f t="shared" si="359"/>
        <v>low acid</v>
      </c>
    </row>
    <row r="759" spans="1:79">
      <c r="A759" t="s">
        <v>326</v>
      </c>
      <c r="B759" t="s">
        <v>565</v>
      </c>
      <c r="C759" t="s">
        <v>563</v>
      </c>
      <c r="D759" t="s">
        <v>118</v>
      </c>
      <c r="E759" t="s">
        <v>77</v>
      </c>
      <c r="F759" t="s">
        <v>32</v>
      </c>
      <c r="G759">
        <v>15</v>
      </c>
      <c r="H759">
        <v>30.4</v>
      </c>
      <c r="I759" t="b">
        <v>0</v>
      </c>
      <c r="J759" t="s">
        <v>33</v>
      </c>
      <c r="K759" t="s">
        <v>33</v>
      </c>
      <c r="L759">
        <v>27.5</v>
      </c>
      <c r="M759" s="4">
        <v>200</v>
      </c>
      <c r="N759" s="3">
        <f t="shared" si="378"/>
        <v>3454.7028257350348</v>
      </c>
      <c r="O759">
        <v>5</v>
      </c>
      <c r="P759" t="s">
        <v>33</v>
      </c>
      <c r="Q759" s="8">
        <f t="shared" si="371"/>
        <v>6.2500000000000014E-2</v>
      </c>
      <c r="R759" t="s">
        <v>183</v>
      </c>
      <c r="S759" t="s">
        <v>613</v>
      </c>
      <c r="T759" s="11">
        <v>8</v>
      </c>
      <c r="U759">
        <v>2.9</v>
      </c>
      <c r="V759">
        <v>2.2999999999999998</v>
      </c>
      <c r="W759">
        <v>1.2E-2</v>
      </c>
      <c r="X759" s="8">
        <f t="shared" si="377"/>
        <v>1.204879322468025E-2</v>
      </c>
      <c r="Y759">
        <v>3.33</v>
      </c>
      <c r="Z759" s="3">
        <f t="shared" si="373"/>
        <v>0.19278069159488398</v>
      </c>
      <c r="AA759" t="s">
        <v>33</v>
      </c>
      <c r="AB759" s="6">
        <f t="shared" si="374"/>
        <v>12.500000000000002</v>
      </c>
      <c r="AC759" t="str">
        <f t="shared" si="375"/>
        <v>NA</v>
      </c>
      <c r="AD759" s="4">
        <f>AB759*T759*AI759</f>
        <v>100.00000000000001</v>
      </c>
      <c r="AE759" s="3">
        <f t="shared" si="376"/>
        <v>794.06250000000023</v>
      </c>
      <c r="AF759">
        <v>500</v>
      </c>
      <c r="AG759" t="str">
        <f t="shared" si="379"/>
        <v>NA</v>
      </c>
      <c r="AH759" t="str">
        <f t="shared" si="380"/>
        <v>NA</v>
      </c>
      <c r="AI759">
        <v>1</v>
      </c>
      <c r="AJ759" t="s">
        <v>31</v>
      </c>
      <c r="AK759">
        <v>2100</v>
      </c>
      <c r="AL759" t="s">
        <v>551</v>
      </c>
      <c r="AM759" t="s">
        <v>86</v>
      </c>
      <c r="AN759" t="s">
        <v>205</v>
      </c>
      <c r="AO759" t="s">
        <v>789</v>
      </c>
      <c r="AP759">
        <v>3.79</v>
      </c>
      <c r="AQ759">
        <v>1060</v>
      </c>
      <c r="AR759" t="s">
        <v>33</v>
      </c>
      <c r="AS759" s="6">
        <f>LOG((10^6+10^7)/2)</f>
        <v>6.7403626894942441</v>
      </c>
      <c r="AT759" s="3">
        <f t="shared" si="381"/>
        <v>4.7603626894942437</v>
      </c>
      <c r="AU759" s="6">
        <v>1.98</v>
      </c>
      <c r="AV759" t="b">
        <v>1</v>
      </c>
      <c r="AW759" t="s">
        <v>123</v>
      </c>
      <c r="AX759" t="s">
        <v>327</v>
      </c>
      <c r="AY759" t="s">
        <v>328</v>
      </c>
      <c r="AZ759" t="s">
        <v>33</v>
      </c>
      <c r="BA759" s="18" t="s">
        <v>579</v>
      </c>
      <c r="BB759" t="b">
        <v>1</v>
      </c>
      <c r="BC759" t="s">
        <v>81</v>
      </c>
      <c r="BD759">
        <v>144</v>
      </c>
      <c r="BE759" t="s">
        <v>80</v>
      </c>
      <c r="BF759" s="11">
        <v>120</v>
      </c>
      <c r="BG759" t="s">
        <v>329</v>
      </c>
      <c r="BH759" t="s">
        <v>31</v>
      </c>
      <c r="BI759" t="s">
        <v>31</v>
      </c>
      <c r="BJ759" s="3">
        <f t="shared" si="360"/>
        <v>1.98</v>
      </c>
      <c r="BK759" s="3">
        <f t="shared" ref="BK759:BK820" si="382">LOG10(BJ759)</f>
        <v>0.2966651902615311</v>
      </c>
      <c r="BL759">
        <v>2</v>
      </c>
      <c r="BM759" s="3">
        <f t="shared" si="364"/>
        <v>2.6031894964689326</v>
      </c>
      <c r="BN759" t="s">
        <v>33</v>
      </c>
      <c r="BO759" s="3">
        <f t="shared" si="358"/>
        <v>401.0416666666668</v>
      </c>
      <c r="BP759" t="s">
        <v>33</v>
      </c>
      <c r="BQ759" t="s">
        <v>33</v>
      </c>
      <c r="BR759" t="s">
        <v>33</v>
      </c>
      <c r="BS759" t="s">
        <v>33</v>
      </c>
      <c r="BT759" t="s">
        <v>31</v>
      </c>
      <c r="BU759" t="s">
        <v>330</v>
      </c>
      <c r="BV759">
        <v>2009</v>
      </c>
      <c r="BW759" t="s">
        <v>331</v>
      </c>
      <c r="BX759" t="s">
        <v>78</v>
      </c>
      <c r="BY759" t="s">
        <v>33</v>
      </c>
      <c r="BZ759" t="s">
        <v>335</v>
      </c>
      <c r="CA759" t="str">
        <f t="shared" si="359"/>
        <v>high acid</v>
      </c>
    </row>
    <row r="760" spans="1:79">
      <c r="A760" t="s">
        <v>326</v>
      </c>
      <c r="B760" t="s">
        <v>565</v>
      </c>
      <c r="C760" t="s">
        <v>563</v>
      </c>
      <c r="D760" t="s">
        <v>118</v>
      </c>
      <c r="E760" t="s">
        <v>77</v>
      </c>
      <c r="F760" t="s">
        <v>32</v>
      </c>
      <c r="G760">
        <v>15</v>
      </c>
      <c r="H760">
        <v>30.4</v>
      </c>
      <c r="I760" t="b">
        <v>0</v>
      </c>
      <c r="J760" t="s">
        <v>33</v>
      </c>
      <c r="K760" t="s">
        <v>33</v>
      </c>
      <c r="L760">
        <v>27.5</v>
      </c>
      <c r="M760" s="4">
        <v>600</v>
      </c>
      <c r="N760" s="3">
        <f t="shared" si="378"/>
        <v>3454.7028257350348</v>
      </c>
      <c r="O760">
        <v>5</v>
      </c>
      <c r="P760" t="s">
        <v>33</v>
      </c>
      <c r="Q760" s="8">
        <f t="shared" si="371"/>
        <v>2.0833333333333332E-2</v>
      </c>
      <c r="R760" t="s">
        <v>183</v>
      </c>
      <c r="S760" t="s">
        <v>613</v>
      </c>
      <c r="T760" s="11">
        <v>8</v>
      </c>
      <c r="U760">
        <v>2.9</v>
      </c>
      <c r="V760">
        <v>2.2999999999999998</v>
      </c>
      <c r="W760">
        <v>1.2E-2</v>
      </c>
      <c r="X760" s="8">
        <f t="shared" si="377"/>
        <v>1.204879322468025E-2</v>
      </c>
      <c r="Y760">
        <v>3.33</v>
      </c>
      <c r="Z760" s="3">
        <f t="shared" si="373"/>
        <v>0.57834207478465205</v>
      </c>
      <c r="AA760" t="s">
        <v>33</v>
      </c>
      <c r="AB760" s="6">
        <f t="shared" si="374"/>
        <v>12.5</v>
      </c>
      <c r="AC760" t="str">
        <f t="shared" si="375"/>
        <v>NA</v>
      </c>
      <c r="AD760" s="4">
        <f>AB760*T760*AI760</f>
        <v>100</v>
      </c>
      <c r="AE760" s="3">
        <f t="shared" si="376"/>
        <v>794.0625</v>
      </c>
      <c r="AF760">
        <v>500</v>
      </c>
      <c r="AG760" t="str">
        <f t="shared" si="379"/>
        <v>NA</v>
      </c>
      <c r="AH760" t="str">
        <f t="shared" si="380"/>
        <v>NA</v>
      </c>
      <c r="AI760">
        <v>1</v>
      </c>
      <c r="AJ760" t="s">
        <v>31</v>
      </c>
      <c r="AK760">
        <v>2100</v>
      </c>
      <c r="AL760" t="s">
        <v>551</v>
      </c>
      <c r="AM760" t="s">
        <v>86</v>
      </c>
      <c r="AN760" t="s">
        <v>205</v>
      </c>
      <c r="AO760" t="s">
        <v>789</v>
      </c>
      <c r="AP760">
        <v>3.79</v>
      </c>
      <c r="AQ760">
        <v>1060</v>
      </c>
      <c r="AR760" t="s">
        <v>33</v>
      </c>
      <c r="AS760" s="6">
        <f>LOG((10^6+10^7)/2)</f>
        <v>6.7403626894942441</v>
      </c>
      <c r="AT760" s="3">
        <f t="shared" si="381"/>
        <v>4.7703626894942444</v>
      </c>
      <c r="AU760" s="6">
        <v>1.97</v>
      </c>
      <c r="AV760" t="b">
        <v>1</v>
      </c>
      <c r="AW760" t="s">
        <v>123</v>
      </c>
      <c r="AX760" t="s">
        <v>327</v>
      </c>
      <c r="AY760" t="s">
        <v>328</v>
      </c>
      <c r="AZ760" t="s">
        <v>33</v>
      </c>
      <c r="BA760" s="18" t="s">
        <v>579</v>
      </c>
      <c r="BB760" t="b">
        <v>1</v>
      </c>
      <c r="BC760" t="s">
        <v>81</v>
      </c>
      <c r="BD760">
        <v>144</v>
      </c>
      <c r="BE760" t="s">
        <v>80</v>
      </c>
      <c r="BF760" s="11">
        <v>120</v>
      </c>
      <c r="BG760" t="s">
        <v>329</v>
      </c>
      <c r="BH760" t="s">
        <v>31</v>
      </c>
      <c r="BI760" t="s">
        <v>31</v>
      </c>
      <c r="BJ760" s="3">
        <f t="shared" si="360"/>
        <v>1.97</v>
      </c>
      <c r="BK760" s="3">
        <f t="shared" si="382"/>
        <v>0.2944662261615929</v>
      </c>
      <c r="BL760">
        <v>2</v>
      </c>
      <c r="BM760" s="3">
        <f t="shared" si="364"/>
        <v>2.6053884605688706</v>
      </c>
      <c r="BN760" t="s">
        <v>33</v>
      </c>
      <c r="BO760" s="3">
        <f t="shared" si="358"/>
        <v>403.07741116751271</v>
      </c>
      <c r="BP760" t="s">
        <v>33</v>
      </c>
      <c r="BQ760" t="s">
        <v>33</v>
      </c>
      <c r="BR760" t="s">
        <v>33</v>
      </c>
      <c r="BS760" t="s">
        <v>33</v>
      </c>
      <c r="BT760" t="s">
        <v>31</v>
      </c>
      <c r="BU760" t="s">
        <v>330</v>
      </c>
      <c r="BV760">
        <v>2009</v>
      </c>
      <c r="BW760" t="s">
        <v>331</v>
      </c>
      <c r="BX760" t="s">
        <v>78</v>
      </c>
      <c r="BY760" t="s">
        <v>33</v>
      </c>
      <c r="BZ760" t="s">
        <v>335</v>
      </c>
      <c r="CA760" t="str">
        <f t="shared" si="359"/>
        <v>high acid</v>
      </c>
    </row>
    <row r="761" spans="1:79">
      <c r="A761" t="s">
        <v>535</v>
      </c>
      <c r="B761" t="s">
        <v>565</v>
      </c>
      <c r="C761" t="s">
        <v>564</v>
      </c>
      <c r="D761" t="s">
        <v>243</v>
      </c>
      <c r="E761" t="s">
        <v>77</v>
      </c>
      <c r="F761" t="s">
        <v>32</v>
      </c>
      <c r="G761">
        <v>40</v>
      </c>
      <c r="H761">
        <v>43</v>
      </c>
      <c r="I761" t="b">
        <v>0</v>
      </c>
      <c r="J761" t="s">
        <v>33</v>
      </c>
      <c r="K761" t="s">
        <v>33</v>
      </c>
      <c r="L761">
        <v>15</v>
      </c>
      <c r="M761" s="4">
        <v>120</v>
      </c>
      <c r="N761" s="3">
        <f t="shared" si="378"/>
        <v>119.89811897400615</v>
      </c>
      <c r="O761">
        <v>3</v>
      </c>
      <c r="P761" t="s">
        <v>33</v>
      </c>
      <c r="Q761" s="9">
        <f t="shared" si="371"/>
        <v>3.8194444444444441E-2</v>
      </c>
      <c r="R761" t="s">
        <v>183</v>
      </c>
      <c r="S761" t="s">
        <v>612</v>
      </c>
      <c r="T761" s="11">
        <v>4</v>
      </c>
      <c r="U761">
        <v>3</v>
      </c>
      <c r="V761">
        <v>2.6</v>
      </c>
      <c r="W761">
        <v>1.5900000000000001E-2</v>
      </c>
      <c r="X761" s="8">
        <f t="shared" si="377"/>
        <v>1.5927874753700257E-2</v>
      </c>
      <c r="Y761" s="6">
        <f>25/60</f>
        <v>0.41666666666666669</v>
      </c>
      <c r="Z761" s="3">
        <f t="shared" si="373"/>
        <v>0.4170207208241522</v>
      </c>
      <c r="AA761" t="s">
        <v>33</v>
      </c>
      <c r="AB761" s="6">
        <f t="shared" si="374"/>
        <v>4.583333333333333</v>
      </c>
      <c r="AC761" t="str">
        <f t="shared" si="375"/>
        <v>NA</v>
      </c>
      <c r="AD761" s="4">
        <f>IFERROR(AB761*T761*AI761, "NA")</f>
        <v>18.333333333333332</v>
      </c>
      <c r="AE761" s="3">
        <f t="shared" si="376"/>
        <v>11.384999999999998</v>
      </c>
      <c r="AF761">
        <v>55</v>
      </c>
      <c r="AG761" t="str">
        <f t="shared" si="379"/>
        <v>NA</v>
      </c>
      <c r="AH761" t="str">
        <f t="shared" si="380"/>
        <v>NA</v>
      </c>
      <c r="AI761" s="11">
        <v>1</v>
      </c>
      <c r="AJ761" t="s">
        <v>31</v>
      </c>
      <c r="AK761">
        <v>920</v>
      </c>
      <c r="AL761" t="s">
        <v>551</v>
      </c>
      <c r="AM761" t="s">
        <v>86</v>
      </c>
      <c r="AN761" t="s">
        <v>186</v>
      </c>
      <c r="AO761" t="s">
        <v>794</v>
      </c>
      <c r="AP761">
        <v>5.92</v>
      </c>
      <c r="AQ761" t="s">
        <v>33</v>
      </c>
      <c r="AR761" t="s">
        <v>33</v>
      </c>
      <c r="AS761" s="6">
        <f>LOG(1.1*10^7)</f>
        <v>7.0413926851582254</v>
      </c>
      <c r="AT761" s="3">
        <f t="shared" si="381"/>
        <v>4.7743926851582259</v>
      </c>
      <c r="AU761" s="6">
        <v>2.2669999999999999</v>
      </c>
      <c r="AV761" t="b">
        <v>1</v>
      </c>
      <c r="AW761" t="s">
        <v>172</v>
      </c>
      <c r="AX761" t="s">
        <v>173</v>
      </c>
      <c r="AY761" t="s">
        <v>246</v>
      </c>
      <c r="AZ761" t="s">
        <v>33</v>
      </c>
      <c r="BA761" s="18" t="s">
        <v>799</v>
      </c>
      <c r="BB761" t="b">
        <v>0</v>
      </c>
      <c r="BC761" t="s">
        <v>81</v>
      </c>
      <c r="BD761">
        <v>72</v>
      </c>
      <c r="BE761" t="s">
        <v>80</v>
      </c>
      <c r="BF761" s="11">
        <v>72</v>
      </c>
      <c r="BG761" t="s">
        <v>522</v>
      </c>
      <c r="BH761" t="s">
        <v>31</v>
      </c>
      <c r="BI761" t="s">
        <v>31</v>
      </c>
      <c r="BJ761" s="3">
        <f t="shared" si="360"/>
        <v>2.2669999999999999</v>
      </c>
      <c r="BK761" s="3">
        <f t="shared" si="382"/>
        <v>0.35545152012651737</v>
      </c>
      <c r="BL761">
        <v>2</v>
      </c>
      <c r="BM761" s="3">
        <f t="shared" si="364"/>
        <v>0.70088151482464411</v>
      </c>
      <c r="BN761" t="s">
        <v>33</v>
      </c>
      <c r="BO761" s="3">
        <f t="shared" si="358"/>
        <v>5.022055580061755</v>
      </c>
      <c r="BP761" t="s">
        <v>33</v>
      </c>
      <c r="BQ761" t="s">
        <v>33</v>
      </c>
      <c r="BR761" t="s">
        <v>33</v>
      </c>
      <c r="BS761" t="s">
        <v>33</v>
      </c>
      <c r="BT761" t="s">
        <v>32</v>
      </c>
      <c r="BU761" t="s">
        <v>207</v>
      </c>
      <c r="BV761">
        <v>2014</v>
      </c>
      <c r="BW761" s="2" t="s">
        <v>242</v>
      </c>
      <c r="BX761" t="s">
        <v>78</v>
      </c>
      <c r="BY761" t="s">
        <v>33</v>
      </c>
      <c r="BZ761" t="s">
        <v>33</v>
      </c>
      <c r="CA761" t="str">
        <f t="shared" si="359"/>
        <v>low acid</v>
      </c>
    </row>
    <row r="762" spans="1:79">
      <c r="A762" t="s">
        <v>764</v>
      </c>
      <c r="B762" t="s">
        <v>566</v>
      </c>
      <c r="C762" t="s">
        <v>563</v>
      </c>
      <c r="D762" t="s">
        <v>765</v>
      </c>
      <c r="E762" t="s">
        <v>77</v>
      </c>
      <c r="F762" t="s">
        <v>31</v>
      </c>
      <c r="G762">
        <v>22</v>
      </c>
      <c r="H762">
        <v>34</v>
      </c>
      <c r="I762" t="b">
        <v>0</v>
      </c>
      <c r="J762" t="s">
        <v>33</v>
      </c>
      <c r="K762" t="s">
        <v>33</v>
      </c>
      <c r="L762">
        <v>20</v>
      </c>
      <c r="M762" s="4">
        <f>N762</f>
        <v>19.382716049382719</v>
      </c>
      <c r="N762" s="3">
        <f t="shared" si="378"/>
        <v>19.382716049382719</v>
      </c>
      <c r="O762">
        <v>3</v>
      </c>
      <c r="P762">
        <v>4.3</v>
      </c>
      <c r="Q762" s="8">
        <f>IFERROR(X762/Y762, "NA")</f>
        <v>4.3199999999999994</v>
      </c>
      <c r="R762" t="s">
        <v>183</v>
      </c>
      <c r="S762" t="s">
        <v>33</v>
      </c>
      <c r="T762" s="11">
        <v>1</v>
      </c>
      <c r="U762">
        <v>8.1000000000000003E-2</v>
      </c>
      <c r="V762" t="s">
        <v>33</v>
      </c>
      <c r="W762">
        <v>7.1999999999999998E-3</v>
      </c>
      <c r="X762">
        <f>W762</f>
        <v>7.1999999999999998E-3</v>
      </c>
      <c r="Y762" s="6">
        <f>0.1/60</f>
        <v>1.6666666666666668E-3</v>
      </c>
      <c r="Z762" s="6">
        <f>Y762</f>
        <v>1.6666666666666668E-3</v>
      </c>
      <c r="AA762" t="s">
        <v>33</v>
      </c>
      <c r="AB762" s="4">
        <f>IFERROR(((X762*M762)/Y762), "NA")</f>
        <v>83.733333333333334</v>
      </c>
      <c r="AC762" s="4">
        <f t="shared" si="375"/>
        <v>83.345679012345684</v>
      </c>
      <c r="AD762" s="4">
        <f>AB762*T762*AI762</f>
        <v>83.733333333333334</v>
      </c>
      <c r="AE762" s="3">
        <f t="shared" si="376"/>
        <v>301.44</v>
      </c>
      <c r="AF762">
        <v>251.2</v>
      </c>
      <c r="AG762" s="4">
        <f t="shared" si="379"/>
        <v>250.03703703703704</v>
      </c>
      <c r="AH762" s="4">
        <f t="shared" si="380"/>
        <v>250.03703703703704</v>
      </c>
      <c r="AI762">
        <v>1</v>
      </c>
      <c r="AJ762" s="11" t="s">
        <v>31</v>
      </c>
      <c r="AK762">
        <v>3000</v>
      </c>
      <c r="AL762" t="s">
        <v>169</v>
      </c>
      <c r="AM762" t="s">
        <v>103</v>
      </c>
      <c r="AN762" t="s">
        <v>130</v>
      </c>
      <c r="AO762" t="s">
        <v>795</v>
      </c>
      <c r="AP762">
        <v>7.3</v>
      </c>
      <c r="AQ762" t="s">
        <v>33</v>
      </c>
      <c r="AR762" t="s">
        <v>33</v>
      </c>
      <c r="AS762">
        <v>7</v>
      </c>
      <c r="AT762" s="3">
        <f t="shared" si="381"/>
        <v>4.7750000000000004</v>
      </c>
      <c r="AU762" s="6">
        <v>2.2250000000000001</v>
      </c>
      <c r="AV762" t="b">
        <v>1</v>
      </c>
      <c r="AW762" t="s">
        <v>29</v>
      </c>
      <c r="AX762" t="s">
        <v>30</v>
      </c>
      <c r="AY762" t="s">
        <v>766</v>
      </c>
      <c r="AZ762" t="s">
        <v>33</v>
      </c>
      <c r="BA762" s="18" t="s">
        <v>798</v>
      </c>
      <c r="BB762" s="3" t="b">
        <v>0</v>
      </c>
      <c r="BC762" t="s">
        <v>81</v>
      </c>
      <c r="BD762">
        <v>16</v>
      </c>
      <c r="BE762" t="s">
        <v>80</v>
      </c>
      <c r="BF762">
        <v>24</v>
      </c>
      <c r="BG762" t="s">
        <v>569</v>
      </c>
      <c r="BH762" t="s">
        <v>31</v>
      </c>
      <c r="BI762" t="s">
        <v>31</v>
      </c>
      <c r="BJ762" s="3">
        <f t="shared" si="360"/>
        <v>2.2250000000000001</v>
      </c>
      <c r="BK762" s="3">
        <f t="shared" si="382"/>
        <v>0.3473300153169504</v>
      </c>
      <c r="BL762">
        <v>2</v>
      </c>
      <c r="BM762" s="3">
        <f t="shared" si="364"/>
        <v>2.131870865795833</v>
      </c>
      <c r="BN762" t="s">
        <v>33</v>
      </c>
      <c r="BO762" s="3">
        <f t="shared" si="358"/>
        <v>135.47865168539326</v>
      </c>
      <c r="BP762" t="s">
        <v>33</v>
      </c>
      <c r="BQ762" t="s">
        <v>33</v>
      </c>
      <c r="BR762" t="s">
        <v>33</v>
      </c>
      <c r="BS762" t="s">
        <v>33</v>
      </c>
      <c r="BT762" t="s">
        <v>31</v>
      </c>
      <c r="BU762" t="s">
        <v>767</v>
      </c>
      <c r="BV762">
        <v>2021</v>
      </c>
      <c r="BW762" t="s">
        <v>768</v>
      </c>
      <c r="BX762" t="s">
        <v>78</v>
      </c>
      <c r="BY762" t="s">
        <v>769</v>
      </c>
      <c r="CA762" t="str">
        <f t="shared" si="359"/>
        <v>low acid</v>
      </c>
    </row>
    <row r="763" spans="1:79">
      <c r="A763" t="s">
        <v>311</v>
      </c>
      <c r="B763" t="s">
        <v>565</v>
      </c>
      <c r="C763" t="s">
        <v>563</v>
      </c>
      <c r="D763" t="s">
        <v>33</v>
      </c>
      <c r="E763" t="s">
        <v>77</v>
      </c>
      <c r="F763" t="s">
        <v>32</v>
      </c>
      <c r="G763">
        <v>5</v>
      </c>
      <c r="H763">
        <v>52</v>
      </c>
      <c r="I763" t="b">
        <v>0</v>
      </c>
      <c r="J763" t="s">
        <v>33</v>
      </c>
      <c r="K763" t="s">
        <v>33</v>
      </c>
      <c r="L763">
        <v>50</v>
      </c>
      <c r="M763" s="4">
        <v>60</v>
      </c>
      <c r="N763" s="3">
        <f t="shared" si="378"/>
        <v>60.185185185185183</v>
      </c>
      <c r="O763">
        <v>3.5</v>
      </c>
      <c r="P763" t="s">
        <v>33</v>
      </c>
      <c r="Q763" s="8">
        <f t="shared" ref="Q763:Q774" si="383">IFERROR(X763/Z763, "NA")</f>
        <v>5.4166666666666669E-2</v>
      </c>
      <c r="R763" t="s">
        <v>278</v>
      </c>
      <c r="S763" t="s">
        <v>613</v>
      </c>
      <c r="T763" s="11">
        <v>2</v>
      </c>
      <c r="U763" t="s">
        <v>33</v>
      </c>
      <c r="V763" t="s">
        <v>33</v>
      </c>
      <c r="W763">
        <v>1.26E-2</v>
      </c>
      <c r="X763" s="8">
        <f>W763</f>
        <v>1.26E-2</v>
      </c>
      <c r="Y763" s="6">
        <f>14/60</f>
        <v>0.23333333333333334</v>
      </c>
      <c r="Z763" s="3">
        <f t="shared" ref="Z763:Z774" si="384">IFERROR(X763*M763*O763*T763*AI763/AF763, "NA")</f>
        <v>0.23261538461538461</v>
      </c>
      <c r="AA763">
        <f>6.5/2</f>
        <v>3.25</v>
      </c>
      <c r="AB763" s="6">
        <f>IFERROR(((X763*M763)/Y763), "NA")</f>
        <v>3.2399999999999998</v>
      </c>
      <c r="AC763" t="str">
        <f t="shared" si="375"/>
        <v>NA</v>
      </c>
      <c r="AD763" s="4">
        <f>IFERROR(AB763*T763*AI763, "NA")</f>
        <v>6.4799999999999995</v>
      </c>
      <c r="AE763" s="3">
        <f t="shared" si="376"/>
        <v>134.22499999999999</v>
      </c>
      <c r="AF763">
        <f>AA763*O763*T763</f>
        <v>22.75</v>
      </c>
      <c r="AG763" t="str">
        <f t="shared" si="379"/>
        <v>NA</v>
      </c>
      <c r="AH763" t="str">
        <f t="shared" si="380"/>
        <v>NA</v>
      </c>
      <c r="AI763">
        <v>1</v>
      </c>
      <c r="AJ763" t="s">
        <v>31</v>
      </c>
      <c r="AK763">
        <v>2360</v>
      </c>
      <c r="AL763" t="s">
        <v>149</v>
      </c>
      <c r="AM763" t="s">
        <v>86</v>
      </c>
      <c r="AN763" t="s">
        <v>205</v>
      </c>
      <c r="AO763" t="s">
        <v>789</v>
      </c>
      <c r="AP763">
        <v>3.8</v>
      </c>
      <c r="AQ763" t="s">
        <v>33</v>
      </c>
      <c r="AR763" t="s">
        <v>33</v>
      </c>
      <c r="AS763" s="3">
        <f>LOG(10^6)</f>
        <v>6</v>
      </c>
      <c r="AT763" s="3">
        <f t="shared" si="381"/>
        <v>4.7759999999999998</v>
      </c>
      <c r="AU763" s="6">
        <v>1.224</v>
      </c>
      <c r="AV763" t="b">
        <v>1</v>
      </c>
      <c r="AW763" t="s">
        <v>29</v>
      </c>
      <c r="AX763" t="s">
        <v>30</v>
      </c>
      <c r="AY763" t="s">
        <v>307</v>
      </c>
      <c r="AZ763" t="s">
        <v>33</v>
      </c>
      <c r="BA763" s="18" t="s">
        <v>798</v>
      </c>
      <c r="BB763" t="b">
        <v>0</v>
      </c>
      <c r="BC763" t="s">
        <v>81</v>
      </c>
      <c r="BD763">
        <v>18</v>
      </c>
      <c r="BE763" t="s">
        <v>80</v>
      </c>
      <c r="BF763" s="11">
        <v>48</v>
      </c>
      <c r="BG763" t="s">
        <v>308</v>
      </c>
      <c r="BH763" t="s">
        <v>31</v>
      </c>
      <c r="BI763" t="s">
        <v>31</v>
      </c>
      <c r="BJ763" s="3">
        <f t="shared" si="360"/>
        <v>1.224</v>
      </c>
      <c r="BK763" s="3">
        <f t="shared" si="382"/>
        <v>8.7781417809542378E-2</v>
      </c>
      <c r="BL763">
        <v>2</v>
      </c>
      <c r="BM763" s="3">
        <f t="shared" si="364"/>
        <v>2.040051994825733</v>
      </c>
      <c r="BN763" t="s">
        <v>33</v>
      </c>
      <c r="BO763" s="3">
        <f t="shared" si="358"/>
        <v>109.66094771241829</v>
      </c>
      <c r="BP763" t="s">
        <v>33</v>
      </c>
      <c r="BQ763" t="s">
        <v>33</v>
      </c>
      <c r="BR763" t="s">
        <v>33</v>
      </c>
      <c r="BS763" t="s">
        <v>33</v>
      </c>
      <c r="BT763" t="s">
        <v>31</v>
      </c>
      <c r="BU763" t="s">
        <v>309</v>
      </c>
      <c r="BV763">
        <v>2011</v>
      </c>
      <c r="BW763" s="2" t="s">
        <v>312</v>
      </c>
      <c r="BX763" t="s">
        <v>78</v>
      </c>
      <c r="BY763" t="s">
        <v>310</v>
      </c>
      <c r="BZ763" t="s">
        <v>33</v>
      </c>
      <c r="CA763" t="str">
        <f t="shared" si="359"/>
        <v>high acid</v>
      </c>
    </row>
    <row r="764" spans="1:79">
      <c r="A764" t="s">
        <v>398</v>
      </c>
      <c r="B764" t="s">
        <v>565</v>
      </c>
      <c r="C764" t="s">
        <v>563</v>
      </c>
      <c r="D764" t="s">
        <v>118</v>
      </c>
      <c r="E764" t="s">
        <v>77</v>
      </c>
      <c r="F764" t="s">
        <v>32</v>
      </c>
      <c r="G764">
        <v>25</v>
      </c>
      <c r="H764">
        <v>36</v>
      </c>
      <c r="I764" t="b">
        <v>0</v>
      </c>
      <c r="J764" t="s">
        <v>33</v>
      </c>
      <c r="K764" t="s">
        <v>33</v>
      </c>
      <c r="L764">
        <v>30</v>
      </c>
      <c r="M764" s="4">
        <v>200</v>
      </c>
      <c r="N764" s="3" t="str">
        <f t="shared" si="378"/>
        <v>NA</v>
      </c>
      <c r="O764">
        <v>1</v>
      </c>
      <c r="P764" t="s">
        <v>33</v>
      </c>
      <c r="Q764" s="8">
        <f t="shared" si="383"/>
        <v>0.18750000000000003</v>
      </c>
      <c r="R764" t="s">
        <v>183</v>
      </c>
      <c r="S764" t="s">
        <v>613</v>
      </c>
      <c r="T764" s="11">
        <v>8</v>
      </c>
      <c r="U764">
        <v>2.9</v>
      </c>
      <c r="V764">
        <v>2.2999999999999998</v>
      </c>
      <c r="W764">
        <v>1.2E-2</v>
      </c>
      <c r="X764" s="8">
        <f>IFERROR(((PI())*(((V764*10^-1)/2)^2)*(U764*10^-1)), "NA")</f>
        <v>1.204879322468025E-2</v>
      </c>
      <c r="Y764" t="s">
        <v>33</v>
      </c>
      <c r="Z764" s="3">
        <f t="shared" si="384"/>
        <v>6.4260230531627993E-2</v>
      </c>
      <c r="AA764" t="s">
        <v>33</v>
      </c>
      <c r="AB764" s="6">
        <f t="shared" ref="AB764:AB774" si="385">IFERROR(((X764*M764)/Z764), "NA")</f>
        <v>37.5</v>
      </c>
      <c r="AC764" t="str">
        <f t="shared" si="375"/>
        <v>NA</v>
      </c>
      <c r="AD764" s="4">
        <f>AB764*T764*AI764</f>
        <v>300</v>
      </c>
      <c r="AE764" s="3">
        <f t="shared" si="376"/>
        <v>1144.8</v>
      </c>
      <c r="AF764">
        <v>300</v>
      </c>
      <c r="AG764" t="str">
        <f t="shared" si="379"/>
        <v>NA</v>
      </c>
      <c r="AH764" t="str">
        <f t="shared" si="380"/>
        <v>NA</v>
      </c>
      <c r="AI764">
        <v>1</v>
      </c>
      <c r="AJ764" t="s">
        <v>31</v>
      </c>
      <c r="AK764">
        <v>4240</v>
      </c>
      <c r="AL764" t="s">
        <v>238</v>
      </c>
      <c r="AM764" t="s">
        <v>86</v>
      </c>
      <c r="AN764" t="s">
        <v>205</v>
      </c>
      <c r="AO764" t="s">
        <v>789</v>
      </c>
      <c r="AP764">
        <v>3.56</v>
      </c>
      <c r="AQ764" t="s">
        <v>33</v>
      </c>
      <c r="AR764" t="s">
        <v>33</v>
      </c>
      <c r="AS764" s="6">
        <f>LOG(10^8)</f>
        <v>8</v>
      </c>
      <c r="AT764" s="3">
        <f t="shared" si="381"/>
        <v>4.7759999999999998</v>
      </c>
      <c r="AU764" s="6">
        <v>3.2240000000000002</v>
      </c>
      <c r="AV764" t="b">
        <v>1</v>
      </c>
      <c r="AW764" t="s">
        <v>123</v>
      </c>
      <c r="AX764" t="s">
        <v>393</v>
      </c>
      <c r="AY764" t="s">
        <v>394</v>
      </c>
      <c r="AZ764" t="s">
        <v>33</v>
      </c>
      <c r="BA764" s="18" t="s">
        <v>579</v>
      </c>
      <c r="BB764" t="b">
        <v>1</v>
      </c>
      <c r="BC764" t="s">
        <v>81</v>
      </c>
      <c r="BD764">
        <v>72</v>
      </c>
      <c r="BE764" t="s">
        <v>80</v>
      </c>
      <c r="BF764" s="11">
        <v>72</v>
      </c>
      <c r="BG764" t="s">
        <v>395</v>
      </c>
      <c r="BH764" t="s">
        <v>31</v>
      </c>
      <c r="BI764" t="s">
        <v>31</v>
      </c>
      <c r="BJ764" s="3">
        <f t="shared" si="360"/>
        <v>3.2240000000000002</v>
      </c>
      <c r="BK764" s="3">
        <f t="shared" si="382"/>
        <v>0.50839503313305301</v>
      </c>
      <c r="BL764">
        <v>2</v>
      </c>
      <c r="BM764" s="3">
        <f t="shared" si="364"/>
        <v>2.5503345876186669</v>
      </c>
      <c r="BN764" t="s">
        <v>33</v>
      </c>
      <c r="BO764" s="3">
        <f t="shared" si="358"/>
        <v>355.0868486352357</v>
      </c>
      <c r="BP764" t="s">
        <v>33</v>
      </c>
      <c r="BQ764" t="s">
        <v>33</v>
      </c>
      <c r="BR764" t="s">
        <v>33</v>
      </c>
      <c r="BS764" t="s">
        <v>33</v>
      </c>
      <c r="BT764" t="s">
        <v>31</v>
      </c>
      <c r="BU764" t="s">
        <v>240</v>
      </c>
      <c r="BV764">
        <v>2005</v>
      </c>
      <c r="BW764" t="s">
        <v>396</v>
      </c>
      <c r="BX764" t="s">
        <v>78</v>
      </c>
      <c r="BY764" t="s">
        <v>33</v>
      </c>
      <c r="BZ764" t="s">
        <v>33</v>
      </c>
      <c r="CA764" t="str">
        <f t="shared" si="359"/>
        <v>high acid</v>
      </c>
    </row>
    <row r="765" spans="1:79">
      <c r="A765" t="s">
        <v>516</v>
      </c>
      <c r="B765" t="s">
        <v>565</v>
      </c>
      <c r="C765" t="s">
        <v>563</v>
      </c>
      <c r="D765" t="s">
        <v>118</v>
      </c>
      <c r="E765" t="s">
        <v>77</v>
      </c>
      <c r="F765" t="s">
        <v>32</v>
      </c>
      <c r="G765">
        <v>20</v>
      </c>
      <c r="H765">
        <v>23</v>
      </c>
      <c r="I765" t="b">
        <v>0</v>
      </c>
      <c r="J765" t="s">
        <v>33</v>
      </c>
      <c r="K765" t="s">
        <v>33</v>
      </c>
      <c r="L765">
        <v>30</v>
      </c>
      <c r="M765" s="4">
        <v>100</v>
      </c>
      <c r="N765" s="3">
        <f t="shared" si="378"/>
        <v>5769.9179203110943</v>
      </c>
      <c r="O765">
        <v>2</v>
      </c>
      <c r="P765" t="s">
        <v>33</v>
      </c>
      <c r="Q765" s="8">
        <f t="shared" si="383"/>
        <v>0.5</v>
      </c>
      <c r="R765" t="s">
        <v>183</v>
      </c>
      <c r="S765" t="s">
        <v>613</v>
      </c>
      <c r="T765" s="11">
        <v>6</v>
      </c>
      <c r="U765">
        <v>2.92</v>
      </c>
      <c r="V765">
        <v>2.2999999999999998</v>
      </c>
      <c r="W765" t="s">
        <v>33</v>
      </c>
      <c r="X765" s="8">
        <f>IFERROR(((PI())*(((V765*10^-1)/2)^2)*(U765*10^-1)), "NA")</f>
        <v>1.2131888350367701E-2</v>
      </c>
      <c r="Y765">
        <v>1.4</v>
      </c>
      <c r="Z765" s="3">
        <f t="shared" si="384"/>
        <v>2.4263776700735401E-2</v>
      </c>
      <c r="AA765" t="s">
        <v>33</v>
      </c>
      <c r="AB765" s="6">
        <f t="shared" si="385"/>
        <v>50</v>
      </c>
      <c r="AC765" t="str">
        <f t="shared" si="375"/>
        <v>NA</v>
      </c>
      <c r="AD765" s="4">
        <f>AB765*T765*AI765</f>
        <v>300</v>
      </c>
      <c r="AE765" s="3">
        <f t="shared" si="376"/>
        <v>3348</v>
      </c>
      <c r="AF765">
        <v>600</v>
      </c>
      <c r="AG765" t="str">
        <f t="shared" si="379"/>
        <v>NA</v>
      </c>
      <c r="AH765" t="str">
        <f t="shared" si="380"/>
        <v>NA</v>
      </c>
      <c r="AI765">
        <v>1</v>
      </c>
      <c r="AJ765" t="s">
        <v>31</v>
      </c>
      <c r="AK765">
        <v>6200</v>
      </c>
      <c r="AL765" t="s">
        <v>561</v>
      </c>
      <c r="AM765" s="3" t="s">
        <v>786</v>
      </c>
      <c r="AN765" t="s">
        <v>186</v>
      </c>
      <c r="AO765" t="s">
        <v>793</v>
      </c>
      <c r="AP765">
        <v>7.6</v>
      </c>
      <c r="AQ765" t="s">
        <v>33</v>
      </c>
      <c r="AR765" t="s">
        <v>33</v>
      </c>
      <c r="AS765" s="6">
        <f>LOG(10^8)</f>
        <v>8</v>
      </c>
      <c r="AT765" s="3">
        <f t="shared" si="381"/>
        <v>4.7759999999999998</v>
      </c>
      <c r="AU765" s="6">
        <v>3.2240000000000002</v>
      </c>
      <c r="AV765" t="b">
        <v>1</v>
      </c>
      <c r="AW765" t="s">
        <v>29</v>
      </c>
      <c r="AX765" t="s">
        <v>30</v>
      </c>
      <c r="AY765" t="s">
        <v>216</v>
      </c>
      <c r="AZ765" t="s">
        <v>33</v>
      </c>
      <c r="BA765" s="18" t="s">
        <v>798</v>
      </c>
      <c r="BB765" s="3" t="b">
        <v>0</v>
      </c>
      <c r="BC765" t="s">
        <v>81</v>
      </c>
      <c r="BD765">
        <v>13</v>
      </c>
      <c r="BE765" t="s">
        <v>80</v>
      </c>
      <c r="BF765" s="11">
        <v>48</v>
      </c>
      <c r="BG765" t="s">
        <v>568</v>
      </c>
      <c r="BH765" t="s">
        <v>31</v>
      </c>
      <c r="BI765" t="s">
        <v>31</v>
      </c>
      <c r="BJ765" s="3">
        <f t="shared" si="360"/>
        <v>3.2240000000000002</v>
      </c>
      <c r="BK765" s="3">
        <f t="shared" si="382"/>
        <v>0.50839503313305301</v>
      </c>
      <c r="BL765">
        <v>2</v>
      </c>
      <c r="BM765" s="3">
        <f t="shared" si="364"/>
        <v>3.0163904161881692</v>
      </c>
      <c r="BN765" t="s">
        <v>33</v>
      </c>
      <c r="BO765" s="3">
        <f t="shared" si="358"/>
        <v>1038.4615384615383</v>
      </c>
      <c r="BP765" t="s">
        <v>33</v>
      </c>
      <c r="BQ765" t="s">
        <v>33</v>
      </c>
      <c r="BR765" t="s">
        <v>33</v>
      </c>
      <c r="BS765" t="s">
        <v>33</v>
      </c>
      <c r="BT765" t="s">
        <v>31</v>
      </c>
      <c r="BU765" t="s">
        <v>344</v>
      </c>
      <c r="BV765">
        <v>2007</v>
      </c>
      <c r="BW765" t="s">
        <v>345</v>
      </c>
      <c r="BX765" t="s">
        <v>78</v>
      </c>
      <c r="BY765" t="s">
        <v>33</v>
      </c>
      <c r="BZ765" t="s">
        <v>33</v>
      </c>
      <c r="CA765" t="str">
        <f t="shared" si="359"/>
        <v>low acid</v>
      </c>
    </row>
    <row r="766" spans="1:79">
      <c r="A766" t="s">
        <v>89</v>
      </c>
      <c r="B766" t="s">
        <v>565</v>
      </c>
      <c r="C766" t="s">
        <v>563</v>
      </c>
      <c r="D766" t="s">
        <v>118</v>
      </c>
      <c r="E766" t="s">
        <v>77</v>
      </c>
      <c r="F766" t="s">
        <v>32</v>
      </c>
      <c r="G766">
        <v>40</v>
      </c>
      <c r="H766">
        <f>(42+47)/2</f>
        <v>44.5</v>
      </c>
      <c r="I766" t="b">
        <v>0</v>
      </c>
      <c r="J766" t="s">
        <v>33</v>
      </c>
      <c r="K766" t="s">
        <v>33</v>
      </c>
      <c r="L766">
        <v>22</v>
      </c>
      <c r="M766" s="4">
        <v>548</v>
      </c>
      <c r="N766" s="3">
        <f t="shared" si="378"/>
        <v>553.30575787548105</v>
      </c>
      <c r="O766">
        <v>2.5</v>
      </c>
      <c r="P766" t="s">
        <v>33</v>
      </c>
      <c r="Q766" s="8">
        <f t="shared" si="383"/>
        <v>6.0827250608272501E-3</v>
      </c>
      <c r="R766" t="s">
        <v>183</v>
      </c>
      <c r="S766" t="s">
        <v>612</v>
      </c>
      <c r="T766" s="11">
        <v>6</v>
      </c>
      <c r="U766">
        <v>2.9</v>
      </c>
      <c r="V766">
        <v>2.2999999999999998</v>
      </c>
      <c r="W766" t="s">
        <v>33</v>
      </c>
      <c r="X766" s="8">
        <f>IFERROR(((PI())*(((V766*10^-1)/2)^2)*(U766*10^-1)), "NA")</f>
        <v>1.204879322468025E-2</v>
      </c>
      <c r="Y766">
        <f>120/60</f>
        <v>2</v>
      </c>
      <c r="Z766" s="9">
        <f t="shared" si="384"/>
        <v>1.9808216061374333</v>
      </c>
      <c r="AA766">
        <v>3.3</v>
      </c>
      <c r="AB766" s="6">
        <f t="shared" si="385"/>
        <v>3.333333333333333</v>
      </c>
      <c r="AC766" t="str">
        <f t="shared" si="375"/>
        <v>NA</v>
      </c>
      <c r="AD766" s="4">
        <f>IFERROR(AB766*T766*AI766, "NA")</f>
        <v>20</v>
      </c>
      <c r="AE766">
        <f t="shared" si="376"/>
        <v>52.029999999999987</v>
      </c>
      <c r="AF766">
        <v>50</v>
      </c>
      <c r="AG766" t="str">
        <f t="shared" si="379"/>
        <v>NA</v>
      </c>
      <c r="AH766" t="str">
        <f t="shared" si="380"/>
        <v>NA</v>
      </c>
      <c r="AI766" s="11">
        <v>1</v>
      </c>
      <c r="AJ766" t="s">
        <v>31</v>
      </c>
      <c r="AK766">
        <v>2150</v>
      </c>
      <c r="AL766" t="s">
        <v>238</v>
      </c>
      <c r="AM766" t="s">
        <v>86</v>
      </c>
      <c r="AN766" t="s">
        <v>205</v>
      </c>
      <c r="AO766" t="s">
        <v>789</v>
      </c>
      <c r="AP766">
        <v>4.16</v>
      </c>
      <c r="AQ766" t="s">
        <v>33</v>
      </c>
      <c r="AR766" t="s">
        <v>33</v>
      </c>
      <c r="AS766" s="3">
        <f>LOG(3.8*10^6)</f>
        <v>6.5797835966168101</v>
      </c>
      <c r="AT766" s="3">
        <f t="shared" si="381"/>
        <v>4.7797835966168103</v>
      </c>
      <c r="AU766" s="6">
        <v>1.8</v>
      </c>
      <c r="AV766" t="b">
        <v>1</v>
      </c>
      <c r="AW766" t="s">
        <v>123</v>
      </c>
      <c r="AX766" t="s">
        <v>88</v>
      </c>
      <c r="AY766" t="s">
        <v>518</v>
      </c>
      <c r="AZ766" t="s">
        <v>33</v>
      </c>
      <c r="BA766" s="18" t="s">
        <v>579</v>
      </c>
      <c r="BB766" t="b">
        <v>1</v>
      </c>
      <c r="BC766" t="s">
        <v>81</v>
      </c>
      <c r="BD766">
        <v>24</v>
      </c>
      <c r="BE766" t="s">
        <v>80</v>
      </c>
      <c r="BF766" s="11">
        <v>72</v>
      </c>
      <c r="BG766" t="s">
        <v>395</v>
      </c>
      <c r="BH766" t="s">
        <v>31</v>
      </c>
      <c r="BI766" t="s">
        <v>31</v>
      </c>
      <c r="BJ766">
        <f t="shared" si="360"/>
        <v>1.8</v>
      </c>
      <c r="BK766" s="3">
        <f t="shared" si="382"/>
        <v>0.25527250510330607</v>
      </c>
      <c r="BL766">
        <v>2</v>
      </c>
      <c r="BM766" s="3">
        <f>LOG(BO766)</f>
        <v>1.4609813207927305</v>
      </c>
      <c r="BN766" t="s">
        <v>33</v>
      </c>
      <c r="BO766" s="3">
        <f t="shared" si="358"/>
        <v>28.905555555555548</v>
      </c>
      <c r="BP766" t="s">
        <v>33</v>
      </c>
      <c r="BQ766" t="s">
        <v>33</v>
      </c>
      <c r="BR766" t="s">
        <v>33</v>
      </c>
      <c r="BS766" t="s">
        <v>33</v>
      </c>
      <c r="BT766" t="s">
        <v>32</v>
      </c>
      <c r="BU766" t="s">
        <v>84</v>
      </c>
      <c r="BV766">
        <v>2013</v>
      </c>
      <c r="BW766" t="s">
        <v>83</v>
      </c>
      <c r="BX766" t="s">
        <v>78</v>
      </c>
      <c r="BY766" t="s">
        <v>33</v>
      </c>
      <c r="BZ766" t="s">
        <v>33</v>
      </c>
      <c r="CA766" t="str">
        <f t="shared" si="359"/>
        <v>high acid</v>
      </c>
    </row>
    <row r="767" spans="1:79">
      <c r="A767" t="s">
        <v>580</v>
      </c>
      <c r="B767" t="s">
        <v>565</v>
      </c>
      <c r="C767" t="s">
        <v>563</v>
      </c>
      <c r="D767" t="s">
        <v>118</v>
      </c>
      <c r="E767" t="s">
        <v>77</v>
      </c>
      <c r="F767" t="s">
        <v>32</v>
      </c>
      <c r="G767">
        <v>22</v>
      </c>
      <c r="H767">
        <v>40</v>
      </c>
      <c r="I767" t="b">
        <v>0</v>
      </c>
      <c r="J767">
        <v>10220</v>
      </c>
      <c r="K767">
        <v>34.78</v>
      </c>
      <c r="L767">
        <v>35</v>
      </c>
      <c r="M767" s="4">
        <v>175</v>
      </c>
      <c r="N767" t="e">
        <f>(#REF!*Y767)/(T767*X767*O767)</f>
        <v>#REF!</v>
      </c>
      <c r="O767">
        <v>4</v>
      </c>
      <c r="P767">
        <f>AVERAGE(0.0066, 0.0091)</f>
        <v>7.8499999999999993E-3</v>
      </c>
      <c r="Q767" s="1">
        <f t="shared" si="383"/>
        <v>8.9285714285714288E-2</v>
      </c>
      <c r="R767" t="s">
        <v>183</v>
      </c>
      <c r="S767" t="s">
        <v>613</v>
      </c>
      <c r="T767">
        <v>8</v>
      </c>
      <c r="U767">
        <v>2.92</v>
      </c>
      <c r="V767">
        <v>2.2999999999999998</v>
      </c>
      <c r="W767">
        <v>1.21E-2</v>
      </c>
      <c r="X767">
        <f>IFERROR(((PI())*(((V767*10^-1)/2)^2)*(U767*10^-1)), "NA")</f>
        <v>1.2131888350367701E-2</v>
      </c>
      <c r="Y767">
        <v>1.5</v>
      </c>
      <c r="Z767" s="3">
        <f t="shared" si="384"/>
        <v>0.13587714952411825</v>
      </c>
      <c r="AA767" t="s">
        <v>33</v>
      </c>
      <c r="AB767">
        <f t="shared" si="385"/>
        <v>15.624999999999998</v>
      </c>
      <c r="AC767" s="1">
        <f t="shared" si="375"/>
        <v>1.3737499999999998</v>
      </c>
      <c r="AE767" s="3">
        <f t="shared" si="376"/>
        <v>1831.3749999999998</v>
      </c>
      <c r="AF767">
        <v>500</v>
      </c>
      <c r="AG767" s="1" t="str">
        <f>IFERROR((N767*P767*Q767), "NA")</f>
        <v>NA</v>
      </c>
      <c r="AH767" s="1" t="str">
        <f>IFERROR((AG767*U767*AI767), "NA")</f>
        <v>NA</v>
      </c>
      <c r="AI767" s="1">
        <v>1</v>
      </c>
      <c r="AJ767" s="11" t="s">
        <v>31</v>
      </c>
      <c r="AK767">
        <v>2990</v>
      </c>
      <c r="AL767" t="s">
        <v>544</v>
      </c>
      <c r="AM767" t="s">
        <v>86</v>
      </c>
      <c r="AN767" t="s">
        <v>205</v>
      </c>
      <c r="AO767" t="s">
        <v>789</v>
      </c>
      <c r="AP767">
        <v>4.4000000000000004</v>
      </c>
      <c r="AQ767" t="s">
        <v>33</v>
      </c>
      <c r="AR767" t="s">
        <v>33</v>
      </c>
      <c r="AS767">
        <v>7.5</v>
      </c>
      <c r="AT767">
        <f>AS767-AU767</f>
        <v>4.7799999999999994</v>
      </c>
      <c r="AU767" s="6">
        <v>2.72</v>
      </c>
      <c r="AV767" t="b">
        <v>1</v>
      </c>
      <c r="AW767" t="s">
        <v>617</v>
      </c>
      <c r="AX767" t="s">
        <v>33</v>
      </c>
      <c r="AY767" t="s">
        <v>33</v>
      </c>
      <c r="AZ767" t="s">
        <v>619</v>
      </c>
      <c r="BA767" s="18" t="s">
        <v>802</v>
      </c>
      <c r="BB767" s="3" t="b">
        <v>0</v>
      </c>
      <c r="BC767" t="s">
        <v>81</v>
      </c>
      <c r="BD767">
        <v>15</v>
      </c>
      <c r="BE767" t="s">
        <v>80</v>
      </c>
      <c r="BF767">
        <v>24</v>
      </c>
      <c r="BG767" t="s">
        <v>697</v>
      </c>
      <c r="BH767" t="s">
        <v>32</v>
      </c>
      <c r="BI767" t="s">
        <v>31</v>
      </c>
      <c r="BJ767">
        <f t="shared" si="360"/>
        <v>2.72</v>
      </c>
      <c r="BK767" s="3">
        <f t="shared" si="382"/>
        <v>0.43456890403419873</v>
      </c>
      <c r="BL767">
        <v>2</v>
      </c>
      <c r="BM767" s="3">
        <f t="shared" ref="BM767:BM797" si="386">IFERROR(LOG(BO767),"NA")</f>
        <v>2.828208377326801</v>
      </c>
      <c r="BN767" t="s">
        <v>33</v>
      </c>
      <c r="BO767" s="3">
        <f t="shared" si="358"/>
        <v>673.29963235294099</v>
      </c>
      <c r="BP767" t="s">
        <v>33</v>
      </c>
      <c r="BQ767" t="s">
        <v>33</v>
      </c>
      <c r="BR767" t="s">
        <v>33</v>
      </c>
      <c r="BS767" t="s">
        <v>33</v>
      </c>
      <c r="BT767" t="s">
        <v>31</v>
      </c>
      <c r="BU767" t="s">
        <v>219</v>
      </c>
      <c r="BV767" s="14">
        <v>2008</v>
      </c>
      <c r="BW767" t="s">
        <v>257</v>
      </c>
      <c r="BX767" t="s">
        <v>78</v>
      </c>
      <c r="BY767" s="13" t="s">
        <v>670</v>
      </c>
      <c r="CA767" t="str">
        <f t="shared" si="359"/>
        <v>high acid</v>
      </c>
    </row>
    <row r="768" spans="1:79">
      <c r="A768" t="s">
        <v>588</v>
      </c>
      <c r="B768" t="s">
        <v>565</v>
      </c>
      <c r="C768" t="s">
        <v>563</v>
      </c>
      <c r="D768" t="s">
        <v>608</v>
      </c>
      <c r="E768" t="s">
        <v>77</v>
      </c>
      <c r="F768" t="s">
        <v>32</v>
      </c>
      <c r="G768" t="s">
        <v>33</v>
      </c>
      <c r="H768">
        <v>40</v>
      </c>
      <c r="I768" t="b">
        <v>0</v>
      </c>
      <c r="J768" t="s">
        <v>33</v>
      </c>
      <c r="K768" t="s">
        <v>33</v>
      </c>
      <c r="L768">
        <v>35</v>
      </c>
      <c r="M768" s="4">
        <v>250</v>
      </c>
      <c r="N768" t="e">
        <f>(#REF!*Y768)/(T768*X768*O768)</f>
        <v>#REF!</v>
      </c>
      <c r="O768">
        <v>3.7</v>
      </c>
      <c r="P768" t="s">
        <v>33</v>
      </c>
      <c r="Q768" s="1">
        <f t="shared" si="383"/>
        <v>4.8648648648648644E-2</v>
      </c>
      <c r="R768" t="s">
        <v>183</v>
      </c>
      <c r="S768" t="s">
        <v>613</v>
      </c>
      <c r="T768">
        <v>6</v>
      </c>
      <c r="U768">
        <v>1.9</v>
      </c>
      <c r="V768">
        <v>2.2999999999999998</v>
      </c>
      <c r="W768" t="s">
        <v>33</v>
      </c>
      <c r="X768">
        <f>IFERROR(((PI())*(((V768*10^-1)/2)^2)*(U768*10^-1)), "NA")</f>
        <v>7.8940369403077502E-3</v>
      </c>
      <c r="Y768">
        <v>1</v>
      </c>
      <c r="Z768" s="3">
        <f t="shared" si="384"/>
        <v>0.16226631488410376</v>
      </c>
      <c r="AA768" t="s">
        <v>33</v>
      </c>
      <c r="AB768">
        <f t="shared" si="385"/>
        <v>12.162162162162163</v>
      </c>
      <c r="AC768" s="1" t="str">
        <f t="shared" si="375"/>
        <v>NA</v>
      </c>
      <c r="AE768" s="3">
        <f t="shared" si="376"/>
        <v>1587.6</v>
      </c>
      <c r="AF768">
        <v>270</v>
      </c>
      <c r="AG768" s="1" t="str">
        <f>IFERROR((N768*P768*Q768), "NA")</f>
        <v>NA</v>
      </c>
      <c r="AH768" s="1" t="str">
        <f>IFERROR((AG768*U768*AI768), "NA")</f>
        <v>NA</v>
      </c>
      <c r="AI768" s="1">
        <v>1</v>
      </c>
      <c r="AJ768" s="11" t="s">
        <v>31</v>
      </c>
      <c r="AK768">
        <v>4800</v>
      </c>
      <c r="AL768" t="s">
        <v>156</v>
      </c>
      <c r="AM768" t="s">
        <v>157</v>
      </c>
      <c r="AN768" t="s">
        <v>186</v>
      </c>
      <c r="AO768" t="s">
        <v>792</v>
      </c>
      <c r="AP768">
        <v>6.53</v>
      </c>
      <c r="AQ768" t="s">
        <v>33</v>
      </c>
      <c r="AR768" t="s">
        <v>33</v>
      </c>
      <c r="AS768">
        <v>6.5</v>
      </c>
      <c r="AT768">
        <v>4.78</v>
      </c>
      <c r="AU768" s="6">
        <f>AS768-AT768</f>
        <v>1.7199999999999998</v>
      </c>
      <c r="AV768" t="b">
        <v>1</v>
      </c>
      <c r="AW768" t="s">
        <v>626</v>
      </c>
      <c r="AX768" t="s">
        <v>627</v>
      </c>
      <c r="AY768" t="s">
        <v>625</v>
      </c>
      <c r="AZ768" t="s">
        <v>33</v>
      </c>
      <c r="BA768" s="18" t="s">
        <v>800</v>
      </c>
      <c r="BB768" s="3" t="b">
        <v>0</v>
      </c>
      <c r="BC768" t="s">
        <v>81</v>
      </c>
      <c r="BD768">
        <v>12</v>
      </c>
      <c r="BE768" t="s">
        <v>80</v>
      </c>
      <c r="BF768">
        <v>48</v>
      </c>
      <c r="BG768" t="s">
        <v>568</v>
      </c>
      <c r="BH768" t="s">
        <v>31</v>
      </c>
      <c r="BI768" t="s">
        <v>31</v>
      </c>
      <c r="BJ768">
        <f t="shared" si="360"/>
        <v>1.7199999999999998</v>
      </c>
      <c r="BK768" s="3">
        <f t="shared" si="382"/>
        <v>0.23552844690754884</v>
      </c>
      <c r="BL768">
        <v>2</v>
      </c>
      <c r="BM768" s="3">
        <f t="shared" si="386"/>
        <v>2.9652126433275767</v>
      </c>
      <c r="BN768" t="s">
        <v>33</v>
      </c>
      <c r="BO768" s="3">
        <f t="shared" si="358"/>
        <v>923.0232558139536</v>
      </c>
      <c r="BP768" t="s">
        <v>33</v>
      </c>
      <c r="BQ768" t="s">
        <v>33</v>
      </c>
      <c r="BR768" t="s">
        <v>33</v>
      </c>
      <c r="BS768" t="s">
        <v>33</v>
      </c>
      <c r="BT768" t="s">
        <v>31</v>
      </c>
      <c r="BU768" s="13" t="s">
        <v>163</v>
      </c>
      <c r="BV768">
        <v>2004</v>
      </c>
      <c r="BW768" t="s">
        <v>654</v>
      </c>
      <c r="BX768" t="s">
        <v>78</v>
      </c>
      <c r="BY768" s="13" t="s">
        <v>677</v>
      </c>
      <c r="CA768" t="str">
        <f t="shared" si="359"/>
        <v>low acid</v>
      </c>
    </row>
    <row r="769" spans="1:79">
      <c r="A769" t="s">
        <v>589</v>
      </c>
      <c r="B769" t="s">
        <v>566</v>
      </c>
      <c r="C769" t="s">
        <v>563</v>
      </c>
      <c r="D769" t="s">
        <v>33</v>
      </c>
      <c r="E769" t="s">
        <v>77</v>
      </c>
      <c r="F769" t="s">
        <v>33</v>
      </c>
      <c r="G769" t="s">
        <v>33</v>
      </c>
      <c r="H769">
        <v>35</v>
      </c>
      <c r="I769" t="b">
        <v>0</v>
      </c>
      <c r="J769" t="s">
        <v>33</v>
      </c>
      <c r="K769" t="s">
        <v>33</v>
      </c>
      <c r="L769">
        <v>19</v>
      </c>
      <c r="M769" s="4">
        <v>1</v>
      </c>
      <c r="N769" t="e">
        <f>(#REF!*Y769)/(T769*X769*O769)</f>
        <v>#REF!</v>
      </c>
      <c r="O769">
        <v>2</v>
      </c>
      <c r="P769" t="s">
        <v>33</v>
      </c>
      <c r="Q769" s="1">
        <f t="shared" si="383"/>
        <v>398</v>
      </c>
      <c r="R769" t="s">
        <v>183</v>
      </c>
      <c r="S769" t="s">
        <v>613</v>
      </c>
      <c r="T769">
        <v>1</v>
      </c>
      <c r="U769">
        <v>2.5</v>
      </c>
      <c r="V769" t="s">
        <v>33</v>
      </c>
      <c r="W769">
        <v>0.50249999999999995</v>
      </c>
      <c r="X769">
        <f>W769</f>
        <v>0.50249999999999995</v>
      </c>
      <c r="Y769" t="s">
        <v>33</v>
      </c>
      <c r="Z769" s="3">
        <f t="shared" si="384"/>
        <v>1.2625628140703516E-3</v>
      </c>
      <c r="AA769" t="s">
        <v>33</v>
      </c>
      <c r="AB769">
        <f t="shared" si="385"/>
        <v>398</v>
      </c>
      <c r="AC769" s="1" t="str">
        <f t="shared" si="375"/>
        <v>NA</v>
      </c>
      <c r="AE769" s="3">
        <f t="shared" si="376"/>
        <v>574.71199999999999</v>
      </c>
      <c r="AF769">
        <v>796</v>
      </c>
      <c r="AG769" s="1" t="str">
        <f>IFERROR((N769*P769*Q769), "NA")</f>
        <v>NA</v>
      </c>
      <c r="AH769" s="1" t="str">
        <f>IFERROR((AG769*U769*AI769), "NA")</f>
        <v>NA</v>
      </c>
      <c r="AI769" s="1">
        <v>1</v>
      </c>
      <c r="AJ769" s="11" t="s">
        <v>31</v>
      </c>
      <c r="AK769">
        <v>2000</v>
      </c>
      <c r="AL769" t="s">
        <v>616</v>
      </c>
      <c r="AM769" s="3" t="s">
        <v>103</v>
      </c>
      <c r="AN769" t="s">
        <v>130</v>
      </c>
      <c r="AO769" t="s">
        <v>795</v>
      </c>
      <c r="AP769">
        <v>7</v>
      </c>
      <c r="AQ769" t="s">
        <v>33</v>
      </c>
      <c r="AR769" t="s">
        <v>33</v>
      </c>
      <c r="AS769">
        <v>9</v>
      </c>
      <c r="AT769">
        <f>AS769-AU769</f>
        <v>4.78</v>
      </c>
      <c r="AU769" s="6">
        <v>4.22</v>
      </c>
      <c r="AV769" t="b">
        <v>1</v>
      </c>
      <c r="AW769" t="s">
        <v>617</v>
      </c>
      <c r="AX769" t="s">
        <v>33</v>
      </c>
      <c r="AY769" t="s">
        <v>629</v>
      </c>
      <c r="AZ769" t="s">
        <v>630</v>
      </c>
      <c r="BA769" s="18" t="s">
        <v>802</v>
      </c>
      <c r="BB769" s="3" t="b">
        <v>0</v>
      </c>
      <c r="BC769" t="s">
        <v>81</v>
      </c>
      <c r="BD769">
        <v>24</v>
      </c>
      <c r="BE769" t="s">
        <v>80</v>
      </c>
      <c r="BF769">
        <v>24</v>
      </c>
      <c r="BG769" t="s">
        <v>644</v>
      </c>
      <c r="BH769" t="s">
        <v>31</v>
      </c>
      <c r="BI769" t="s">
        <v>31</v>
      </c>
      <c r="BJ769">
        <f t="shared" si="360"/>
        <v>4.22</v>
      </c>
      <c r="BK769" s="3">
        <f t="shared" si="382"/>
        <v>0.62531245096167387</v>
      </c>
      <c r="BL769">
        <v>2</v>
      </c>
      <c r="BM769" s="3">
        <f t="shared" si="386"/>
        <v>2.1341378143456344</v>
      </c>
      <c r="BN769" t="s">
        <v>33</v>
      </c>
      <c r="BO769" s="3">
        <f t="shared" si="358"/>
        <v>136.18767772511848</v>
      </c>
      <c r="BP769" t="s">
        <v>33</v>
      </c>
      <c r="BQ769" t="s">
        <v>33</v>
      </c>
      <c r="BR769" t="s">
        <v>33</v>
      </c>
      <c r="BS769" t="s">
        <v>33</v>
      </c>
      <c r="BT769" t="s">
        <v>31</v>
      </c>
      <c r="BU769" s="15" t="s">
        <v>655</v>
      </c>
      <c r="BV769">
        <v>2003</v>
      </c>
      <c r="BW769" t="s">
        <v>656</v>
      </c>
      <c r="BX769" t="s">
        <v>78</v>
      </c>
      <c r="BY769" s="13" t="s">
        <v>677</v>
      </c>
      <c r="CA769" t="str">
        <f t="shared" si="359"/>
        <v>low acid</v>
      </c>
    </row>
    <row r="770" spans="1:79">
      <c r="A770" t="s">
        <v>326</v>
      </c>
      <c r="B770" t="s">
        <v>565</v>
      </c>
      <c r="C770" t="s">
        <v>563</v>
      </c>
      <c r="D770" t="s">
        <v>118</v>
      </c>
      <c r="E770" t="s">
        <v>77</v>
      </c>
      <c r="F770" t="s">
        <v>32</v>
      </c>
      <c r="G770">
        <v>15</v>
      </c>
      <c r="H770">
        <v>30.4</v>
      </c>
      <c r="I770" t="b">
        <v>0</v>
      </c>
      <c r="J770" t="s">
        <v>33</v>
      </c>
      <c r="K770" t="s">
        <v>33</v>
      </c>
      <c r="L770">
        <v>27.5</v>
      </c>
      <c r="M770" s="4">
        <v>200</v>
      </c>
      <c r="N770" s="3">
        <f>IFERROR(AF770/((T770*X770/Y770)*O770*AI770),"NA")</f>
        <v>3454.7028257350348</v>
      </c>
      <c r="O770">
        <v>5</v>
      </c>
      <c r="P770" t="s">
        <v>33</v>
      </c>
      <c r="Q770" s="8">
        <f t="shared" si="383"/>
        <v>6.2500000000000014E-2</v>
      </c>
      <c r="R770" t="s">
        <v>183</v>
      </c>
      <c r="S770" t="s">
        <v>613</v>
      </c>
      <c r="T770" s="11">
        <v>8</v>
      </c>
      <c r="U770">
        <v>2.9</v>
      </c>
      <c r="V770">
        <v>2.2999999999999998</v>
      </c>
      <c r="W770">
        <v>1.2E-2</v>
      </c>
      <c r="X770" s="8">
        <f>IFERROR(((PI())*(((V770*10^-1)/2)^2)*(U770*10^-1)), "NA")</f>
        <v>1.204879322468025E-2</v>
      </c>
      <c r="Y770">
        <v>3.33</v>
      </c>
      <c r="Z770" s="3">
        <f t="shared" si="384"/>
        <v>0.19278069159488398</v>
      </c>
      <c r="AA770" t="s">
        <v>33</v>
      </c>
      <c r="AB770" s="6">
        <f t="shared" si="385"/>
        <v>12.500000000000002</v>
      </c>
      <c r="AC770" t="str">
        <f t="shared" si="375"/>
        <v>NA</v>
      </c>
      <c r="AD770" s="4">
        <f>AB770*T770*AI770</f>
        <v>100.00000000000001</v>
      </c>
      <c r="AE770" s="3">
        <f t="shared" si="376"/>
        <v>794.06250000000023</v>
      </c>
      <c r="AF770">
        <v>500</v>
      </c>
      <c r="AG770" t="str">
        <f>IFERROR((M770*O770*P770), "NA")</f>
        <v>NA</v>
      </c>
      <c r="AH770" t="str">
        <f>IFERROR((AG770*T770*AI770), "NA")</f>
        <v>NA</v>
      </c>
      <c r="AI770">
        <v>1</v>
      </c>
      <c r="AJ770" t="s">
        <v>31</v>
      </c>
      <c r="AK770">
        <v>2100</v>
      </c>
      <c r="AL770" t="s">
        <v>551</v>
      </c>
      <c r="AM770" t="s">
        <v>86</v>
      </c>
      <c r="AN770" t="s">
        <v>205</v>
      </c>
      <c r="AO770" t="s">
        <v>789</v>
      </c>
      <c r="AP770">
        <v>3.79</v>
      </c>
      <c r="AQ770">
        <v>1060</v>
      </c>
      <c r="AR770" t="s">
        <v>33</v>
      </c>
      <c r="AS770" s="6">
        <f>LOG((10^6+10^7)/2)</f>
        <v>6.7403626894942441</v>
      </c>
      <c r="AT770" s="3">
        <f>IFERROR(AS770-AU770,"NA")</f>
        <v>4.7803626894942441</v>
      </c>
      <c r="AU770" s="6">
        <v>1.96</v>
      </c>
      <c r="AV770" t="b">
        <v>1</v>
      </c>
      <c r="AW770" t="s">
        <v>123</v>
      </c>
      <c r="AX770" t="s">
        <v>327</v>
      </c>
      <c r="AY770" t="s">
        <v>328</v>
      </c>
      <c r="AZ770" t="s">
        <v>33</v>
      </c>
      <c r="BA770" s="18" t="s">
        <v>579</v>
      </c>
      <c r="BB770" t="b">
        <v>1</v>
      </c>
      <c r="BC770" t="s">
        <v>81</v>
      </c>
      <c r="BD770">
        <v>144</v>
      </c>
      <c r="BE770" t="s">
        <v>80</v>
      </c>
      <c r="BF770" s="11">
        <v>120</v>
      </c>
      <c r="BG770" t="s">
        <v>329</v>
      </c>
      <c r="BH770" t="s">
        <v>31</v>
      </c>
      <c r="BI770" t="s">
        <v>31</v>
      </c>
      <c r="BJ770" s="3">
        <f t="shared" si="360"/>
        <v>1.96</v>
      </c>
      <c r="BK770" s="3">
        <f t="shared" si="382"/>
        <v>0.29225607135647602</v>
      </c>
      <c r="BL770">
        <v>2</v>
      </c>
      <c r="BM770" s="3">
        <f t="shared" si="386"/>
        <v>2.6075986153739876</v>
      </c>
      <c r="BN770" t="s">
        <v>33</v>
      </c>
      <c r="BO770" s="3">
        <f t="shared" ref="BO770:BO833" si="387">IFERROR((AE770/BJ770),"NA")</f>
        <v>405.13392857142867</v>
      </c>
      <c r="BP770" t="s">
        <v>33</v>
      </c>
      <c r="BQ770" t="s">
        <v>33</v>
      </c>
      <c r="BR770" t="s">
        <v>33</v>
      </c>
      <c r="BS770" t="s">
        <v>33</v>
      </c>
      <c r="BT770" t="s">
        <v>31</v>
      </c>
      <c r="BU770" t="s">
        <v>330</v>
      </c>
      <c r="BV770">
        <v>2009</v>
      </c>
      <c r="BW770" t="s">
        <v>331</v>
      </c>
      <c r="BX770" t="s">
        <v>78</v>
      </c>
      <c r="BY770" t="s">
        <v>33</v>
      </c>
      <c r="BZ770" t="s">
        <v>335</v>
      </c>
      <c r="CA770" t="str">
        <f t="shared" si="359"/>
        <v>high acid</v>
      </c>
    </row>
    <row r="771" spans="1:79">
      <c r="A771" t="s">
        <v>147</v>
      </c>
      <c r="B771" t="s">
        <v>565</v>
      </c>
      <c r="C771" t="s">
        <v>563</v>
      </c>
      <c r="D771" t="s">
        <v>118</v>
      </c>
      <c r="E771" t="s">
        <v>77</v>
      </c>
      <c r="F771" t="s">
        <v>32</v>
      </c>
      <c r="G771">
        <v>10</v>
      </c>
      <c r="H771" t="s">
        <v>33</v>
      </c>
      <c r="I771" t="b">
        <v>0</v>
      </c>
      <c r="J771" t="s">
        <v>33</v>
      </c>
      <c r="K771" t="s">
        <v>33</v>
      </c>
      <c r="L771">
        <v>17</v>
      </c>
      <c r="M771" s="4">
        <v>500</v>
      </c>
      <c r="N771" s="3">
        <f>IFERROR(AF771/((T771*X771/Y771)*O771*AI771),"NA")</f>
        <v>503.35454362283343</v>
      </c>
      <c r="O771">
        <v>3</v>
      </c>
      <c r="P771" t="s">
        <v>33</v>
      </c>
      <c r="Q771" s="8">
        <f t="shared" si="383"/>
        <v>1.4555555555555556E-2</v>
      </c>
      <c r="R771" t="s">
        <v>183</v>
      </c>
      <c r="S771" t="s">
        <v>613</v>
      </c>
      <c r="T771" s="11">
        <v>6</v>
      </c>
      <c r="U771">
        <v>2.9</v>
      </c>
      <c r="V771">
        <v>2.2999999999999998</v>
      </c>
      <c r="W771">
        <v>0.36420000000000002</v>
      </c>
      <c r="X771" s="8">
        <f>IFERROR(((PI())*(((V771*10^-1)/2)^2)*(U771*10^-1)), "NA")</f>
        <v>1.204879322468025E-2</v>
      </c>
      <c r="Y771" s="6">
        <f>50/60</f>
        <v>0.83333333333333337</v>
      </c>
      <c r="Z771" s="3">
        <f t="shared" si="384"/>
        <v>0.82777968719177286</v>
      </c>
      <c r="AA771" t="s">
        <v>33</v>
      </c>
      <c r="AB771" s="6">
        <f t="shared" si="385"/>
        <v>7.2777777777777786</v>
      </c>
      <c r="AC771" t="str">
        <f t="shared" si="375"/>
        <v>NA</v>
      </c>
      <c r="AD771" s="4">
        <f>IFERROR(AB771*T771*AI771, "NA")</f>
        <v>43.666666666666671</v>
      </c>
      <c r="AE771" s="3">
        <f t="shared" si="376"/>
        <v>121.90598</v>
      </c>
      <c r="AF771">
        <v>131</v>
      </c>
      <c r="AG771" t="str">
        <f>IFERROR((M771*O771*P771), "NA")</f>
        <v>NA</v>
      </c>
      <c r="AH771" t="str">
        <f>IFERROR((AG771*T771*AI771), "NA")</f>
        <v>NA</v>
      </c>
      <c r="AI771" s="11">
        <v>1</v>
      </c>
      <c r="AJ771" t="s">
        <v>31</v>
      </c>
      <c r="AK771">
        <v>3220</v>
      </c>
      <c r="AL771" t="s">
        <v>145</v>
      </c>
      <c r="AM771" t="s">
        <v>86</v>
      </c>
      <c r="AN771" t="s">
        <v>205</v>
      </c>
      <c r="AO771" t="s">
        <v>789</v>
      </c>
      <c r="AP771">
        <v>3.19</v>
      </c>
      <c r="AQ771" t="s">
        <v>33</v>
      </c>
      <c r="AR771" t="s">
        <v>33</v>
      </c>
      <c r="AS771" s="3">
        <v>7.1470000000000002</v>
      </c>
      <c r="AT771" s="3">
        <f>IFERROR(AS771-AU771,"NA")</f>
        <v>4.7870000000000008</v>
      </c>
      <c r="AU771" s="6">
        <v>2.36</v>
      </c>
      <c r="AV771" t="b">
        <v>1</v>
      </c>
      <c r="AW771" t="s">
        <v>29</v>
      </c>
      <c r="AX771" t="s">
        <v>30</v>
      </c>
      <c r="AY771" t="s">
        <v>33</v>
      </c>
      <c r="AZ771" t="s">
        <v>134</v>
      </c>
      <c r="BA771" s="18" t="s">
        <v>798</v>
      </c>
      <c r="BB771" t="b">
        <v>0</v>
      </c>
      <c r="BC771" t="s">
        <v>81</v>
      </c>
      <c r="BD771">
        <f>(48+24)/2</f>
        <v>36</v>
      </c>
      <c r="BE771" t="s">
        <v>80</v>
      </c>
      <c r="BF771" s="11">
        <f>(48+24)/2</f>
        <v>36</v>
      </c>
      <c r="BG771" t="s">
        <v>139</v>
      </c>
      <c r="BH771" t="s">
        <v>31</v>
      </c>
      <c r="BI771" t="s">
        <v>31</v>
      </c>
      <c r="BJ771" s="3">
        <f t="shared" ref="BJ771:BJ831" si="388">AU771</f>
        <v>2.36</v>
      </c>
      <c r="BK771" s="3">
        <f t="shared" si="382"/>
        <v>0.37291200297010657</v>
      </c>
      <c r="BL771">
        <v>2</v>
      </c>
      <c r="BM771" s="3">
        <f t="shared" si="386"/>
        <v>1.7131130071380365</v>
      </c>
      <c r="BN771" t="s">
        <v>33</v>
      </c>
      <c r="BO771" s="3">
        <f t="shared" si="387"/>
        <v>51.655076271186445</v>
      </c>
      <c r="BP771" t="s">
        <v>33</v>
      </c>
      <c r="BQ771" t="s">
        <v>33</v>
      </c>
      <c r="BR771" t="s">
        <v>33</v>
      </c>
      <c r="BS771" t="s">
        <v>33</v>
      </c>
      <c r="BT771" t="s">
        <v>31</v>
      </c>
      <c r="BU771" t="s">
        <v>135</v>
      </c>
      <c r="BV771">
        <v>2010</v>
      </c>
      <c r="BW771" s="1" t="s">
        <v>140</v>
      </c>
      <c r="BX771" t="s">
        <v>78</v>
      </c>
      <c r="BY771" t="s">
        <v>33</v>
      </c>
      <c r="BZ771" t="s">
        <v>148</v>
      </c>
      <c r="CA771" t="str">
        <f t="shared" ref="CA771:CA834" si="389">IF(OR(AN771="low acidic liquid medium", AN771="low acidic food product"), "low acid",
    IF(OR(AN771="high acidic food product", AN771="high acidic liquid medium"), "high acid", "NA"))</f>
        <v>high acid</v>
      </c>
    </row>
    <row r="772" spans="1:79">
      <c r="A772" t="s">
        <v>325</v>
      </c>
      <c r="B772" t="s">
        <v>565</v>
      </c>
      <c r="C772" t="s">
        <v>563</v>
      </c>
      <c r="D772" t="s">
        <v>304</v>
      </c>
      <c r="E772" t="s">
        <v>77</v>
      </c>
      <c r="F772" t="s">
        <v>32</v>
      </c>
      <c r="G772">
        <v>30</v>
      </c>
      <c r="H772">
        <v>31.7</v>
      </c>
      <c r="I772" t="b">
        <v>1</v>
      </c>
      <c r="J772">
        <v>12600</v>
      </c>
      <c r="K772">
        <v>50.4</v>
      </c>
      <c r="L772">
        <v>31.1</v>
      </c>
      <c r="M772" s="4">
        <v>217</v>
      </c>
      <c r="N772" s="3">
        <f>IFERROR(AF772/((T772*X772/Y772)*O772*AI772),"NA")</f>
        <v>228.85024496873831</v>
      </c>
      <c r="O772">
        <v>2</v>
      </c>
      <c r="P772">
        <v>2.4E-2</v>
      </c>
      <c r="Q772" s="8">
        <f t="shared" si="383"/>
        <v>2.5345622119815669E-2</v>
      </c>
      <c r="R772" t="s">
        <v>183</v>
      </c>
      <c r="S772" t="s">
        <v>612</v>
      </c>
      <c r="T772" s="11">
        <v>1</v>
      </c>
      <c r="U772">
        <v>3.4</v>
      </c>
      <c r="V772">
        <v>3</v>
      </c>
      <c r="W772">
        <v>2.4E-2</v>
      </c>
      <c r="X772" s="8">
        <f>IFERROR(((PI())*(((V772*10^-1)/2)^2)*(U772*10^-1)), "NA")</f>
        <v>2.4033183799961926E-2</v>
      </c>
      <c r="Y772" s="6">
        <f>1</f>
        <v>1</v>
      </c>
      <c r="Z772" s="3">
        <f t="shared" si="384"/>
        <v>0.94821834265304328</v>
      </c>
      <c r="AA772">
        <v>5.2</v>
      </c>
      <c r="AB772" s="6">
        <f t="shared" si="385"/>
        <v>5.5</v>
      </c>
      <c r="AC772">
        <f t="shared" si="375"/>
        <v>5.2080000000000002</v>
      </c>
      <c r="AD772" s="4">
        <f>IFERROR(AB772*T772*AI772, "NA")</f>
        <v>5.5</v>
      </c>
      <c r="AE772" s="3">
        <f t="shared" si="376"/>
        <v>10.63931</v>
      </c>
      <c r="AF772">
        <v>11</v>
      </c>
      <c r="AG772">
        <f>IFERROR((M772*O772*P772), "NA")</f>
        <v>10.416</v>
      </c>
      <c r="AH772">
        <f>IFERROR((AG772*T772*AI772), "NA")</f>
        <v>10.416</v>
      </c>
      <c r="AI772" s="11">
        <v>1</v>
      </c>
      <c r="AJ772" t="s">
        <v>31</v>
      </c>
      <c r="AK772">
        <v>1000</v>
      </c>
      <c r="AL772" t="s">
        <v>169</v>
      </c>
      <c r="AM772" t="s">
        <v>103</v>
      </c>
      <c r="AN772" t="s">
        <v>305</v>
      </c>
      <c r="AO772" t="s">
        <v>790</v>
      </c>
      <c r="AP772">
        <v>4.5</v>
      </c>
      <c r="AQ772" t="s">
        <v>33</v>
      </c>
      <c r="AR772" t="s">
        <v>33</v>
      </c>
      <c r="AS772" s="6">
        <f>LOG(3*10^7)</f>
        <v>7.4771212547196626</v>
      </c>
      <c r="AT772" s="3">
        <f>IFERROR(AS772-AU772,"NA")</f>
        <v>4.7871212547196631</v>
      </c>
      <c r="AU772" s="6">
        <v>2.69</v>
      </c>
      <c r="AV772" t="b">
        <v>1</v>
      </c>
      <c r="AW772" t="s">
        <v>123</v>
      </c>
      <c r="AX772" t="s">
        <v>88</v>
      </c>
      <c r="AY772" t="s">
        <v>306</v>
      </c>
      <c r="AZ772" t="s">
        <v>33</v>
      </c>
      <c r="BA772" s="18" t="s">
        <v>579</v>
      </c>
      <c r="BB772" t="b">
        <v>1</v>
      </c>
      <c r="BC772" t="s">
        <v>81</v>
      </c>
      <c r="BD772">
        <v>48</v>
      </c>
      <c r="BE772" t="s">
        <v>80</v>
      </c>
      <c r="BF772" s="11">
        <v>120</v>
      </c>
      <c r="BG772" t="s">
        <v>395</v>
      </c>
      <c r="BH772" t="s">
        <v>31</v>
      </c>
      <c r="BI772" t="s">
        <v>31</v>
      </c>
      <c r="BJ772" s="3">
        <f t="shared" si="388"/>
        <v>2.69</v>
      </c>
      <c r="BK772" s="3">
        <f t="shared" si="382"/>
        <v>0.42975228000240795</v>
      </c>
      <c r="BL772">
        <v>2</v>
      </c>
      <c r="BM772" s="3">
        <f t="shared" si="386"/>
        <v>0.59716118320949207</v>
      </c>
      <c r="BN772" t="s">
        <v>33</v>
      </c>
      <c r="BO772" s="3">
        <f t="shared" si="387"/>
        <v>3.9551338289962827</v>
      </c>
      <c r="BP772" t="s">
        <v>33</v>
      </c>
      <c r="BQ772" t="s">
        <v>33</v>
      </c>
      <c r="BR772" t="s">
        <v>33</v>
      </c>
      <c r="BS772" t="s">
        <v>33</v>
      </c>
      <c r="BT772" t="s">
        <v>32</v>
      </c>
      <c r="BU772" t="s">
        <v>323</v>
      </c>
      <c r="BV772">
        <v>2003</v>
      </c>
      <c r="BW772" s="2" t="s">
        <v>322</v>
      </c>
      <c r="BX772" t="s">
        <v>78</v>
      </c>
      <c r="BY772" t="s">
        <v>33</v>
      </c>
      <c r="BZ772" t="s">
        <v>33</v>
      </c>
      <c r="CA772" t="str">
        <f t="shared" si="389"/>
        <v>high acid</v>
      </c>
    </row>
    <row r="773" spans="1:79">
      <c r="A773" t="s">
        <v>533</v>
      </c>
      <c r="B773" t="s">
        <v>565</v>
      </c>
      <c r="C773" t="s">
        <v>564</v>
      </c>
      <c r="D773" t="s">
        <v>209</v>
      </c>
      <c r="E773" t="s">
        <v>77</v>
      </c>
      <c r="F773" t="s">
        <v>32</v>
      </c>
      <c r="G773">
        <v>30</v>
      </c>
      <c r="H773">
        <v>38.200000000000003</v>
      </c>
      <c r="I773" t="b">
        <v>0</v>
      </c>
      <c r="J773" t="s">
        <v>33</v>
      </c>
      <c r="K773" t="s">
        <v>33</v>
      </c>
      <c r="L773">
        <v>18</v>
      </c>
      <c r="M773" s="4">
        <v>120</v>
      </c>
      <c r="N773" s="3">
        <f>IFERROR(AF773/((T773*X773/Y773)*O773*AI773),"NA")</f>
        <v>99.406440458448728</v>
      </c>
      <c r="O773">
        <v>3</v>
      </c>
      <c r="P773" t="s">
        <v>33</v>
      </c>
      <c r="Q773" s="8">
        <f t="shared" si="383"/>
        <v>0.10416666666666666</v>
      </c>
      <c r="R773" t="s">
        <v>183</v>
      </c>
      <c r="S773" t="s">
        <v>612</v>
      </c>
      <c r="T773" s="11">
        <v>4</v>
      </c>
      <c r="U773">
        <v>3</v>
      </c>
      <c r="V773">
        <v>2.6</v>
      </c>
      <c r="W773" t="s">
        <v>33</v>
      </c>
      <c r="X773" s="8">
        <f>IFERROR(((PI())*(((V773*10^-1)/2)^2)*(U773*10^-1)), "NA")</f>
        <v>1.5927874753700257E-2</v>
      </c>
      <c r="Y773" s="6">
        <f>7.6/60</f>
        <v>0.12666666666666665</v>
      </c>
      <c r="Z773" s="3">
        <f t="shared" si="384"/>
        <v>0.15290759763552247</v>
      </c>
      <c r="AA773" t="s">
        <v>33</v>
      </c>
      <c r="AB773" s="6">
        <f t="shared" si="385"/>
        <v>12.5</v>
      </c>
      <c r="AC773" t="str">
        <f t="shared" si="375"/>
        <v>NA</v>
      </c>
      <c r="AD773" s="4">
        <f>IFERROR(AB773*T773*AI773, "NA")</f>
        <v>50</v>
      </c>
      <c r="AE773" s="3">
        <f t="shared" si="376"/>
        <v>47.627999999999993</v>
      </c>
      <c r="AF773">
        <v>150</v>
      </c>
      <c r="AG773" t="str">
        <f>IFERROR((M773*O773*P773), "NA")</f>
        <v>NA</v>
      </c>
      <c r="AH773" t="str">
        <f>IFERROR((AG773*T773*AI773), "NA")</f>
        <v>NA</v>
      </c>
      <c r="AI773" s="11">
        <v>1</v>
      </c>
      <c r="AJ773" t="s">
        <v>31</v>
      </c>
      <c r="AK773">
        <v>980</v>
      </c>
      <c r="AL773" t="s">
        <v>551</v>
      </c>
      <c r="AM773" t="s">
        <v>86</v>
      </c>
      <c r="AN773" t="s">
        <v>186</v>
      </c>
      <c r="AO773" t="s">
        <v>794</v>
      </c>
      <c r="AP773">
        <v>5.98</v>
      </c>
      <c r="AQ773" t="s">
        <v>33</v>
      </c>
      <c r="AR773" t="s">
        <v>33</v>
      </c>
      <c r="AS773" s="6">
        <v>6.4</v>
      </c>
      <c r="AT773" s="3">
        <f>IFERROR(AS773-AU773,"NA")</f>
        <v>4.7949999999999999</v>
      </c>
      <c r="AU773" s="6">
        <v>1.605</v>
      </c>
      <c r="AV773" t="b">
        <v>1</v>
      </c>
      <c r="AW773" t="s">
        <v>29</v>
      </c>
      <c r="AX773" t="s">
        <v>30</v>
      </c>
      <c r="AY773" t="s">
        <v>211</v>
      </c>
      <c r="AZ773" t="s">
        <v>33</v>
      </c>
      <c r="BA773" s="18" t="s">
        <v>798</v>
      </c>
      <c r="BB773" t="b">
        <v>0</v>
      </c>
      <c r="BC773" t="s">
        <v>81</v>
      </c>
      <c r="BD773">
        <v>20</v>
      </c>
      <c r="BE773" t="s">
        <v>80</v>
      </c>
      <c r="BF773" s="11">
        <v>20</v>
      </c>
      <c r="BG773" t="s">
        <v>570</v>
      </c>
      <c r="BH773" t="s">
        <v>31</v>
      </c>
      <c r="BI773" t="s">
        <v>31</v>
      </c>
      <c r="BJ773" s="3">
        <f t="shared" si="388"/>
        <v>1.605</v>
      </c>
      <c r="BK773" s="3">
        <f t="shared" si="382"/>
        <v>0.20547503674089088</v>
      </c>
      <c r="BL773">
        <v>2</v>
      </c>
      <c r="BM773" s="3">
        <f t="shared" si="386"/>
        <v>1.4723873082138972</v>
      </c>
      <c r="BN773" t="s">
        <v>33</v>
      </c>
      <c r="BO773" s="3">
        <f t="shared" si="387"/>
        <v>29.674766355140182</v>
      </c>
      <c r="BP773" t="s">
        <v>33</v>
      </c>
      <c r="BQ773" t="s">
        <v>33</v>
      </c>
      <c r="BR773" t="s">
        <v>33</v>
      </c>
      <c r="BS773" t="s">
        <v>33</v>
      </c>
      <c r="BT773" t="s">
        <v>32</v>
      </c>
      <c r="BU773" t="s">
        <v>207</v>
      </c>
      <c r="BV773">
        <v>2014</v>
      </c>
      <c r="BW773" t="s">
        <v>208</v>
      </c>
      <c r="BX773" t="s">
        <v>78</v>
      </c>
      <c r="BY773" t="s">
        <v>33</v>
      </c>
      <c r="BZ773" t="s">
        <v>33</v>
      </c>
      <c r="CA773" t="str">
        <f t="shared" si="389"/>
        <v>low acid</v>
      </c>
    </row>
    <row r="774" spans="1:79">
      <c r="A774" t="s">
        <v>596</v>
      </c>
      <c r="B774" t="s">
        <v>565</v>
      </c>
      <c r="C774" t="s">
        <v>563</v>
      </c>
      <c r="D774" t="s">
        <v>610</v>
      </c>
      <c r="E774" t="s">
        <v>77</v>
      </c>
      <c r="F774" t="s">
        <v>33</v>
      </c>
      <c r="G774">
        <v>20</v>
      </c>
      <c r="H774" t="s">
        <v>33</v>
      </c>
      <c r="I774" t="b">
        <v>0</v>
      </c>
      <c r="J774">
        <v>10000</v>
      </c>
      <c r="K774" t="s">
        <v>33</v>
      </c>
      <c r="L774">
        <v>25</v>
      </c>
      <c r="M774" s="4">
        <v>31.831088090218493</v>
      </c>
      <c r="N774" t="e">
        <f>(#REF!*Y774)/(T774*X774*O774)</f>
        <v>#REF!</v>
      </c>
      <c r="O774">
        <v>5</v>
      </c>
      <c r="P774" t="s">
        <v>33</v>
      </c>
      <c r="Q774" s="1">
        <f t="shared" si="383"/>
        <v>0.4712374254215147</v>
      </c>
      <c r="R774" t="s">
        <v>183</v>
      </c>
      <c r="S774" t="s">
        <v>613</v>
      </c>
      <c r="T774">
        <v>1</v>
      </c>
      <c r="U774">
        <v>4</v>
      </c>
      <c r="V774">
        <v>4</v>
      </c>
      <c r="W774" t="s">
        <v>33</v>
      </c>
      <c r="X774">
        <f>IFERROR(((PI())*(((V774*10^-1)/2)^2)*(U774*10^-1)), "NA")</f>
        <v>5.02654824574367E-2</v>
      </c>
      <c r="Y774">
        <v>0.106667</v>
      </c>
      <c r="Z774" s="3">
        <f t="shared" si="384"/>
        <v>0.10666699999999998</v>
      </c>
      <c r="AA774" t="s">
        <v>33</v>
      </c>
      <c r="AB774">
        <f t="shared" si="385"/>
        <v>15.000000000000002</v>
      </c>
      <c r="AC774" s="1" t="str">
        <f t="shared" si="375"/>
        <v>NA</v>
      </c>
      <c r="AE774" s="3">
        <f t="shared" si="376"/>
        <v>70.3125</v>
      </c>
      <c r="AF774">
        <v>75</v>
      </c>
      <c r="AG774" s="1" t="str">
        <f>IFERROR((N774*P774*Q774), "NA")</f>
        <v>NA</v>
      </c>
      <c r="AH774" s="1" t="str">
        <f>IFERROR((AG774*U774*AI774), "NA")</f>
        <v>NA</v>
      </c>
      <c r="AI774" s="1">
        <v>1</v>
      </c>
      <c r="AJ774" s="11" t="s">
        <v>31</v>
      </c>
      <c r="AK774">
        <v>1500</v>
      </c>
      <c r="AL774" t="s">
        <v>149</v>
      </c>
      <c r="AM774" t="s">
        <v>86</v>
      </c>
      <c r="AN774" t="s">
        <v>205</v>
      </c>
      <c r="AO774" t="s">
        <v>789</v>
      </c>
      <c r="AP774" t="s">
        <v>33</v>
      </c>
      <c r="AQ774" t="s">
        <v>33</v>
      </c>
      <c r="AR774" t="s">
        <v>33</v>
      </c>
      <c r="AS774">
        <f>AVERAGE(6,8)</f>
        <v>7</v>
      </c>
      <c r="AT774">
        <f>AS774-AU774</f>
        <v>4.8</v>
      </c>
      <c r="AU774" s="6">
        <v>2.2000000000000002</v>
      </c>
      <c r="AV774" t="b">
        <v>1</v>
      </c>
      <c r="AW774" t="s">
        <v>626</v>
      </c>
      <c r="AX774" t="s">
        <v>627</v>
      </c>
      <c r="AY774" t="s">
        <v>634</v>
      </c>
      <c r="AZ774" t="s">
        <v>33</v>
      </c>
      <c r="BA774" s="18" t="s">
        <v>800</v>
      </c>
      <c r="BB774" s="3" t="b">
        <v>0</v>
      </c>
      <c r="BC774" t="s">
        <v>81</v>
      </c>
      <c r="BD774">
        <v>18</v>
      </c>
      <c r="BE774" t="s">
        <v>80</v>
      </c>
      <c r="BF774">
        <v>24</v>
      </c>
      <c r="BG774" t="s">
        <v>644</v>
      </c>
      <c r="BH774" t="s">
        <v>31</v>
      </c>
      <c r="BI774" t="s">
        <v>31</v>
      </c>
      <c r="BJ774">
        <f t="shared" si="388"/>
        <v>2.2000000000000002</v>
      </c>
      <c r="BK774" s="3">
        <f t="shared" si="382"/>
        <v>0.34242268082220628</v>
      </c>
      <c r="BL774">
        <v>2</v>
      </c>
      <c r="BM774" s="3">
        <f t="shared" si="386"/>
        <v>1.5046098589692503</v>
      </c>
      <c r="BN774" t="s">
        <v>33</v>
      </c>
      <c r="BO774" s="3">
        <f t="shared" si="387"/>
        <v>31.96022727272727</v>
      </c>
      <c r="BP774" t="s">
        <v>33</v>
      </c>
      <c r="BQ774" t="s">
        <v>33</v>
      </c>
      <c r="BR774" t="s">
        <v>33</v>
      </c>
      <c r="BS774" t="s">
        <v>33</v>
      </c>
      <c r="BT774" t="s">
        <v>32</v>
      </c>
      <c r="BU774" t="s">
        <v>661</v>
      </c>
      <c r="BV774">
        <v>2013</v>
      </c>
      <c r="BW774" t="s">
        <v>662</v>
      </c>
      <c r="BX774" s="13" t="s">
        <v>663</v>
      </c>
      <c r="BY774" s="13" t="s">
        <v>684</v>
      </c>
      <c r="CA774" t="str">
        <f t="shared" si="389"/>
        <v>high acid</v>
      </c>
    </row>
    <row r="775" spans="1:79">
      <c r="A775" t="s">
        <v>764</v>
      </c>
      <c r="B775" t="s">
        <v>565</v>
      </c>
      <c r="C775" t="s">
        <v>563</v>
      </c>
      <c r="D775" t="s">
        <v>765</v>
      </c>
      <c r="E775" t="s">
        <v>77</v>
      </c>
      <c r="F775" t="s">
        <v>31</v>
      </c>
      <c r="G775">
        <v>22</v>
      </c>
      <c r="H775">
        <v>58</v>
      </c>
      <c r="I775" t="b">
        <v>0</v>
      </c>
      <c r="J775" t="s">
        <v>33</v>
      </c>
      <c r="K775" t="s">
        <v>33</v>
      </c>
      <c r="L775">
        <v>16</v>
      </c>
      <c r="M775" s="4">
        <f>N775</f>
        <v>278.96634347486906</v>
      </c>
      <c r="N775" s="3">
        <f>IFERROR(AF775/((T775*X775/Y775)*O775*AI775),"NA")</f>
        <v>278.96634347486906</v>
      </c>
      <c r="O775">
        <v>3</v>
      </c>
      <c r="P775">
        <v>7.1800000000000003E-2</v>
      </c>
      <c r="Q775" s="8">
        <f>IFERROR(X775/Y775, "NA")</f>
        <v>7.1812725090036014E-2</v>
      </c>
      <c r="R775" t="s">
        <v>183</v>
      </c>
      <c r="S775" t="s">
        <v>33</v>
      </c>
      <c r="T775" s="11">
        <v>1</v>
      </c>
      <c r="U775" t="s">
        <v>33</v>
      </c>
      <c r="V775" t="s">
        <v>33</v>
      </c>
      <c r="W775">
        <v>9.9699999999999997E-2</v>
      </c>
      <c r="X775">
        <f>W775</f>
        <v>9.9699999999999997E-2</v>
      </c>
      <c r="Y775" s="6">
        <f>83.3/60</f>
        <v>1.3883333333333332</v>
      </c>
      <c r="Z775" s="6">
        <f>Y775</f>
        <v>1.3883333333333332</v>
      </c>
      <c r="AA775" t="s">
        <v>33</v>
      </c>
      <c r="AB775" s="4">
        <f>IFERROR(((X775*M775)/Y775), "NA")</f>
        <v>20.033333333333335</v>
      </c>
      <c r="AC775" s="4">
        <f t="shared" si="375"/>
        <v>20.029783461495601</v>
      </c>
      <c r="AD775" s="4">
        <f>AB775*T775*AI775</f>
        <v>20.033333333333335</v>
      </c>
      <c r="AE775" s="3">
        <f t="shared" si="376"/>
        <v>46.156799999999997</v>
      </c>
      <c r="AF775">
        <v>60.1</v>
      </c>
      <c r="AG775" s="4">
        <f>IFERROR((M775*O775*P775), "NA")</f>
        <v>60.089350384486799</v>
      </c>
      <c r="AH775" s="4">
        <f>IFERROR((AG775*T775*AI775), "NA")</f>
        <v>60.089350384486799</v>
      </c>
      <c r="AI775">
        <v>1</v>
      </c>
      <c r="AJ775" s="11" t="s">
        <v>31</v>
      </c>
      <c r="AK775">
        <v>3000</v>
      </c>
      <c r="AL775" t="s">
        <v>169</v>
      </c>
      <c r="AM775" t="s">
        <v>103</v>
      </c>
      <c r="AN775" t="s">
        <v>130</v>
      </c>
      <c r="AO775" t="s">
        <v>795</v>
      </c>
      <c r="AP775">
        <v>7.3</v>
      </c>
      <c r="AQ775" t="s">
        <v>33</v>
      </c>
      <c r="AR775" t="s">
        <v>33</v>
      </c>
      <c r="AS775">
        <v>7</v>
      </c>
      <c r="AT775" s="3">
        <f>IFERROR(AS775-AU775,"NA")</f>
        <v>4.8049999999999997</v>
      </c>
      <c r="AU775" s="6">
        <v>2.1949999999999998</v>
      </c>
      <c r="AV775" t="b">
        <v>1</v>
      </c>
      <c r="AW775" t="s">
        <v>29</v>
      </c>
      <c r="AX775" t="s">
        <v>30</v>
      </c>
      <c r="AY775" t="s">
        <v>766</v>
      </c>
      <c r="AZ775" t="s">
        <v>33</v>
      </c>
      <c r="BA775" s="18" t="s">
        <v>798</v>
      </c>
      <c r="BB775" s="3" t="b">
        <v>0</v>
      </c>
      <c r="BC775" t="s">
        <v>81</v>
      </c>
      <c r="BD775">
        <v>16</v>
      </c>
      <c r="BE775" t="s">
        <v>80</v>
      </c>
      <c r="BF775">
        <v>24</v>
      </c>
      <c r="BG775" t="s">
        <v>569</v>
      </c>
      <c r="BH775" t="s">
        <v>31</v>
      </c>
      <c r="BI775" t="s">
        <v>31</v>
      </c>
      <c r="BJ775" s="3">
        <f t="shared" si="388"/>
        <v>2.1949999999999998</v>
      </c>
      <c r="BK775" s="3">
        <f t="shared" si="382"/>
        <v>0.34143452457814016</v>
      </c>
      <c r="BL775">
        <v>2</v>
      </c>
      <c r="BM775" s="3">
        <f t="shared" si="386"/>
        <v>1.3228011674561113</v>
      </c>
      <c r="BN775" t="s">
        <v>33</v>
      </c>
      <c r="BO775" s="3">
        <f t="shared" si="387"/>
        <v>21.028154897494307</v>
      </c>
      <c r="BP775" t="s">
        <v>33</v>
      </c>
      <c r="BQ775" t="s">
        <v>33</v>
      </c>
      <c r="BR775" t="s">
        <v>33</v>
      </c>
      <c r="BS775" t="s">
        <v>33</v>
      </c>
      <c r="BT775" t="s">
        <v>31</v>
      </c>
      <c r="BU775" t="s">
        <v>767</v>
      </c>
      <c r="BV775">
        <v>2021</v>
      </c>
      <c r="BW775" t="s">
        <v>768</v>
      </c>
      <c r="BX775" t="s">
        <v>78</v>
      </c>
      <c r="BY775" t="s">
        <v>769</v>
      </c>
      <c r="CA775" t="str">
        <f t="shared" si="389"/>
        <v>low acid</v>
      </c>
    </row>
    <row r="776" spans="1:79">
      <c r="A776" t="s">
        <v>698</v>
      </c>
      <c r="B776" t="s">
        <v>566</v>
      </c>
      <c r="C776" t="s">
        <v>563</v>
      </c>
      <c r="D776" t="s">
        <v>699</v>
      </c>
      <c r="E776" t="s">
        <v>77</v>
      </c>
      <c r="F776" t="s">
        <v>32</v>
      </c>
      <c r="G776">
        <v>20</v>
      </c>
      <c r="H776">
        <v>41</v>
      </c>
      <c r="I776" t="b">
        <v>1</v>
      </c>
      <c r="J776" t="s">
        <v>33</v>
      </c>
      <c r="K776" t="s">
        <v>33</v>
      </c>
      <c r="L776">
        <v>20</v>
      </c>
      <c r="M776" s="4">
        <v>30</v>
      </c>
      <c r="N776" s="3">
        <f>IFERROR(AF776/((T776*X776/Y776)*O776*AI776),"NA")</f>
        <v>29.861111111111104</v>
      </c>
      <c r="O776">
        <v>5</v>
      </c>
      <c r="P776">
        <v>0.43</v>
      </c>
      <c r="Q776" s="8">
        <f>IFERROR(X776/Y776, "NA")</f>
        <v>0.43200000000000011</v>
      </c>
      <c r="R776" t="s">
        <v>183</v>
      </c>
      <c r="S776" t="s">
        <v>612</v>
      </c>
      <c r="T776" s="11">
        <v>1</v>
      </c>
      <c r="U776">
        <v>4</v>
      </c>
      <c r="V776" t="s">
        <v>33</v>
      </c>
      <c r="W776">
        <f>0.4*3*0.5</f>
        <v>0.60000000000000009</v>
      </c>
      <c r="X776" s="9">
        <f>W776</f>
        <v>0.60000000000000009</v>
      </c>
      <c r="Y776" s="6">
        <f>5000/3600</f>
        <v>1.3888888888888888</v>
      </c>
      <c r="Z776" s="3">
        <f>IFERROR(X776*M776*O776*T776*AI776/AF776, "NA")</f>
        <v>1.3953488372093026</v>
      </c>
      <c r="AA776" t="s">
        <v>33</v>
      </c>
      <c r="AB776" s="4">
        <f>IFERROR(((X776*M776)/Y776), "NA")</f>
        <v>12.960000000000003</v>
      </c>
      <c r="AC776" s="4">
        <f t="shared" si="375"/>
        <v>12.9</v>
      </c>
      <c r="AD776" s="4">
        <f>AB776*T776*AI776</f>
        <v>12.960000000000003</v>
      </c>
      <c r="AE776" s="3">
        <f t="shared" si="376"/>
        <v>51.840000000000011</v>
      </c>
      <c r="AF776">
        <v>64.5</v>
      </c>
      <c r="AG776" s="4">
        <f>IFERROR((M776*O776*P776), "NA")</f>
        <v>64.5</v>
      </c>
      <c r="AH776" s="4">
        <f>IFERROR((AG776*T776*AI776), "NA")</f>
        <v>64.5</v>
      </c>
      <c r="AI776">
        <v>1</v>
      </c>
      <c r="AJ776" s="11" t="s">
        <v>31</v>
      </c>
      <c r="AK776">
        <v>2000</v>
      </c>
      <c r="AL776" t="s">
        <v>784</v>
      </c>
      <c r="AM776" t="s">
        <v>103</v>
      </c>
      <c r="AN776" t="s">
        <v>130</v>
      </c>
      <c r="AO776" t="s">
        <v>795</v>
      </c>
      <c r="AP776">
        <v>7</v>
      </c>
      <c r="AQ776" t="s">
        <v>33</v>
      </c>
      <c r="AR776" t="s">
        <v>33</v>
      </c>
      <c r="AS776" s="6">
        <f>LOG(AVERAGE(10^8, 10^9))</f>
        <v>8.7403626894942441</v>
      </c>
      <c r="AT776" s="3">
        <f>IFERROR(AS776-AU776,"NA")</f>
        <v>4.8083626894942437</v>
      </c>
      <c r="AU776" s="6">
        <v>3.9319999999999999</v>
      </c>
      <c r="AV776" t="b">
        <v>1</v>
      </c>
      <c r="AW776" t="s">
        <v>29</v>
      </c>
      <c r="AX776" t="s">
        <v>30</v>
      </c>
      <c r="AY776" t="s">
        <v>700</v>
      </c>
      <c r="AZ776" t="s">
        <v>33</v>
      </c>
      <c r="BA776" s="18" t="s">
        <v>798</v>
      </c>
      <c r="BB776" s="3" t="b">
        <v>0</v>
      </c>
      <c r="BC776" t="s">
        <v>81</v>
      </c>
      <c r="BD776">
        <v>24</v>
      </c>
      <c r="BE776" t="s">
        <v>80</v>
      </c>
      <c r="BF776">
        <v>24</v>
      </c>
      <c r="BG776" t="s">
        <v>568</v>
      </c>
      <c r="BH776" t="s">
        <v>31</v>
      </c>
      <c r="BI776" t="s">
        <v>31</v>
      </c>
      <c r="BJ776" s="3">
        <f t="shared" si="388"/>
        <v>3.9319999999999999</v>
      </c>
      <c r="BK776" s="3">
        <f t="shared" si="382"/>
        <v>0.59461350916009803</v>
      </c>
      <c r="BL776">
        <v>2</v>
      </c>
      <c r="BM776" s="3">
        <f t="shared" si="386"/>
        <v>1.1200514837024391</v>
      </c>
      <c r="BN776" t="s">
        <v>33</v>
      </c>
      <c r="BO776" s="3">
        <f t="shared" si="387"/>
        <v>13.184130213631743</v>
      </c>
      <c r="BP776" t="s">
        <v>33</v>
      </c>
      <c r="BQ776" t="s">
        <v>33</v>
      </c>
      <c r="BR776" t="s">
        <v>33</v>
      </c>
      <c r="BS776" t="s">
        <v>33</v>
      </c>
      <c r="BT776" t="s">
        <v>32</v>
      </c>
      <c r="BU776" t="s">
        <v>709</v>
      </c>
      <c r="BV776">
        <v>2024</v>
      </c>
      <c r="BW776" t="s">
        <v>710</v>
      </c>
      <c r="BX776" t="s">
        <v>78</v>
      </c>
      <c r="BY776" t="s">
        <v>711</v>
      </c>
      <c r="CA776" t="str">
        <f t="shared" si="389"/>
        <v>low acid</v>
      </c>
    </row>
    <row r="777" spans="1:79">
      <c r="A777" t="s">
        <v>594</v>
      </c>
      <c r="B777" t="s">
        <v>566</v>
      </c>
      <c r="C777" t="s">
        <v>563</v>
      </c>
      <c r="D777" t="s">
        <v>33</v>
      </c>
      <c r="E777" t="s">
        <v>77</v>
      </c>
      <c r="F777" t="s">
        <v>32</v>
      </c>
      <c r="G777" t="s">
        <v>33</v>
      </c>
      <c r="H777">
        <v>30</v>
      </c>
      <c r="I777" t="b">
        <v>1</v>
      </c>
      <c r="J777" t="s">
        <v>33</v>
      </c>
      <c r="K777" t="s">
        <v>33</v>
      </c>
      <c r="L777">
        <v>30</v>
      </c>
      <c r="M777" s="4">
        <v>2</v>
      </c>
      <c r="N777" t="e">
        <f>(#REF!*Y777)/(T777*X777*O777)</f>
        <v>#REF!</v>
      </c>
      <c r="O777">
        <v>2</v>
      </c>
      <c r="P777" t="s">
        <v>33</v>
      </c>
      <c r="Q777" s="1">
        <f t="shared" ref="Q777:Q794" si="390">IFERROR(X777/Z777, "NA")</f>
        <v>7.1</v>
      </c>
      <c r="R777" t="s">
        <v>183</v>
      </c>
      <c r="S777" t="s">
        <v>613</v>
      </c>
      <c r="T777">
        <v>1</v>
      </c>
      <c r="U777">
        <v>5</v>
      </c>
      <c r="V777" t="s">
        <v>33</v>
      </c>
      <c r="W777">
        <v>0.71</v>
      </c>
      <c r="X777">
        <f>W777</f>
        <v>0.71</v>
      </c>
      <c r="Y777">
        <v>0.1</v>
      </c>
      <c r="Z777" s="3">
        <f>Y777</f>
        <v>0.1</v>
      </c>
      <c r="AA777" s="3">
        <v>14.8409893992932</v>
      </c>
      <c r="AB777">
        <f>IFERROR(((X777*M777)/Y777), "NA")</f>
        <v>14.2</v>
      </c>
      <c r="AC777" s="1" t="str">
        <f t="shared" si="375"/>
        <v>NA</v>
      </c>
      <c r="AE777" s="3">
        <f t="shared" si="376"/>
        <v>590.43599999999992</v>
      </c>
      <c r="AF777" t="s">
        <v>33</v>
      </c>
      <c r="AG777" s="1">
        <f>IFERROR((M777*O777*Q777), "NA")</f>
        <v>28.4</v>
      </c>
      <c r="AH777" s="1">
        <f>IFERROR((AG777*U777*AI777), "NA")</f>
        <v>426</v>
      </c>
      <c r="AI777" s="1">
        <v>3</v>
      </c>
      <c r="AJ777" s="11" t="s">
        <v>31</v>
      </c>
      <c r="AK777">
        <f>7700</f>
        <v>7700</v>
      </c>
      <c r="AL777" t="s">
        <v>561</v>
      </c>
      <c r="AM777" s="3" t="s">
        <v>786</v>
      </c>
      <c r="AN777" t="s">
        <v>186</v>
      </c>
      <c r="AO777" t="s">
        <v>793</v>
      </c>
      <c r="AP777" t="s">
        <v>33</v>
      </c>
      <c r="AQ777" t="s">
        <v>33</v>
      </c>
      <c r="AR777" t="s">
        <v>33</v>
      </c>
      <c r="AS777">
        <v>8</v>
      </c>
      <c r="AT777">
        <f>AS777-AU777</f>
        <v>4.8100000000000005</v>
      </c>
      <c r="AU777" s="6">
        <v>3.19</v>
      </c>
      <c r="AV777" t="b">
        <v>1</v>
      </c>
      <c r="AW777" t="s">
        <v>617</v>
      </c>
      <c r="AX777" t="s">
        <v>624</v>
      </c>
      <c r="AY777" t="s">
        <v>622</v>
      </c>
      <c r="AZ777" t="s">
        <v>33</v>
      </c>
      <c r="BA777" s="18" t="s">
        <v>802</v>
      </c>
      <c r="BB777" s="3" t="b">
        <v>0</v>
      </c>
      <c r="BC777" t="s">
        <v>81</v>
      </c>
      <c r="BD777">
        <v>18</v>
      </c>
      <c r="BE777" t="s">
        <v>80</v>
      </c>
      <c r="BF777">
        <v>24</v>
      </c>
      <c r="BG777" t="s">
        <v>696</v>
      </c>
      <c r="BH777" t="s">
        <v>32</v>
      </c>
      <c r="BI777" t="s">
        <v>31</v>
      </c>
      <c r="BJ777">
        <f t="shared" si="388"/>
        <v>3.19</v>
      </c>
      <c r="BK777" s="3">
        <f t="shared" si="382"/>
        <v>0.50379068305718111</v>
      </c>
      <c r="BL777">
        <v>2</v>
      </c>
      <c r="BM777" s="3">
        <f t="shared" si="386"/>
        <v>2.2673821463213257</v>
      </c>
      <c r="BN777" t="s">
        <v>33</v>
      </c>
      <c r="BO777" s="3">
        <f t="shared" si="387"/>
        <v>185.08965517241379</v>
      </c>
      <c r="BP777" t="s">
        <v>33</v>
      </c>
      <c r="BQ777" t="s">
        <v>33</v>
      </c>
      <c r="BR777" t="s">
        <v>33</v>
      </c>
      <c r="BS777" t="s">
        <v>33</v>
      </c>
      <c r="BT777" t="s">
        <v>31</v>
      </c>
      <c r="BU777" t="s">
        <v>338</v>
      </c>
      <c r="BV777">
        <v>2006</v>
      </c>
      <c r="BW777" t="s">
        <v>339</v>
      </c>
      <c r="BX777" t="s">
        <v>78</v>
      </c>
      <c r="BY777" s="13" t="s">
        <v>682</v>
      </c>
      <c r="CA777" t="str">
        <f t="shared" si="389"/>
        <v>low acid</v>
      </c>
    </row>
    <row r="778" spans="1:79">
      <c r="A778" t="s">
        <v>603</v>
      </c>
      <c r="B778" t="s">
        <v>565</v>
      </c>
      <c r="C778" t="s">
        <v>563</v>
      </c>
      <c r="D778" t="s">
        <v>118</v>
      </c>
      <c r="E778" t="s">
        <v>77</v>
      </c>
      <c r="F778" t="s">
        <v>33</v>
      </c>
      <c r="G778">
        <v>20</v>
      </c>
      <c r="H778">
        <v>25</v>
      </c>
      <c r="I778" t="b">
        <v>0</v>
      </c>
      <c r="J778" t="s">
        <v>33</v>
      </c>
      <c r="K778" t="s">
        <v>33</v>
      </c>
      <c r="L778">
        <v>38.4</v>
      </c>
      <c r="M778" s="4">
        <v>667</v>
      </c>
      <c r="N778" t="e">
        <f>(#REF!*Y778)/(T778*X778*O778)</f>
        <v>#REF!</v>
      </c>
      <c r="O778">
        <v>2</v>
      </c>
      <c r="P778" t="s">
        <v>33</v>
      </c>
      <c r="Q778" s="1">
        <f t="shared" si="390"/>
        <v>4.9975012493753126E-3</v>
      </c>
      <c r="R778" t="s">
        <v>183</v>
      </c>
      <c r="S778" t="s">
        <v>613</v>
      </c>
      <c r="T778">
        <v>6</v>
      </c>
      <c r="U778">
        <v>2.92</v>
      </c>
      <c r="V778">
        <v>2.2999999999999998</v>
      </c>
      <c r="W778" t="s">
        <v>33</v>
      </c>
      <c r="X778">
        <f>IFERROR(((PI())*(((V778*10^-1)/2)^2)*(U778*10^-1)), "NA")</f>
        <v>1.2131888350367701E-2</v>
      </c>
      <c r="Y778" t="s">
        <v>33</v>
      </c>
      <c r="Z778" s="3">
        <f t="shared" ref="Z778:Z808" si="391">IFERROR(X778*M778*O778*T778*AI778/AF778, "NA")</f>
        <v>2.4275908589085766</v>
      </c>
      <c r="AA778" t="s">
        <v>33</v>
      </c>
      <c r="AB778">
        <f t="shared" ref="AB778:AB783" si="392">IFERROR(((X778*M778)/Z778), "NA")</f>
        <v>3.3333333333333335</v>
      </c>
      <c r="AC778" s="1" t="str">
        <f t="shared" si="375"/>
        <v>NA</v>
      </c>
      <c r="AE778" s="3">
        <f t="shared" si="376"/>
        <v>58.982400000000005</v>
      </c>
      <c r="AF778">
        <v>40</v>
      </c>
      <c r="AG778" s="1" t="str">
        <f>IFERROR((N778*P778*Q778), "NA")</f>
        <v>NA</v>
      </c>
      <c r="AH778" s="1" t="str">
        <f>IFERROR((O778*Q778*R778), "NA")</f>
        <v>NA</v>
      </c>
      <c r="AI778" s="1">
        <v>1</v>
      </c>
      <c r="AJ778" s="11" t="s">
        <v>31</v>
      </c>
      <c r="AK778">
        <v>1000</v>
      </c>
      <c r="AL778" t="s">
        <v>430</v>
      </c>
      <c r="AM778" t="s">
        <v>530</v>
      </c>
      <c r="AN778" t="s">
        <v>186</v>
      </c>
      <c r="AO778" t="s">
        <v>796</v>
      </c>
      <c r="AP778">
        <v>6</v>
      </c>
      <c r="AQ778" t="s">
        <v>33</v>
      </c>
      <c r="AR778" t="s">
        <v>33</v>
      </c>
      <c r="AS778">
        <v>6.5</v>
      </c>
      <c r="AT778">
        <f>AS778-AU778</f>
        <v>4.8100000000000005</v>
      </c>
      <c r="AU778" s="6">
        <v>1.69</v>
      </c>
      <c r="AV778" t="b">
        <v>1</v>
      </c>
      <c r="AW778" t="s">
        <v>626</v>
      </c>
      <c r="AX778" t="s">
        <v>627</v>
      </c>
      <c r="AY778" t="s">
        <v>625</v>
      </c>
      <c r="AZ778" t="s">
        <v>33</v>
      </c>
      <c r="BA778" s="18" t="s">
        <v>800</v>
      </c>
      <c r="BB778" s="3" t="b">
        <v>0</v>
      </c>
      <c r="BC778" t="s">
        <v>81</v>
      </c>
      <c r="BD778">
        <v>15</v>
      </c>
      <c r="BE778" t="s">
        <v>80</v>
      </c>
      <c r="BF778">
        <v>48</v>
      </c>
      <c r="BG778" t="s">
        <v>568</v>
      </c>
      <c r="BH778" t="s">
        <v>31</v>
      </c>
      <c r="BI778" t="s">
        <v>31</v>
      </c>
      <c r="BJ778">
        <f t="shared" si="388"/>
        <v>1.69</v>
      </c>
      <c r="BK778" s="3">
        <f t="shared" si="382"/>
        <v>0.22788670461367352</v>
      </c>
      <c r="BL778">
        <v>2</v>
      </c>
      <c r="BM778" s="3">
        <f t="shared" si="386"/>
        <v>1.5428357354493505</v>
      </c>
      <c r="BN778" t="s">
        <v>33</v>
      </c>
      <c r="BO778" s="3">
        <f t="shared" si="387"/>
        <v>34.900828402366869</v>
      </c>
      <c r="BP778" t="s">
        <v>33</v>
      </c>
      <c r="BQ778" t="s">
        <v>33</v>
      </c>
      <c r="BR778" t="s">
        <v>33</v>
      </c>
      <c r="BS778" t="s">
        <v>33</v>
      </c>
      <c r="BT778" t="s">
        <v>32</v>
      </c>
      <c r="BU778" s="15" t="s">
        <v>344</v>
      </c>
      <c r="BV778" s="14">
        <v>2008</v>
      </c>
      <c r="BW778" t="s">
        <v>432</v>
      </c>
      <c r="BX778" t="s">
        <v>78</v>
      </c>
      <c r="BY778" s="13" t="s">
        <v>691</v>
      </c>
      <c r="BZ778" s="13" t="s">
        <v>781</v>
      </c>
      <c r="CA778" t="str">
        <f t="shared" si="389"/>
        <v>low acid</v>
      </c>
    </row>
    <row r="779" spans="1:79">
      <c r="A779" t="s">
        <v>595</v>
      </c>
      <c r="B779" t="s">
        <v>565</v>
      </c>
      <c r="C779" t="s">
        <v>564</v>
      </c>
      <c r="D779" t="s">
        <v>609</v>
      </c>
      <c r="E779" t="s">
        <v>77</v>
      </c>
      <c r="F779" t="s">
        <v>32</v>
      </c>
      <c r="G779">
        <v>30</v>
      </c>
      <c r="H779">
        <v>38.200000000000003</v>
      </c>
      <c r="I779" t="b">
        <v>0</v>
      </c>
      <c r="J779" t="s">
        <v>33</v>
      </c>
      <c r="K779" t="s">
        <v>33</v>
      </c>
      <c r="L779">
        <v>18</v>
      </c>
      <c r="M779" s="4">
        <v>120</v>
      </c>
      <c r="N779" t="e">
        <f>(#REF!*Y779)/(T779*X779*O779)</f>
        <v>#REF!</v>
      </c>
      <c r="O779">
        <v>3</v>
      </c>
      <c r="P779" t="s">
        <v>33</v>
      </c>
      <c r="Q779" s="1">
        <f t="shared" si="390"/>
        <v>8.3333333333333329E-2</v>
      </c>
      <c r="R779" t="s">
        <v>183</v>
      </c>
      <c r="S779" t="s">
        <v>612</v>
      </c>
      <c r="T779">
        <v>4</v>
      </c>
      <c r="U779">
        <v>3</v>
      </c>
      <c r="V779">
        <v>2.6</v>
      </c>
      <c r="W779" t="s">
        <v>33</v>
      </c>
      <c r="X779">
        <f>IFERROR(((PI())*(((V779*10^-1)/2)^2)*(U779*10^-1)), "NA")</f>
        <v>1.5927874753700257E-2</v>
      </c>
      <c r="Y779">
        <v>0.126667</v>
      </c>
      <c r="Z779" s="3">
        <f t="shared" si="391"/>
        <v>0.19113449704440308</v>
      </c>
      <c r="AA779" t="s">
        <v>33</v>
      </c>
      <c r="AB779">
        <f t="shared" si="392"/>
        <v>10</v>
      </c>
      <c r="AC779" s="1" t="str">
        <f t="shared" si="375"/>
        <v>NA</v>
      </c>
      <c r="AE779" s="3">
        <f t="shared" si="376"/>
        <v>38.102399999999996</v>
      </c>
      <c r="AF779">
        <v>120</v>
      </c>
      <c r="AG779" s="1" t="str">
        <f>IFERROR((N779*P779*Q779), "NA")</f>
        <v>NA</v>
      </c>
      <c r="AH779" s="1" t="str">
        <f>IFERROR((AG779*U779*AI779), "NA")</f>
        <v>NA</v>
      </c>
      <c r="AI779" s="1">
        <v>1</v>
      </c>
      <c r="AJ779" s="11" t="s">
        <v>31</v>
      </c>
      <c r="AK779">
        <v>980</v>
      </c>
      <c r="AL779" t="s">
        <v>551</v>
      </c>
      <c r="AM779" t="s">
        <v>86</v>
      </c>
      <c r="AN779" t="s">
        <v>186</v>
      </c>
      <c r="AO779" t="s">
        <v>794</v>
      </c>
      <c r="AP779">
        <v>5.98</v>
      </c>
      <c r="AQ779" t="s">
        <v>33</v>
      </c>
      <c r="AR779" t="s">
        <v>33</v>
      </c>
      <c r="AS779">
        <v>6</v>
      </c>
      <c r="AT779">
        <f>AS779-AU779</f>
        <v>4.82</v>
      </c>
      <c r="AU779" s="6">
        <v>1.18</v>
      </c>
      <c r="AV779" t="b">
        <v>1</v>
      </c>
      <c r="AW779" t="s">
        <v>626</v>
      </c>
      <c r="AX779" t="s">
        <v>627</v>
      </c>
      <c r="AY779" t="s">
        <v>631</v>
      </c>
      <c r="AZ779" t="s">
        <v>33</v>
      </c>
      <c r="BA779" s="18" t="s">
        <v>800</v>
      </c>
      <c r="BB779" s="3" t="b">
        <v>0</v>
      </c>
      <c r="BC779" t="s">
        <v>81</v>
      </c>
      <c r="BD779">
        <v>20</v>
      </c>
      <c r="BE779" t="s">
        <v>80</v>
      </c>
      <c r="BF779">
        <v>20</v>
      </c>
      <c r="BG779" t="s">
        <v>695</v>
      </c>
      <c r="BH779" t="s">
        <v>32</v>
      </c>
      <c r="BI779" t="s">
        <v>31</v>
      </c>
      <c r="BJ779">
        <f t="shared" si="388"/>
        <v>1.18</v>
      </c>
      <c r="BK779" s="3">
        <f t="shared" si="382"/>
        <v>7.1882007306125359E-2</v>
      </c>
      <c r="BL779">
        <v>2</v>
      </c>
      <c r="BM779" s="3">
        <f t="shared" si="386"/>
        <v>1.5090703246406065</v>
      </c>
      <c r="BN779" t="s">
        <v>33</v>
      </c>
      <c r="BO779" s="3">
        <f t="shared" si="387"/>
        <v>32.290169491525425</v>
      </c>
      <c r="BP779" t="s">
        <v>33</v>
      </c>
      <c r="BQ779" t="s">
        <v>33</v>
      </c>
      <c r="BR779" t="s">
        <v>33</v>
      </c>
      <c r="BS779" t="s">
        <v>33</v>
      </c>
      <c r="BT779" t="s">
        <v>32</v>
      </c>
      <c r="BU779" t="s">
        <v>207</v>
      </c>
      <c r="BV779">
        <v>2014</v>
      </c>
      <c r="BW779" t="s">
        <v>208</v>
      </c>
      <c r="BX779" t="s">
        <v>78</v>
      </c>
      <c r="BY779" s="13" t="s">
        <v>683</v>
      </c>
      <c r="CA779" t="str">
        <f t="shared" si="389"/>
        <v>low acid</v>
      </c>
    </row>
    <row r="780" spans="1:79">
      <c r="A780" t="s">
        <v>580</v>
      </c>
      <c r="B780" t="s">
        <v>565</v>
      </c>
      <c r="C780" t="s">
        <v>563</v>
      </c>
      <c r="D780" t="s">
        <v>118</v>
      </c>
      <c r="E780" t="s">
        <v>77</v>
      </c>
      <c r="F780" t="s">
        <v>32</v>
      </c>
      <c r="G780">
        <v>22</v>
      </c>
      <c r="H780">
        <v>40</v>
      </c>
      <c r="I780" t="b">
        <v>0</v>
      </c>
      <c r="J780">
        <v>10220</v>
      </c>
      <c r="K780">
        <v>59.68</v>
      </c>
      <c r="L780">
        <v>35</v>
      </c>
      <c r="M780" s="4">
        <v>250</v>
      </c>
      <c r="N780" t="e">
        <f>(#REF!*Y780)/(T780*X780*O780)</f>
        <v>#REF!</v>
      </c>
      <c r="O780">
        <v>4</v>
      </c>
      <c r="P780">
        <f>AVERAGE(0.0066, 0.0091)</f>
        <v>7.8499999999999993E-3</v>
      </c>
      <c r="Q780" s="1">
        <f t="shared" si="390"/>
        <v>6.25E-2</v>
      </c>
      <c r="R780" t="s">
        <v>183</v>
      </c>
      <c r="S780" t="s">
        <v>613</v>
      </c>
      <c r="T780">
        <v>8</v>
      </c>
      <c r="U780">
        <v>2.92</v>
      </c>
      <c r="V780">
        <v>2.2999999999999998</v>
      </c>
      <c r="W780">
        <v>1.21E-2</v>
      </c>
      <c r="X780">
        <f>IFERROR(((PI())*(((V780*10^-1)/2)^2)*(U780*10^-1)), "NA")</f>
        <v>1.2131888350367701E-2</v>
      </c>
      <c r="Y780">
        <v>1.3333299999999999</v>
      </c>
      <c r="Z780" s="3">
        <f t="shared" si="391"/>
        <v>0.19411021360588321</v>
      </c>
      <c r="AA780" t="s">
        <v>33</v>
      </c>
      <c r="AB780">
        <f t="shared" si="392"/>
        <v>15.625</v>
      </c>
      <c r="AC780" s="1">
        <f t="shared" si="375"/>
        <v>1.9624999999999999</v>
      </c>
      <c r="AE780" s="3">
        <f t="shared" si="376"/>
        <v>3142.125</v>
      </c>
      <c r="AF780">
        <v>500</v>
      </c>
      <c r="AG780" s="1" t="str">
        <f>IFERROR((N780*P780*Q780), "NA")</f>
        <v>NA</v>
      </c>
      <c r="AH780" s="1" t="str">
        <f>IFERROR((AG780*U780*AI780), "NA")</f>
        <v>NA</v>
      </c>
      <c r="AI780" s="1">
        <v>1</v>
      </c>
      <c r="AJ780" s="11" t="s">
        <v>31</v>
      </c>
      <c r="AK780">
        <v>5130</v>
      </c>
      <c r="AL780" t="s">
        <v>547</v>
      </c>
      <c r="AM780" t="s">
        <v>86</v>
      </c>
      <c r="AN780" t="s">
        <v>205</v>
      </c>
      <c r="AO780" t="s">
        <v>789</v>
      </c>
      <c r="AP780">
        <v>3.16</v>
      </c>
      <c r="AQ780" t="s">
        <v>33</v>
      </c>
      <c r="AR780" t="s">
        <v>33</v>
      </c>
      <c r="AS780">
        <v>7.5</v>
      </c>
      <c r="AT780">
        <f>AS780-AU780</f>
        <v>4.82</v>
      </c>
      <c r="AU780" s="6">
        <v>2.68</v>
      </c>
      <c r="AV780" t="b">
        <v>1</v>
      </c>
      <c r="AW780" t="s">
        <v>617</v>
      </c>
      <c r="AX780" t="s">
        <v>33</v>
      </c>
      <c r="AY780" t="s">
        <v>33</v>
      </c>
      <c r="AZ780" t="s">
        <v>619</v>
      </c>
      <c r="BA780" s="18" t="s">
        <v>802</v>
      </c>
      <c r="BB780" s="3" t="b">
        <v>0</v>
      </c>
      <c r="BC780" t="s">
        <v>81</v>
      </c>
      <c r="BD780">
        <v>15</v>
      </c>
      <c r="BE780" t="s">
        <v>80</v>
      </c>
      <c r="BF780">
        <v>24</v>
      </c>
      <c r="BG780" t="s">
        <v>697</v>
      </c>
      <c r="BH780" t="s">
        <v>32</v>
      </c>
      <c r="BI780" t="s">
        <v>31</v>
      </c>
      <c r="BJ780">
        <f t="shared" si="388"/>
        <v>2.68</v>
      </c>
      <c r="BK780" s="3">
        <f t="shared" si="382"/>
        <v>0.42813479402878885</v>
      </c>
      <c r="BL780">
        <v>2</v>
      </c>
      <c r="BM780" s="3">
        <f t="shared" si="386"/>
        <v>3.0690886641195974</v>
      </c>
      <c r="BN780" t="s">
        <v>33</v>
      </c>
      <c r="BO780" s="3">
        <f t="shared" si="387"/>
        <v>1172.4347014925372</v>
      </c>
      <c r="BP780" t="s">
        <v>33</v>
      </c>
      <c r="BQ780" t="s">
        <v>33</v>
      </c>
      <c r="BR780" t="s">
        <v>33</v>
      </c>
      <c r="BS780" t="s">
        <v>33</v>
      </c>
      <c r="BT780" t="s">
        <v>31</v>
      </c>
      <c r="BU780" t="s">
        <v>219</v>
      </c>
      <c r="BV780" s="14">
        <v>2008</v>
      </c>
      <c r="BW780" t="s">
        <v>257</v>
      </c>
      <c r="BX780" t="s">
        <v>78</v>
      </c>
      <c r="BY780" s="13" t="s">
        <v>670</v>
      </c>
      <c r="CA780" t="str">
        <f t="shared" si="389"/>
        <v>high acid</v>
      </c>
    </row>
    <row r="781" spans="1:79">
      <c r="A781" t="s">
        <v>589</v>
      </c>
      <c r="B781" t="s">
        <v>566</v>
      </c>
      <c r="C781" t="s">
        <v>563</v>
      </c>
      <c r="D781" t="s">
        <v>33</v>
      </c>
      <c r="E781" t="s">
        <v>77</v>
      </c>
      <c r="F781" t="s">
        <v>33</v>
      </c>
      <c r="G781" t="s">
        <v>33</v>
      </c>
      <c r="H781">
        <v>35</v>
      </c>
      <c r="I781" t="b">
        <v>0</v>
      </c>
      <c r="J781" t="s">
        <v>33</v>
      </c>
      <c r="K781" t="s">
        <v>33</v>
      </c>
      <c r="L781">
        <v>22</v>
      </c>
      <c r="M781" s="4">
        <v>1</v>
      </c>
      <c r="N781" t="e">
        <f>(#REF!*Y781)/(T781*X781*O781)</f>
        <v>#REF!</v>
      </c>
      <c r="O781">
        <v>2</v>
      </c>
      <c r="P781" t="s">
        <v>33</v>
      </c>
      <c r="Q781" s="1">
        <f t="shared" si="390"/>
        <v>398</v>
      </c>
      <c r="R781" t="s">
        <v>183</v>
      </c>
      <c r="S781" t="s">
        <v>613</v>
      </c>
      <c r="T781">
        <v>1</v>
      </c>
      <c r="U781">
        <v>2.5</v>
      </c>
      <c r="V781" t="s">
        <v>33</v>
      </c>
      <c r="W781">
        <v>0.50249999999999995</v>
      </c>
      <c r="X781">
        <f>W781</f>
        <v>0.50249999999999995</v>
      </c>
      <c r="Y781" t="s">
        <v>33</v>
      </c>
      <c r="Z781" s="3">
        <f t="shared" si="391"/>
        <v>1.2625628140703516E-3</v>
      </c>
      <c r="AA781" t="s">
        <v>33</v>
      </c>
      <c r="AB781">
        <f t="shared" si="392"/>
        <v>398</v>
      </c>
      <c r="AC781" s="1" t="str">
        <f t="shared" ref="AC781:AC808" si="393">IFERROR(M781*P781,"NA")</f>
        <v>NA</v>
      </c>
      <c r="AE781" s="3">
        <f t="shared" ref="AE781:AE808" si="394">IFERROR(((L781^2)*M781*O781*AK781*10^-6*Q781*T781*AI781), "NA")</f>
        <v>770.52800000000002</v>
      </c>
      <c r="AF781">
        <v>796</v>
      </c>
      <c r="AG781" s="1" t="str">
        <f>IFERROR((N781*P781*Q781), "NA")</f>
        <v>NA</v>
      </c>
      <c r="AH781" s="1" t="str">
        <f>IFERROR((AG781*U781*AI781), "NA")</f>
        <v>NA</v>
      </c>
      <c r="AI781" s="1">
        <v>1</v>
      </c>
      <c r="AJ781" s="11" t="s">
        <v>31</v>
      </c>
      <c r="AK781">
        <v>2000</v>
      </c>
      <c r="AL781" t="s">
        <v>616</v>
      </c>
      <c r="AM781" s="3" t="s">
        <v>103</v>
      </c>
      <c r="AN781" t="s">
        <v>130</v>
      </c>
      <c r="AO781" t="s">
        <v>795</v>
      </c>
      <c r="AP781">
        <v>7</v>
      </c>
      <c r="AQ781" t="s">
        <v>33</v>
      </c>
      <c r="AR781" t="s">
        <v>33</v>
      </c>
      <c r="AS781">
        <v>9</v>
      </c>
      <c r="AT781">
        <f>AS781-AU781</f>
        <v>4.82</v>
      </c>
      <c r="AU781" s="6">
        <v>4.18</v>
      </c>
      <c r="AV781" t="b">
        <v>1</v>
      </c>
      <c r="AW781" t="s">
        <v>617</v>
      </c>
      <c r="AX781" t="s">
        <v>33</v>
      </c>
      <c r="AY781" t="s">
        <v>629</v>
      </c>
      <c r="AZ781" t="s">
        <v>630</v>
      </c>
      <c r="BA781" s="18" t="s">
        <v>802</v>
      </c>
      <c r="BB781" s="3" t="b">
        <v>0</v>
      </c>
      <c r="BC781" t="s">
        <v>81</v>
      </c>
      <c r="BD781">
        <v>24</v>
      </c>
      <c r="BE781" t="s">
        <v>80</v>
      </c>
      <c r="BF781">
        <v>24</v>
      </c>
      <c r="BG781" t="s">
        <v>644</v>
      </c>
      <c r="BH781" t="s">
        <v>31</v>
      </c>
      <c r="BI781" t="s">
        <v>31</v>
      </c>
      <c r="BJ781">
        <f t="shared" si="388"/>
        <v>4.18</v>
      </c>
      <c r="BK781" s="3">
        <f t="shared" si="382"/>
        <v>0.62117628177503514</v>
      </c>
      <c r="BL781">
        <v>2</v>
      </c>
      <c r="BM781" s="3">
        <f t="shared" si="386"/>
        <v>2.2656121432710274</v>
      </c>
      <c r="BN781" t="s">
        <v>33</v>
      </c>
      <c r="BO781" s="3">
        <f t="shared" si="387"/>
        <v>184.33684210526317</v>
      </c>
      <c r="BP781" t="s">
        <v>33</v>
      </c>
      <c r="BQ781" t="s">
        <v>33</v>
      </c>
      <c r="BR781" t="s">
        <v>33</v>
      </c>
      <c r="BS781" t="s">
        <v>33</v>
      </c>
      <c r="BT781" t="s">
        <v>31</v>
      </c>
      <c r="BU781" s="15" t="s">
        <v>655</v>
      </c>
      <c r="BV781">
        <v>2003</v>
      </c>
      <c r="BW781" t="s">
        <v>656</v>
      </c>
      <c r="BX781" t="s">
        <v>78</v>
      </c>
      <c r="BY781" s="13" t="s">
        <v>677</v>
      </c>
      <c r="CA781" t="str">
        <f t="shared" si="389"/>
        <v>low acid</v>
      </c>
    </row>
    <row r="782" spans="1:79">
      <c r="A782" t="s">
        <v>324</v>
      </c>
      <c r="B782" t="s">
        <v>565</v>
      </c>
      <c r="C782" t="s">
        <v>563</v>
      </c>
      <c r="D782" t="s">
        <v>304</v>
      </c>
      <c r="E782" t="s">
        <v>77</v>
      </c>
      <c r="F782" t="s">
        <v>32</v>
      </c>
      <c r="G782">
        <v>30</v>
      </c>
      <c r="H782">
        <v>32</v>
      </c>
      <c r="I782" t="b">
        <v>1</v>
      </c>
      <c r="J782">
        <v>12600</v>
      </c>
      <c r="K782">
        <v>50.4</v>
      </c>
      <c r="L782">
        <v>25</v>
      </c>
      <c r="M782" s="4">
        <v>133</v>
      </c>
      <c r="N782" s="3">
        <f>IFERROR(AF782/((T782*X782/Y782)*O782*AI782),"NA")</f>
        <v>133.14923343635684</v>
      </c>
      <c r="O782">
        <v>5</v>
      </c>
      <c r="P782">
        <v>2.4E-2</v>
      </c>
      <c r="Q782" s="8">
        <f t="shared" si="390"/>
        <v>2.4060150375939848E-2</v>
      </c>
      <c r="R782" t="s">
        <v>183</v>
      </c>
      <c r="S782" t="s">
        <v>612</v>
      </c>
      <c r="T782" s="11">
        <v>1</v>
      </c>
      <c r="U782">
        <v>3.4</v>
      </c>
      <c r="V782">
        <v>3</v>
      </c>
      <c r="W782">
        <v>2.4E-2</v>
      </c>
      <c r="X782" s="8">
        <f>IFERROR(((PI())*(((V782*10^-1)/2)^2)*(U782*10^-1)), "NA")</f>
        <v>2.4033183799961926E-2</v>
      </c>
      <c r="Y782" s="6">
        <f>1</f>
        <v>1</v>
      </c>
      <c r="Z782" s="3">
        <f t="shared" si="391"/>
        <v>0.99887920168591759</v>
      </c>
      <c r="AA782">
        <v>3.2</v>
      </c>
      <c r="AB782" s="6">
        <f t="shared" si="392"/>
        <v>3.1999999999999997</v>
      </c>
      <c r="AC782">
        <f t="shared" si="393"/>
        <v>3.1920000000000002</v>
      </c>
      <c r="AD782" s="4">
        <f>IFERROR(AB782*T782*AI782, "NA")</f>
        <v>3.1999999999999997</v>
      </c>
      <c r="AE782" s="3">
        <f t="shared" si="394"/>
        <v>10</v>
      </c>
      <c r="AF782">
        <v>16</v>
      </c>
      <c r="AG782">
        <f>IFERROR((M782*O782*P782), "NA")</f>
        <v>15.96</v>
      </c>
      <c r="AH782">
        <f>IFERROR((AG782*T782*AI782), "NA")</f>
        <v>15.96</v>
      </c>
      <c r="AI782" s="11">
        <v>1</v>
      </c>
      <c r="AJ782" t="s">
        <v>31</v>
      </c>
      <c r="AK782">
        <v>1000</v>
      </c>
      <c r="AL782" t="s">
        <v>169</v>
      </c>
      <c r="AM782" t="s">
        <v>103</v>
      </c>
      <c r="AN782" t="s">
        <v>305</v>
      </c>
      <c r="AO782" t="s">
        <v>790</v>
      </c>
      <c r="AP782">
        <v>4.5</v>
      </c>
      <c r="AQ782" t="s">
        <v>33</v>
      </c>
      <c r="AR782" t="s">
        <v>33</v>
      </c>
      <c r="AS782" s="6">
        <f>LOG(3*10^7)</f>
        <v>7.4771212547196626</v>
      </c>
      <c r="AT782" s="3">
        <f>IFERROR(AS782-AU782,"NA")</f>
        <v>4.8271212547196622</v>
      </c>
      <c r="AU782" s="6">
        <v>2.65</v>
      </c>
      <c r="AV782" t="b">
        <v>1</v>
      </c>
      <c r="AW782" t="s">
        <v>123</v>
      </c>
      <c r="AX782" t="s">
        <v>88</v>
      </c>
      <c r="AY782" t="s">
        <v>306</v>
      </c>
      <c r="AZ782" t="s">
        <v>33</v>
      </c>
      <c r="BA782" s="18" t="s">
        <v>579</v>
      </c>
      <c r="BB782" t="b">
        <v>1</v>
      </c>
      <c r="BC782" t="s">
        <v>81</v>
      </c>
      <c r="BD782">
        <v>48</v>
      </c>
      <c r="BE782" t="s">
        <v>80</v>
      </c>
      <c r="BF782" s="11">
        <v>120</v>
      </c>
      <c r="BG782" t="s">
        <v>395</v>
      </c>
      <c r="BH782" t="s">
        <v>31</v>
      </c>
      <c r="BI782" t="s">
        <v>31</v>
      </c>
      <c r="BJ782" s="3">
        <f t="shared" si="388"/>
        <v>2.65</v>
      </c>
      <c r="BK782" s="3">
        <f t="shared" si="382"/>
        <v>0.42324587393680785</v>
      </c>
      <c r="BL782">
        <v>2</v>
      </c>
      <c r="BM782" s="3">
        <f t="shared" si="386"/>
        <v>0.57675412606319221</v>
      </c>
      <c r="BN782" t="s">
        <v>33</v>
      </c>
      <c r="BO782" s="3">
        <f t="shared" si="387"/>
        <v>3.7735849056603774</v>
      </c>
      <c r="BP782" t="s">
        <v>33</v>
      </c>
      <c r="BQ782" t="s">
        <v>33</v>
      </c>
      <c r="BR782" t="s">
        <v>33</v>
      </c>
      <c r="BS782" t="s">
        <v>33</v>
      </c>
      <c r="BT782" t="s">
        <v>32</v>
      </c>
      <c r="BU782" t="s">
        <v>323</v>
      </c>
      <c r="BV782">
        <v>2003</v>
      </c>
      <c r="BW782" s="2" t="s">
        <v>322</v>
      </c>
      <c r="BX782" t="s">
        <v>78</v>
      </c>
      <c r="BY782" t="s">
        <v>33</v>
      </c>
      <c r="BZ782" t="s">
        <v>33</v>
      </c>
      <c r="CA782" t="str">
        <f t="shared" si="389"/>
        <v>high acid</v>
      </c>
    </row>
    <row r="783" spans="1:79">
      <c r="A783" t="s">
        <v>325</v>
      </c>
      <c r="B783" t="s">
        <v>565</v>
      </c>
      <c r="C783" t="s">
        <v>563</v>
      </c>
      <c r="D783" t="s">
        <v>304</v>
      </c>
      <c r="E783" t="s">
        <v>77</v>
      </c>
      <c r="F783" t="s">
        <v>32</v>
      </c>
      <c r="G783">
        <v>30</v>
      </c>
      <c r="H783">
        <v>32.299999999999997</v>
      </c>
      <c r="I783" t="b">
        <v>1</v>
      </c>
      <c r="J783">
        <v>12600</v>
      </c>
      <c r="K783">
        <v>50.4</v>
      </c>
      <c r="L783">
        <v>24.9</v>
      </c>
      <c r="M783" s="4">
        <v>133</v>
      </c>
      <c r="N783" s="3">
        <f>IFERROR(AF783/((T783*X783/Y783)*O783*AI783),"NA")</f>
        <v>133.14923343635684</v>
      </c>
      <c r="O783">
        <v>5</v>
      </c>
      <c r="P783">
        <v>2.4E-2</v>
      </c>
      <c r="Q783" s="8">
        <f t="shared" si="390"/>
        <v>2.4060150375939848E-2</v>
      </c>
      <c r="R783" t="s">
        <v>183</v>
      </c>
      <c r="S783" t="s">
        <v>612</v>
      </c>
      <c r="T783" s="11">
        <v>1</v>
      </c>
      <c r="U783">
        <v>3.4</v>
      </c>
      <c r="V783">
        <v>3</v>
      </c>
      <c r="W783">
        <v>2.4E-2</v>
      </c>
      <c r="X783" s="8">
        <f>IFERROR(((PI())*(((V783*10^-1)/2)^2)*(U783*10^-1)), "NA")</f>
        <v>2.4033183799961926E-2</v>
      </c>
      <c r="Y783" s="6">
        <f>1</f>
        <v>1</v>
      </c>
      <c r="Z783" s="3">
        <f t="shared" si="391"/>
        <v>0.99887920168591759</v>
      </c>
      <c r="AA783">
        <v>3.2</v>
      </c>
      <c r="AB783" s="6">
        <f t="shared" si="392"/>
        <v>3.1999999999999997</v>
      </c>
      <c r="AC783">
        <f t="shared" si="393"/>
        <v>3.1920000000000002</v>
      </c>
      <c r="AD783" s="4">
        <f>IFERROR(AB783*T783*AI783, "NA")</f>
        <v>3.1999999999999997</v>
      </c>
      <c r="AE783" s="3">
        <f t="shared" si="394"/>
        <v>9.9201599999999956</v>
      </c>
      <c r="AF783">
        <v>16</v>
      </c>
      <c r="AG783">
        <f>IFERROR((M783*O783*P783), "NA")</f>
        <v>15.96</v>
      </c>
      <c r="AH783">
        <f>IFERROR((AG783*T783*AI783), "NA")</f>
        <v>15.96</v>
      </c>
      <c r="AI783" s="11">
        <v>1</v>
      </c>
      <c r="AJ783" t="s">
        <v>31</v>
      </c>
      <c r="AK783">
        <v>1000</v>
      </c>
      <c r="AL783" t="s">
        <v>169</v>
      </c>
      <c r="AM783" t="s">
        <v>103</v>
      </c>
      <c r="AN783" t="s">
        <v>305</v>
      </c>
      <c r="AO783" t="s">
        <v>790</v>
      </c>
      <c r="AP783">
        <v>4.5</v>
      </c>
      <c r="AQ783" t="s">
        <v>33</v>
      </c>
      <c r="AR783" t="s">
        <v>33</v>
      </c>
      <c r="AS783" s="6">
        <f>LOG(3*10^7)</f>
        <v>7.4771212547196626</v>
      </c>
      <c r="AT783" s="3">
        <f>IFERROR(AS783-AU783,"NA")</f>
        <v>4.8271212547196622</v>
      </c>
      <c r="AU783" s="6">
        <v>2.65</v>
      </c>
      <c r="AV783" t="b">
        <v>1</v>
      </c>
      <c r="AW783" t="s">
        <v>123</v>
      </c>
      <c r="AX783" t="s">
        <v>88</v>
      </c>
      <c r="AY783" t="s">
        <v>306</v>
      </c>
      <c r="AZ783" t="s">
        <v>33</v>
      </c>
      <c r="BA783" s="18" t="s">
        <v>579</v>
      </c>
      <c r="BB783" t="b">
        <v>1</v>
      </c>
      <c r="BC783" t="s">
        <v>81</v>
      </c>
      <c r="BD783">
        <v>48</v>
      </c>
      <c r="BE783" t="s">
        <v>80</v>
      </c>
      <c r="BF783" s="11">
        <v>120</v>
      </c>
      <c r="BG783" t="s">
        <v>395</v>
      </c>
      <c r="BH783" t="s">
        <v>31</v>
      </c>
      <c r="BI783" t="s">
        <v>31</v>
      </c>
      <c r="BJ783" s="3">
        <f t="shared" si="388"/>
        <v>2.65</v>
      </c>
      <c r="BK783" s="3">
        <f t="shared" si="382"/>
        <v>0.42324587393680785</v>
      </c>
      <c r="BL783">
        <v>2</v>
      </c>
      <c r="BM783" s="3">
        <f t="shared" si="386"/>
        <v>0.57327280291058946</v>
      </c>
      <c r="BN783" t="s">
        <v>33</v>
      </c>
      <c r="BO783" s="3">
        <f t="shared" si="387"/>
        <v>3.7434566037735832</v>
      </c>
      <c r="BP783" t="s">
        <v>33</v>
      </c>
      <c r="BQ783" t="s">
        <v>33</v>
      </c>
      <c r="BR783" t="s">
        <v>33</v>
      </c>
      <c r="BS783" t="s">
        <v>33</v>
      </c>
      <c r="BT783" t="s">
        <v>32</v>
      </c>
      <c r="BU783" t="s">
        <v>323</v>
      </c>
      <c r="BV783">
        <v>2003</v>
      </c>
      <c r="BW783" s="2" t="s">
        <v>322</v>
      </c>
      <c r="BX783" t="s">
        <v>78</v>
      </c>
      <c r="BY783" t="s">
        <v>33</v>
      </c>
      <c r="BZ783" t="s">
        <v>33</v>
      </c>
      <c r="CA783" t="str">
        <f t="shared" si="389"/>
        <v>high acid</v>
      </c>
    </row>
    <row r="784" spans="1:79">
      <c r="A784" t="s">
        <v>771</v>
      </c>
      <c r="B784" t="s">
        <v>565</v>
      </c>
      <c r="C784" t="s">
        <v>563</v>
      </c>
      <c r="D784" t="s">
        <v>118</v>
      </c>
      <c r="E784" t="s">
        <v>77</v>
      </c>
      <c r="F784" t="s">
        <v>32</v>
      </c>
      <c r="G784">
        <v>20</v>
      </c>
      <c r="H784" t="s">
        <v>33</v>
      </c>
      <c r="I784" t="b">
        <v>0</v>
      </c>
      <c r="J784" t="s">
        <v>33</v>
      </c>
      <c r="K784" t="s">
        <v>33</v>
      </c>
      <c r="L784">
        <v>30</v>
      </c>
      <c r="M784" s="4">
        <v>500</v>
      </c>
      <c r="N784" s="3">
        <f>IFERROR(AF784/((T784*X784/Y784)*O784*AI784),"NA")</f>
        <v>1599.3968245772394</v>
      </c>
      <c r="O784">
        <v>3</v>
      </c>
      <c r="P784" s="8">
        <f>Q784</f>
        <v>4.4777777777777771E-2</v>
      </c>
      <c r="Q784" s="8">
        <f t="shared" si="390"/>
        <v>4.4777777777777771E-2</v>
      </c>
      <c r="R784" t="s">
        <v>183</v>
      </c>
      <c r="S784" t="s">
        <v>613</v>
      </c>
      <c r="T784" s="11">
        <v>6</v>
      </c>
      <c r="U784">
        <v>2.92</v>
      </c>
      <c r="V784">
        <v>2.2999999999999998</v>
      </c>
      <c r="W784" s="16">
        <f>X784</f>
        <v>1.2131888350367701E-2</v>
      </c>
      <c r="X784" s="16">
        <f>IFERROR(((PI())*(((V784*10^-1)/2)^2)*(U784*10^-1)), "NA")</f>
        <v>1.2131888350367701E-2</v>
      </c>
      <c r="Y784" s="6">
        <f>52/60</f>
        <v>0.8666666666666667</v>
      </c>
      <c r="Z784" s="3">
        <f t="shared" si="391"/>
        <v>0.27093547184444</v>
      </c>
      <c r="AA784" t="s">
        <v>33</v>
      </c>
      <c r="AB784" s="4">
        <f>IFERROR(((X784*M784)/Y784), "NA")</f>
        <v>6.9991663559813659</v>
      </c>
      <c r="AC784" s="4">
        <f t="shared" si="393"/>
        <v>22.388888888888886</v>
      </c>
      <c r="AD784" s="4">
        <f>AB784*T784*AI784</f>
        <v>41.994998135888196</v>
      </c>
      <c r="AE784" s="3">
        <f t="shared" si="394"/>
        <v>997.42499999999995</v>
      </c>
      <c r="AF784">
        <v>403</v>
      </c>
      <c r="AG784" s="4">
        <f>IFERROR((M784*O784*P784), "NA")</f>
        <v>67.166666666666657</v>
      </c>
      <c r="AH784" s="4">
        <f>IFERROR((AG784*T784*AI784), "NA")</f>
        <v>402.99999999999994</v>
      </c>
      <c r="AI784">
        <v>1</v>
      </c>
      <c r="AJ784" s="11" t="s">
        <v>31</v>
      </c>
      <c r="AK784">
        <v>2750</v>
      </c>
      <c r="AL784" t="s">
        <v>149</v>
      </c>
      <c r="AM784" t="s">
        <v>86</v>
      </c>
      <c r="AN784" t="s">
        <v>205</v>
      </c>
      <c r="AO784" t="s">
        <v>789</v>
      </c>
      <c r="AP784">
        <v>3.67</v>
      </c>
      <c r="AQ784" t="s">
        <v>33</v>
      </c>
      <c r="AR784" t="s">
        <v>33</v>
      </c>
      <c r="AS784">
        <v>5.8979999999999997</v>
      </c>
      <c r="AT784" s="3">
        <f>IFERROR(AS784-AU784,"NA")</f>
        <v>4.8339999999999996</v>
      </c>
      <c r="AU784" s="6">
        <f>AS784-4.834</f>
        <v>1.0640000000000001</v>
      </c>
      <c r="AV784" t="b">
        <v>1</v>
      </c>
      <c r="AW784" t="s">
        <v>92</v>
      </c>
      <c r="AX784" t="s">
        <v>93</v>
      </c>
      <c r="AY784" t="s">
        <v>137</v>
      </c>
      <c r="AZ784" t="s">
        <v>33</v>
      </c>
      <c r="BA784" s="18" t="s">
        <v>801</v>
      </c>
      <c r="BB784" s="3" t="b">
        <v>0</v>
      </c>
      <c r="BC784" t="s">
        <v>81</v>
      </c>
      <c r="BD784">
        <v>36</v>
      </c>
      <c r="BE784" t="s">
        <v>80</v>
      </c>
      <c r="BF784">
        <v>36</v>
      </c>
      <c r="BG784" t="s">
        <v>775</v>
      </c>
      <c r="BH784" t="s">
        <v>32</v>
      </c>
      <c r="BI784" t="s">
        <v>31</v>
      </c>
      <c r="BJ784" s="3">
        <f t="shared" si="388"/>
        <v>1.0640000000000001</v>
      </c>
      <c r="BK784" s="3">
        <f t="shared" si="382"/>
        <v>2.69416279590294E-2</v>
      </c>
      <c r="BL784">
        <v>2</v>
      </c>
      <c r="BM784" s="3">
        <f t="shared" si="386"/>
        <v>2.9719386214516677</v>
      </c>
      <c r="BN784" t="s">
        <v>33</v>
      </c>
      <c r="BO784" s="3">
        <f t="shared" si="387"/>
        <v>937.42951127819538</v>
      </c>
      <c r="BP784" t="s">
        <v>33</v>
      </c>
      <c r="BQ784" t="s">
        <v>33</v>
      </c>
      <c r="BR784" t="s">
        <v>33</v>
      </c>
      <c r="BS784" t="s">
        <v>33</v>
      </c>
      <c r="BT784" t="s">
        <v>31</v>
      </c>
      <c r="BU784" t="s">
        <v>163</v>
      </c>
      <c r="BV784">
        <v>2023</v>
      </c>
      <c r="BW784" t="s">
        <v>776</v>
      </c>
      <c r="BX784" t="s">
        <v>78</v>
      </c>
      <c r="BY784" t="s">
        <v>772</v>
      </c>
      <c r="CA784" t="str">
        <f t="shared" si="389"/>
        <v>high acid</v>
      </c>
    </row>
    <row r="785" spans="1:79">
      <c r="A785" t="s">
        <v>584</v>
      </c>
      <c r="B785" t="s">
        <v>566</v>
      </c>
      <c r="C785" t="s">
        <v>563</v>
      </c>
      <c r="D785" t="s">
        <v>607</v>
      </c>
      <c r="E785" t="s">
        <v>77</v>
      </c>
      <c r="F785" t="s">
        <v>33</v>
      </c>
      <c r="G785">
        <v>20</v>
      </c>
      <c r="H785">
        <v>35</v>
      </c>
      <c r="I785" t="b">
        <v>0</v>
      </c>
      <c r="J785">
        <v>1000</v>
      </c>
      <c r="K785">
        <v>200</v>
      </c>
      <c r="L785">
        <v>25</v>
      </c>
      <c r="M785" s="4">
        <v>1</v>
      </c>
      <c r="N785" t="e">
        <f>(#REF!*Y785)/(T785*X785*O785)</f>
        <v>#REF!</v>
      </c>
      <c r="O785">
        <v>3</v>
      </c>
      <c r="P785" t="s">
        <v>33</v>
      </c>
      <c r="Q785" s="1">
        <f t="shared" si="390"/>
        <v>25.000000000000004</v>
      </c>
      <c r="R785" t="s">
        <v>183</v>
      </c>
      <c r="S785" t="s">
        <v>33</v>
      </c>
      <c r="T785">
        <v>1</v>
      </c>
      <c r="U785">
        <v>2.5</v>
      </c>
      <c r="V785" t="s">
        <v>33</v>
      </c>
      <c r="W785">
        <v>0.50249999999999995</v>
      </c>
      <c r="X785">
        <f>W785</f>
        <v>0.50249999999999995</v>
      </c>
      <c r="Y785" t="s">
        <v>33</v>
      </c>
      <c r="Z785" s="3">
        <f t="shared" si="391"/>
        <v>2.0099999999999996E-2</v>
      </c>
      <c r="AA785" t="s">
        <v>33</v>
      </c>
      <c r="AB785">
        <f t="shared" ref="AB785:AB794" si="395">IFERROR(((X785*M785)/Z785), "NA")</f>
        <v>25.000000000000004</v>
      </c>
      <c r="AC785" s="1" t="str">
        <f t="shared" si="393"/>
        <v>NA</v>
      </c>
      <c r="AE785" s="3">
        <f t="shared" si="394"/>
        <v>46.875000000000007</v>
      </c>
      <c r="AF785">
        <v>75</v>
      </c>
      <c r="AG785" s="1" t="str">
        <f>IFERROR((N785*P785*Q785), "NA")</f>
        <v>NA</v>
      </c>
      <c r="AH785" s="1" t="str">
        <f>IFERROR((AG785*U785*AI785), "NA")</f>
        <v>NA</v>
      </c>
      <c r="AI785" s="1">
        <v>1</v>
      </c>
      <c r="AJ785" s="11" t="s">
        <v>31</v>
      </c>
      <c r="AK785">
        <v>1000</v>
      </c>
      <c r="AL785" t="s">
        <v>614</v>
      </c>
      <c r="AM785" s="3" t="s">
        <v>103</v>
      </c>
      <c r="AN785" t="s">
        <v>130</v>
      </c>
      <c r="AO785" t="s">
        <v>795</v>
      </c>
      <c r="AP785">
        <v>5.5</v>
      </c>
      <c r="AQ785" t="s">
        <v>33</v>
      </c>
      <c r="AR785" t="s">
        <v>33</v>
      </c>
      <c r="AS785">
        <v>8</v>
      </c>
      <c r="AT785">
        <f>AS785-AU785</f>
        <v>4.84</v>
      </c>
      <c r="AU785" s="6">
        <v>3.16</v>
      </c>
      <c r="AV785" t="b">
        <v>1</v>
      </c>
      <c r="AW785" t="s">
        <v>617</v>
      </c>
      <c r="AX785" t="s">
        <v>33</v>
      </c>
      <c r="AY785" t="s">
        <v>623</v>
      </c>
      <c r="AZ785" t="s">
        <v>621</v>
      </c>
      <c r="BA785" s="18" t="s">
        <v>802</v>
      </c>
      <c r="BB785" s="3" t="b">
        <v>0</v>
      </c>
      <c r="BC785" t="s">
        <v>81</v>
      </c>
      <c r="BD785">
        <v>18</v>
      </c>
      <c r="BE785" t="s">
        <v>80</v>
      </c>
      <c r="BF785">
        <v>24</v>
      </c>
      <c r="BG785" t="s">
        <v>569</v>
      </c>
      <c r="BH785" t="s">
        <v>31</v>
      </c>
      <c r="BI785" t="s">
        <v>31</v>
      </c>
      <c r="BJ785">
        <f t="shared" si="388"/>
        <v>3.16</v>
      </c>
      <c r="BK785" s="3">
        <f t="shared" si="382"/>
        <v>0.49968708261840383</v>
      </c>
      <c r="BL785">
        <v>2</v>
      </c>
      <c r="BM785" s="3">
        <f t="shared" si="386"/>
        <v>1.1712541981173714</v>
      </c>
      <c r="BN785" t="s">
        <v>33</v>
      </c>
      <c r="BO785" s="3">
        <f t="shared" si="387"/>
        <v>14.833860759493673</v>
      </c>
      <c r="BP785" t="s">
        <v>33</v>
      </c>
      <c r="BQ785" t="s">
        <v>33</v>
      </c>
      <c r="BR785" t="s">
        <v>33</v>
      </c>
      <c r="BS785" t="s">
        <v>33</v>
      </c>
      <c r="BT785" t="s">
        <v>31</v>
      </c>
      <c r="BU785" t="s">
        <v>255</v>
      </c>
      <c r="BV785">
        <v>2010</v>
      </c>
      <c r="BW785" t="s">
        <v>651</v>
      </c>
      <c r="BX785" t="s">
        <v>78</v>
      </c>
      <c r="BY785" s="13" t="s">
        <v>674</v>
      </c>
      <c r="CA785" t="str">
        <f t="shared" si="389"/>
        <v>low acid</v>
      </c>
    </row>
    <row r="786" spans="1:79">
      <c r="A786" t="s">
        <v>221</v>
      </c>
      <c r="B786" t="s">
        <v>565</v>
      </c>
      <c r="C786" t="s">
        <v>563</v>
      </c>
      <c r="D786" t="s">
        <v>118</v>
      </c>
      <c r="E786" t="s">
        <v>77</v>
      </c>
      <c r="F786" t="s">
        <v>32</v>
      </c>
      <c r="G786">
        <v>5</v>
      </c>
      <c r="H786">
        <v>30.3</v>
      </c>
      <c r="I786" t="b">
        <v>0</v>
      </c>
      <c r="J786" t="s">
        <v>33</v>
      </c>
      <c r="K786" t="s">
        <v>33</v>
      </c>
      <c r="L786">
        <v>35</v>
      </c>
      <c r="M786" s="4">
        <v>100</v>
      </c>
      <c r="N786" s="3">
        <f>IFERROR(AF786/((T786*X786/Y786)*O786*AI786),"NA")</f>
        <v>2146.5468453538301</v>
      </c>
      <c r="O786">
        <v>4</v>
      </c>
      <c r="P786" t="s">
        <v>33</v>
      </c>
      <c r="Q786">
        <f t="shared" si="390"/>
        <v>0.15625</v>
      </c>
      <c r="R786" t="s">
        <v>183</v>
      </c>
      <c r="S786" t="s">
        <v>613</v>
      </c>
      <c r="T786" s="11">
        <v>8</v>
      </c>
      <c r="U786">
        <v>2.92</v>
      </c>
      <c r="V786">
        <v>2.2999999999999998</v>
      </c>
      <c r="W786">
        <v>1.21E-2</v>
      </c>
      <c r="X786" s="8">
        <f>IFERROR(((PI())*(((V786*10^-1)/2)^2)*(U786*10^-1)), "NA")</f>
        <v>1.2131888350367701E-2</v>
      </c>
      <c r="Y786" s="6">
        <f>100/60</f>
        <v>1.6666666666666667</v>
      </c>
      <c r="Z786" s="3">
        <f t="shared" si="391"/>
        <v>7.7644085442353281E-2</v>
      </c>
      <c r="AA786" t="s">
        <v>33</v>
      </c>
      <c r="AB786" s="6">
        <f t="shared" si="395"/>
        <v>15.625000000000002</v>
      </c>
      <c r="AC786" t="str">
        <f t="shared" si="393"/>
        <v>NA</v>
      </c>
      <c r="AD786" s="4">
        <f>AB786*T786*AI786</f>
        <v>125.00000000000001</v>
      </c>
      <c r="AE786" s="3">
        <f t="shared" si="394"/>
        <v>2241.75</v>
      </c>
      <c r="AF786">
        <v>500</v>
      </c>
      <c r="AG786" t="str">
        <f>IFERROR((M786*O786*P786), "NA")</f>
        <v>NA</v>
      </c>
      <c r="AH786" t="str">
        <f>IFERROR((AG786*T786*AI786), "NA")</f>
        <v>NA</v>
      </c>
      <c r="AI786">
        <v>1</v>
      </c>
      <c r="AJ786" t="s">
        <v>31</v>
      </c>
      <c r="AK786">
        <v>3660</v>
      </c>
      <c r="AL786" t="s">
        <v>541</v>
      </c>
      <c r="AM786" t="s">
        <v>86</v>
      </c>
      <c r="AN786" t="s">
        <v>186</v>
      </c>
      <c r="AO786" t="s">
        <v>794</v>
      </c>
      <c r="AP786">
        <v>5.46</v>
      </c>
      <c r="AQ786" t="s">
        <v>33</v>
      </c>
      <c r="AR786" t="s">
        <v>33</v>
      </c>
      <c r="AS786" s="6">
        <f>LOG((10^7+10^8)/2)</f>
        <v>7.7403626894942441</v>
      </c>
      <c r="AT786" s="3">
        <f>IFERROR(AS786-AU786,"NA")</f>
        <v>4.8453626894942445</v>
      </c>
      <c r="AU786" s="6">
        <v>2.895</v>
      </c>
      <c r="AV786" t="b">
        <v>1</v>
      </c>
      <c r="AW786" t="s">
        <v>29</v>
      </c>
      <c r="AX786" t="s">
        <v>30</v>
      </c>
      <c r="AY786" s="10">
        <v>1107</v>
      </c>
      <c r="AZ786" t="s">
        <v>33</v>
      </c>
      <c r="BA786" s="18" t="s">
        <v>798</v>
      </c>
      <c r="BB786" t="b">
        <v>0</v>
      </c>
      <c r="BC786" t="s">
        <v>81</v>
      </c>
      <c r="BD786">
        <f>(16+14)/2</f>
        <v>15</v>
      </c>
      <c r="BE786" t="s">
        <v>80</v>
      </c>
      <c r="BF786" t="s">
        <v>33</v>
      </c>
      <c r="BG786" t="s">
        <v>222</v>
      </c>
      <c r="BH786" t="s">
        <v>31</v>
      </c>
      <c r="BI786" t="s">
        <v>31</v>
      </c>
      <c r="BJ786" s="3">
        <f t="shared" si="388"/>
        <v>2.895</v>
      </c>
      <c r="BK786" s="3">
        <f t="shared" si="382"/>
        <v>0.461648568063455</v>
      </c>
      <c r="BL786">
        <v>2</v>
      </c>
      <c r="BM786" s="3">
        <f t="shared" si="386"/>
        <v>2.8889386103675259</v>
      </c>
      <c r="BN786" t="s">
        <v>33</v>
      </c>
      <c r="BO786" s="3">
        <f t="shared" si="387"/>
        <v>774.3523316062176</v>
      </c>
      <c r="BP786" t="s">
        <v>33</v>
      </c>
      <c r="BQ786" t="s">
        <v>33</v>
      </c>
      <c r="BR786" t="s">
        <v>33</v>
      </c>
      <c r="BS786" t="s">
        <v>33</v>
      </c>
      <c r="BT786" t="s">
        <v>31</v>
      </c>
      <c r="BU786" t="s">
        <v>219</v>
      </c>
      <c r="BV786">
        <v>2007</v>
      </c>
      <c r="BW786" t="s">
        <v>218</v>
      </c>
      <c r="BX786" t="s">
        <v>78</v>
      </c>
      <c r="BY786" t="s">
        <v>33</v>
      </c>
      <c r="BZ786" t="s">
        <v>33</v>
      </c>
      <c r="CA786" t="str">
        <f t="shared" si="389"/>
        <v>low acid</v>
      </c>
    </row>
    <row r="787" spans="1:79">
      <c r="A787" t="s">
        <v>79</v>
      </c>
      <c r="B787" t="s">
        <v>565</v>
      </c>
      <c r="C787" t="s">
        <v>563</v>
      </c>
      <c r="D787" t="s">
        <v>76</v>
      </c>
      <c r="E787" t="s">
        <v>77</v>
      </c>
      <c r="F787" t="s">
        <v>32</v>
      </c>
      <c r="G787">
        <v>4</v>
      </c>
      <c r="H787">
        <f>30</f>
        <v>30</v>
      </c>
      <c r="I787" t="b">
        <v>0</v>
      </c>
      <c r="J787" t="s">
        <v>33</v>
      </c>
      <c r="K787" t="s">
        <v>33</v>
      </c>
      <c r="L787">
        <v>35</v>
      </c>
      <c r="M787" s="4">
        <v>1000</v>
      </c>
      <c r="N787" s="3">
        <f>IFERROR(AF787/((T787*X787/Y787)*O787*AI787),"NA")</f>
        <v>806.25604403189095</v>
      </c>
      <c r="O787">
        <v>8</v>
      </c>
      <c r="P787" t="s">
        <v>33</v>
      </c>
      <c r="Q787" s="8">
        <f t="shared" si="390"/>
        <v>8.7500000000000002E-4</v>
      </c>
      <c r="R787" t="s">
        <v>183</v>
      </c>
      <c r="S787" t="s">
        <v>612</v>
      </c>
      <c r="T787" s="11">
        <v>1</v>
      </c>
      <c r="U787">
        <f>4.7</f>
        <v>4.7</v>
      </c>
      <c r="V787">
        <v>3.5</v>
      </c>
      <c r="W787" t="s">
        <v>33</v>
      </c>
      <c r="X787" s="8">
        <f>IFERROR(((PI())*(((V787*10^-1)/2)^2)*(U787*10^-1)), "NA")</f>
        <v>4.5219299257608099E-2</v>
      </c>
      <c r="Y787" s="6">
        <f>2.5*1000/60</f>
        <v>41.666666666666664</v>
      </c>
      <c r="Z787" s="3">
        <f t="shared" si="391"/>
        <v>51.679199151552112</v>
      </c>
      <c r="AA787" t="s">
        <v>33</v>
      </c>
      <c r="AB787" s="6">
        <f t="shared" si="395"/>
        <v>0.875</v>
      </c>
      <c r="AC787" t="str">
        <f t="shared" si="393"/>
        <v>NA</v>
      </c>
      <c r="AD787" s="4">
        <f>IFERROR(AB787*T787*AI787, "NA")</f>
        <v>0.875</v>
      </c>
      <c r="AE787" s="3">
        <f t="shared" si="394"/>
        <v>47.162500000000001</v>
      </c>
      <c r="AF787">
        <v>7</v>
      </c>
      <c r="AG787" t="str">
        <f>IFERROR((M787*O787*P787), "NA")</f>
        <v>NA</v>
      </c>
      <c r="AH787" t="str">
        <f>IFERROR((AG787*T787*AI787), "NA")</f>
        <v>NA</v>
      </c>
      <c r="AI787" s="11">
        <v>1</v>
      </c>
      <c r="AJ787" t="s">
        <v>31</v>
      </c>
      <c r="AK787">
        <v>5500</v>
      </c>
      <c r="AL787" t="s">
        <v>540</v>
      </c>
      <c r="AM787" t="s">
        <v>157</v>
      </c>
      <c r="AN787" t="s">
        <v>186</v>
      </c>
      <c r="AO787" t="s">
        <v>792</v>
      </c>
      <c r="AP787" s="3">
        <f>(6.53+6.6)/2</f>
        <v>6.5649999999999995</v>
      </c>
      <c r="AQ787" t="s">
        <v>33</v>
      </c>
      <c r="AR787" t="s">
        <v>33</v>
      </c>
      <c r="AS787">
        <v>8</v>
      </c>
      <c r="AT787" s="3">
        <f>IFERROR(AS787-AU787,"NA")</f>
        <v>4.8499999999999996</v>
      </c>
      <c r="AU787" s="6">
        <v>3.15</v>
      </c>
      <c r="AV787" t="b">
        <v>1</v>
      </c>
      <c r="AW787" t="s">
        <v>29</v>
      </c>
      <c r="AX787" t="s">
        <v>30</v>
      </c>
      <c r="AY787" t="s">
        <v>216</v>
      </c>
      <c r="AZ787" t="s">
        <v>33</v>
      </c>
      <c r="BA787" s="18" t="s">
        <v>798</v>
      </c>
      <c r="BB787" t="b">
        <v>0</v>
      </c>
      <c r="BC787" t="s">
        <v>81</v>
      </c>
      <c r="BD787">
        <v>24</v>
      </c>
      <c r="BE787" t="s">
        <v>80</v>
      </c>
      <c r="BF787" s="11">
        <v>24</v>
      </c>
      <c r="BG787" t="s">
        <v>572</v>
      </c>
      <c r="BH787" t="s">
        <v>31</v>
      </c>
      <c r="BI787" t="s">
        <v>31</v>
      </c>
      <c r="BJ787" s="3">
        <f t="shared" si="388"/>
        <v>3.15</v>
      </c>
      <c r="BK787" s="3">
        <f t="shared" si="382"/>
        <v>0.49831055378960049</v>
      </c>
      <c r="BL787">
        <v>2</v>
      </c>
      <c r="BM787" s="3">
        <f t="shared" si="386"/>
        <v>1.1752862644194515</v>
      </c>
      <c r="BN787" t="s">
        <v>33</v>
      </c>
      <c r="BO787" s="3">
        <f t="shared" si="387"/>
        <v>14.972222222222223</v>
      </c>
      <c r="BP787" t="s">
        <v>33</v>
      </c>
      <c r="BQ787" t="s">
        <v>33</v>
      </c>
      <c r="BR787" t="s">
        <v>33</v>
      </c>
      <c r="BS787" t="s">
        <v>33</v>
      </c>
      <c r="BT787" t="s">
        <v>32</v>
      </c>
      <c r="BU787" t="s">
        <v>117</v>
      </c>
      <c r="BV787">
        <v>2021</v>
      </c>
      <c r="BW787" s="2" t="s">
        <v>82</v>
      </c>
      <c r="BX787" t="s">
        <v>78</v>
      </c>
      <c r="BY787" t="s">
        <v>90</v>
      </c>
      <c r="CA787" t="str">
        <f t="shared" si="389"/>
        <v>low acid</v>
      </c>
    </row>
    <row r="788" spans="1:79">
      <c r="A788" t="s">
        <v>585</v>
      </c>
      <c r="B788" t="s">
        <v>565</v>
      </c>
      <c r="C788" t="s">
        <v>563</v>
      </c>
      <c r="D788" t="s">
        <v>608</v>
      </c>
      <c r="E788" t="s">
        <v>77</v>
      </c>
      <c r="F788" t="s">
        <v>32</v>
      </c>
      <c r="G788" t="s">
        <v>33</v>
      </c>
      <c r="H788" t="s">
        <v>33</v>
      </c>
      <c r="I788" t="b">
        <v>0</v>
      </c>
      <c r="J788" t="s">
        <v>33</v>
      </c>
      <c r="K788">
        <v>13.5</v>
      </c>
      <c r="L788">
        <v>25</v>
      </c>
      <c r="M788" s="4">
        <v>200</v>
      </c>
      <c r="N788" t="e">
        <f>(#REF!*Y788)/(T788*X788*O788)</f>
        <v>#REF!</v>
      </c>
      <c r="O788">
        <v>2.12</v>
      </c>
      <c r="P788" t="s">
        <v>33</v>
      </c>
      <c r="Q788" s="1">
        <f t="shared" si="390"/>
        <v>0.14740566037735847</v>
      </c>
      <c r="R788" t="s">
        <v>183</v>
      </c>
      <c r="S788" t="s">
        <v>613</v>
      </c>
      <c r="T788">
        <v>4</v>
      </c>
      <c r="U788">
        <v>1.9</v>
      </c>
      <c r="V788">
        <v>2.2999999999999998</v>
      </c>
      <c r="W788" t="s">
        <v>33</v>
      </c>
      <c r="X788">
        <f>IFERROR(((PI())*(((V788*10^-1)/2)^2)*(U788*10^-1)), "NA")</f>
        <v>7.8940369403077502E-3</v>
      </c>
      <c r="Y788">
        <v>1.2</v>
      </c>
      <c r="Z788" s="3">
        <f t="shared" si="391"/>
        <v>5.3553146603047781E-2</v>
      </c>
      <c r="AA788" t="s">
        <v>33</v>
      </c>
      <c r="AB788">
        <f t="shared" si="395"/>
        <v>29.481132075471695</v>
      </c>
      <c r="AC788" s="1" t="str">
        <f t="shared" si="393"/>
        <v>NA</v>
      </c>
      <c r="AE788" s="3">
        <f t="shared" si="394"/>
        <v>1012.4999999999998</v>
      </c>
      <c r="AF788">
        <v>250</v>
      </c>
      <c r="AG788" s="1" t="str">
        <f>IFERROR((N788*P788*Q788), "NA")</f>
        <v>NA</v>
      </c>
      <c r="AH788" s="1" t="str">
        <f>IFERROR((AG788*U788*AI788), "NA")</f>
        <v>NA</v>
      </c>
      <c r="AI788" s="1">
        <v>1</v>
      </c>
      <c r="AJ788" s="11" t="s">
        <v>31</v>
      </c>
      <c r="AK788">
        <v>6480</v>
      </c>
      <c r="AL788" t="s">
        <v>562</v>
      </c>
      <c r="AM788" s="3" t="s">
        <v>786</v>
      </c>
      <c r="AN788" t="s">
        <v>186</v>
      </c>
      <c r="AO788" t="s">
        <v>793</v>
      </c>
      <c r="AP788">
        <v>7.67</v>
      </c>
      <c r="AQ788" t="s">
        <v>33</v>
      </c>
      <c r="AR788" t="s">
        <v>33</v>
      </c>
      <c r="AS788">
        <v>5.73</v>
      </c>
      <c r="AT788">
        <v>4.8499999999999996</v>
      </c>
      <c r="AU788" s="6">
        <f>AS788-AT788</f>
        <v>0.88000000000000078</v>
      </c>
      <c r="AV788" t="b">
        <v>1</v>
      </c>
      <c r="AW788" t="s">
        <v>617</v>
      </c>
      <c r="AX788" t="s">
        <v>33</v>
      </c>
      <c r="AY788" t="s">
        <v>622</v>
      </c>
      <c r="AZ788" t="s">
        <v>619</v>
      </c>
      <c r="BA788" s="18" t="s">
        <v>802</v>
      </c>
      <c r="BB788" s="3" t="b">
        <v>0</v>
      </c>
      <c r="BC788" t="s">
        <v>81</v>
      </c>
      <c r="BD788">
        <v>48</v>
      </c>
      <c r="BE788" t="s">
        <v>80</v>
      </c>
      <c r="BF788">
        <v>48</v>
      </c>
      <c r="BG788" t="s">
        <v>569</v>
      </c>
      <c r="BH788" t="s">
        <v>31</v>
      </c>
      <c r="BI788" t="s">
        <v>31</v>
      </c>
      <c r="BJ788">
        <f t="shared" si="388"/>
        <v>0.88000000000000078</v>
      </c>
      <c r="BK788" s="3">
        <f t="shared" si="382"/>
        <v>-5.5517327849830989E-2</v>
      </c>
      <c r="BL788">
        <v>2</v>
      </c>
      <c r="BM788" s="3">
        <f t="shared" si="386"/>
        <v>3.0609123597365371</v>
      </c>
      <c r="BN788" t="s">
        <v>33</v>
      </c>
      <c r="BO788" s="3">
        <f t="shared" si="387"/>
        <v>1150.5681818181806</v>
      </c>
      <c r="BP788" t="s">
        <v>33</v>
      </c>
      <c r="BQ788" t="s">
        <v>33</v>
      </c>
      <c r="BR788" t="s">
        <v>33</v>
      </c>
      <c r="BS788" t="s">
        <v>33</v>
      </c>
      <c r="BT788" t="s">
        <v>31</v>
      </c>
      <c r="BU788" t="s">
        <v>652</v>
      </c>
      <c r="BV788">
        <v>2004</v>
      </c>
      <c r="BW788" t="s">
        <v>653</v>
      </c>
      <c r="BX788" t="s">
        <v>78</v>
      </c>
      <c r="BY788" s="13" t="s">
        <v>675</v>
      </c>
      <c r="CA788" t="str">
        <f t="shared" si="389"/>
        <v>low acid</v>
      </c>
    </row>
    <row r="789" spans="1:79">
      <c r="A789" t="s">
        <v>199</v>
      </c>
      <c r="B789" t="s">
        <v>565</v>
      </c>
      <c r="C789" t="s">
        <v>563</v>
      </c>
      <c r="D789" t="s">
        <v>118</v>
      </c>
      <c r="E789" t="s">
        <v>77</v>
      </c>
      <c r="F789" t="s">
        <v>32</v>
      </c>
      <c r="G789">
        <v>23</v>
      </c>
      <c r="H789">
        <v>56</v>
      </c>
      <c r="I789" t="b">
        <v>0</v>
      </c>
      <c r="J789" t="s">
        <v>33</v>
      </c>
      <c r="K789" t="s">
        <v>33</v>
      </c>
      <c r="L789">
        <v>25</v>
      </c>
      <c r="M789" s="4">
        <v>1000</v>
      </c>
      <c r="N789" s="3">
        <f>IFERROR(AF789/((T789*X789/Y789)*O789*AI789),"NA")</f>
        <v>995.95036417586573</v>
      </c>
      <c r="O789">
        <v>3</v>
      </c>
      <c r="P789" t="s">
        <v>33</v>
      </c>
      <c r="Q789">
        <f t="shared" si="390"/>
        <v>1.2E-2</v>
      </c>
      <c r="R789" t="s">
        <v>183</v>
      </c>
      <c r="S789" t="s">
        <v>613</v>
      </c>
      <c r="T789" s="11">
        <v>4</v>
      </c>
      <c r="U789">
        <v>2.9</v>
      </c>
      <c r="V789">
        <v>2.2999999999999998</v>
      </c>
      <c r="W789" t="s">
        <v>33</v>
      </c>
      <c r="X789" s="8">
        <f>IFERROR(((PI())*(((V789*10^-1)/2)^2)*(U789*10^-1)), "NA")</f>
        <v>1.204879322468025E-2</v>
      </c>
      <c r="Y789">
        <v>1</v>
      </c>
      <c r="Z789" s="3">
        <f t="shared" si="391"/>
        <v>1.0040661020566874</v>
      </c>
      <c r="AA789" t="s">
        <v>33</v>
      </c>
      <c r="AB789" s="6">
        <f t="shared" si="395"/>
        <v>12.000000000000002</v>
      </c>
      <c r="AC789" t="str">
        <f t="shared" si="393"/>
        <v>NA</v>
      </c>
      <c r="AD789" s="4">
        <f>IFERROR(AB789*T789*AI789, "NA")</f>
        <v>48.000000000000007</v>
      </c>
      <c r="AE789" s="3">
        <f t="shared" si="394"/>
        <v>189</v>
      </c>
      <c r="AF789">
        <v>144</v>
      </c>
      <c r="AG789" t="str">
        <f>IFERROR((M789*O789*P789), "NA")</f>
        <v>NA</v>
      </c>
      <c r="AH789" t="str">
        <f>IFERROR((AG789*T789*AI789), "NA")</f>
        <v>NA</v>
      </c>
      <c r="AI789" s="11">
        <v>1</v>
      </c>
      <c r="AJ789" t="s">
        <v>31</v>
      </c>
      <c r="AK789">
        <v>2100</v>
      </c>
      <c r="AL789" t="s">
        <v>114</v>
      </c>
      <c r="AM789" t="s">
        <v>103</v>
      </c>
      <c r="AN789" t="s">
        <v>130</v>
      </c>
      <c r="AO789" t="s">
        <v>795</v>
      </c>
      <c r="AP789">
        <v>7</v>
      </c>
      <c r="AQ789" t="s">
        <v>33</v>
      </c>
      <c r="AR789" t="s">
        <v>33</v>
      </c>
      <c r="AS789">
        <f>LOG(10^8)</f>
        <v>8</v>
      </c>
      <c r="AT789" s="3">
        <f>IFERROR(AS789-AU789,"NA")</f>
        <v>4.8499999999999996</v>
      </c>
      <c r="AU789" s="6">
        <v>3.15</v>
      </c>
      <c r="AV789" t="b">
        <v>1</v>
      </c>
      <c r="AW789" t="s">
        <v>92</v>
      </c>
      <c r="AX789" t="s">
        <v>93</v>
      </c>
      <c r="AY789" t="s">
        <v>101</v>
      </c>
      <c r="AZ789" t="s">
        <v>33</v>
      </c>
      <c r="BA789" s="18" t="s">
        <v>801</v>
      </c>
      <c r="BB789" t="b">
        <v>0</v>
      </c>
      <c r="BC789" t="s">
        <v>81</v>
      </c>
      <c r="BD789">
        <v>18</v>
      </c>
      <c r="BE789" t="s">
        <v>80</v>
      </c>
      <c r="BF789" t="s">
        <v>33</v>
      </c>
      <c r="BG789" t="s">
        <v>568</v>
      </c>
      <c r="BH789" t="s">
        <v>31</v>
      </c>
      <c r="BI789" t="s">
        <v>31</v>
      </c>
      <c r="BJ789" s="3">
        <f t="shared" si="388"/>
        <v>3.15</v>
      </c>
      <c r="BK789" s="3">
        <f t="shared" si="382"/>
        <v>0.49831055378960049</v>
      </c>
      <c r="BL789">
        <v>2</v>
      </c>
      <c r="BM789" s="3">
        <f t="shared" si="386"/>
        <v>1.7781512503836436</v>
      </c>
      <c r="BN789" t="s">
        <v>33</v>
      </c>
      <c r="BO789" s="3">
        <f t="shared" si="387"/>
        <v>60</v>
      </c>
      <c r="BP789" t="s">
        <v>33</v>
      </c>
      <c r="BQ789" t="s">
        <v>33</v>
      </c>
      <c r="BR789" t="s">
        <v>33</v>
      </c>
      <c r="BS789" t="s">
        <v>33</v>
      </c>
      <c r="BT789" t="s">
        <v>31</v>
      </c>
      <c r="BU789" t="s">
        <v>187</v>
      </c>
      <c r="BV789">
        <v>2003</v>
      </c>
      <c r="BW789" t="s">
        <v>192</v>
      </c>
      <c r="BX789" t="s">
        <v>78</v>
      </c>
      <c r="BY789" t="s">
        <v>33</v>
      </c>
      <c r="BZ789" t="s">
        <v>33</v>
      </c>
      <c r="CA789" t="str">
        <f t="shared" si="389"/>
        <v>low acid</v>
      </c>
    </row>
    <row r="790" spans="1:79">
      <c r="A790" t="s">
        <v>597</v>
      </c>
      <c r="B790" t="s">
        <v>565</v>
      </c>
      <c r="C790" t="s">
        <v>563</v>
      </c>
      <c r="D790" t="s">
        <v>33</v>
      </c>
      <c r="E790" t="s">
        <v>77</v>
      </c>
      <c r="F790" t="s">
        <v>33</v>
      </c>
      <c r="G790">
        <v>20</v>
      </c>
      <c r="H790">
        <v>35</v>
      </c>
      <c r="I790" t="b">
        <v>0</v>
      </c>
      <c r="J790" t="s">
        <v>33</v>
      </c>
      <c r="K790" t="s">
        <v>33</v>
      </c>
      <c r="L790">
        <v>19</v>
      </c>
      <c r="M790" s="4">
        <v>1</v>
      </c>
      <c r="N790" t="e">
        <f>(#REF!*Y790)/(T790*X790*O790)</f>
        <v>#REF!</v>
      </c>
      <c r="O790">
        <v>2</v>
      </c>
      <c r="P790" t="s">
        <v>33</v>
      </c>
      <c r="Q790" s="1">
        <f t="shared" si="390"/>
        <v>799.2</v>
      </c>
      <c r="R790" t="s">
        <v>183</v>
      </c>
      <c r="S790" t="s">
        <v>33</v>
      </c>
      <c r="T790">
        <v>1</v>
      </c>
      <c r="U790">
        <v>2.5</v>
      </c>
      <c r="V790" t="s">
        <v>33</v>
      </c>
      <c r="W790">
        <v>0.50249999999999995</v>
      </c>
      <c r="X790">
        <f>W790</f>
        <v>0.50249999999999995</v>
      </c>
      <c r="Y790" t="s">
        <v>33</v>
      </c>
      <c r="Z790" s="3">
        <f t="shared" si="391"/>
        <v>6.2875375375375366E-4</v>
      </c>
      <c r="AA790" t="s">
        <v>33</v>
      </c>
      <c r="AB790">
        <f t="shared" si="395"/>
        <v>799.2</v>
      </c>
      <c r="AC790" s="1" t="str">
        <f t="shared" si="393"/>
        <v>NA</v>
      </c>
      <c r="AE790" s="3">
        <f t="shared" si="394"/>
        <v>1154.0448000000001</v>
      </c>
      <c r="AF790">
        <v>1598.4</v>
      </c>
      <c r="AG790" s="1" t="str">
        <f>IFERROR((N790*P790*Q790), "NA")</f>
        <v>NA</v>
      </c>
      <c r="AH790" s="1" t="str">
        <f>IFERROR((AG790*U790*AI790), "NA")</f>
        <v>NA</v>
      </c>
      <c r="AI790" s="1">
        <v>1</v>
      </c>
      <c r="AJ790" s="11" t="s">
        <v>31</v>
      </c>
      <c r="AK790">
        <v>2000</v>
      </c>
      <c r="AL790" t="s">
        <v>784</v>
      </c>
      <c r="AM790" s="3" t="s">
        <v>103</v>
      </c>
      <c r="AN790" t="s">
        <v>130</v>
      </c>
      <c r="AO790" t="s">
        <v>795</v>
      </c>
      <c r="AP790">
        <v>7</v>
      </c>
      <c r="AQ790" t="s">
        <v>33</v>
      </c>
      <c r="AR790" t="s">
        <v>33</v>
      </c>
      <c r="AS790">
        <v>9</v>
      </c>
      <c r="AT790">
        <f>AS790-AU790</f>
        <v>4.8499999999999996</v>
      </c>
      <c r="AU790" s="6">
        <v>4.1500000000000004</v>
      </c>
      <c r="AV790" t="b">
        <v>1</v>
      </c>
      <c r="AW790" t="s">
        <v>617</v>
      </c>
      <c r="AX790" t="s">
        <v>635</v>
      </c>
      <c r="AY790" t="s">
        <v>636</v>
      </c>
      <c r="AZ790" t="s">
        <v>33</v>
      </c>
      <c r="BA790" s="18" t="s">
        <v>802</v>
      </c>
      <c r="BB790" s="3" t="b">
        <v>0</v>
      </c>
      <c r="BC790" t="s">
        <v>81</v>
      </c>
      <c r="BD790">
        <v>24</v>
      </c>
      <c r="BE790" t="s">
        <v>80</v>
      </c>
      <c r="BF790">
        <v>24</v>
      </c>
      <c r="BG790" t="s">
        <v>644</v>
      </c>
      <c r="BH790" t="s">
        <v>31</v>
      </c>
      <c r="BI790" t="s">
        <v>31</v>
      </c>
      <c r="BJ790">
        <f t="shared" si="388"/>
        <v>4.1500000000000004</v>
      </c>
      <c r="BK790" s="3">
        <f t="shared" si="382"/>
        <v>0.61804809671209271</v>
      </c>
      <c r="BL790">
        <v>2</v>
      </c>
      <c r="BM790" s="3">
        <f t="shared" si="386"/>
        <v>2.4441745717394534</v>
      </c>
      <c r="BN790" t="s">
        <v>33</v>
      </c>
      <c r="BO790" s="3">
        <f t="shared" si="387"/>
        <v>278.08308433734942</v>
      </c>
      <c r="BP790" t="s">
        <v>33</v>
      </c>
      <c r="BQ790" t="s">
        <v>33</v>
      </c>
      <c r="BR790" t="s">
        <v>33</v>
      </c>
      <c r="BS790" t="s">
        <v>33</v>
      </c>
      <c r="BT790" t="s">
        <v>31</v>
      </c>
      <c r="BU790" t="s">
        <v>664</v>
      </c>
      <c r="BV790">
        <v>2000</v>
      </c>
      <c r="BW790" t="s">
        <v>665</v>
      </c>
      <c r="BX790" t="s">
        <v>78</v>
      </c>
      <c r="BY790" s="13" t="s">
        <v>685</v>
      </c>
      <c r="CA790" t="str">
        <f t="shared" si="389"/>
        <v>low acid</v>
      </c>
    </row>
    <row r="791" spans="1:79">
      <c r="A791" t="s">
        <v>391</v>
      </c>
      <c r="B791" t="s">
        <v>565</v>
      </c>
      <c r="C791" t="s">
        <v>563</v>
      </c>
      <c r="D791" t="s">
        <v>118</v>
      </c>
      <c r="E791" t="s">
        <v>77</v>
      </c>
      <c r="F791" t="s">
        <v>32</v>
      </c>
      <c r="G791">
        <v>25</v>
      </c>
      <c r="H791">
        <v>36</v>
      </c>
      <c r="I791" t="b">
        <v>0</v>
      </c>
      <c r="J791" t="s">
        <v>33</v>
      </c>
      <c r="K791" t="s">
        <v>33</v>
      </c>
      <c r="L791">
        <v>35</v>
      </c>
      <c r="M791" s="4">
        <v>200</v>
      </c>
      <c r="N791" s="3" t="str">
        <f>IFERROR(AF791/((T791*X791/Y791)*O791*AI791),"NA")</f>
        <v>NA</v>
      </c>
      <c r="O791">
        <v>4</v>
      </c>
      <c r="P791" t="s">
        <v>33</v>
      </c>
      <c r="Q791" s="8">
        <f t="shared" si="390"/>
        <v>4.6875000000000007E-2</v>
      </c>
      <c r="R791" t="s">
        <v>183</v>
      </c>
      <c r="S791" t="s">
        <v>612</v>
      </c>
      <c r="T791" s="11">
        <v>8</v>
      </c>
      <c r="U791">
        <v>2.9</v>
      </c>
      <c r="V791">
        <v>2.2999999999999998</v>
      </c>
      <c r="W791">
        <v>1.2E-2</v>
      </c>
      <c r="X791" s="8">
        <f>IFERROR(((PI())*(((V791*10^-1)/2)^2)*(U791*10^-1)), "NA")</f>
        <v>1.204879322468025E-2</v>
      </c>
      <c r="Y791" t="s">
        <v>33</v>
      </c>
      <c r="Z791" s="3">
        <f t="shared" si="391"/>
        <v>0.25704092212651197</v>
      </c>
      <c r="AA791" t="s">
        <v>33</v>
      </c>
      <c r="AB791" s="6">
        <f t="shared" si="395"/>
        <v>9.375</v>
      </c>
      <c r="AC791" t="str">
        <f t="shared" si="393"/>
        <v>NA</v>
      </c>
      <c r="AD791" s="4">
        <f>AB791*T791*AI791</f>
        <v>75</v>
      </c>
      <c r="AE791" s="3">
        <f t="shared" si="394"/>
        <v>1558.2000000000003</v>
      </c>
      <c r="AF791">
        <v>300</v>
      </c>
      <c r="AG791" t="str">
        <f>IFERROR((M791*O791*P791), "NA")</f>
        <v>NA</v>
      </c>
      <c r="AH791" t="str">
        <f>IFERROR((AG791*T791*AI791), "NA")</f>
        <v>NA</v>
      </c>
      <c r="AI791">
        <v>1</v>
      </c>
      <c r="AJ791" t="s">
        <v>31</v>
      </c>
      <c r="AK791">
        <v>4240</v>
      </c>
      <c r="AL791" t="s">
        <v>238</v>
      </c>
      <c r="AM791" t="s">
        <v>86</v>
      </c>
      <c r="AN791" t="s">
        <v>205</v>
      </c>
      <c r="AO791" t="s">
        <v>789</v>
      </c>
      <c r="AP791">
        <v>3.56</v>
      </c>
      <c r="AQ791" t="s">
        <v>33</v>
      </c>
      <c r="AR791" t="s">
        <v>33</v>
      </c>
      <c r="AS791" s="6">
        <f>LOG(10^8)</f>
        <v>8</v>
      </c>
      <c r="AT791" s="3">
        <f>IFERROR(AS791-AU791,"NA")</f>
        <v>4.8520000000000003</v>
      </c>
      <c r="AU791" s="6">
        <v>3.1480000000000001</v>
      </c>
      <c r="AV791" t="b">
        <v>1</v>
      </c>
      <c r="AW791" t="s">
        <v>123</v>
      </c>
      <c r="AX791" t="s">
        <v>393</v>
      </c>
      <c r="AY791" t="s">
        <v>394</v>
      </c>
      <c r="AZ791" t="s">
        <v>33</v>
      </c>
      <c r="BA791" s="18" t="s">
        <v>579</v>
      </c>
      <c r="BB791" t="b">
        <v>1</v>
      </c>
      <c r="BC791" t="s">
        <v>81</v>
      </c>
      <c r="BD791">
        <v>72</v>
      </c>
      <c r="BE791" t="s">
        <v>80</v>
      </c>
      <c r="BF791" s="11">
        <v>72</v>
      </c>
      <c r="BG791" t="s">
        <v>395</v>
      </c>
      <c r="BH791" t="s">
        <v>31</v>
      </c>
      <c r="BI791" t="s">
        <v>31</v>
      </c>
      <c r="BJ791" s="3">
        <f t="shared" si="388"/>
        <v>3.1480000000000001</v>
      </c>
      <c r="BK791" s="3">
        <f t="shared" si="382"/>
        <v>0.49803472368702695</v>
      </c>
      <c r="BL791">
        <v>2</v>
      </c>
      <c r="BM791" s="3">
        <f t="shared" si="386"/>
        <v>2.6945884763259196</v>
      </c>
      <c r="BN791" t="s">
        <v>33</v>
      </c>
      <c r="BO791" s="3">
        <f t="shared" si="387"/>
        <v>494.98094027954261</v>
      </c>
      <c r="BP791" t="s">
        <v>33</v>
      </c>
      <c r="BQ791" t="s">
        <v>33</v>
      </c>
      <c r="BR791" t="s">
        <v>33</v>
      </c>
      <c r="BS791" t="s">
        <v>33</v>
      </c>
      <c r="BT791" t="s">
        <v>31</v>
      </c>
      <c r="BU791" t="s">
        <v>240</v>
      </c>
      <c r="BV791">
        <v>2005</v>
      </c>
      <c r="BW791" t="s">
        <v>396</v>
      </c>
      <c r="BX791" t="s">
        <v>78</v>
      </c>
      <c r="BY791" t="s">
        <v>33</v>
      </c>
      <c r="BZ791" t="s">
        <v>33</v>
      </c>
      <c r="CA791" t="str">
        <f t="shared" si="389"/>
        <v>high acid</v>
      </c>
    </row>
    <row r="792" spans="1:79">
      <c r="A792" t="s">
        <v>532</v>
      </c>
      <c r="B792" t="s">
        <v>565</v>
      </c>
      <c r="C792" t="s">
        <v>564</v>
      </c>
      <c r="D792" t="s">
        <v>209</v>
      </c>
      <c r="E792" t="s">
        <v>77</v>
      </c>
      <c r="F792" t="s">
        <v>32</v>
      </c>
      <c r="G792">
        <v>30</v>
      </c>
      <c r="H792">
        <v>38.200000000000003</v>
      </c>
      <c r="I792" t="b">
        <v>0</v>
      </c>
      <c r="J792" t="s">
        <v>33</v>
      </c>
      <c r="K792" t="s">
        <v>33</v>
      </c>
      <c r="L792">
        <v>12</v>
      </c>
      <c r="M792" s="4">
        <v>120</v>
      </c>
      <c r="N792" s="3">
        <f>IFERROR(AF792/((T792*X792/Y792)*O792*AI792),"NA")</f>
        <v>59.643864275069241</v>
      </c>
      <c r="O792">
        <v>3</v>
      </c>
      <c r="P792" t="s">
        <v>33</v>
      </c>
      <c r="Q792" s="9">
        <f t="shared" si="390"/>
        <v>6.25E-2</v>
      </c>
      <c r="R792" t="s">
        <v>183</v>
      </c>
      <c r="S792" t="s">
        <v>612</v>
      </c>
      <c r="T792" s="11">
        <v>4</v>
      </c>
      <c r="U792">
        <v>3</v>
      </c>
      <c r="V792">
        <v>2.6</v>
      </c>
      <c r="W792" t="s">
        <v>33</v>
      </c>
      <c r="X792" s="8">
        <f>IFERROR(((PI())*(((V792*10^-1)/2)^2)*(U792*10^-1)), "NA")</f>
        <v>1.5927874753700257E-2</v>
      </c>
      <c r="Y792" s="6">
        <f>7.6/60</f>
        <v>0.12666666666666665</v>
      </c>
      <c r="Z792" s="3">
        <f t="shared" si="391"/>
        <v>0.25484599605920411</v>
      </c>
      <c r="AA792" t="s">
        <v>33</v>
      </c>
      <c r="AB792" s="6">
        <f t="shared" si="395"/>
        <v>7.5</v>
      </c>
      <c r="AC792" t="str">
        <f t="shared" si="393"/>
        <v>NA</v>
      </c>
      <c r="AD792" s="4">
        <f>IFERROR(AB792*T792*AI792, "NA")</f>
        <v>30</v>
      </c>
      <c r="AE792" s="3">
        <f t="shared" si="394"/>
        <v>12.700799999999999</v>
      </c>
      <c r="AF792">
        <v>90</v>
      </c>
      <c r="AG792" t="str">
        <f>IFERROR((M792*O792*P792), "NA")</f>
        <v>NA</v>
      </c>
      <c r="AH792" t="str">
        <f>IFERROR((AG792*T792*AI792), "NA")</f>
        <v>NA</v>
      </c>
      <c r="AI792" s="11">
        <v>1</v>
      </c>
      <c r="AJ792" t="s">
        <v>31</v>
      </c>
      <c r="AK792">
        <v>980</v>
      </c>
      <c r="AL792" t="s">
        <v>551</v>
      </c>
      <c r="AM792" t="s">
        <v>86</v>
      </c>
      <c r="AN792" t="s">
        <v>186</v>
      </c>
      <c r="AO792" t="s">
        <v>794</v>
      </c>
      <c r="AP792">
        <v>5.98</v>
      </c>
      <c r="AQ792" t="s">
        <v>33</v>
      </c>
      <c r="AR792" t="s">
        <v>33</v>
      </c>
      <c r="AS792" s="6">
        <v>6.5</v>
      </c>
      <c r="AT792" s="3">
        <f>IFERROR(AS792-AU792,"NA")</f>
        <v>4.8540000000000001</v>
      </c>
      <c r="AU792" s="6">
        <v>1.6459999999999999</v>
      </c>
      <c r="AV792" t="b">
        <v>1</v>
      </c>
      <c r="AW792" t="s">
        <v>172</v>
      </c>
      <c r="AX792" t="s">
        <v>173</v>
      </c>
      <c r="AY792" t="s">
        <v>246</v>
      </c>
      <c r="AZ792" t="s">
        <v>33</v>
      </c>
      <c r="BA792" s="18" t="s">
        <v>799</v>
      </c>
      <c r="BB792" t="b">
        <v>0</v>
      </c>
      <c r="BC792" t="s">
        <v>81</v>
      </c>
      <c r="BD792">
        <v>72</v>
      </c>
      <c r="BE792" t="s">
        <v>80</v>
      </c>
      <c r="BF792" s="11">
        <v>72</v>
      </c>
      <c r="BG792" t="s">
        <v>522</v>
      </c>
      <c r="BH792" t="s">
        <v>31</v>
      </c>
      <c r="BI792" t="s">
        <v>31</v>
      </c>
      <c r="BJ792" s="3">
        <f t="shared" si="388"/>
        <v>1.6459999999999999</v>
      </c>
      <c r="BK792" s="3">
        <f t="shared" si="382"/>
        <v>0.21642983087625101</v>
      </c>
      <c r="BL792">
        <v>2</v>
      </c>
      <c r="BM792" s="3">
        <f t="shared" si="386"/>
        <v>0.88740124635081841</v>
      </c>
      <c r="BN792" t="s">
        <v>33</v>
      </c>
      <c r="BO792" s="3">
        <f t="shared" si="387"/>
        <v>7.7161603888213852</v>
      </c>
      <c r="BP792" t="s">
        <v>33</v>
      </c>
      <c r="BQ792" t="s">
        <v>33</v>
      </c>
      <c r="BR792" t="s">
        <v>33</v>
      </c>
      <c r="BS792" t="s">
        <v>33</v>
      </c>
      <c r="BT792" t="s">
        <v>32</v>
      </c>
      <c r="BU792" t="s">
        <v>207</v>
      </c>
      <c r="BV792">
        <v>2014</v>
      </c>
      <c r="BW792" t="s">
        <v>208</v>
      </c>
      <c r="BX792" t="s">
        <v>78</v>
      </c>
      <c r="BY792" t="s">
        <v>33</v>
      </c>
      <c r="BZ792" t="s">
        <v>33</v>
      </c>
      <c r="CA792" t="str">
        <f t="shared" si="389"/>
        <v>low acid</v>
      </c>
    </row>
    <row r="793" spans="1:79">
      <c r="A793" t="s">
        <v>590</v>
      </c>
      <c r="B793" t="s">
        <v>565</v>
      </c>
      <c r="C793" t="s">
        <v>564</v>
      </c>
      <c r="D793" t="s">
        <v>609</v>
      </c>
      <c r="E793" t="s">
        <v>77</v>
      </c>
      <c r="F793" t="s">
        <v>32</v>
      </c>
      <c r="G793">
        <v>40</v>
      </c>
      <c r="H793">
        <v>49</v>
      </c>
      <c r="I793" t="b">
        <v>0</v>
      </c>
      <c r="J793" t="s">
        <v>33</v>
      </c>
      <c r="K793" t="s">
        <v>33</v>
      </c>
      <c r="L793">
        <v>12</v>
      </c>
      <c r="M793" s="4">
        <v>120</v>
      </c>
      <c r="N793" t="e">
        <f>(#REF!*Y793)/(T793*X793*O793)</f>
        <v>#REF!</v>
      </c>
      <c r="O793">
        <v>3</v>
      </c>
      <c r="P793" t="s">
        <v>33</v>
      </c>
      <c r="Q793" s="1">
        <f t="shared" si="390"/>
        <v>0.19076388888888887</v>
      </c>
      <c r="R793" t="s">
        <v>183</v>
      </c>
      <c r="S793" t="s">
        <v>612</v>
      </c>
      <c r="T793">
        <v>4</v>
      </c>
      <c r="U793">
        <v>3</v>
      </c>
      <c r="V793">
        <v>2.6</v>
      </c>
      <c r="W793">
        <v>1.5900000000000001E-2</v>
      </c>
      <c r="X793">
        <f>IFERROR(((PI())*(((V793*10^-1)/2)^2)*(U793*10^-1)), "NA")</f>
        <v>1.5927874753700257E-2</v>
      </c>
      <c r="Y793">
        <v>8.3333299999999999E-2</v>
      </c>
      <c r="Z793" s="3">
        <f t="shared" si="391"/>
        <v>8.3495229870143323E-2</v>
      </c>
      <c r="AA793" t="s">
        <v>33</v>
      </c>
      <c r="AB793">
        <f t="shared" si="395"/>
        <v>22.891666666666666</v>
      </c>
      <c r="AC793" s="1" t="str">
        <f t="shared" si="393"/>
        <v>NA</v>
      </c>
      <c r="AE793" s="3">
        <f t="shared" si="394"/>
        <v>45.490319999999997</v>
      </c>
      <c r="AF793">
        <v>274.7</v>
      </c>
      <c r="AG793" s="1" t="str">
        <f>IFERROR((N793*P793*Q793), "NA")</f>
        <v>NA</v>
      </c>
      <c r="AH793" s="1" t="str">
        <f>IFERROR((AG793*U793*AI793), "NA")</f>
        <v>NA</v>
      </c>
      <c r="AI793" s="1">
        <v>1</v>
      </c>
      <c r="AJ793" s="11" t="s">
        <v>31</v>
      </c>
      <c r="AK793">
        <v>1150</v>
      </c>
      <c r="AL793" t="s">
        <v>551</v>
      </c>
      <c r="AM793" t="s">
        <v>86</v>
      </c>
      <c r="AN793" t="s">
        <v>186</v>
      </c>
      <c r="AO793" t="s">
        <v>794</v>
      </c>
      <c r="AP793">
        <v>5.92</v>
      </c>
      <c r="AQ793" t="s">
        <v>33</v>
      </c>
      <c r="AR793" t="s">
        <v>33</v>
      </c>
      <c r="AS793">
        <v>6</v>
      </c>
      <c r="AT793">
        <f>AS793-AU793</f>
        <v>4.8600000000000003</v>
      </c>
      <c r="AU793" s="6">
        <v>1.1399999999999999</v>
      </c>
      <c r="AV793" t="b">
        <v>1</v>
      </c>
      <c r="AW793" t="s">
        <v>626</v>
      </c>
      <c r="AX793" t="s">
        <v>627</v>
      </c>
      <c r="AY793" t="s">
        <v>631</v>
      </c>
      <c r="AZ793" t="s">
        <v>33</v>
      </c>
      <c r="BA793" s="18" t="s">
        <v>800</v>
      </c>
      <c r="BB793" s="3" t="b">
        <v>0</v>
      </c>
      <c r="BC793" t="s">
        <v>81</v>
      </c>
      <c r="BD793">
        <v>20</v>
      </c>
      <c r="BE793" t="s">
        <v>80</v>
      </c>
      <c r="BF793">
        <v>20</v>
      </c>
      <c r="BG793" t="s">
        <v>695</v>
      </c>
      <c r="BH793" t="s">
        <v>32</v>
      </c>
      <c r="BI793" t="s">
        <v>31</v>
      </c>
      <c r="BJ793">
        <f t="shared" si="388"/>
        <v>1.1399999999999999</v>
      </c>
      <c r="BK793" s="3">
        <f t="shared" si="382"/>
        <v>5.6904851336472557E-2</v>
      </c>
      <c r="BL793">
        <v>2</v>
      </c>
      <c r="BM793" s="3">
        <f t="shared" si="386"/>
        <v>1.6010141405329508</v>
      </c>
      <c r="BN793" t="s">
        <v>33</v>
      </c>
      <c r="BO793" s="3">
        <f t="shared" si="387"/>
        <v>39.903789473684213</v>
      </c>
      <c r="BP793" t="s">
        <v>33</v>
      </c>
      <c r="BQ793" t="s">
        <v>33</v>
      </c>
      <c r="BR793" t="s">
        <v>33</v>
      </c>
      <c r="BS793" t="s">
        <v>33</v>
      </c>
      <c r="BT793" t="s">
        <v>32</v>
      </c>
      <c r="BU793" s="15" t="s">
        <v>207</v>
      </c>
      <c r="BV793">
        <v>2014</v>
      </c>
      <c r="BW793" t="s">
        <v>242</v>
      </c>
      <c r="BX793" t="s">
        <v>78</v>
      </c>
      <c r="BY793" s="13" t="s">
        <v>678</v>
      </c>
      <c r="CA793" t="str">
        <f t="shared" si="389"/>
        <v>low acid</v>
      </c>
    </row>
    <row r="794" spans="1:79">
      <c r="A794" t="s">
        <v>261</v>
      </c>
      <c r="B794" t="s">
        <v>565</v>
      </c>
      <c r="C794" t="s">
        <v>563</v>
      </c>
      <c r="D794" t="s">
        <v>118</v>
      </c>
      <c r="E794" t="s">
        <v>77</v>
      </c>
      <c r="F794" t="s">
        <v>32</v>
      </c>
      <c r="G794">
        <v>5</v>
      </c>
      <c r="H794">
        <v>40</v>
      </c>
      <c r="I794" t="b">
        <v>0</v>
      </c>
      <c r="J794" t="s">
        <v>33</v>
      </c>
      <c r="K794" t="s">
        <v>33</v>
      </c>
      <c r="L794">
        <v>35</v>
      </c>
      <c r="M794" s="4">
        <v>100</v>
      </c>
      <c r="N794" s="3">
        <f t="shared" ref="N794:N800" si="396">IFERROR(AF794/((T794*X794/Y794)*O794*AI794),"NA")</f>
        <v>2361.2015298892129</v>
      </c>
      <c r="O794">
        <v>4</v>
      </c>
      <c r="P794" t="s">
        <v>33</v>
      </c>
      <c r="Q794">
        <f t="shared" si="390"/>
        <v>0.15625</v>
      </c>
      <c r="R794" t="s">
        <v>183</v>
      </c>
      <c r="S794" t="s">
        <v>613</v>
      </c>
      <c r="T794" s="11">
        <v>8</v>
      </c>
      <c r="U794">
        <v>2.92</v>
      </c>
      <c r="V794">
        <v>2.2999999999999998</v>
      </c>
      <c r="W794">
        <v>1.21E-2</v>
      </c>
      <c r="X794" s="8">
        <f>IFERROR(((PI())*(((V794*10^-1)/2)^2)*(U794*10^-1)), "NA")</f>
        <v>1.2131888350367701E-2</v>
      </c>
      <c r="Y794" s="6">
        <f>110/60</f>
        <v>1.8333333333333333</v>
      </c>
      <c r="Z794" s="3">
        <f t="shared" si="391"/>
        <v>7.7644085442353281E-2</v>
      </c>
      <c r="AA794" t="s">
        <v>33</v>
      </c>
      <c r="AB794" s="6">
        <f t="shared" si="395"/>
        <v>15.625000000000002</v>
      </c>
      <c r="AC794" t="str">
        <f t="shared" si="393"/>
        <v>NA</v>
      </c>
      <c r="AD794" s="4">
        <f>AB794*T794*AI794</f>
        <v>125.00000000000001</v>
      </c>
      <c r="AE794" s="3">
        <f t="shared" si="394"/>
        <v>3142.125</v>
      </c>
      <c r="AF794">
        <v>500</v>
      </c>
      <c r="AG794" t="str">
        <f t="shared" ref="AG794:AG800" si="397">IFERROR((M794*O794*P794), "NA")</f>
        <v>NA</v>
      </c>
      <c r="AH794" t="str">
        <f t="shared" ref="AH794:AH800" si="398">IFERROR((AG794*T794*AI794), "NA")</f>
        <v>NA</v>
      </c>
      <c r="AI794">
        <v>1</v>
      </c>
      <c r="AJ794" t="s">
        <v>31</v>
      </c>
      <c r="AK794">
        <v>5130</v>
      </c>
      <c r="AL794" t="s">
        <v>547</v>
      </c>
      <c r="AM794" t="s">
        <v>86</v>
      </c>
      <c r="AN794" t="s">
        <v>205</v>
      </c>
      <c r="AO794" t="s">
        <v>789</v>
      </c>
      <c r="AP794">
        <v>3.16</v>
      </c>
      <c r="AQ794" t="s">
        <v>33</v>
      </c>
      <c r="AR794" t="s">
        <v>33</v>
      </c>
      <c r="AS794" s="6">
        <f>LOG((10^7+10^8)/2)</f>
        <v>7.7403626894942441</v>
      </c>
      <c r="AT794" s="3">
        <f t="shared" ref="AT794:AT800" si="399">IFERROR(AS794-AU794,"NA")</f>
        <v>4.862362689494244</v>
      </c>
      <c r="AU794" s="6">
        <v>2.8780000000000001</v>
      </c>
      <c r="AV794" t="b">
        <v>1</v>
      </c>
      <c r="AW794" t="s">
        <v>29</v>
      </c>
      <c r="AX794" t="s">
        <v>30</v>
      </c>
      <c r="AY794" t="s">
        <v>33</v>
      </c>
      <c r="AZ794" t="s">
        <v>134</v>
      </c>
      <c r="BA794" s="18" t="s">
        <v>798</v>
      </c>
      <c r="BB794" t="b">
        <v>0</v>
      </c>
      <c r="BC794" t="s">
        <v>81</v>
      </c>
      <c r="BD794">
        <v>15</v>
      </c>
      <c r="BE794" t="s">
        <v>80</v>
      </c>
      <c r="BF794" s="11">
        <v>24</v>
      </c>
      <c r="BG794" t="s">
        <v>262</v>
      </c>
      <c r="BH794" t="s">
        <v>31</v>
      </c>
      <c r="BI794" t="s">
        <v>31</v>
      </c>
      <c r="BJ794" s="3">
        <f t="shared" si="388"/>
        <v>2.8780000000000001</v>
      </c>
      <c r="BK794" s="3">
        <f t="shared" si="382"/>
        <v>0.45909078960058641</v>
      </c>
      <c r="BL794">
        <v>2</v>
      </c>
      <c r="BM794" s="3">
        <f t="shared" si="386"/>
        <v>3.0381326685477998</v>
      </c>
      <c r="BN794" t="s">
        <v>33</v>
      </c>
      <c r="BO794" s="3">
        <f t="shared" si="387"/>
        <v>1091.7738012508687</v>
      </c>
      <c r="BP794" t="s">
        <v>33</v>
      </c>
      <c r="BQ794" t="s">
        <v>33</v>
      </c>
      <c r="BR794" t="s">
        <v>33</v>
      </c>
      <c r="BS794" t="s">
        <v>33</v>
      </c>
      <c r="BT794" t="s">
        <v>31</v>
      </c>
      <c r="BU794" t="s">
        <v>219</v>
      </c>
      <c r="BV794">
        <v>2008</v>
      </c>
      <c r="BW794" s="2" t="s">
        <v>257</v>
      </c>
      <c r="BX794" t="s">
        <v>78</v>
      </c>
      <c r="BY794" t="s">
        <v>33</v>
      </c>
      <c r="BZ794" t="s">
        <v>33</v>
      </c>
      <c r="CA794" t="str">
        <f t="shared" si="389"/>
        <v>high acid</v>
      </c>
    </row>
    <row r="795" spans="1:79">
      <c r="A795" t="s">
        <v>698</v>
      </c>
      <c r="B795" t="s">
        <v>566</v>
      </c>
      <c r="C795" t="s">
        <v>563</v>
      </c>
      <c r="D795" t="s">
        <v>699</v>
      </c>
      <c r="E795" t="s">
        <v>77</v>
      </c>
      <c r="F795" t="s">
        <v>32</v>
      </c>
      <c r="G795">
        <v>20</v>
      </c>
      <c r="H795">
        <v>41</v>
      </c>
      <c r="I795" t="b">
        <v>1</v>
      </c>
      <c r="J795" t="s">
        <v>33</v>
      </c>
      <c r="K795" t="s">
        <v>33</v>
      </c>
      <c r="L795">
        <v>20</v>
      </c>
      <c r="M795" s="4">
        <v>30</v>
      </c>
      <c r="N795" s="3">
        <f t="shared" si="396"/>
        <v>29.861111111111104</v>
      </c>
      <c r="O795">
        <v>5</v>
      </c>
      <c r="P795">
        <v>0.43</v>
      </c>
      <c r="Q795" s="8">
        <f>IFERROR(X795/Y795, "NA")</f>
        <v>0.43200000000000011</v>
      </c>
      <c r="R795" t="s">
        <v>183</v>
      </c>
      <c r="S795" t="s">
        <v>612</v>
      </c>
      <c r="T795" s="11">
        <v>1</v>
      </c>
      <c r="U795">
        <v>4</v>
      </c>
      <c r="V795" t="s">
        <v>33</v>
      </c>
      <c r="W795">
        <f>0.4*3*0.5</f>
        <v>0.60000000000000009</v>
      </c>
      <c r="X795" s="9">
        <f>W795</f>
        <v>0.60000000000000009</v>
      </c>
      <c r="Y795" s="6">
        <f>5000/3600</f>
        <v>1.3888888888888888</v>
      </c>
      <c r="Z795" s="3">
        <f t="shared" si="391"/>
        <v>1.3953488372093026</v>
      </c>
      <c r="AA795" t="s">
        <v>33</v>
      </c>
      <c r="AB795" s="4">
        <f>IFERROR(((X795*M795)/Y795), "NA")</f>
        <v>12.960000000000003</v>
      </c>
      <c r="AC795" s="4">
        <f t="shared" si="393"/>
        <v>12.9</v>
      </c>
      <c r="AD795" s="4">
        <f>AB795*T795*AI795</f>
        <v>12.960000000000003</v>
      </c>
      <c r="AE795" s="3">
        <f t="shared" si="394"/>
        <v>51.840000000000011</v>
      </c>
      <c r="AF795">
        <v>64.5</v>
      </c>
      <c r="AG795" s="4">
        <f t="shared" si="397"/>
        <v>64.5</v>
      </c>
      <c r="AH795" s="4">
        <f t="shared" si="398"/>
        <v>64.5</v>
      </c>
      <c r="AI795">
        <v>1</v>
      </c>
      <c r="AJ795" s="11" t="s">
        <v>31</v>
      </c>
      <c r="AK795">
        <v>2000</v>
      </c>
      <c r="AL795" t="s">
        <v>784</v>
      </c>
      <c r="AM795" t="s">
        <v>103</v>
      </c>
      <c r="AN795" t="s">
        <v>130</v>
      </c>
      <c r="AO795" t="s">
        <v>795</v>
      </c>
      <c r="AP795">
        <v>7</v>
      </c>
      <c r="AQ795" t="s">
        <v>33</v>
      </c>
      <c r="AR795" t="s">
        <v>33</v>
      </c>
      <c r="AS795" s="6">
        <f>LOG(AVERAGE(10^8, 10^9))</f>
        <v>8.7403626894942441</v>
      </c>
      <c r="AT795" s="3">
        <f t="shared" si="399"/>
        <v>4.8643626894942447</v>
      </c>
      <c r="AU795" s="6">
        <v>3.8759999999999999</v>
      </c>
      <c r="AV795" t="b">
        <v>1</v>
      </c>
      <c r="AW795" t="s">
        <v>29</v>
      </c>
      <c r="AX795" t="s">
        <v>30</v>
      </c>
      <c r="AY795" t="s">
        <v>705</v>
      </c>
      <c r="AZ795" t="s">
        <v>33</v>
      </c>
      <c r="BA795" s="18" t="s">
        <v>798</v>
      </c>
      <c r="BB795" s="3" t="b">
        <v>0</v>
      </c>
      <c r="BC795" t="s">
        <v>81</v>
      </c>
      <c r="BD795">
        <v>24</v>
      </c>
      <c r="BE795" t="s">
        <v>80</v>
      </c>
      <c r="BF795">
        <v>24</v>
      </c>
      <c r="BG795" t="s">
        <v>568</v>
      </c>
      <c r="BH795" t="s">
        <v>31</v>
      </c>
      <c r="BI795" t="s">
        <v>31</v>
      </c>
      <c r="BJ795" s="3">
        <f t="shared" si="388"/>
        <v>3.8759999999999999</v>
      </c>
      <c r="BK795" s="3">
        <f t="shared" si="382"/>
        <v>0.58838376837872775</v>
      </c>
      <c r="BL795">
        <v>2</v>
      </c>
      <c r="BM795" s="3">
        <f t="shared" si="386"/>
        <v>1.1262812244838094</v>
      </c>
      <c r="BN795" t="s">
        <v>33</v>
      </c>
      <c r="BO795" s="3">
        <f t="shared" si="387"/>
        <v>13.374613003095979</v>
      </c>
      <c r="BP795" t="s">
        <v>33</v>
      </c>
      <c r="BQ795" t="s">
        <v>33</v>
      </c>
      <c r="BR795" t="s">
        <v>33</v>
      </c>
      <c r="BS795" t="s">
        <v>33</v>
      </c>
      <c r="BT795" t="s">
        <v>32</v>
      </c>
      <c r="BU795" t="s">
        <v>709</v>
      </c>
      <c r="BV795">
        <v>2024</v>
      </c>
      <c r="BW795" t="s">
        <v>710</v>
      </c>
      <c r="BX795" t="s">
        <v>78</v>
      </c>
      <c r="BY795" t="s">
        <v>711</v>
      </c>
      <c r="CA795" t="str">
        <f t="shared" si="389"/>
        <v>low acid</v>
      </c>
    </row>
    <row r="796" spans="1:79">
      <c r="A796" t="s">
        <v>343</v>
      </c>
      <c r="B796" t="s">
        <v>566</v>
      </c>
      <c r="C796" t="s">
        <v>563</v>
      </c>
      <c r="D796" t="s">
        <v>33</v>
      </c>
      <c r="E796" t="s">
        <v>77</v>
      </c>
      <c r="F796" t="s">
        <v>32</v>
      </c>
      <c r="G796">
        <v>30</v>
      </c>
      <c r="H796">
        <v>33</v>
      </c>
      <c r="I796" t="b">
        <v>0</v>
      </c>
      <c r="J796" t="s">
        <v>33</v>
      </c>
      <c r="K796" t="s">
        <v>33</v>
      </c>
      <c r="L796">
        <v>30</v>
      </c>
      <c r="M796" s="4">
        <v>2</v>
      </c>
      <c r="N796" s="3">
        <f t="shared" si="396"/>
        <v>2.1126760563380285</v>
      </c>
      <c r="O796">
        <v>2</v>
      </c>
      <c r="P796" t="s">
        <v>33</v>
      </c>
      <c r="Q796" s="8">
        <f t="shared" ref="Q796:Q806" si="400">IFERROR(X796/Z796, "NA")</f>
        <v>7.5</v>
      </c>
      <c r="R796" t="s">
        <v>183</v>
      </c>
      <c r="S796" t="s">
        <v>613</v>
      </c>
      <c r="T796" s="11">
        <v>1</v>
      </c>
      <c r="U796">
        <v>5</v>
      </c>
      <c r="V796" t="s">
        <v>33</v>
      </c>
      <c r="W796">
        <v>0.71</v>
      </c>
      <c r="X796" s="8">
        <f>W796</f>
        <v>0.71</v>
      </c>
      <c r="Y796">
        <f>6/60</f>
        <v>0.1</v>
      </c>
      <c r="Z796" s="3">
        <f t="shared" si="391"/>
        <v>9.4666666666666663E-2</v>
      </c>
      <c r="AA796">
        <v>15</v>
      </c>
      <c r="AB796" s="6">
        <f>IFERROR(((X796*M796)/Z796), "NA")</f>
        <v>15</v>
      </c>
      <c r="AC796" t="str">
        <f t="shared" si="393"/>
        <v>NA</v>
      </c>
      <c r="AD796" s="4">
        <f>AB796*T796*AI796</f>
        <v>90</v>
      </c>
      <c r="AE796" s="3">
        <f t="shared" si="394"/>
        <v>1134</v>
      </c>
      <c r="AF796">
        <v>180</v>
      </c>
      <c r="AG796" t="str">
        <f t="shared" si="397"/>
        <v>NA</v>
      </c>
      <c r="AH796" t="str">
        <f t="shared" si="398"/>
        <v>NA</v>
      </c>
      <c r="AI796">
        <v>6</v>
      </c>
      <c r="AJ796" s="11" t="s">
        <v>32</v>
      </c>
      <c r="AK796">
        <v>7000</v>
      </c>
      <c r="AL796" t="s">
        <v>562</v>
      </c>
      <c r="AM796" s="3" t="s">
        <v>786</v>
      </c>
      <c r="AN796" t="s">
        <v>186</v>
      </c>
      <c r="AO796" t="s">
        <v>793</v>
      </c>
      <c r="AP796" t="s">
        <v>33</v>
      </c>
      <c r="AQ796" t="s">
        <v>33</v>
      </c>
      <c r="AR796" t="s">
        <v>33</v>
      </c>
      <c r="AS796" s="6">
        <f>LOG(10^8)</f>
        <v>8</v>
      </c>
      <c r="AT796" s="3">
        <f t="shared" si="399"/>
        <v>4.867</v>
      </c>
      <c r="AU796" s="6">
        <v>3.133</v>
      </c>
      <c r="AV796" t="b">
        <v>1</v>
      </c>
      <c r="AW796" t="s">
        <v>29</v>
      </c>
      <c r="AX796" t="s">
        <v>30</v>
      </c>
      <c r="AY796" t="s">
        <v>33</v>
      </c>
      <c r="AZ796" t="s">
        <v>134</v>
      </c>
      <c r="BA796" s="18" t="s">
        <v>798</v>
      </c>
      <c r="BB796" t="b">
        <v>0</v>
      </c>
      <c r="BC796" t="s">
        <v>81</v>
      </c>
      <c r="BD796">
        <v>18</v>
      </c>
      <c r="BE796" t="s">
        <v>80</v>
      </c>
      <c r="BF796" s="11">
        <v>21</v>
      </c>
      <c r="BG796" t="s">
        <v>694</v>
      </c>
      <c r="BH796" t="s">
        <v>31</v>
      </c>
      <c r="BI796" t="s">
        <v>31</v>
      </c>
      <c r="BJ796" s="3">
        <f t="shared" si="388"/>
        <v>3.133</v>
      </c>
      <c r="BK796" s="3">
        <f t="shared" si="382"/>
        <v>0.49596039488170518</v>
      </c>
      <c r="BL796">
        <v>2</v>
      </c>
      <c r="BM796" s="3">
        <f t="shared" si="386"/>
        <v>2.5586526596751828</v>
      </c>
      <c r="BN796" t="s">
        <v>33</v>
      </c>
      <c r="BO796" s="3">
        <f t="shared" si="387"/>
        <v>361.95339929779766</v>
      </c>
      <c r="BP796" t="s">
        <v>33</v>
      </c>
      <c r="BQ796" t="s">
        <v>33</v>
      </c>
      <c r="BR796" t="s">
        <v>33</v>
      </c>
      <c r="BS796" t="s">
        <v>33</v>
      </c>
      <c r="BT796" t="s">
        <v>31</v>
      </c>
      <c r="BU796" t="s">
        <v>338</v>
      </c>
      <c r="BV796">
        <v>2005</v>
      </c>
      <c r="BW796" s="2" t="s">
        <v>342</v>
      </c>
      <c r="BX796" t="s">
        <v>78</v>
      </c>
      <c r="BY796" t="s">
        <v>340</v>
      </c>
      <c r="BZ796" t="s">
        <v>33</v>
      </c>
      <c r="CA796" t="str">
        <f t="shared" si="389"/>
        <v>low acid</v>
      </c>
    </row>
    <row r="797" spans="1:79">
      <c r="A797" t="s">
        <v>408</v>
      </c>
      <c r="B797" t="s">
        <v>565</v>
      </c>
      <c r="C797" t="s">
        <v>563</v>
      </c>
      <c r="D797" t="s">
        <v>118</v>
      </c>
      <c r="E797" t="s">
        <v>77</v>
      </c>
      <c r="F797" t="s">
        <v>32</v>
      </c>
      <c r="G797">
        <v>22</v>
      </c>
      <c r="H797">
        <v>35</v>
      </c>
      <c r="I797" t="b">
        <v>0</v>
      </c>
      <c r="J797" t="s">
        <v>33</v>
      </c>
      <c r="K797" t="s">
        <v>33</v>
      </c>
      <c r="L797">
        <v>20</v>
      </c>
      <c r="M797" s="4">
        <v>1000</v>
      </c>
      <c r="N797" s="3">
        <f t="shared" si="396"/>
        <v>1000.1191061872564</v>
      </c>
      <c r="O797">
        <v>3</v>
      </c>
      <c r="P797" t="s">
        <v>33</v>
      </c>
      <c r="Q797" s="8">
        <f t="shared" si="400"/>
        <v>1.2133333333333333E-2</v>
      </c>
      <c r="R797" t="s">
        <v>183</v>
      </c>
      <c r="S797" t="s">
        <v>613</v>
      </c>
      <c r="T797" s="11">
        <v>4</v>
      </c>
      <c r="U797">
        <v>2.92</v>
      </c>
      <c r="V797">
        <v>2.2999999999999998</v>
      </c>
      <c r="W797" t="s">
        <v>33</v>
      </c>
      <c r="X797" s="9">
        <f>IFERROR(((PI())*(((V797*10^-1)/2)^2)*(U797*10^-1)), "NA")</f>
        <v>1.2131888350367701E-2</v>
      </c>
      <c r="Y797" s="6">
        <f>1</f>
        <v>1</v>
      </c>
      <c r="Z797" s="3">
        <f t="shared" si="391"/>
        <v>0.99988090799733798</v>
      </c>
      <c r="AA797" t="s">
        <v>33</v>
      </c>
      <c r="AB797" s="6">
        <f>IFERROR(((X797*M797)/Y797), "NA")</f>
        <v>12.131888350367701</v>
      </c>
      <c r="AC797" t="str">
        <f t="shared" si="393"/>
        <v>NA</v>
      </c>
      <c r="AD797" s="4">
        <f>IFERROR(AB797*T797*AI797, "NA")</f>
        <v>48.527553401470804</v>
      </c>
      <c r="AE797" s="3">
        <f t="shared" si="394"/>
        <v>116.47999999999999</v>
      </c>
      <c r="AF797">
        <v>145.6</v>
      </c>
      <c r="AG797" t="str">
        <f t="shared" si="397"/>
        <v>NA</v>
      </c>
      <c r="AH797" t="str">
        <f t="shared" si="398"/>
        <v>NA</v>
      </c>
      <c r="AI797" s="11">
        <v>1</v>
      </c>
      <c r="AJ797" t="s">
        <v>31</v>
      </c>
      <c r="AK797">
        <v>2000</v>
      </c>
      <c r="AL797" t="s">
        <v>114</v>
      </c>
      <c r="AM797" t="s">
        <v>103</v>
      </c>
      <c r="AN797" t="s">
        <v>130</v>
      </c>
      <c r="AO797" t="s">
        <v>795</v>
      </c>
      <c r="AP797" t="s">
        <v>33</v>
      </c>
      <c r="AQ797" t="s">
        <v>33</v>
      </c>
      <c r="AR797" t="s">
        <v>33</v>
      </c>
      <c r="AS797" s="3">
        <f>LOG(10^7)</f>
        <v>7</v>
      </c>
      <c r="AT797" s="3">
        <f t="shared" si="399"/>
        <v>4.87</v>
      </c>
      <c r="AU797" s="6">
        <v>2.13</v>
      </c>
      <c r="AV797" t="b">
        <v>1</v>
      </c>
      <c r="AW797" t="s">
        <v>92</v>
      </c>
      <c r="AX797" t="s">
        <v>93</v>
      </c>
      <c r="AY797" t="s">
        <v>94</v>
      </c>
      <c r="AZ797" t="s">
        <v>33</v>
      </c>
      <c r="BA797" s="18" t="s">
        <v>801</v>
      </c>
      <c r="BB797" t="b">
        <v>0</v>
      </c>
      <c r="BC797" t="s">
        <v>81</v>
      </c>
      <c r="BD797">
        <v>12</v>
      </c>
      <c r="BE797" t="s">
        <v>80</v>
      </c>
      <c r="BF797" s="11">
        <v>24</v>
      </c>
      <c r="BG797" t="s">
        <v>569</v>
      </c>
      <c r="BH797" t="s">
        <v>31</v>
      </c>
      <c r="BI797" t="s">
        <v>31</v>
      </c>
      <c r="BJ797" s="3">
        <f t="shared" si="388"/>
        <v>2.13</v>
      </c>
      <c r="BK797" s="3">
        <f t="shared" si="382"/>
        <v>0.32837960343873768</v>
      </c>
      <c r="BL797">
        <v>2</v>
      </c>
      <c r="BM797" s="3">
        <f t="shared" si="386"/>
        <v>1.7378717585302244</v>
      </c>
      <c r="BN797" t="s">
        <v>33</v>
      </c>
      <c r="BO797" s="3">
        <f t="shared" si="387"/>
        <v>54.685446009389672</v>
      </c>
      <c r="BP797" t="s">
        <v>33</v>
      </c>
      <c r="BQ797" t="s">
        <v>33</v>
      </c>
      <c r="BR797" t="s">
        <v>33</v>
      </c>
      <c r="BS797" t="s">
        <v>33</v>
      </c>
      <c r="BT797" t="s">
        <v>32</v>
      </c>
      <c r="BU797" t="s">
        <v>412</v>
      </c>
      <c r="BV797">
        <v>2002</v>
      </c>
      <c r="BW797" t="s">
        <v>403</v>
      </c>
      <c r="BX797" t="s">
        <v>78</v>
      </c>
      <c r="BY797" t="s">
        <v>33</v>
      </c>
      <c r="BZ797" t="s">
        <v>33</v>
      </c>
      <c r="CA797" t="str">
        <f t="shared" si="389"/>
        <v>low acid</v>
      </c>
    </row>
    <row r="798" spans="1:79">
      <c r="A798" t="s">
        <v>777</v>
      </c>
      <c r="B798" t="s">
        <v>565</v>
      </c>
      <c r="C798" t="s">
        <v>563</v>
      </c>
      <c r="D798" t="s">
        <v>118</v>
      </c>
      <c r="E798" t="s">
        <v>77</v>
      </c>
      <c r="F798" t="s">
        <v>32</v>
      </c>
      <c r="G798">
        <v>22</v>
      </c>
      <c r="H798">
        <v>52</v>
      </c>
      <c r="I798" t="b">
        <v>0</v>
      </c>
      <c r="J798" t="s">
        <v>33</v>
      </c>
      <c r="K798" t="s">
        <v>33</v>
      </c>
      <c r="L798">
        <v>30</v>
      </c>
      <c r="M798" s="4">
        <v>1000</v>
      </c>
      <c r="N798" s="3">
        <f t="shared" si="396"/>
        <v>2637.6767635707861</v>
      </c>
      <c r="O798">
        <v>3</v>
      </c>
      <c r="P798" s="8">
        <f>Q798</f>
        <v>1.6E-2</v>
      </c>
      <c r="Q798" s="8">
        <f t="shared" si="400"/>
        <v>1.6E-2</v>
      </c>
      <c r="R798" t="s">
        <v>183</v>
      </c>
      <c r="S798" t="s">
        <v>613</v>
      </c>
      <c r="T798" s="11">
        <v>6</v>
      </c>
      <c r="U798">
        <v>2.92</v>
      </c>
      <c r="V798">
        <v>2.2999999999999998</v>
      </c>
      <c r="W798" s="16">
        <f>X798</f>
        <v>1.2131888350367701E-2</v>
      </c>
      <c r="X798" s="16">
        <f>IFERROR(((PI())*(((V798*10^-1)/2)^2)*(U798*10^-1)), "NA")</f>
        <v>1.2131888350367701E-2</v>
      </c>
      <c r="Y798" s="6">
        <f>2</f>
        <v>2</v>
      </c>
      <c r="Z798" s="3">
        <f t="shared" si="391"/>
        <v>0.75824302189798132</v>
      </c>
      <c r="AA798" t="s">
        <v>33</v>
      </c>
      <c r="AB798" s="4">
        <f>IFERROR(((X798*M798)/Y798), "NA")</f>
        <v>6.0659441751838505</v>
      </c>
      <c r="AC798" s="4">
        <f t="shared" si="393"/>
        <v>16</v>
      </c>
      <c r="AD798" s="4">
        <f>AB798*T798*AI798</f>
        <v>36.395665051103101</v>
      </c>
      <c r="AE798" s="3">
        <f t="shared" si="394"/>
        <v>544.31999999999994</v>
      </c>
      <c r="AF798">
        <v>288</v>
      </c>
      <c r="AG798" s="4">
        <f t="shared" si="397"/>
        <v>48</v>
      </c>
      <c r="AH798" s="4">
        <f t="shared" si="398"/>
        <v>288</v>
      </c>
      <c r="AI798">
        <v>1</v>
      </c>
      <c r="AJ798" s="11" t="s">
        <v>31</v>
      </c>
      <c r="AK798">
        <f>0.21*1000000/100</f>
        <v>2100</v>
      </c>
      <c r="AL798" t="s">
        <v>114</v>
      </c>
      <c r="AM798" t="s">
        <v>103</v>
      </c>
      <c r="AN798" t="s">
        <v>130</v>
      </c>
      <c r="AO798" t="s">
        <v>795</v>
      </c>
      <c r="AP798" t="s">
        <v>33</v>
      </c>
      <c r="AQ798" t="s">
        <v>33</v>
      </c>
      <c r="AR798" t="s">
        <v>33</v>
      </c>
      <c r="AS798">
        <v>8.8659999999999997</v>
      </c>
      <c r="AT798" s="3">
        <f t="shared" si="399"/>
        <v>4.8710000000000004</v>
      </c>
      <c r="AU798" s="6">
        <f>AS798-4.871</f>
        <v>3.9949999999999992</v>
      </c>
      <c r="AV798" t="b">
        <v>1</v>
      </c>
      <c r="AW798" t="s">
        <v>92</v>
      </c>
      <c r="AX798" t="s">
        <v>93</v>
      </c>
      <c r="AY798" t="s">
        <v>94</v>
      </c>
      <c r="AZ798" t="s">
        <v>33</v>
      </c>
      <c r="BA798" s="18" t="s">
        <v>801</v>
      </c>
      <c r="BB798" s="3" t="b">
        <v>0</v>
      </c>
      <c r="BC798" t="s">
        <v>81</v>
      </c>
      <c r="BD798">
        <v>18</v>
      </c>
      <c r="BE798" t="s">
        <v>80</v>
      </c>
      <c r="BF798">
        <v>48</v>
      </c>
      <c r="BG798" t="s">
        <v>568</v>
      </c>
      <c r="BH798" t="s">
        <v>31</v>
      </c>
      <c r="BI798" t="s">
        <v>31</v>
      </c>
      <c r="BJ798" s="3">
        <f t="shared" si="388"/>
        <v>3.9949999999999992</v>
      </c>
      <c r="BK798" s="3">
        <f t="shared" si="382"/>
        <v>0.60151678365001016</v>
      </c>
      <c r="BL798">
        <v>2</v>
      </c>
      <c r="BM798" s="3">
        <f t="shared" ref="BM798:BM823" si="401">IFERROR(LOG(BO798),"NA")</f>
        <v>2.1343375082824649</v>
      </c>
      <c r="BN798" t="s">
        <v>33</v>
      </c>
      <c r="BO798" s="3">
        <f t="shared" si="387"/>
        <v>136.25031289111391</v>
      </c>
      <c r="BP798" t="s">
        <v>33</v>
      </c>
      <c r="BQ798" t="s">
        <v>33</v>
      </c>
      <c r="BR798" t="s">
        <v>33</v>
      </c>
      <c r="BS798" t="s">
        <v>33</v>
      </c>
      <c r="BT798" t="s">
        <v>31</v>
      </c>
      <c r="BU798" t="s">
        <v>163</v>
      </c>
      <c r="BV798">
        <v>2011</v>
      </c>
      <c r="BW798" t="s">
        <v>778</v>
      </c>
      <c r="BX798" t="s">
        <v>78</v>
      </c>
      <c r="BY798" t="s">
        <v>779</v>
      </c>
      <c r="CA798" t="str">
        <f t="shared" si="389"/>
        <v>low acid</v>
      </c>
    </row>
    <row r="799" spans="1:79">
      <c r="A799" t="s">
        <v>324</v>
      </c>
      <c r="B799" t="s">
        <v>565</v>
      </c>
      <c r="C799" t="s">
        <v>563</v>
      </c>
      <c r="D799" t="s">
        <v>304</v>
      </c>
      <c r="E799" t="s">
        <v>77</v>
      </c>
      <c r="F799" t="s">
        <v>32</v>
      </c>
      <c r="G799">
        <v>30</v>
      </c>
      <c r="H799">
        <v>32.799999999999997</v>
      </c>
      <c r="I799" t="b">
        <v>1</v>
      </c>
      <c r="J799">
        <v>12600</v>
      </c>
      <c r="K799">
        <v>50.4</v>
      </c>
      <c r="L799">
        <v>25</v>
      </c>
      <c r="M799" s="4">
        <v>667</v>
      </c>
      <c r="N799" s="3">
        <f t="shared" si="396"/>
        <v>665.74616718178424</v>
      </c>
      <c r="O799">
        <v>2</v>
      </c>
      <c r="P799">
        <v>2.4E-2</v>
      </c>
      <c r="Q799" s="8">
        <f t="shared" si="400"/>
        <v>2.3988005997001502E-2</v>
      </c>
      <c r="R799" t="s">
        <v>183</v>
      </c>
      <c r="S799" t="s">
        <v>612</v>
      </c>
      <c r="T799" s="11">
        <v>1</v>
      </c>
      <c r="U799">
        <v>3.4</v>
      </c>
      <c r="V799">
        <v>3</v>
      </c>
      <c r="W799">
        <v>2.4E-2</v>
      </c>
      <c r="X799" s="8">
        <f>IFERROR(((PI())*(((V799*10^-1)/2)^2)*(U799*10^-1)), "NA")</f>
        <v>2.4033183799961926E-2</v>
      </c>
      <c r="Y799" s="6">
        <f>1</f>
        <v>1</v>
      </c>
      <c r="Z799" s="3">
        <f t="shared" si="391"/>
        <v>1.0018833496609127</v>
      </c>
      <c r="AA799">
        <v>16</v>
      </c>
      <c r="AB799" s="6">
        <f t="shared" ref="AB799:AB803" si="402">IFERROR(((X799*M799)/Z799), "NA")</f>
        <v>16</v>
      </c>
      <c r="AC799">
        <f t="shared" si="393"/>
        <v>16.007999999999999</v>
      </c>
      <c r="AD799" s="4">
        <f>IFERROR(AB799*T799*AI799, "NA")</f>
        <v>16</v>
      </c>
      <c r="AE799" s="3">
        <f t="shared" si="394"/>
        <v>20.000000000000004</v>
      </c>
      <c r="AF799">
        <v>32</v>
      </c>
      <c r="AG799">
        <f t="shared" si="397"/>
        <v>32.015999999999998</v>
      </c>
      <c r="AH799">
        <f t="shared" si="398"/>
        <v>32.015999999999998</v>
      </c>
      <c r="AI799" s="11">
        <v>1</v>
      </c>
      <c r="AJ799" t="s">
        <v>31</v>
      </c>
      <c r="AK799">
        <v>1000</v>
      </c>
      <c r="AL799" t="s">
        <v>169</v>
      </c>
      <c r="AM799" t="s">
        <v>103</v>
      </c>
      <c r="AN799" t="s">
        <v>305</v>
      </c>
      <c r="AO799" t="s">
        <v>790</v>
      </c>
      <c r="AP799">
        <v>4.5</v>
      </c>
      <c r="AQ799" t="s">
        <v>33</v>
      </c>
      <c r="AR799" t="s">
        <v>33</v>
      </c>
      <c r="AS799" s="6">
        <f>LOG(3*10^7)</f>
        <v>7.4771212547196626</v>
      </c>
      <c r="AT799" s="3">
        <f t="shared" si="399"/>
        <v>4.877121254719663</v>
      </c>
      <c r="AU799" s="6">
        <v>2.6</v>
      </c>
      <c r="AV799" t="b">
        <v>1</v>
      </c>
      <c r="AW799" t="s">
        <v>123</v>
      </c>
      <c r="AX799" t="s">
        <v>88</v>
      </c>
      <c r="AY799" t="s">
        <v>306</v>
      </c>
      <c r="AZ799" t="s">
        <v>33</v>
      </c>
      <c r="BA799" s="18" t="s">
        <v>579</v>
      </c>
      <c r="BB799" t="b">
        <v>1</v>
      </c>
      <c r="BC799" t="s">
        <v>81</v>
      </c>
      <c r="BD799">
        <v>48</v>
      </c>
      <c r="BE799" t="s">
        <v>80</v>
      </c>
      <c r="BF799" s="11">
        <v>120</v>
      </c>
      <c r="BG799" t="s">
        <v>395</v>
      </c>
      <c r="BH799" t="s">
        <v>31</v>
      </c>
      <c r="BI799" t="s">
        <v>31</v>
      </c>
      <c r="BJ799" s="3">
        <f t="shared" si="388"/>
        <v>2.6</v>
      </c>
      <c r="BK799" s="3">
        <f t="shared" si="382"/>
        <v>0.41497334797081797</v>
      </c>
      <c r="BL799">
        <v>2</v>
      </c>
      <c r="BM799" s="3">
        <f t="shared" si="401"/>
        <v>0.88605664769316328</v>
      </c>
      <c r="BN799" t="s">
        <v>33</v>
      </c>
      <c r="BO799" s="3">
        <f t="shared" si="387"/>
        <v>7.6923076923076934</v>
      </c>
      <c r="BP799" t="s">
        <v>33</v>
      </c>
      <c r="BQ799" t="s">
        <v>33</v>
      </c>
      <c r="BR799" t="s">
        <v>33</v>
      </c>
      <c r="BS799" t="s">
        <v>33</v>
      </c>
      <c r="BT799" t="s">
        <v>32</v>
      </c>
      <c r="BU799" t="s">
        <v>323</v>
      </c>
      <c r="BV799">
        <v>2003</v>
      </c>
      <c r="BW799" s="2" t="s">
        <v>322</v>
      </c>
      <c r="BX799" t="s">
        <v>78</v>
      </c>
      <c r="BY799" t="s">
        <v>33</v>
      </c>
      <c r="BZ799" t="s">
        <v>33</v>
      </c>
      <c r="CA799" t="str">
        <f t="shared" si="389"/>
        <v>high acid</v>
      </c>
    </row>
    <row r="800" spans="1:79">
      <c r="A800" t="s">
        <v>534</v>
      </c>
      <c r="B800" t="s">
        <v>565</v>
      </c>
      <c r="C800" t="s">
        <v>564</v>
      </c>
      <c r="D800" t="s">
        <v>243</v>
      </c>
      <c r="E800" t="s">
        <v>77</v>
      </c>
      <c r="F800" t="s">
        <v>32</v>
      </c>
      <c r="G800">
        <v>40</v>
      </c>
      <c r="H800">
        <v>50.2</v>
      </c>
      <c r="I800" t="b">
        <v>0</v>
      </c>
      <c r="J800" t="s">
        <v>33</v>
      </c>
      <c r="K800" t="s">
        <v>33</v>
      </c>
      <c r="L800">
        <v>18</v>
      </c>
      <c r="M800" s="4">
        <v>120</v>
      </c>
      <c r="N800" s="3">
        <f t="shared" si="396"/>
        <v>601.6705606695582</v>
      </c>
      <c r="O800">
        <v>3</v>
      </c>
      <c r="P800" t="s">
        <v>33</v>
      </c>
      <c r="Q800" s="8">
        <f t="shared" si="400"/>
        <v>0.19166666666666665</v>
      </c>
      <c r="R800" t="s">
        <v>183</v>
      </c>
      <c r="S800" t="s">
        <v>612</v>
      </c>
      <c r="T800" s="11">
        <v>4</v>
      </c>
      <c r="U800">
        <v>3</v>
      </c>
      <c r="V800">
        <v>2.6</v>
      </c>
      <c r="W800">
        <v>1.5900000000000001E-2</v>
      </c>
      <c r="X800" s="8">
        <f>IFERROR(((PI())*(((V800*10^-1)/2)^2)*(U800*10^-1)), "NA")</f>
        <v>1.5927874753700257E-2</v>
      </c>
      <c r="Y800" s="6">
        <f>25/60</f>
        <v>0.41666666666666669</v>
      </c>
      <c r="Z800" s="3">
        <f t="shared" si="391"/>
        <v>8.3101955236697E-2</v>
      </c>
      <c r="AA800" t="s">
        <v>33</v>
      </c>
      <c r="AB800" s="6">
        <f t="shared" si="402"/>
        <v>22.999999999999996</v>
      </c>
      <c r="AC800" t="str">
        <f t="shared" si="393"/>
        <v>NA</v>
      </c>
      <c r="AD800" s="4">
        <f>IFERROR(AB800*T800*AI800, "NA")</f>
        <v>91.999999999999986</v>
      </c>
      <c r="AE800" s="3">
        <f t="shared" si="394"/>
        <v>82.270079999999993</v>
      </c>
      <c r="AF800">
        <v>276</v>
      </c>
      <c r="AG800" t="str">
        <f t="shared" si="397"/>
        <v>NA</v>
      </c>
      <c r="AH800" t="str">
        <f t="shared" si="398"/>
        <v>NA</v>
      </c>
      <c r="AI800" s="11">
        <v>1</v>
      </c>
      <c r="AJ800" t="s">
        <v>31</v>
      </c>
      <c r="AK800">
        <v>920</v>
      </c>
      <c r="AL800" t="s">
        <v>551</v>
      </c>
      <c r="AM800" t="s">
        <v>86</v>
      </c>
      <c r="AN800" t="s">
        <v>186</v>
      </c>
      <c r="AO800" t="s">
        <v>794</v>
      </c>
      <c r="AP800">
        <v>5.92</v>
      </c>
      <c r="AQ800" t="s">
        <v>33</v>
      </c>
      <c r="AR800" t="s">
        <v>33</v>
      </c>
      <c r="AS800" s="6">
        <f>LOG(1.4*10^6)</f>
        <v>6.1461280356782382</v>
      </c>
      <c r="AT800" s="3">
        <f t="shared" si="399"/>
        <v>4.8791280356782387</v>
      </c>
      <c r="AU800" s="6">
        <v>1.2669999999999999</v>
      </c>
      <c r="AV800" t="b">
        <v>1</v>
      </c>
      <c r="AW800" t="s">
        <v>29</v>
      </c>
      <c r="AX800" t="s">
        <v>30</v>
      </c>
      <c r="AY800" t="s">
        <v>244</v>
      </c>
      <c r="AZ800" t="s">
        <v>33</v>
      </c>
      <c r="BA800" s="18" t="s">
        <v>798</v>
      </c>
      <c r="BB800" t="b">
        <v>0</v>
      </c>
      <c r="BC800" t="s">
        <v>81</v>
      </c>
      <c r="BD800">
        <v>20</v>
      </c>
      <c r="BE800" t="s">
        <v>80</v>
      </c>
      <c r="BF800" s="11">
        <v>20</v>
      </c>
      <c r="BG800" t="s">
        <v>245</v>
      </c>
      <c r="BH800" t="s">
        <v>31</v>
      </c>
      <c r="BI800" t="s">
        <v>31</v>
      </c>
      <c r="BJ800" s="3">
        <f t="shared" si="388"/>
        <v>1.2669999999999999</v>
      </c>
      <c r="BK800" s="3">
        <f t="shared" si="382"/>
        <v>0.10277661488344131</v>
      </c>
      <c r="BL800">
        <v>2</v>
      </c>
      <c r="BM800" s="3">
        <f t="shared" si="401"/>
        <v>1.8124653047339438</v>
      </c>
      <c r="BN800" t="s">
        <v>33</v>
      </c>
      <c r="BO800" s="3">
        <f t="shared" si="387"/>
        <v>64.93297553275454</v>
      </c>
      <c r="BP800" t="s">
        <v>33</v>
      </c>
      <c r="BQ800" t="s">
        <v>33</v>
      </c>
      <c r="BR800" t="s">
        <v>33</v>
      </c>
      <c r="BS800" t="s">
        <v>33</v>
      </c>
      <c r="BT800" t="s">
        <v>32</v>
      </c>
      <c r="BU800" t="s">
        <v>207</v>
      </c>
      <c r="BV800">
        <v>2014</v>
      </c>
      <c r="BW800" s="2" t="s">
        <v>242</v>
      </c>
      <c r="BX800" t="s">
        <v>78</v>
      </c>
      <c r="BY800" t="s">
        <v>33</v>
      </c>
      <c r="BZ800" t="s">
        <v>33</v>
      </c>
      <c r="CA800" t="str">
        <f t="shared" si="389"/>
        <v>low acid</v>
      </c>
    </row>
    <row r="801" spans="1:79">
      <c r="A801" t="s">
        <v>595</v>
      </c>
      <c r="B801" t="s">
        <v>565</v>
      </c>
      <c r="C801" t="s">
        <v>564</v>
      </c>
      <c r="D801" t="s">
        <v>609</v>
      </c>
      <c r="E801" t="s">
        <v>77</v>
      </c>
      <c r="F801" t="s">
        <v>32</v>
      </c>
      <c r="G801">
        <v>30</v>
      </c>
      <c r="H801">
        <v>38.200000000000003</v>
      </c>
      <c r="I801" t="b">
        <v>0</v>
      </c>
      <c r="J801" t="s">
        <v>33</v>
      </c>
      <c r="K801" t="s">
        <v>33</v>
      </c>
      <c r="L801">
        <v>24</v>
      </c>
      <c r="M801" s="4">
        <v>120</v>
      </c>
      <c r="N801" t="e">
        <f>(#REF!*Y801)/(T801*X801*O801)</f>
        <v>#REF!</v>
      </c>
      <c r="O801">
        <v>3</v>
      </c>
      <c r="P801" t="s">
        <v>33</v>
      </c>
      <c r="Q801" s="1">
        <f t="shared" si="400"/>
        <v>4.1666666666666664E-2</v>
      </c>
      <c r="R801" t="s">
        <v>183</v>
      </c>
      <c r="S801" t="s">
        <v>612</v>
      </c>
      <c r="T801">
        <v>4</v>
      </c>
      <c r="U801">
        <v>3</v>
      </c>
      <c r="V801">
        <v>2.6</v>
      </c>
      <c r="W801" t="s">
        <v>33</v>
      </c>
      <c r="X801">
        <f>IFERROR(((PI())*(((V801*10^-1)/2)^2)*(U801*10^-1)), "NA")</f>
        <v>1.5927874753700257E-2</v>
      </c>
      <c r="Y801">
        <v>0.126667</v>
      </c>
      <c r="Z801" s="3">
        <f t="shared" si="391"/>
        <v>0.38226899408880616</v>
      </c>
      <c r="AA801" t="s">
        <v>33</v>
      </c>
      <c r="AB801">
        <f t="shared" si="402"/>
        <v>5</v>
      </c>
      <c r="AC801" s="1" t="str">
        <f t="shared" si="393"/>
        <v>NA</v>
      </c>
      <c r="AE801" s="3">
        <f t="shared" si="394"/>
        <v>33.868799999999993</v>
      </c>
      <c r="AF801">
        <v>60</v>
      </c>
      <c r="AG801" s="1" t="str">
        <f>IFERROR((N801*P801*Q801), "NA")</f>
        <v>NA</v>
      </c>
      <c r="AH801" s="1" t="str">
        <f>IFERROR((AG801*U801*AI801), "NA")</f>
        <v>NA</v>
      </c>
      <c r="AI801" s="1">
        <v>1</v>
      </c>
      <c r="AJ801" s="11" t="s">
        <v>31</v>
      </c>
      <c r="AK801">
        <v>980</v>
      </c>
      <c r="AL801" t="s">
        <v>551</v>
      </c>
      <c r="AM801" t="s">
        <v>86</v>
      </c>
      <c r="AN801" t="s">
        <v>186</v>
      </c>
      <c r="AO801" t="s">
        <v>794</v>
      </c>
      <c r="AP801">
        <v>5.98</v>
      </c>
      <c r="AQ801" t="s">
        <v>33</v>
      </c>
      <c r="AR801" t="s">
        <v>33</v>
      </c>
      <c r="AS801">
        <v>6</v>
      </c>
      <c r="AT801">
        <f>AS801-AU801</f>
        <v>4.88</v>
      </c>
      <c r="AU801" s="6">
        <v>1.1200000000000001</v>
      </c>
      <c r="AV801" t="b">
        <v>1</v>
      </c>
      <c r="AW801" t="s">
        <v>626</v>
      </c>
      <c r="AX801" t="s">
        <v>627</v>
      </c>
      <c r="AY801" t="s">
        <v>631</v>
      </c>
      <c r="AZ801" t="s">
        <v>33</v>
      </c>
      <c r="BA801" s="18" t="s">
        <v>800</v>
      </c>
      <c r="BB801" s="3" t="b">
        <v>0</v>
      </c>
      <c r="BC801" t="s">
        <v>81</v>
      </c>
      <c r="BD801">
        <v>20</v>
      </c>
      <c r="BE801" t="s">
        <v>80</v>
      </c>
      <c r="BF801">
        <v>20</v>
      </c>
      <c r="BG801" t="s">
        <v>695</v>
      </c>
      <c r="BH801" t="s">
        <v>32</v>
      </c>
      <c r="BI801" t="s">
        <v>31</v>
      </c>
      <c r="BJ801">
        <f t="shared" si="388"/>
        <v>1.1200000000000001</v>
      </c>
      <c r="BK801" s="3">
        <f t="shared" si="382"/>
        <v>4.9218022670181653E-2</v>
      </c>
      <c r="BL801">
        <v>2</v>
      </c>
      <c r="BM801" s="3">
        <f t="shared" si="401"/>
        <v>1.4805817868291689</v>
      </c>
      <c r="BN801" t="s">
        <v>33</v>
      </c>
      <c r="BO801" s="3">
        <f t="shared" si="387"/>
        <v>30.239999999999991</v>
      </c>
      <c r="BP801" t="s">
        <v>33</v>
      </c>
      <c r="BQ801" t="s">
        <v>33</v>
      </c>
      <c r="BR801" t="s">
        <v>33</v>
      </c>
      <c r="BS801" t="s">
        <v>33</v>
      </c>
      <c r="BT801" t="s">
        <v>32</v>
      </c>
      <c r="BU801" t="s">
        <v>207</v>
      </c>
      <c r="BV801">
        <v>2014</v>
      </c>
      <c r="BW801" t="s">
        <v>208</v>
      </c>
      <c r="BX801" t="s">
        <v>78</v>
      </c>
      <c r="BY801" s="13" t="s">
        <v>683</v>
      </c>
      <c r="CA801" t="str">
        <f t="shared" si="389"/>
        <v>low acid</v>
      </c>
    </row>
    <row r="802" spans="1:79">
      <c r="A802" t="s">
        <v>583</v>
      </c>
      <c r="B802" t="s">
        <v>566</v>
      </c>
      <c r="C802" t="s">
        <v>563</v>
      </c>
      <c r="D802" t="s">
        <v>33</v>
      </c>
      <c r="E802" t="s">
        <v>77</v>
      </c>
      <c r="F802" t="s">
        <v>32</v>
      </c>
      <c r="G802" t="s">
        <v>33</v>
      </c>
      <c r="H802">
        <v>30</v>
      </c>
      <c r="I802" t="b">
        <v>1</v>
      </c>
      <c r="J802" t="s">
        <v>33</v>
      </c>
      <c r="K802" t="s">
        <v>33</v>
      </c>
      <c r="L802">
        <v>30</v>
      </c>
      <c r="M802" s="4">
        <v>2</v>
      </c>
      <c r="N802" t="e">
        <f>(#REF!*Y802)/(T802*X802*O802)</f>
        <v>#REF!</v>
      </c>
      <c r="O802">
        <v>2</v>
      </c>
      <c r="P802" t="s">
        <v>33</v>
      </c>
      <c r="Q802" s="1">
        <f t="shared" si="400"/>
        <v>45</v>
      </c>
      <c r="R802" t="s">
        <v>183</v>
      </c>
      <c r="S802" t="s">
        <v>613</v>
      </c>
      <c r="T802">
        <v>1</v>
      </c>
      <c r="U802">
        <v>5</v>
      </c>
      <c r="V802" t="s">
        <v>33</v>
      </c>
      <c r="W802">
        <v>0.71</v>
      </c>
      <c r="X802">
        <f>W802</f>
        <v>0.71</v>
      </c>
      <c r="Y802">
        <v>0.1</v>
      </c>
      <c r="Z802" s="3">
        <f t="shared" si="391"/>
        <v>1.5777777777777776E-2</v>
      </c>
      <c r="AA802" t="s">
        <v>33</v>
      </c>
      <c r="AB802">
        <f t="shared" si="402"/>
        <v>90</v>
      </c>
      <c r="AC802" s="1" t="str">
        <f t="shared" si="393"/>
        <v>NA</v>
      </c>
      <c r="AE802" s="3">
        <f t="shared" si="394"/>
        <v>761.39999999999986</v>
      </c>
      <c r="AF802">
        <v>180</v>
      </c>
      <c r="AG802" s="1" t="str">
        <f>IFERROR((N802*P802*Q802), "NA")</f>
        <v>NA</v>
      </c>
      <c r="AH802" s="1" t="str">
        <f>IFERROR((AG802*U802*AI802), "NA")</f>
        <v>NA</v>
      </c>
      <c r="AI802" s="1">
        <v>1</v>
      </c>
      <c r="AJ802" s="11" t="s">
        <v>31</v>
      </c>
      <c r="AK802">
        <v>4700</v>
      </c>
      <c r="AL802" t="s">
        <v>562</v>
      </c>
      <c r="AM802" s="3" t="s">
        <v>786</v>
      </c>
      <c r="AN802" t="s">
        <v>186</v>
      </c>
      <c r="AO802" t="s">
        <v>793</v>
      </c>
      <c r="AP802" t="s">
        <v>33</v>
      </c>
      <c r="AQ802" t="s">
        <v>33</v>
      </c>
      <c r="AR802" t="s">
        <v>33</v>
      </c>
      <c r="AS802">
        <v>8</v>
      </c>
      <c r="AT802">
        <f>AS802-AU802</f>
        <v>4.88</v>
      </c>
      <c r="AU802" s="6">
        <v>3.12</v>
      </c>
      <c r="AV802" t="b">
        <v>1</v>
      </c>
      <c r="AW802" t="s">
        <v>617</v>
      </c>
      <c r="AX802" t="s">
        <v>33</v>
      </c>
      <c r="AY802" t="s">
        <v>622</v>
      </c>
      <c r="AZ802" t="s">
        <v>619</v>
      </c>
      <c r="BA802" s="18" t="s">
        <v>802</v>
      </c>
      <c r="BB802" s="3" t="b">
        <v>0</v>
      </c>
      <c r="BC802" t="s">
        <v>81</v>
      </c>
      <c r="BD802">
        <v>18</v>
      </c>
      <c r="BE802" t="s">
        <v>80</v>
      </c>
      <c r="BF802">
        <v>24</v>
      </c>
      <c r="BG802" t="s">
        <v>696</v>
      </c>
      <c r="BH802" t="s">
        <v>32</v>
      </c>
      <c r="BI802" t="s">
        <v>31</v>
      </c>
      <c r="BJ802">
        <f t="shared" si="388"/>
        <v>3.12</v>
      </c>
      <c r="BK802" s="3">
        <f t="shared" si="382"/>
        <v>0.49415459401844281</v>
      </c>
      <c r="BL802">
        <v>2</v>
      </c>
      <c r="BM802" s="3">
        <f t="shared" si="401"/>
        <v>2.3874582784599054</v>
      </c>
      <c r="BN802" t="s">
        <v>33</v>
      </c>
      <c r="BO802" s="3">
        <f t="shared" si="387"/>
        <v>244.03846153846149</v>
      </c>
      <c r="BP802" t="s">
        <v>33</v>
      </c>
      <c r="BQ802" t="s">
        <v>33</v>
      </c>
      <c r="BR802" t="s">
        <v>33</v>
      </c>
      <c r="BS802" t="s">
        <v>33</v>
      </c>
      <c r="BT802" t="s">
        <v>31</v>
      </c>
      <c r="BU802" t="s">
        <v>338</v>
      </c>
      <c r="BV802">
        <v>2005</v>
      </c>
      <c r="BW802" t="s">
        <v>342</v>
      </c>
      <c r="BX802" t="s">
        <v>78</v>
      </c>
      <c r="BY802" s="13" t="s">
        <v>673</v>
      </c>
      <c r="CA802" t="str">
        <f t="shared" si="389"/>
        <v>low acid</v>
      </c>
    </row>
    <row r="803" spans="1:79">
      <c r="A803" t="s">
        <v>584</v>
      </c>
      <c r="B803" t="s">
        <v>566</v>
      </c>
      <c r="C803" t="s">
        <v>563</v>
      </c>
      <c r="D803" t="s">
        <v>607</v>
      </c>
      <c r="E803" t="s">
        <v>77</v>
      </c>
      <c r="F803" t="s">
        <v>33</v>
      </c>
      <c r="G803">
        <v>20</v>
      </c>
      <c r="H803">
        <v>35</v>
      </c>
      <c r="I803" t="b">
        <v>0</v>
      </c>
      <c r="J803">
        <v>1000</v>
      </c>
      <c r="K803">
        <v>200</v>
      </c>
      <c r="L803">
        <v>25</v>
      </c>
      <c r="M803" s="4">
        <v>1</v>
      </c>
      <c r="N803" t="e">
        <f>(#REF!*Y803)/(T803*X803*O803)</f>
        <v>#REF!</v>
      </c>
      <c r="O803">
        <v>3</v>
      </c>
      <c r="P803" t="s">
        <v>33</v>
      </c>
      <c r="Q803" s="1">
        <f t="shared" si="400"/>
        <v>9</v>
      </c>
      <c r="R803" t="s">
        <v>183</v>
      </c>
      <c r="S803" t="s">
        <v>33</v>
      </c>
      <c r="T803">
        <v>1</v>
      </c>
      <c r="U803">
        <v>2.5</v>
      </c>
      <c r="V803" t="s">
        <v>33</v>
      </c>
      <c r="W803">
        <v>0.50249999999999995</v>
      </c>
      <c r="X803">
        <f>W803</f>
        <v>0.50249999999999995</v>
      </c>
      <c r="Y803" t="s">
        <v>33</v>
      </c>
      <c r="Z803" s="3">
        <f t="shared" si="391"/>
        <v>5.5833333333333325E-2</v>
      </c>
      <c r="AA803" t="s">
        <v>33</v>
      </c>
      <c r="AB803">
        <f t="shared" si="402"/>
        <v>9</v>
      </c>
      <c r="AC803" s="1" t="str">
        <f t="shared" si="393"/>
        <v>NA</v>
      </c>
      <c r="AE803" s="3">
        <f t="shared" si="394"/>
        <v>16.875</v>
      </c>
      <c r="AF803">
        <v>27</v>
      </c>
      <c r="AG803" s="1" t="str">
        <f>IFERROR((N803*P803*Q803), "NA")</f>
        <v>NA</v>
      </c>
      <c r="AH803" s="1" t="str">
        <f>IFERROR((AG803*U803*AI803), "NA")</f>
        <v>NA</v>
      </c>
      <c r="AI803" s="1">
        <v>1</v>
      </c>
      <c r="AJ803" s="11" t="s">
        <v>31</v>
      </c>
      <c r="AK803">
        <v>1000</v>
      </c>
      <c r="AL803" t="s">
        <v>614</v>
      </c>
      <c r="AM803" s="3" t="s">
        <v>103</v>
      </c>
      <c r="AN803" t="s">
        <v>130</v>
      </c>
      <c r="AO803" t="s">
        <v>795</v>
      </c>
      <c r="AP803">
        <v>5.5</v>
      </c>
      <c r="AQ803" t="s">
        <v>33</v>
      </c>
      <c r="AR803" t="s">
        <v>33</v>
      </c>
      <c r="AS803">
        <v>8</v>
      </c>
      <c r="AT803">
        <f>AS803-AU803</f>
        <v>4.88</v>
      </c>
      <c r="AU803" s="6">
        <v>3.12</v>
      </c>
      <c r="AV803" t="b">
        <v>1</v>
      </c>
      <c r="AW803" t="s">
        <v>617</v>
      </c>
      <c r="AX803" t="s">
        <v>33</v>
      </c>
      <c r="AY803" t="s">
        <v>623</v>
      </c>
      <c r="AZ803" t="s">
        <v>621</v>
      </c>
      <c r="BA803" s="18" t="s">
        <v>802</v>
      </c>
      <c r="BB803" s="3" t="b">
        <v>0</v>
      </c>
      <c r="BC803" t="s">
        <v>81</v>
      </c>
      <c r="BD803">
        <v>18</v>
      </c>
      <c r="BE803" t="s">
        <v>80</v>
      </c>
      <c r="BF803">
        <v>24</v>
      </c>
      <c r="BG803" t="s">
        <v>642</v>
      </c>
      <c r="BH803" t="s">
        <v>32</v>
      </c>
      <c r="BI803" t="s">
        <v>31</v>
      </c>
      <c r="BJ803">
        <f t="shared" si="388"/>
        <v>3.12</v>
      </c>
      <c r="BK803" s="3">
        <f t="shared" si="382"/>
        <v>0.49415459401844281</v>
      </c>
      <c r="BL803">
        <v>2</v>
      </c>
      <c r="BM803" s="3">
        <f t="shared" si="401"/>
        <v>0.73308918748461971</v>
      </c>
      <c r="BN803" t="s">
        <v>33</v>
      </c>
      <c r="BO803" s="3">
        <f t="shared" si="387"/>
        <v>5.4086538461538458</v>
      </c>
      <c r="BP803" t="s">
        <v>33</v>
      </c>
      <c r="BQ803" t="s">
        <v>33</v>
      </c>
      <c r="BR803" t="s">
        <v>33</v>
      </c>
      <c r="BS803" t="s">
        <v>33</v>
      </c>
      <c r="BT803" t="s">
        <v>31</v>
      </c>
      <c r="BU803" t="s">
        <v>255</v>
      </c>
      <c r="BV803">
        <v>2010</v>
      </c>
      <c r="BW803" t="s">
        <v>651</v>
      </c>
      <c r="BX803" t="s">
        <v>78</v>
      </c>
      <c r="BY803" s="13" t="s">
        <v>674</v>
      </c>
      <c r="CA803" t="str">
        <f t="shared" si="389"/>
        <v>low acid</v>
      </c>
    </row>
    <row r="804" spans="1:79">
      <c r="A804" t="s">
        <v>505</v>
      </c>
      <c r="B804" t="s">
        <v>565</v>
      </c>
      <c r="C804" t="s">
        <v>563</v>
      </c>
      <c r="D804" t="s">
        <v>118</v>
      </c>
      <c r="E804" t="s">
        <v>77</v>
      </c>
      <c r="F804" t="s">
        <v>32</v>
      </c>
      <c r="G804">
        <v>15</v>
      </c>
      <c r="H804">
        <v>30</v>
      </c>
      <c r="I804" t="b">
        <v>0</v>
      </c>
      <c r="J804" t="s">
        <v>33</v>
      </c>
      <c r="K804" t="s">
        <v>33</v>
      </c>
      <c r="L804">
        <v>20</v>
      </c>
      <c r="M804" s="4">
        <v>200</v>
      </c>
      <c r="N804" s="3" t="str">
        <f>IFERROR(AF804/((T804*X804/Y804)*O804*AI804),"NA")</f>
        <v>NA</v>
      </c>
      <c r="O804">
        <v>2</v>
      </c>
      <c r="P804" s="9" t="s">
        <v>33</v>
      </c>
      <c r="Q804" s="8">
        <f t="shared" si="400"/>
        <v>0.20833333333333331</v>
      </c>
      <c r="R804" t="s">
        <v>183</v>
      </c>
      <c r="S804" t="s">
        <v>613</v>
      </c>
      <c r="T804" s="11">
        <v>6</v>
      </c>
      <c r="U804">
        <v>2.92</v>
      </c>
      <c r="V804">
        <v>2.2999999999999998</v>
      </c>
      <c r="W804" t="s">
        <v>33</v>
      </c>
      <c r="X804" s="9">
        <f>IFERROR(((PI())*(((V804*10^-1)/2)^2)*(U804*10^-1)), "NA")</f>
        <v>1.2131888350367701E-2</v>
      </c>
      <c r="Y804" s="6" t="s">
        <v>33</v>
      </c>
      <c r="Z804" s="3">
        <f t="shared" si="391"/>
        <v>5.8233064081764964E-2</v>
      </c>
      <c r="AA804" t="s">
        <v>33</v>
      </c>
      <c r="AB804" s="4" t="str">
        <f>IFERROR(((X804*M804)/Y804), "NA")</f>
        <v>NA</v>
      </c>
      <c r="AC804" s="4" t="str">
        <f t="shared" si="393"/>
        <v>NA</v>
      </c>
      <c r="AD804" s="4" t="e">
        <f>AB804*T804*AI804</f>
        <v>#VALUE!</v>
      </c>
      <c r="AE804" s="3">
        <f t="shared" si="394"/>
        <v>399.99999999999994</v>
      </c>
      <c r="AF804">
        <v>500</v>
      </c>
      <c r="AG804" s="4" t="str">
        <f>IFERROR((M804*O804*P804), "NA")</f>
        <v>NA</v>
      </c>
      <c r="AH804" s="4" t="str">
        <f>IFERROR((AG804*T804*AI804), "NA")</f>
        <v>NA</v>
      </c>
      <c r="AI804">
        <v>1</v>
      </c>
      <c r="AJ804" t="s">
        <v>31</v>
      </c>
      <c r="AK804">
        <v>2000</v>
      </c>
      <c r="AL804" t="s">
        <v>506</v>
      </c>
      <c r="AM804" s="3" t="s">
        <v>103</v>
      </c>
      <c r="AN804" t="s">
        <v>130</v>
      </c>
      <c r="AO804" t="s">
        <v>795</v>
      </c>
      <c r="AP804">
        <v>7.2</v>
      </c>
      <c r="AQ804" t="s">
        <v>33</v>
      </c>
      <c r="AR804" t="s">
        <v>33</v>
      </c>
      <c r="AS804" s="6">
        <f>LOG(10^8)</f>
        <v>8</v>
      </c>
      <c r="AT804" s="3">
        <f>IFERROR(AS804-AU804,"NA")</f>
        <v>4.8889999999999993</v>
      </c>
      <c r="AU804" s="6">
        <v>3.1110000000000002</v>
      </c>
      <c r="AV804" t="b">
        <v>1</v>
      </c>
      <c r="AW804" t="s">
        <v>172</v>
      </c>
      <c r="AX804" t="s">
        <v>173</v>
      </c>
      <c r="AY804" t="s">
        <v>213</v>
      </c>
      <c r="AZ804" t="s">
        <v>33</v>
      </c>
      <c r="BA804" s="18" t="s">
        <v>799</v>
      </c>
      <c r="BB804" s="3" t="b">
        <v>0</v>
      </c>
      <c r="BC804" t="s">
        <v>81</v>
      </c>
      <c r="BD804">
        <v>16</v>
      </c>
      <c r="BE804" t="s">
        <v>80</v>
      </c>
      <c r="BF804" s="11">
        <v>48</v>
      </c>
      <c r="BG804" t="s">
        <v>522</v>
      </c>
      <c r="BH804" t="s">
        <v>31</v>
      </c>
      <c r="BI804" t="s">
        <v>31</v>
      </c>
      <c r="BJ804" s="3">
        <f t="shared" si="388"/>
        <v>3.1110000000000002</v>
      </c>
      <c r="BK804" s="3">
        <f t="shared" si="382"/>
        <v>0.49290001110870341</v>
      </c>
      <c r="BL804">
        <v>2</v>
      </c>
      <c r="BM804" s="3">
        <f t="shared" si="401"/>
        <v>2.1091599802192591</v>
      </c>
      <c r="BN804" t="s">
        <v>33</v>
      </c>
      <c r="BO804" s="3">
        <f t="shared" si="387"/>
        <v>128.57602057216326</v>
      </c>
      <c r="BP804" t="s">
        <v>33</v>
      </c>
      <c r="BQ804" t="s">
        <v>33</v>
      </c>
      <c r="BR804" t="s">
        <v>33</v>
      </c>
      <c r="BS804" t="s">
        <v>33</v>
      </c>
      <c r="BT804" t="s">
        <v>31</v>
      </c>
      <c r="BU804" t="s">
        <v>344</v>
      </c>
      <c r="BV804">
        <v>2014</v>
      </c>
      <c r="BW804" t="s">
        <v>507</v>
      </c>
      <c r="BX804" t="s">
        <v>78</v>
      </c>
      <c r="BY804" t="s">
        <v>33</v>
      </c>
      <c r="BZ804" t="s">
        <v>33</v>
      </c>
      <c r="CA804" t="str">
        <f t="shared" si="389"/>
        <v>low acid</v>
      </c>
    </row>
    <row r="805" spans="1:79">
      <c r="A805" t="s">
        <v>584</v>
      </c>
      <c r="B805" t="s">
        <v>566</v>
      </c>
      <c r="C805" t="s">
        <v>563</v>
      </c>
      <c r="D805" t="s">
        <v>607</v>
      </c>
      <c r="E805" t="s">
        <v>77</v>
      </c>
      <c r="F805" t="s">
        <v>33</v>
      </c>
      <c r="G805">
        <v>20</v>
      </c>
      <c r="H805">
        <v>35</v>
      </c>
      <c r="I805" t="b">
        <v>0</v>
      </c>
      <c r="J805">
        <v>1000</v>
      </c>
      <c r="K805">
        <v>200</v>
      </c>
      <c r="L805">
        <v>20</v>
      </c>
      <c r="M805" s="4">
        <v>1</v>
      </c>
      <c r="N805" t="e">
        <f>(#REF!*Y805)/(T805*X805*O805)</f>
        <v>#REF!</v>
      </c>
      <c r="O805">
        <v>3</v>
      </c>
      <c r="P805" t="s">
        <v>33</v>
      </c>
      <c r="Q805" s="1">
        <f t="shared" si="400"/>
        <v>166.66666666666666</v>
      </c>
      <c r="R805" t="s">
        <v>183</v>
      </c>
      <c r="S805" t="s">
        <v>33</v>
      </c>
      <c r="T805">
        <v>1</v>
      </c>
      <c r="U805">
        <v>2.5</v>
      </c>
      <c r="V805" t="s">
        <v>33</v>
      </c>
      <c r="W805">
        <v>0.50249999999999995</v>
      </c>
      <c r="X805">
        <f>W805</f>
        <v>0.50249999999999995</v>
      </c>
      <c r="Y805" t="s">
        <v>33</v>
      </c>
      <c r="Z805" s="3">
        <f t="shared" si="391"/>
        <v>3.0149999999999999E-3</v>
      </c>
      <c r="AA805" t="s">
        <v>33</v>
      </c>
      <c r="AB805">
        <f>IFERROR(((X805*M805)/Z805), "NA")</f>
        <v>166.66666666666666</v>
      </c>
      <c r="AC805" s="1" t="str">
        <f t="shared" si="393"/>
        <v>NA</v>
      </c>
      <c r="AE805" s="3">
        <f t="shared" si="394"/>
        <v>199.99999999999997</v>
      </c>
      <c r="AF805">
        <v>500</v>
      </c>
      <c r="AG805" s="1" t="str">
        <f>IFERROR((N805*P805*Q805), "NA")</f>
        <v>NA</v>
      </c>
      <c r="AH805" s="1" t="str">
        <f>IFERROR((AG805*U805*AI805), "NA")</f>
        <v>NA</v>
      </c>
      <c r="AI805" s="1">
        <v>1</v>
      </c>
      <c r="AJ805" s="11" t="s">
        <v>31</v>
      </c>
      <c r="AK805">
        <v>1000</v>
      </c>
      <c r="AL805" t="s">
        <v>614</v>
      </c>
      <c r="AM805" s="3" t="s">
        <v>103</v>
      </c>
      <c r="AN805" t="s">
        <v>305</v>
      </c>
      <c r="AO805" t="s">
        <v>790</v>
      </c>
      <c r="AP805">
        <v>3.5</v>
      </c>
      <c r="AQ805" t="s">
        <v>33</v>
      </c>
      <c r="AR805" t="s">
        <v>33</v>
      </c>
      <c r="AS805">
        <v>8</v>
      </c>
      <c r="AT805">
        <f>AS805-AU805</f>
        <v>4.8900000000000006</v>
      </c>
      <c r="AU805" s="6">
        <v>3.11</v>
      </c>
      <c r="AV805" t="b">
        <v>1</v>
      </c>
      <c r="AW805" t="s">
        <v>617</v>
      </c>
      <c r="AX805" t="s">
        <v>33</v>
      </c>
      <c r="AY805" t="s">
        <v>623</v>
      </c>
      <c r="AZ805" t="s">
        <v>621</v>
      </c>
      <c r="BA805" s="18" t="s">
        <v>802</v>
      </c>
      <c r="BB805" s="3" t="b">
        <v>0</v>
      </c>
      <c r="BC805" t="s">
        <v>81</v>
      </c>
      <c r="BD805">
        <v>18</v>
      </c>
      <c r="BE805" t="s">
        <v>80</v>
      </c>
      <c r="BF805">
        <v>24</v>
      </c>
      <c r="BG805" t="s">
        <v>569</v>
      </c>
      <c r="BH805" t="s">
        <v>31</v>
      </c>
      <c r="BI805" t="s">
        <v>31</v>
      </c>
      <c r="BJ805">
        <f t="shared" si="388"/>
        <v>3.11</v>
      </c>
      <c r="BK805" s="3">
        <f t="shared" si="382"/>
        <v>0.4927603890268375</v>
      </c>
      <c r="BL805">
        <v>2</v>
      </c>
      <c r="BM805" s="3">
        <f t="shared" si="401"/>
        <v>1.8082696066371435</v>
      </c>
      <c r="BN805" t="s">
        <v>33</v>
      </c>
      <c r="BO805" s="3">
        <f t="shared" si="387"/>
        <v>64.308681672025713</v>
      </c>
      <c r="BP805" t="s">
        <v>33</v>
      </c>
      <c r="BQ805" t="s">
        <v>33</v>
      </c>
      <c r="BR805" t="s">
        <v>33</v>
      </c>
      <c r="BS805" t="s">
        <v>33</v>
      </c>
      <c r="BT805" t="s">
        <v>31</v>
      </c>
      <c r="BU805" t="s">
        <v>255</v>
      </c>
      <c r="BV805">
        <v>2010</v>
      </c>
      <c r="BW805" t="s">
        <v>651</v>
      </c>
      <c r="BX805" t="s">
        <v>78</v>
      </c>
      <c r="BY805" s="13" t="s">
        <v>674</v>
      </c>
      <c r="CA805" t="str">
        <f t="shared" si="389"/>
        <v>high acid</v>
      </c>
    </row>
    <row r="806" spans="1:79">
      <c r="A806" t="s">
        <v>260</v>
      </c>
      <c r="B806" t="s">
        <v>565</v>
      </c>
      <c r="C806" t="s">
        <v>563</v>
      </c>
      <c r="D806" t="s">
        <v>118</v>
      </c>
      <c r="E806" t="s">
        <v>77</v>
      </c>
      <c r="F806" t="s">
        <v>32</v>
      </c>
      <c r="G806">
        <v>5</v>
      </c>
      <c r="H806">
        <v>40</v>
      </c>
      <c r="I806" t="b">
        <v>0</v>
      </c>
      <c r="J806" t="s">
        <v>33</v>
      </c>
      <c r="K806" t="s">
        <v>33</v>
      </c>
      <c r="L806">
        <v>35</v>
      </c>
      <c r="M806" s="4">
        <v>250</v>
      </c>
      <c r="N806" s="3">
        <f>IFERROR(AF806/((T806*X806/Y806)*O806*AI806),"NA")</f>
        <v>2361.2015298892129</v>
      </c>
      <c r="O806">
        <v>4</v>
      </c>
      <c r="P806" t="s">
        <v>33</v>
      </c>
      <c r="Q806">
        <f t="shared" si="400"/>
        <v>6.25E-2</v>
      </c>
      <c r="R806" t="s">
        <v>183</v>
      </c>
      <c r="S806" t="s">
        <v>613</v>
      </c>
      <c r="T806" s="11">
        <v>8</v>
      </c>
      <c r="U806">
        <v>2.92</v>
      </c>
      <c r="V806">
        <v>2.2999999999999998</v>
      </c>
      <c r="W806">
        <v>1.21E-2</v>
      </c>
      <c r="X806" s="8">
        <f>IFERROR(((PI())*(((V806*10^-1)/2)^2)*(U806*10^-1)), "NA")</f>
        <v>1.2131888350367701E-2</v>
      </c>
      <c r="Y806" s="6">
        <f>110/60</f>
        <v>1.8333333333333333</v>
      </c>
      <c r="Z806" s="3">
        <f t="shared" si="391"/>
        <v>0.19411021360588321</v>
      </c>
      <c r="AA806" t="s">
        <v>33</v>
      </c>
      <c r="AB806" s="6">
        <f>IFERROR(((X806*M806)/Z806), "NA")</f>
        <v>15.625</v>
      </c>
      <c r="AC806" t="str">
        <f t="shared" si="393"/>
        <v>NA</v>
      </c>
      <c r="AD806" s="4">
        <f>AB806*T806*AI806</f>
        <v>125</v>
      </c>
      <c r="AE806" s="3">
        <f t="shared" si="394"/>
        <v>3307.5</v>
      </c>
      <c r="AF806">
        <v>500</v>
      </c>
      <c r="AG806" t="str">
        <f>IFERROR((M806*O806*P806), "NA")</f>
        <v>NA</v>
      </c>
      <c r="AH806" t="str">
        <f>IFERROR((AG806*T806*AI806), "NA")</f>
        <v>NA</v>
      </c>
      <c r="AI806">
        <v>1</v>
      </c>
      <c r="AJ806" t="s">
        <v>31</v>
      </c>
      <c r="AK806">
        <v>5400</v>
      </c>
      <c r="AL806" t="s">
        <v>238</v>
      </c>
      <c r="AM806" t="s">
        <v>86</v>
      </c>
      <c r="AN806" t="s">
        <v>205</v>
      </c>
      <c r="AO806" t="s">
        <v>789</v>
      </c>
      <c r="AP806">
        <v>3.44</v>
      </c>
      <c r="AQ806" t="s">
        <v>33</v>
      </c>
      <c r="AR806" t="s">
        <v>33</v>
      </c>
      <c r="AS806" s="6">
        <f>LOG((10^7+10^8)/2)</f>
        <v>7.7403626894942441</v>
      </c>
      <c r="AT806" s="3">
        <f>IFERROR(AS806-AU806,"NA")</f>
        <v>4.8913626894942439</v>
      </c>
      <c r="AU806" s="6">
        <v>2.8490000000000002</v>
      </c>
      <c r="AV806" t="b">
        <v>1</v>
      </c>
      <c r="AW806" t="s">
        <v>29</v>
      </c>
      <c r="AX806" t="s">
        <v>30</v>
      </c>
      <c r="AY806" t="s">
        <v>33</v>
      </c>
      <c r="AZ806" t="s">
        <v>134</v>
      </c>
      <c r="BA806" s="18" t="s">
        <v>798</v>
      </c>
      <c r="BB806" t="b">
        <v>0</v>
      </c>
      <c r="BC806" t="s">
        <v>81</v>
      </c>
      <c r="BD806">
        <v>15</v>
      </c>
      <c r="BE806" t="s">
        <v>80</v>
      </c>
      <c r="BF806" s="11">
        <v>24</v>
      </c>
      <c r="BG806" t="s">
        <v>262</v>
      </c>
      <c r="BH806" t="s">
        <v>31</v>
      </c>
      <c r="BI806" t="s">
        <v>31</v>
      </c>
      <c r="BJ806" s="3">
        <f t="shared" si="388"/>
        <v>2.8490000000000002</v>
      </c>
      <c r="BK806" s="3">
        <f t="shared" si="382"/>
        <v>0.45469244923947688</v>
      </c>
      <c r="BL806">
        <v>2</v>
      </c>
      <c r="BM806" s="3">
        <f t="shared" si="401"/>
        <v>3.0648074036200619</v>
      </c>
      <c r="BN806" t="s">
        <v>33</v>
      </c>
      <c r="BO806" s="3">
        <f t="shared" si="387"/>
        <v>1160.9336609336608</v>
      </c>
      <c r="BP806" t="s">
        <v>33</v>
      </c>
      <c r="BQ806" t="s">
        <v>33</v>
      </c>
      <c r="BR806" t="s">
        <v>33</v>
      </c>
      <c r="BS806" t="s">
        <v>33</v>
      </c>
      <c r="BT806" t="s">
        <v>31</v>
      </c>
      <c r="BU806" t="s">
        <v>219</v>
      </c>
      <c r="BV806">
        <v>2008</v>
      </c>
      <c r="BW806" s="2" t="s">
        <v>257</v>
      </c>
      <c r="BX806" t="s">
        <v>78</v>
      </c>
      <c r="BY806" t="s">
        <v>33</v>
      </c>
      <c r="BZ806" t="s">
        <v>33</v>
      </c>
      <c r="CA806" t="str">
        <f t="shared" si="389"/>
        <v>high acid</v>
      </c>
    </row>
    <row r="807" spans="1:79">
      <c r="A807" t="s">
        <v>758</v>
      </c>
      <c r="B807" t="s">
        <v>565</v>
      </c>
      <c r="C807" t="s">
        <v>563</v>
      </c>
      <c r="D807" t="s">
        <v>759</v>
      </c>
      <c r="E807" t="s">
        <v>77</v>
      </c>
      <c r="F807" t="s">
        <v>32</v>
      </c>
      <c r="G807">
        <v>30</v>
      </c>
      <c r="H807" t="s">
        <v>33</v>
      </c>
      <c r="I807" t="b">
        <v>0</v>
      </c>
      <c r="J807" t="s">
        <v>33</v>
      </c>
      <c r="K807" t="s">
        <v>33</v>
      </c>
      <c r="L807">
        <v>27.4</v>
      </c>
      <c r="M807" s="4">
        <v>100</v>
      </c>
      <c r="N807" s="3" t="str">
        <f>IFERROR(AF807/((T807*X807/Y807)*O807*AI807),"NA")</f>
        <v>NA</v>
      </c>
      <c r="O807">
        <v>20</v>
      </c>
      <c r="P807">
        <v>9.4E-2</v>
      </c>
      <c r="Q807" s="8">
        <f>IFERROR(X807/Y807, "NA")</f>
        <v>4.7123889803846894E-2</v>
      </c>
      <c r="R807" t="s">
        <v>183</v>
      </c>
      <c r="S807" t="s">
        <v>612</v>
      </c>
      <c r="T807" s="11">
        <v>2</v>
      </c>
      <c r="U807">
        <v>10</v>
      </c>
      <c r="V807">
        <v>10</v>
      </c>
      <c r="W807">
        <f>1.57/2</f>
        <v>0.78500000000000003</v>
      </c>
      <c r="X807">
        <f>IFERROR(((PI())*(((V807*10^-1)/2)^2)*(U807*10^-1)), "NA")</f>
        <v>0.78539816339744828</v>
      </c>
      <c r="Y807" s="6">
        <f>60000/3600</f>
        <v>16.666666666666668</v>
      </c>
      <c r="Z807" s="3" t="str">
        <f t="shared" si="391"/>
        <v>NA</v>
      </c>
      <c r="AA807" t="s">
        <v>33</v>
      </c>
      <c r="AB807" s="4">
        <f>IFERROR(((X807*M807)/Y807), "NA")</f>
        <v>4.7123889803846897</v>
      </c>
      <c r="AC807" s="4">
        <f t="shared" si="393"/>
        <v>9.4</v>
      </c>
      <c r="AD807" s="4">
        <f>AB807*T807*AI807</f>
        <v>9.4247779607693793</v>
      </c>
      <c r="AE807" s="3">
        <f t="shared" si="394"/>
        <v>228.12206077090946</v>
      </c>
      <c r="AF807" t="s">
        <v>33</v>
      </c>
      <c r="AG807" s="4">
        <f>IFERROR((M807*O807*P807), "NA")</f>
        <v>188</v>
      </c>
      <c r="AH807" s="4">
        <f>IFERROR((AG807*T807*AI807), "NA")</f>
        <v>376</v>
      </c>
      <c r="AI807">
        <v>1</v>
      </c>
      <c r="AJ807" s="11" t="s">
        <v>31</v>
      </c>
      <c r="AK807">
        <v>1612</v>
      </c>
      <c r="AL807" t="s">
        <v>760</v>
      </c>
      <c r="AM807" t="s">
        <v>103</v>
      </c>
      <c r="AN807" t="s">
        <v>130</v>
      </c>
      <c r="AO807" t="s">
        <v>795</v>
      </c>
      <c r="AP807">
        <v>6.5</v>
      </c>
      <c r="AQ807" t="s">
        <v>33</v>
      </c>
      <c r="AR807" t="s">
        <v>33</v>
      </c>
      <c r="AS807">
        <v>6</v>
      </c>
      <c r="AT807" s="3">
        <f>IFERROR(AS807-AU807,"NA")</f>
        <v>4.8949999999999996</v>
      </c>
      <c r="AU807" s="6">
        <v>1.105</v>
      </c>
      <c r="AV807" t="b">
        <v>1</v>
      </c>
      <c r="AW807" t="s">
        <v>470</v>
      </c>
      <c r="AX807" t="s">
        <v>464</v>
      </c>
      <c r="AY807" t="s">
        <v>33</v>
      </c>
      <c r="AZ807" t="s">
        <v>33</v>
      </c>
      <c r="BA807" s="18" t="s">
        <v>579</v>
      </c>
      <c r="BB807" s="3" t="b">
        <v>1</v>
      </c>
      <c r="BC807" t="s">
        <v>81</v>
      </c>
      <c r="BD807">
        <v>24</v>
      </c>
      <c r="BE807" t="s">
        <v>80</v>
      </c>
      <c r="BF807">
        <v>24</v>
      </c>
      <c r="BG807" t="s">
        <v>139</v>
      </c>
      <c r="BH807" t="s">
        <v>31</v>
      </c>
      <c r="BI807" t="s">
        <v>31</v>
      </c>
      <c r="BJ807" s="3">
        <f t="shared" si="388"/>
        <v>1.105</v>
      </c>
      <c r="BK807" s="3">
        <f t="shared" si="382"/>
        <v>4.3362278021129498E-2</v>
      </c>
      <c r="BL807">
        <v>2</v>
      </c>
      <c r="BM807" s="3">
        <f t="shared" si="401"/>
        <v>2.3148050081664957</v>
      </c>
      <c r="BN807" t="s">
        <v>33</v>
      </c>
      <c r="BO807" s="3">
        <f t="shared" si="387"/>
        <v>206.44530386507643</v>
      </c>
      <c r="BP807" t="s">
        <v>33</v>
      </c>
      <c r="BQ807" t="s">
        <v>33</v>
      </c>
      <c r="BR807" t="s">
        <v>33</v>
      </c>
      <c r="BS807" t="s">
        <v>33</v>
      </c>
      <c r="BT807" t="s">
        <v>32</v>
      </c>
      <c r="BU807" t="s">
        <v>761</v>
      </c>
      <c r="BV807">
        <v>2024</v>
      </c>
      <c r="BW807" t="s">
        <v>762</v>
      </c>
      <c r="BX807" t="s">
        <v>78</v>
      </c>
      <c r="BY807" t="s">
        <v>763</v>
      </c>
      <c r="CA807" t="str">
        <f t="shared" si="389"/>
        <v>low acid</v>
      </c>
    </row>
    <row r="808" spans="1:79">
      <c r="A808" t="s">
        <v>534</v>
      </c>
      <c r="B808" t="s">
        <v>565</v>
      </c>
      <c r="C808" t="s">
        <v>564</v>
      </c>
      <c r="D808" t="s">
        <v>243</v>
      </c>
      <c r="E808" t="s">
        <v>77</v>
      </c>
      <c r="F808" t="s">
        <v>32</v>
      </c>
      <c r="G808">
        <v>40</v>
      </c>
      <c r="H808">
        <v>50.2</v>
      </c>
      <c r="I808" t="b">
        <v>0</v>
      </c>
      <c r="J808" t="s">
        <v>33</v>
      </c>
      <c r="K808" t="s">
        <v>33</v>
      </c>
      <c r="L808">
        <v>21</v>
      </c>
      <c r="M808" s="4">
        <v>120</v>
      </c>
      <c r="N808" s="3">
        <f>IFERROR(AF808/((T808*X808/Y808)*O808*AI808),"NA")</f>
        <v>300.8352803347791</v>
      </c>
      <c r="O808">
        <v>3</v>
      </c>
      <c r="P808" t="s">
        <v>33</v>
      </c>
      <c r="Q808" s="8">
        <f t="shared" ref="Q808:Q814" si="403">IFERROR(X808/Z808, "NA")</f>
        <v>9.5833333333333326E-2</v>
      </c>
      <c r="R808" t="s">
        <v>183</v>
      </c>
      <c r="S808" t="s">
        <v>612</v>
      </c>
      <c r="T808" s="11">
        <v>4</v>
      </c>
      <c r="U808">
        <v>3</v>
      </c>
      <c r="V808">
        <v>2.6</v>
      </c>
      <c r="W808">
        <v>1.5900000000000001E-2</v>
      </c>
      <c r="X808" s="8">
        <f>IFERROR(((PI())*(((V808*10^-1)/2)^2)*(U808*10^-1)), "NA")</f>
        <v>1.5927874753700257E-2</v>
      </c>
      <c r="Y808" s="6">
        <f>25/60</f>
        <v>0.41666666666666669</v>
      </c>
      <c r="Z808" s="3">
        <f t="shared" si="391"/>
        <v>0.166203910473394</v>
      </c>
      <c r="AA808" t="s">
        <v>33</v>
      </c>
      <c r="AB808" s="6">
        <f>IFERROR(((X808*M808)/Z808), "NA")</f>
        <v>11.499999999999998</v>
      </c>
      <c r="AC808" t="str">
        <f t="shared" si="393"/>
        <v>NA</v>
      </c>
      <c r="AD808" s="4">
        <f>IFERROR(AB808*T808*AI808, "NA")</f>
        <v>45.999999999999993</v>
      </c>
      <c r="AE808" s="3">
        <f t="shared" si="394"/>
        <v>55.989359999999998</v>
      </c>
      <c r="AF808">
        <v>138</v>
      </c>
      <c r="AG808" t="str">
        <f>IFERROR((M808*O808*P808), "NA")</f>
        <v>NA</v>
      </c>
      <c r="AH808" t="str">
        <f>IFERROR((AG808*T808*AI808), "NA")</f>
        <v>NA</v>
      </c>
      <c r="AI808" s="11">
        <v>1</v>
      </c>
      <c r="AJ808" t="s">
        <v>31</v>
      </c>
      <c r="AK808">
        <v>920</v>
      </c>
      <c r="AL808" t="s">
        <v>551</v>
      </c>
      <c r="AM808" t="s">
        <v>86</v>
      </c>
      <c r="AN808" t="s">
        <v>186</v>
      </c>
      <c r="AO808" t="s">
        <v>794</v>
      </c>
      <c r="AP808">
        <v>5.92</v>
      </c>
      <c r="AQ808" t="s">
        <v>33</v>
      </c>
      <c r="AR808" t="s">
        <v>33</v>
      </c>
      <c r="AS808" s="6">
        <f>LOG(1.4*10^6)</f>
        <v>6.1461280356782382</v>
      </c>
      <c r="AT808" s="3">
        <f>IFERROR(AS808-AU808,"NA")</f>
        <v>4.8991280356782383</v>
      </c>
      <c r="AU808" s="6">
        <v>1.2470000000000001</v>
      </c>
      <c r="AV808" t="b">
        <v>1</v>
      </c>
      <c r="AW808" t="s">
        <v>29</v>
      </c>
      <c r="AX808" t="s">
        <v>30</v>
      </c>
      <c r="AY808" t="s">
        <v>244</v>
      </c>
      <c r="AZ808" t="s">
        <v>33</v>
      </c>
      <c r="BA808" s="18" t="s">
        <v>798</v>
      </c>
      <c r="BB808" t="b">
        <v>0</v>
      </c>
      <c r="BC808" t="s">
        <v>81</v>
      </c>
      <c r="BD808">
        <v>20</v>
      </c>
      <c r="BE808" t="s">
        <v>80</v>
      </c>
      <c r="BF808" s="11">
        <v>20</v>
      </c>
      <c r="BG808" t="s">
        <v>245</v>
      </c>
      <c r="BH808" t="s">
        <v>31</v>
      </c>
      <c r="BI808" t="s">
        <v>31</v>
      </c>
      <c r="BJ808" s="3">
        <f t="shared" si="388"/>
        <v>1.2470000000000001</v>
      </c>
      <c r="BK808" s="3">
        <f t="shared" si="382"/>
        <v>9.5866453478542654E-2</v>
      </c>
      <c r="BL808">
        <v>2</v>
      </c>
      <c r="BM808" s="3">
        <f t="shared" si="401"/>
        <v>1.6522390497360877</v>
      </c>
      <c r="BN808" t="s">
        <v>33</v>
      </c>
      <c r="BO808" s="3">
        <f t="shared" si="387"/>
        <v>44.899246190858051</v>
      </c>
      <c r="BP808" t="s">
        <v>33</v>
      </c>
      <c r="BQ808" t="s">
        <v>33</v>
      </c>
      <c r="BR808" t="s">
        <v>33</v>
      </c>
      <c r="BS808" t="s">
        <v>33</v>
      </c>
      <c r="BT808" t="s">
        <v>32</v>
      </c>
      <c r="BU808" t="s">
        <v>207</v>
      </c>
      <c r="BV808">
        <v>2014</v>
      </c>
      <c r="BW808" s="2" t="s">
        <v>242</v>
      </c>
      <c r="BX808" t="s">
        <v>78</v>
      </c>
      <c r="BY808" t="s">
        <v>33</v>
      </c>
      <c r="BZ808" t="s">
        <v>33</v>
      </c>
      <c r="CA808" t="str">
        <f t="shared" si="389"/>
        <v>low acid</v>
      </c>
    </row>
    <row r="809" spans="1:79">
      <c r="A809" t="s">
        <v>448</v>
      </c>
      <c r="B809" t="s">
        <v>565</v>
      </c>
      <c r="C809" t="s">
        <v>563</v>
      </c>
      <c r="D809" t="s">
        <v>182</v>
      </c>
      <c r="E809" t="s">
        <v>77</v>
      </c>
      <c r="F809" t="s">
        <v>32</v>
      </c>
      <c r="G809">
        <v>18</v>
      </c>
      <c r="H809">
        <v>48</v>
      </c>
      <c r="I809" t="b">
        <v>1</v>
      </c>
      <c r="J809" t="s">
        <v>33</v>
      </c>
      <c r="K809" t="s">
        <v>33</v>
      </c>
      <c r="L809">
        <v>22</v>
      </c>
      <c r="M809" s="4" t="s">
        <v>33</v>
      </c>
      <c r="N809" s="3">
        <f>IFERROR(AF809/((T809*X809/Y809)*O809*AI809),"NA")</f>
        <v>330.20830099655922</v>
      </c>
      <c r="O809">
        <v>10</v>
      </c>
      <c r="P809">
        <f>0.047/2</f>
        <v>2.35E-2</v>
      </c>
      <c r="Q809" s="8">
        <f t="shared" si="403"/>
        <v>2.3318614270936316E-2</v>
      </c>
      <c r="R809" t="s">
        <v>183</v>
      </c>
      <c r="S809" t="s">
        <v>613</v>
      </c>
      <c r="T809" s="11">
        <v>2</v>
      </c>
      <c r="U809">
        <v>5.6</v>
      </c>
      <c r="V809">
        <v>4.5</v>
      </c>
      <c r="W809" t="s">
        <v>33</v>
      </c>
      <c r="X809" s="9">
        <f>IFERROR(((PI())*(((V809*10^-1)/2)^2)*(U809*10^-1)), "NA")</f>
        <v>8.9064151729270638E-2</v>
      </c>
      <c r="Y809" s="6">
        <f>13750/3600</f>
        <v>3.8194444444444446</v>
      </c>
      <c r="Z809" s="3">
        <f>IFERROR(X809*N809*O809*T809*AI809/AF809, "NA")</f>
        <v>3.8194444444444438</v>
      </c>
      <c r="AA809" t="s">
        <v>33</v>
      </c>
      <c r="AB809" s="4">
        <f>IFERROR(((X809*N809)/Y809), "NA")</f>
        <v>7.6999999999999984</v>
      </c>
      <c r="AC809" s="4">
        <f>IFERROR(N809*P809,"NA")</f>
        <v>7.7598950734191412</v>
      </c>
      <c r="AD809" s="4">
        <f>IFERROR(AB809*T809*AI809, "NA")</f>
        <v>15.399999999999997</v>
      </c>
      <c r="AE809" s="3">
        <f>IFERROR(((L809^2)*N809*O809*AK809*10^-6*Q809*T809*AI809), "NA")</f>
        <v>171.43280000000001</v>
      </c>
      <c r="AF809">
        <v>154</v>
      </c>
      <c r="AG809" s="4">
        <f>IFERROR((N809*O809*P809), "NA")</f>
        <v>77.598950734191419</v>
      </c>
      <c r="AH809" s="4">
        <f>IFERROR((AG809*T809*AI809), "NA")</f>
        <v>155.19790146838284</v>
      </c>
      <c r="AI809" s="11">
        <v>1</v>
      </c>
      <c r="AJ809" t="s">
        <v>31</v>
      </c>
      <c r="AK809">
        <v>2300</v>
      </c>
      <c r="AL809" t="s">
        <v>805</v>
      </c>
      <c r="AM809" t="s">
        <v>515</v>
      </c>
      <c r="AN809" t="s">
        <v>205</v>
      </c>
      <c r="AO809" t="s">
        <v>788</v>
      </c>
      <c r="AP809">
        <v>3.68</v>
      </c>
      <c r="AQ809" t="s">
        <v>33</v>
      </c>
      <c r="AR809" t="s">
        <v>33</v>
      </c>
      <c r="AS809">
        <f>LOG(10^7)</f>
        <v>7</v>
      </c>
      <c r="AT809" s="3">
        <f>IFERROR(AS809-AU809,"NA")</f>
        <v>4.9000000000000004</v>
      </c>
      <c r="AU809" s="6">
        <v>2.1</v>
      </c>
      <c r="AV809" t="b">
        <v>1</v>
      </c>
      <c r="AW809" t="s">
        <v>172</v>
      </c>
      <c r="AX809" t="s">
        <v>173</v>
      </c>
      <c r="AY809" t="s">
        <v>465</v>
      </c>
      <c r="AZ809" t="s">
        <v>33</v>
      </c>
      <c r="BA809" s="18" t="s">
        <v>799</v>
      </c>
      <c r="BB809" t="b">
        <v>0</v>
      </c>
      <c r="BC809" t="s">
        <v>81</v>
      </c>
      <c r="BD809" t="s">
        <v>33</v>
      </c>
      <c r="BE809" t="s">
        <v>80</v>
      </c>
      <c r="BF809" t="s">
        <v>33</v>
      </c>
      <c r="BG809" t="s">
        <v>401</v>
      </c>
      <c r="BH809" t="s">
        <v>31</v>
      </c>
      <c r="BI809" t="s">
        <v>31</v>
      </c>
      <c r="BJ809" s="3">
        <f t="shared" si="388"/>
        <v>2.1</v>
      </c>
      <c r="BK809" s="3">
        <f t="shared" si="382"/>
        <v>0.3222192947339193</v>
      </c>
      <c r="BL809">
        <v>2</v>
      </c>
      <c r="BM809" s="3">
        <f t="shared" si="401"/>
        <v>1.9118746237645492</v>
      </c>
      <c r="BN809" t="s">
        <v>33</v>
      </c>
      <c r="BO809" s="3">
        <f t="shared" si="387"/>
        <v>81.634666666666675</v>
      </c>
      <c r="BP809" t="s">
        <v>33</v>
      </c>
      <c r="BQ809" t="s">
        <v>33</v>
      </c>
      <c r="BR809" t="s">
        <v>33</v>
      </c>
      <c r="BS809" t="s">
        <v>33</v>
      </c>
      <c r="BT809" t="s">
        <v>32</v>
      </c>
      <c r="BU809" t="s">
        <v>484</v>
      </c>
      <c r="BV809">
        <v>2015</v>
      </c>
      <c r="BW809" t="s">
        <v>485</v>
      </c>
      <c r="BX809" t="s">
        <v>78</v>
      </c>
      <c r="BY809" t="s">
        <v>486</v>
      </c>
      <c r="BZ809" t="s">
        <v>780</v>
      </c>
      <c r="CA809" t="str">
        <f t="shared" si="389"/>
        <v>high acid</v>
      </c>
    </row>
    <row r="810" spans="1:79">
      <c r="A810" t="s">
        <v>605</v>
      </c>
      <c r="B810" t="s">
        <v>565</v>
      </c>
      <c r="C810" t="s">
        <v>563</v>
      </c>
      <c r="D810" t="s">
        <v>118</v>
      </c>
      <c r="E810" t="s">
        <v>77</v>
      </c>
      <c r="F810" t="s">
        <v>33</v>
      </c>
      <c r="G810" t="s">
        <v>33</v>
      </c>
      <c r="H810" t="s">
        <v>33</v>
      </c>
      <c r="I810" t="b">
        <v>0</v>
      </c>
      <c r="J810" t="s">
        <v>33</v>
      </c>
      <c r="K810" t="s">
        <v>33</v>
      </c>
      <c r="L810">
        <v>23</v>
      </c>
      <c r="M810" s="4">
        <v>500</v>
      </c>
      <c r="N810" t="e">
        <f>(#REF!*Y810)/(T810*X810*O810)</f>
        <v>#REF!</v>
      </c>
      <c r="O810">
        <v>3</v>
      </c>
      <c r="P810" t="s">
        <v>33</v>
      </c>
      <c r="Q810" s="1">
        <f t="shared" si="403"/>
        <v>1.4555555555555556E-2</v>
      </c>
      <c r="R810" t="s">
        <v>183</v>
      </c>
      <c r="S810" t="s">
        <v>613</v>
      </c>
      <c r="T810">
        <v>6</v>
      </c>
      <c r="U810">
        <v>2.9</v>
      </c>
      <c r="V810">
        <v>2.2999999999999998</v>
      </c>
      <c r="W810" t="s">
        <v>33</v>
      </c>
      <c r="X810">
        <f>IFERROR(((PI())*(((V810*10^-1)/2)^2)*(U810*10^-1)), "NA")</f>
        <v>1.204879322468025E-2</v>
      </c>
      <c r="Y810">
        <v>0.83333299999999999</v>
      </c>
      <c r="Z810" s="3">
        <f>IFERROR(X810*M810*O810*T810*AI810/AF810, "NA")</f>
        <v>0.82777968719177286</v>
      </c>
      <c r="AA810" t="s">
        <v>33</v>
      </c>
      <c r="AB810">
        <f>IFERROR(((X810*M810)/Z810), "NA")</f>
        <v>7.2777777777777786</v>
      </c>
      <c r="AC810" s="1" t="str">
        <f t="shared" ref="AC810:AC825" si="404">IFERROR(M810*P810,"NA")</f>
        <v>NA</v>
      </c>
      <c r="AE810" s="3">
        <f t="shared" ref="AE810:AE825" si="405">IFERROR(((L810^2)*M810*O810*AK810*10^-6*Q810*T810*AI810), "NA")</f>
        <v>267.49414000000002</v>
      </c>
      <c r="AF810">
        <v>131</v>
      </c>
      <c r="AG810" s="1" t="str">
        <f>IFERROR((N810*P810*Q810), "NA")</f>
        <v>NA</v>
      </c>
      <c r="AH810" s="1" t="str">
        <f>IFERROR((AG810*U810*AI810), "NA")</f>
        <v>NA</v>
      </c>
      <c r="AI810" s="1">
        <v>1</v>
      </c>
      <c r="AJ810" s="11" t="s">
        <v>31</v>
      </c>
      <c r="AK810">
        <f>3.86*10^3</f>
        <v>3860</v>
      </c>
      <c r="AL810" t="s">
        <v>138</v>
      </c>
      <c r="AM810" t="s">
        <v>86</v>
      </c>
      <c r="AN810" t="s">
        <v>205</v>
      </c>
      <c r="AO810" t="s">
        <v>789</v>
      </c>
      <c r="AP810">
        <v>3.9</v>
      </c>
      <c r="AQ810" t="s">
        <v>33</v>
      </c>
      <c r="AR810" t="s">
        <v>33</v>
      </c>
      <c r="AS810">
        <v>7.78</v>
      </c>
      <c r="AT810">
        <v>4.9000000000000004</v>
      </c>
      <c r="AU810" s="6">
        <f>AS810-AT810</f>
        <v>2.88</v>
      </c>
      <c r="AV810" t="b">
        <v>1</v>
      </c>
      <c r="AW810" t="s">
        <v>632</v>
      </c>
      <c r="AX810" t="s">
        <v>639</v>
      </c>
      <c r="AY810" t="s">
        <v>33</v>
      </c>
      <c r="AZ810" t="s">
        <v>33</v>
      </c>
      <c r="BA810" s="18" t="s">
        <v>803</v>
      </c>
      <c r="BB810" s="3" t="b">
        <v>0</v>
      </c>
      <c r="BC810" t="s">
        <v>81</v>
      </c>
      <c r="BD810">
        <f>AVERAGE(24, 48)</f>
        <v>36</v>
      </c>
      <c r="BE810" t="s">
        <v>80</v>
      </c>
      <c r="BF810">
        <v>48</v>
      </c>
      <c r="BG810" t="s">
        <v>647</v>
      </c>
      <c r="BH810" t="s">
        <v>31</v>
      </c>
      <c r="BI810" t="s">
        <v>31</v>
      </c>
      <c r="BJ810" s="3">
        <f t="shared" si="388"/>
        <v>2.88</v>
      </c>
      <c r="BK810" s="3">
        <f t="shared" si="382"/>
        <v>0.45939248775923086</v>
      </c>
      <c r="BL810">
        <v>2</v>
      </c>
      <c r="BM810" s="3">
        <f t="shared" si="401"/>
        <v>1.9679217846034742</v>
      </c>
      <c r="BN810" t="s">
        <v>33</v>
      </c>
      <c r="BO810" s="3">
        <f t="shared" si="387"/>
        <v>92.879909722222237</v>
      </c>
      <c r="BP810" t="s">
        <v>33</v>
      </c>
      <c r="BQ810" t="s">
        <v>33</v>
      </c>
      <c r="BR810" t="s">
        <v>33</v>
      </c>
      <c r="BS810" t="s">
        <v>33</v>
      </c>
      <c r="BT810" t="s">
        <v>31</v>
      </c>
      <c r="BU810" s="13" t="s">
        <v>135</v>
      </c>
      <c r="BV810" s="14">
        <v>2009</v>
      </c>
      <c r="BW810" s="13" t="s">
        <v>136</v>
      </c>
      <c r="BX810" t="s">
        <v>78</v>
      </c>
      <c r="BY810" s="13" t="s">
        <v>692</v>
      </c>
      <c r="BZ810" t="s">
        <v>780</v>
      </c>
      <c r="CA810" t="str">
        <f t="shared" si="389"/>
        <v>high acid</v>
      </c>
    </row>
    <row r="811" spans="1:79">
      <c r="A811" t="s">
        <v>254</v>
      </c>
      <c r="B811" t="s">
        <v>566</v>
      </c>
      <c r="C811" t="s">
        <v>563</v>
      </c>
      <c r="D811" t="s">
        <v>33</v>
      </c>
      <c r="E811" t="s">
        <v>77</v>
      </c>
      <c r="F811" t="s">
        <v>32</v>
      </c>
      <c r="G811">
        <v>20</v>
      </c>
      <c r="H811">
        <v>54.4</v>
      </c>
      <c r="I811" t="b">
        <v>1</v>
      </c>
      <c r="J811" t="s">
        <v>33</v>
      </c>
      <c r="K811" t="s">
        <v>33</v>
      </c>
      <c r="L811">
        <v>20</v>
      </c>
      <c r="M811" s="4">
        <v>52</v>
      </c>
      <c r="N811" s="3">
        <f>IFERROR(AF811/((T811*X811/Y811)*O811*AI811),"NA")</f>
        <v>51.944234483917029</v>
      </c>
      <c r="O811">
        <v>3</v>
      </c>
      <c r="P811" t="s">
        <v>33</v>
      </c>
      <c r="Q811" s="8">
        <f t="shared" si="403"/>
        <v>0.79294871794871802</v>
      </c>
      <c r="R811" t="s">
        <v>183</v>
      </c>
      <c r="S811" t="s">
        <v>612</v>
      </c>
      <c r="T811" s="11">
        <v>1</v>
      </c>
      <c r="U811">
        <v>4.5</v>
      </c>
      <c r="V811" t="s">
        <v>33</v>
      </c>
      <c r="W811" t="s">
        <v>33</v>
      </c>
      <c r="X811">
        <f>U811*0.1*1.47</f>
        <v>0.66149999999999998</v>
      </c>
      <c r="Y811" s="6">
        <f>3000/3600</f>
        <v>0.83333333333333337</v>
      </c>
      <c r="Z811" s="3">
        <f>IFERROR(X811*M811*O811*T811*AI811/AF811, "NA")</f>
        <v>0.83422797089733214</v>
      </c>
      <c r="AA811" t="s">
        <v>33</v>
      </c>
      <c r="AB811" s="6">
        <f>IFERROR(((X811*M811)/Z811), "NA")</f>
        <v>41.233333333333334</v>
      </c>
      <c r="AC811" t="str">
        <f t="shared" si="404"/>
        <v>NA</v>
      </c>
      <c r="AD811" s="4">
        <f>IFERROR(AB811*T811*AI811, "NA")</f>
        <v>41.233333333333334</v>
      </c>
      <c r="AE811" s="3">
        <f t="shared" si="405"/>
        <v>133.596</v>
      </c>
      <c r="AF811">
        <v>123.7</v>
      </c>
      <c r="AG811" t="str">
        <f>IFERROR((M811*O811*P811), "NA")</f>
        <v>NA</v>
      </c>
      <c r="AH811" t="str">
        <f>IFERROR((AG811*T811*AI811), "NA")</f>
        <v>NA</v>
      </c>
      <c r="AI811" s="11">
        <v>1</v>
      </c>
      <c r="AJ811" t="s">
        <v>31</v>
      </c>
      <c r="AK811" s="11">
        <v>2700</v>
      </c>
      <c r="AL811" t="s">
        <v>149</v>
      </c>
      <c r="AM811" t="s">
        <v>86</v>
      </c>
      <c r="AN811" t="s">
        <v>205</v>
      </c>
      <c r="AO811" t="s">
        <v>789</v>
      </c>
      <c r="AP811">
        <v>3.5</v>
      </c>
      <c r="AQ811" t="s">
        <v>33</v>
      </c>
      <c r="AR811" t="s">
        <v>33</v>
      </c>
      <c r="AS811" s="6">
        <f>LOG(10^8)</f>
        <v>8</v>
      </c>
      <c r="AT811" s="3">
        <f>IFERROR(AS811-AU811,"NA")</f>
        <v>4.9000000000000004</v>
      </c>
      <c r="AU811" s="6">
        <v>3.1</v>
      </c>
      <c r="AV811" t="b">
        <v>1</v>
      </c>
      <c r="AW811" t="s">
        <v>29</v>
      </c>
      <c r="AX811" t="s">
        <v>30</v>
      </c>
      <c r="AY811" t="s">
        <v>33</v>
      </c>
      <c r="AZ811" t="s">
        <v>134</v>
      </c>
      <c r="BA811" s="18" t="s">
        <v>798</v>
      </c>
      <c r="BB811" t="b">
        <v>0</v>
      </c>
      <c r="BC811" t="s">
        <v>81</v>
      </c>
      <c r="BD811">
        <v>12</v>
      </c>
      <c r="BE811" t="s">
        <v>80</v>
      </c>
      <c r="BF811" s="11">
        <v>48</v>
      </c>
      <c r="BG811" t="s">
        <v>569</v>
      </c>
      <c r="BH811" t="s">
        <v>31</v>
      </c>
      <c r="BI811" t="s">
        <v>31</v>
      </c>
      <c r="BJ811" s="3">
        <f t="shared" si="388"/>
        <v>3.1</v>
      </c>
      <c r="BK811" s="3">
        <f t="shared" si="382"/>
        <v>0.49136169383427269</v>
      </c>
      <c r="BL811">
        <v>2</v>
      </c>
      <c r="BM811" s="3">
        <f t="shared" si="401"/>
        <v>1.6344317612817976</v>
      </c>
      <c r="BN811" t="s">
        <v>33</v>
      </c>
      <c r="BO811" s="3">
        <f t="shared" si="387"/>
        <v>43.09548387096774</v>
      </c>
      <c r="BP811" t="s">
        <v>33</v>
      </c>
      <c r="BQ811" t="s">
        <v>33</v>
      </c>
      <c r="BR811" t="s">
        <v>33</v>
      </c>
      <c r="BS811" t="s">
        <v>33</v>
      </c>
      <c r="BT811" t="s">
        <v>32</v>
      </c>
      <c r="BU811" t="s">
        <v>255</v>
      </c>
      <c r="BV811">
        <v>2011</v>
      </c>
      <c r="BW811" s="2" t="s">
        <v>256</v>
      </c>
      <c r="BX811" t="s">
        <v>78</v>
      </c>
      <c r="BY811" t="s">
        <v>33</v>
      </c>
      <c r="BZ811" t="s">
        <v>33</v>
      </c>
      <c r="CA811" t="str">
        <f t="shared" si="389"/>
        <v>high acid</v>
      </c>
    </row>
    <row r="812" spans="1:79">
      <c r="A812" t="s">
        <v>584</v>
      </c>
      <c r="B812" t="s">
        <v>566</v>
      </c>
      <c r="C812" t="s">
        <v>563</v>
      </c>
      <c r="D812" t="s">
        <v>607</v>
      </c>
      <c r="E812" t="s">
        <v>77</v>
      </c>
      <c r="F812" t="s">
        <v>33</v>
      </c>
      <c r="G812">
        <v>20</v>
      </c>
      <c r="H812">
        <v>35</v>
      </c>
      <c r="I812" t="b">
        <v>0</v>
      </c>
      <c r="J812">
        <v>1000</v>
      </c>
      <c r="K812">
        <v>200</v>
      </c>
      <c r="L812">
        <v>30</v>
      </c>
      <c r="M812" s="4">
        <v>1</v>
      </c>
      <c r="N812" t="e">
        <f>(#REF!*Y812)/(T812*X812*O812)</f>
        <v>#REF!</v>
      </c>
      <c r="O812">
        <v>3</v>
      </c>
      <c r="P812" t="s">
        <v>33</v>
      </c>
      <c r="Q812" s="1">
        <f t="shared" si="403"/>
        <v>25.000000000000004</v>
      </c>
      <c r="R812" t="s">
        <v>183</v>
      </c>
      <c r="S812" t="s">
        <v>33</v>
      </c>
      <c r="T812">
        <v>1</v>
      </c>
      <c r="U812">
        <v>2.5</v>
      </c>
      <c r="V812" t="s">
        <v>33</v>
      </c>
      <c r="W812">
        <v>0.50249999999999995</v>
      </c>
      <c r="X812">
        <f>W812</f>
        <v>0.50249999999999995</v>
      </c>
      <c r="Y812" t="s">
        <v>33</v>
      </c>
      <c r="Z812" s="3">
        <f>IFERROR(X812*M812*O812*T812*AI812/AF812, "NA")</f>
        <v>2.0099999999999996E-2</v>
      </c>
      <c r="AA812" t="s">
        <v>33</v>
      </c>
      <c r="AB812">
        <f>IFERROR(((X812*M812)/Z812), "NA")</f>
        <v>25.000000000000004</v>
      </c>
      <c r="AC812" s="1" t="str">
        <f t="shared" si="404"/>
        <v>NA</v>
      </c>
      <c r="AE812" s="3">
        <f t="shared" si="405"/>
        <v>67.5</v>
      </c>
      <c r="AF812">
        <v>75</v>
      </c>
      <c r="AG812" s="1" t="str">
        <f>IFERROR((N812*P812*Q812), "NA")</f>
        <v>NA</v>
      </c>
      <c r="AH812" s="1" t="str">
        <f>IFERROR((AG812*U812*AI812), "NA")</f>
        <v>NA</v>
      </c>
      <c r="AI812" s="1">
        <v>1</v>
      </c>
      <c r="AJ812" s="11" t="s">
        <v>31</v>
      </c>
      <c r="AK812">
        <v>1000</v>
      </c>
      <c r="AL812" t="s">
        <v>614</v>
      </c>
      <c r="AM812" s="3" t="s">
        <v>103</v>
      </c>
      <c r="AN812" t="s">
        <v>305</v>
      </c>
      <c r="AO812" t="s">
        <v>790</v>
      </c>
      <c r="AP812">
        <v>3.5</v>
      </c>
      <c r="AQ812" t="s">
        <v>33</v>
      </c>
      <c r="AR812" t="s">
        <v>33</v>
      </c>
      <c r="AS812">
        <v>8</v>
      </c>
      <c r="AT812">
        <f>AS812-AU812</f>
        <v>4.9000000000000004</v>
      </c>
      <c r="AU812" s="6">
        <v>3.1</v>
      </c>
      <c r="AV812" t="b">
        <v>1</v>
      </c>
      <c r="AW812" t="s">
        <v>617</v>
      </c>
      <c r="AX812" t="s">
        <v>33</v>
      </c>
      <c r="AY812" t="s">
        <v>623</v>
      </c>
      <c r="AZ812" t="s">
        <v>621</v>
      </c>
      <c r="BA812" s="18" t="s">
        <v>802</v>
      </c>
      <c r="BB812" s="3" t="b">
        <v>0</v>
      </c>
      <c r="BC812" t="s">
        <v>81</v>
      </c>
      <c r="BD812">
        <v>18</v>
      </c>
      <c r="BE812" t="s">
        <v>80</v>
      </c>
      <c r="BF812">
        <v>24</v>
      </c>
      <c r="BG812" t="s">
        <v>569</v>
      </c>
      <c r="BH812" t="s">
        <v>31</v>
      </c>
      <c r="BI812" t="s">
        <v>31</v>
      </c>
      <c r="BJ812">
        <f t="shared" si="388"/>
        <v>3.1</v>
      </c>
      <c r="BK812" s="3">
        <f t="shared" si="382"/>
        <v>0.49136169383427269</v>
      </c>
      <c r="BL812">
        <v>2</v>
      </c>
      <c r="BM812" s="3">
        <f t="shared" si="401"/>
        <v>1.3379420789967522</v>
      </c>
      <c r="BN812" t="s">
        <v>33</v>
      </c>
      <c r="BO812" s="3">
        <f t="shared" si="387"/>
        <v>21.774193548387096</v>
      </c>
      <c r="BP812" t="s">
        <v>33</v>
      </c>
      <c r="BQ812" t="s">
        <v>33</v>
      </c>
      <c r="BR812" t="s">
        <v>33</v>
      </c>
      <c r="BS812" t="s">
        <v>33</v>
      </c>
      <c r="BT812" t="s">
        <v>31</v>
      </c>
      <c r="BU812" t="s">
        <v>255</v>
      </c>
      <c r="BV812">
        <v>2010</v>
      </c>
      <c r="BW812" t="s">
        <v>651</v>
      </c>
      <c r="BX812" t="s">
        <v>78</v>
      </c>
      <c r="BY812" s="13" t="s">
        <v>674</v>
      </c>
      <c r="CA812" t="str">
        <f t="shared" si="389"/>
        <v>high acid</v>
      </c>
    </row>
    <row r="813" spans="1:79">
      <c r="A813" t="s">
        <v>232</v>
      </c>
      <c r="B813" t="s">
        <v>565</v>
      </c>
      <c r="C813" t="s">
        <v>563</v>
      </c>
      <c r="D813" t="s">
        <v>33</v>
      </c>
      <c r="E813" t="s">
        <v>77</v>
      </c>
      <c r="F813" t="s">
        <v>32</v>
      </c>
      <c r="G813">
        <v>30</v>
      </c>
      <c r="H813">
        <v>61</v>
      </c>
      <c r="I813" t="b">
        <v>1</v>
      </c>
      <c r="J813" t="s">
        <v>33</v>
      </c>
      <c r="K813" t="s">
        <v>33</v>
      </c>
      <c r="L813">
        <v>30</v>
      </c>
      <c r="M813" s="4">
        <v>500</v>
      </c>
      <c r="N813" s="3">
        <f>IFERROR(AF813/((T813*X813/Y813)*O813*AI813),"NA")</f>
        <v>521.04864189465479</v>
      </c>
      <c r="O813">
        <v>4</v>
      </c>
      <c r="P813" t="s">
        <v>33</v>
      </c>
      <c r="Q813" s="8">
        <f t="shared" si="403"/>
        <v>1.3333333333333332E-2</v>
      </c>
      <c r="R813" t="s">
        <v>183</v>
      </c>
      <c r="S813" t="s">
        <v>613</v>
      </c>
      <c r="T813" s="11">
        <v>6</v>
      </c>
      <c r="U813">
        <v>2.2999999999999998</v>
      </c>
      <c r="V813">
        <v>2.2000000000000002</v>
      </c>
      <c r="W813" t="s">
        <v>33</v>
      </c>
      <c r="X813" s="8">
        <f>IFERROR(((PI())*(((V813*10^-1)/2)^2)*(U813*10^-1)), "NA")</f>
        <v>8.7430523549403959E-3</v>
      </c>
      <c r="Y813" s="6">
        <f>41/60</f>
        <v>0.68333333333333335</v>
      </c>
      <c r="Z813" s="3">
        <f>IFERROR(X813*M813*O813*T813*AI813/AF813, "NA")</f>
        <v>0.65572892662052973</v>
      </c>
      <c r="AA813" s="3">
        <f>40/6</f>
        <v>6.666666666666667</v>
      </c>
      <c r="AB813" s="6">
        <f>IFERROR(((X813*M813)/Z813), "NA")</f>
        <v>6.6666666666666661</v>
      </c>
      <c r="AC813" t="str">
        <f t="shared" si="404"/>
        <v>NA</v>
      </c>
      <c r="AD813" s="4">
        <f>AB813*T813*AI813</f>
        <v>40</v>
      </c>
      <c r="AE813" s="3">
        <f t="shared" si="405"/>
        <v>576</v>
      </c>
      <c r="AF813">
        <v>160</v>
      </c>
      <c r="AG813" t="str">
        <f>IFERROR((M813*O813*P813), "NA")</f>
        <v>NA</v>
      </c>
      <c r="AH813" t="str">
        <f>IFERROR((AG813*T813*AI813), "NA")</f>
        <v>NA</v>
      </c>
      <c r="AI813">
        <v>1</v>
      </c>
      <c r="AJ813" t="s">
        <v>31</v>
      </c>
      <c r="AK813">
        <v>4000</v>
      </c>
      <c r="AL813" t="s">
        <v>546</v>
      </c>
      <c r="AM813" t="s">
        <v>103</v>
      </c>
      <c r="AN813" t="s">
        <v>130</v>
      </c>
      <c r="AO813" t="s">
        <v>795</v>
      </c>
      <c r="AP813">
        <v>5</v>
      </c>
      <c r="AQ813" t="s">
        <v>33</v>
      </c>
      <c r="AR813" t="s">
        <v>33</v>
      </c>
      <c r="AS813" s="6">
        <v>8.3000000000000007</v>
      </c>
      <c r="AT813" s="3">
        <f>IFERROR(AS813-AU813,"NA")</f>
        <v>4.9000000000000004</v>
      </c>
      <c r="AU813" s="6">
        <v>3.4</v>
      </c>
      <c r="AV813" t="b">
        <v>1</v>
      </c>
      <c r="AW813" t="s">
        <v>233</v>
      </c>
      <c r="AX813" t="s">
        <v>234</v>
      </c>
      <c r="AY813" t="s">
        <v>235</v>
      </c>
      <c r="AZ813" t="s">
        <v>33</v>
      </c>
      <c r="BA813" s="18" t="s">
        <v>579</v>
      </c>
      <c r="BB813" t="b">
        <v>1</v>
      </c>
      <c r="BC813" t="s">
        <v>81</v>
      </c>
      <c r="BD813">
        <v>17</v>
      </c>
      <c r="BE813" t="s">
        <v>80</v>
      </c>
      <c r="BF813" s="11">
        <v>120</v>
      </c>
      <c r="BG813" t="s">
        <v>395</v>
      </c>
      <c r="BH813" t="s">
        <v>31</v>
      </c>
      <c r="BI813" t="s">
        <v>32</v>
      </c>
      <c r="BJ813" s="3">
        <f t="shared" si="388"/>
        <v>3.4</v>
      </c>
      <c r="BK813" s="3">
        <f t="shared" si="382"/>
        <v>0.53147891704225514</v>
      </c>
      <c r="BL813">
        <v>2</v>
      </c>
      <c r="BM813" s="3">
        <f t="shared" si="401"/>
        <v>2.2289435663809569</v>
      </c>
      <c r="BN813" t="s">
        <v>33</v>
      </c>
      <c r="BO813" s="3">
        <f t="shared" si="387"/>
        <v>169.41176470588235</v>
      </c>
      <c r="BP813" t="s">
        <v>33</v>
      </c>
      <c r="BQ813" t="s">
        <v>33</v>
      </c>
      <c r="BR813" t="s">
        <v>33</v>
      </c>
      <c r="BS813" t="s">
        <v>33</v>
      </c>
      <c r="BT813" t="s">
        <v>31</v>
      </c>
      <c r="BU813" t="s">
        <v>227</v>
      </c>
      <c r="BV813">
        <v>2001</v>
      </c>
      <c r="BW813" t="s">
        <v>228</v>
      </c>
      <c r="BX813" t="s">
        <v>78</v>
      </c>
      <c r="BY813" t="s">
        <v>33</v>
      </c>
      <c r="BZ813" t="s">
        <v>33</v>
      </c>
      <c r="CA813" t="str">
        <f t="shared" si="389"/>
        <v>low acid</v>
      </c>
    </row>
    <row r="814" spans="1:79">
      <c r="A814" t="s">
        <v>311</v>
      </c>
      <c r="B814" t="s">
        <v>565</v>
      </c>
      <c r="C814" t="s">
        <v>563</v>
      </c>
      <c r="D814" t="s">
        <v>33</v>
      </c>
      <c r="E814" t="s">
        <v>77</v>
      </c>
      <c r="F814" t="s">
        <v>32</v>
      </c>
      <c r="G814">
        <v>5</v>
      </c>
      <c r="H814">
        <v>52</v>
      </c>
      <c r="I814" t="b">
        <v>0</v>
      </c>
      <c r="J814" t="s">
        <v>33</v>
      </c>
      <c r="K814" t="s">
        <v>33</v>
      </c>
      <c r="L814">
        <v>60</v>
      </c>
      <c r="M814" s="4">
        <v>60</v>
      </c>
      <c r="N814" s="3">
        <f>IFERROR(AF814/((T814*X814/Y814)*O814*AI814),"NA")</f>
        <v>59.523809523809526</v>
      </c>
      <c r="O814">
        <v>3.5</v>
      </c>
      <c r="P814" t="s">
        <v>33</v>
      </c>
      <c r="Q814">
        <f t="shared" si="403"/>
        <v>3.7500000000000006E-2</v>
      </c>
      <c r="R814" t="s">
        <v>278</v>
      </c>
      <c r="S814" t="s">
        <v>613</v>
      </c>
      <c r="T814" s="11">
        <v>2</v>
      </c>
      <c r="U814" t="s">
        <v>33</v>
      </c>
      <c r="V814" t="s">
        <v>33</v>
      </c>
      <c r="W814">
        <v>1.26E-2</v>
      </c>
      <c r="X814" s="8">
        <f>W814</f>
        <v>1.26E-2</v>
      </c>
      <c r="Y814" s="6">
        <f>20/60</f>
        <v>0.33333333333333331</v>
      </c>
      <c r="Z814" s="3">
        <f>IFERROR(X814*M814*O814*T814*AI814/AF814, "NA")</f>
        <v>0.33599999999999997</v>
      </c>
      <c r="AA814">
        <f>4.5/2</f>
        <v>2.25</v>
      </c>
      <c r="AB814" s="6">
        <f>IFERROR(((X814*M814)/Y814), "NA")</f>
        <v>2.2680000000000002</v>
      </c>
      <c r="AC814" t="str">
        <f t="shared" si="404"/>
        <v>NA</v>
      </c>
      <c r="AD814" s="4">
        <f>IFERROR(AB814*T814*AI814, "NA")</f>
        <v>4.5360000000000005</v>
      </c>
      <c r="AE814" s="3">
        <f t="shared" si="405"/>
        <v>133.81200000000001</v>
      </c>
      <c r="AF814">
        <f>AA814*O814*T814</f>
        <v>15.75</v>
      </c>
      <c r="AG814" t="str">
        <f>IFERROR((M814*O814*P814), "NA")</f>
        <v>NA</v>
      </c>
      <c r="AH814" t="str">
        <f>IFERROR((AG814*T814*AI814), "NA")</f>
        <v>NA</v>
      </c>
      <c r="AI814">
        <v>1</v>
      </c>
      <c r="AJ814" t="s">
        <v>31</v>
      </c>
      <c r="AK814">
        <v>2360</v>
      </c>
      <c r="AL814" t="s">
        <v>149</v>
      </c>
      <c r="AM814" t="s">
        <v>86</v>
      </c>
      <c r="AN814" t="s">
        <v>205</v>
      </c>
      <c r="AO814" t="s">
        <v>789</v>
      </c>
      <c r="AP814">
        <v>3.8</v>
      </c>
      <c r="AQ814" t="s">
        <v>33</v>
      </c>
      <c r="AR814" t="s">
        <v>33</v>
      </c>
      <c r="AS814" s="3">
        <f>LOG(10^6)</f>
        <v>6</v>
      </c>
      <c r="AT814" s="3">
        <f>IFERROR(AS814-AU814,"NA")</f>
        <v>4.9039999999999999</v>
      </c>
      <c r="AU814" s="6">
        <v>1.0960000000000001</v>
      </c>
      <c r="AV814" t="b">
        <v>1</v>
      </c>
      <c r="AW814" t="s">
        <v>29</v>
      </c>
      <c r="AX814" t="s">
        <v>30</v>
      </c>
      <c r="AY814" t="s">
        <v>307</v>
      </c>
      <c r="AZ814" t="s">
        <v>33</v>
      </c>
      <c r="BA814" s="18" t="s">
        <v>798</v>
      </c>
      <c r="BB814" t="b">
        <v>0</v>
      </c>
      <c r="BC814" t="s">
        <v>81</v>
      </c>
      <c r="BD814">
        <v>18</v>
      </c>
      <c r="BE814" t="s">
        <v>80</v>
      </c>
      <c r="BF814" s="11">
        <v>48</v>
      </c>
      <c r="BG814" t="s">
        <v>308</v>
      </c>
      <c r="BH814" t="s">
        <v>31</v>
      </c>
      <c r="BI814" t="s">
        <v>31</v>
      </c>
      <c r="BJ814" s="3">
        <f t="shared" si="388"/>
        <v>1.0960000000000001</v>
      </c>
      <c r="BK814" s="3">
        <f t="shared" si="382"/>
        <v>3.9810554148350386E-2</v>
      </c>
      <c r="BL814">
        <v>2</v>
      </c>
      <c r="BM814" s="3">
        <f t="shared" si="401"/>
        <v>2.0866845077146627</v>
      </c>
      <c r="BN814" t="s">
        <v>33</v>
      </c>
      <c r="BO814" s="3">
        <f t="shared" si="387"/>
        <v>122.0912408759124</v>
      </c>
      <c r="BP814" t="s">
        <v>33</v>
      </c>
      <c r="BQ814" t="s">
        <v>33</v>
      </c>
      <c r="BR814" t="s">
        <v>33</v>
      </c>
      <c r="BS814" t="s">
        <v>33</v>
      </c>
      <c r="BT814" t="s">
        <v>31</v>
      </c>
      <c r="BU814" t="s">
        <v>309</v>
      </c>
      <c r="BV814">
        <v>2011</v>
      </c>
      <c r="BW814" s="2" t="s">
        <v>312</v>
      </c>
      <c r="BX814" t="s">
        <v>78</v>
      </c>
      <c r="BY814" t="s">
        <v>310</v>
      </c>
      <c r="BZ814" t="s">
        <v>33</v>
      </c>
      <c r="CA814" t="str">
        <f t="shared" si="389"/>
        <v>high acid</v>
      </c>
    </row>
    <row r="815" spans="1:79">
      <c r="A815" t="s">
        <v>764</v>
      </c>
      <c r="B815" t="s">
        <v>566</v>
      </c>
      <c r="C815" t="s">
        <v>563</v>
      </c>
      <c r="D815" t="s">
        <v>765</v>
      </c>
      <c r="E815" t="s">
        <v>77</v>
      </c>
      <c r="F815" t="s">
        <v>31</v>
      </c>
      <c r="G815">
        <v>22</v>
      </c>
      <c r="H815">
        <v>34</v>
      </c>
      <c r="I815" t="b">
        <v>0</v>
      </c>
      <c r="J815" t="s">
        <v>33</v>
      </c>
      <c r="K815" t="s">
        <v>33</v>
      </c>
      <c r="L815">
        <v>20</v>
      </c>
      <c r="M815" s="4">
        <f>N815</f>
        <v>13.896604938271608</v>
      </c>
      <c r="N815" s="3">
        <f>IFERROR(AF815/((T815*X815/Y815)*O815*AI815),"NA")</f>
        <v>13.896604938271608</v>
      </c>
      <c r="O815">
        <v>3</v>
      </c>
      <c r="P815">
        <v>4.3</v>
      </c>
      <c r="Q815" s="8">
        <f>IFERROR(X815/Y815, "NA")</f>
        <v>4.3199999999999994</v>
      </c>
      <c r="R815" t="s">
        <v>183</v>
      </c>
      <c r="S815" t="s">
        <v>33</v>
      </c>
      <c r="T815" s="11">
        <v>1</v>
      </c>
      <c r="U815">
        <v>8.1000000000000003E-2</v>
      </c>
      <c r="V815" t="s">
        <v>33</v>
      </c>
      <c r="W815">
        <v>7.1999999999999998E-3</v>
      </c>
      <c r="X815">
        <f>W815</f>
        <v>7.1999999999999998E-3</v>
      </c>
      <c r="Y815" s="6">
        <f>0.1/60</f>
        <v>1.6666666666666668E-3</v>
      </c>
      <c r="Z815" s="6">
        <f>Y815</f>
        <v>1.6666666666666668E-3</v>
      </c>
      <c r="AA815" t="s">
        <v>33</v>
      </c>
      <c r="AB815" s="4">
        <f>IFERROR(((X815*M815)/Y815), "NA")</f>
        <v>60.033333333333346</v>
      </c>
      <c r="AC815" s="4">
        <f t="shared" si="404"/>
        <v>59.755401234567913</v>
      </c>
      <c r="AD815" s="4">
        <f>AB815*T815*AI815</f>
        <v>60.033333333333346</v>
      </c>
      <c r="AE815" s="3">
        <f t="shared" si="405"/>
        <v>216.11999999999998</v>
      </c>
      <c r="AF815">
        <v>180.1</v>
      </c>
      <c r="AG815" s="4">
        <f>IFERROR((M815*O815*P815), "NA")</f>
        <v>179.26620370370372</v>
      </c>
      <c r="AH815" s="4">
        <f>IFERROR((AG815*T815*AI815), "NA")</f>
        <v>179.26620370370372</v>
      </c>
      <c r="AI815">
        <v>1</v>
      </c>
      <c r="AJ815" s="11" t="s">
        <v>31</v>
      </c>
      <c r="AK815">
        <v>3000</v>
      </c>
      <c r="AL815" t="s">
        <v>169</v>
      </c>
      <c r="AM815" t="s">
        <v>103</v>
      </c>
      <c r="AN815" t="s">
        <v>130</v>
      </c>
      <c r="AO815" t="s">
        <v>795</v>
      </c>
      <c r="AP815">
        <v>7.3</v>
      </c>
      <c r="AQ815" t="s">
        <v>33</v>
      </c>
      <c r="AR815" t="s">
        <v>33</v>
      </c>
      <c r="AS815">
        <v>7</v>
      </c>
      <c r="AT815" s="3">
        <f>IFERROR(AS815-AU815,"NA")</f>
        <v>4.9119999999999999</v>
      </c>
      <c r="AU815" s="6">
        <v>2.0880000000000001</v>
      </c>
      <c r="AV815" t="b">
        <v>1</v>
      </c>
      <c r="AW815" t="s">
        <v>29</v>
      </c>
      <c r="AX815" t="s">
        <v>30</v>
      </c>
      <c r="AY815" t="s">
        <v>766</v>
      </c>
      <c r="AZ815" t="s">
        <v>33</v>
      </c>
      <c r="BA815" s="18" t="s">
        <v>798</v>
      </c>
      <c r="BB815" s="3" t="b">
        <v>0</v>
      </c>
      <c r="BC815" t="s">
        <v>81</v>
      </c>
      <c r="BD815">
        <v>16</v>
      </c>
      <c r="BE815" t="s">
        <v>80</v>
      </c>
      <c r="BF815">
        <v>24</v>
      </c>
      <c r="BG815" t="s">
        <v>569</v>
      </c>
      <c r="BH815" t="s">
        <v>31</v>
      </c>
      <c r="BI815" t="s">
        <v>31</v>
      </c>
      <c r="BJ815" s="3">
        <f t="shared" si="388"/>
        <v>2.0880000000000001</v>
      </c>
      <c r="BK815" s="3">
        <f t="shared" si="382"/>
        <v>0.31973049433022455</v>
      </c>
      <c r="BL815">
        <v>2</v>
      </c>
      <c r="BM815" s="3">
        <f t="shared" si="401"/>
        <v>2.0149644645369333</v>
      </c>
      <c r="BN815" t="s">
        <v>33</v>
      </c>
      <c r="BO815" s="3">
        <f t="shared" si="387"/>
        <v>103.50574712643676</v>
      </c>
      <c r="BP815" t="s">
        <v>33</v>
      </c>
      <c r="BQ815" t="s">
        <v>33</v>
      </c>
      <c r="BR815" t="s">
        <v>33</v>
      </c>
      <c r="BS815" t="s">
        <v>33</v>
      </c>
      <c r="BT815" t="s">
        <v>31</v>
      </c>
      <c r="BU815" t="s">
        <v>767</v>
      </c>
      <c r="BV815">
        <v>2021</v>
      </c>
      <c r="BW815" t="s">
        <v>768</v>
      </c>
      <c r="BX815" t="s">
        <v>78</v>
      </c>
      <c r="BY815" t="s">
        <v>769</v>
      </c>
      <c r="CA815" t="str">
        <f t="shared" si="389"/>
        <v>low acid</v>
      </c>
    </row>
    <row r="816" spans="1:79">
      <c r="A816" t="s">
        <v>343</v>
      </c>
      <c r="B816" t="s">
        <v>566</v>
      </c>
      <c r="C816" t="s">
        <v>563</v>
      </c>
      <c r="D816" t="s">
        <v>33</v>
      </c>
      <c r="E816" t="s">
        <v>77</v>
      </c>
      <c r="F816" t="s">
        <v>32</v>
      </c>
      <c r="G816">
        <v>20</v>
      </c>
      <c r="H816">
        <v>23</v>
      </c>
      <c r="I816" t="b">
        <v>0</v>
      </c>
      <c r="J816" t="s">
        <v>33</v>
      </c>
      <c r="K816" t="s">
        <v>33</v>
      </c>
      <c r="L816">
        <v>20</v>
      </c>
      <c r="M816" s="4">
        <v>2</v>
      </c>
      <c r="N816" s="3">
        <f>IFERROR(AF816/((T816*X816/Y816)*O816*AI816),"NA")</f>
        <v>2.1126760563380285</v>
      </c>
      <c r="O816">
        <v>2</v>
      </c>
      <c r="P816" t="s">
        <v>33</v>
      </c>
      <c r="Q816" s="8">
        <f t="shared" ref="Q816:Q827" si="406">IFERROR(X816/Z816, "NA")</f>
        <v>7.5</v>
      </c>
      <c r="R816" t="s">
        <v>183</v>
      </c>
      <c r="S816" t="s">
        <v>613</v>
      </c>
      <c r="T816" s="11">
        <v>1</v>
      </c>
      <c r="U816">
        <v>5</v>
      </c>
      <c r="V816" t="s">
        <v>33</v>
      </c>
      <c r="W816">
        <v>0.71</v>
      </c>
      <c r="X816" s="8">
        <f>W816</f>
        <v>0.71</v>
      </c>
      <c r="Y816">
        <f>6/60</f>
        <v>0.1</v>
      </c>
      <c r="Z816" s="3">
        <f t="shared" ref="Z816:Z825" si="407">IFERROR(X816*M816*O816*T816*AI816/AF816, "NA")</f>
        <v>9.4666666666666663E-2</v>
      </c>
      <c r="AA816">
        <v>15</v>
      </c>
      <c r="AB816" s="6">
        <f t="shared" ref="AB816:AB825" si="408">IFERROR(((X816*M816)/Z816), "NA")</f>
        <v>15</v>
      </c>
      <c r="AC816" t="str">
        <f t="shared" si="404"/>
        <v>NA</v>
      </c>
      <c r="AD816" s="4">
        <f>AB816*T816*AI816</f>
        <v>105</v>
      </c>
      <c r="AE816" s="3">
        <f t="shared" si="405"/>
        <v>491.39999999999992</v>
      </c>
      <c r="AF816">
        <v>210</v>
      </c>
      <c r="AG816" t="str">
        <f>IFERROR((M816*O816*P816), "NA")</f>
        <v>NA</v>
      </c>
      <c r="AH816" t="str">
        <f>IFERROR((AG816*T816*AI816), "NA")</f>
        <v>NA</v>
      </c>
      <c r="AI816">
        <v>7</v>
      </c>
      <c r="AJ816" s="11" t="s">
        <v>32</v>
      </c>
      <c r="AK816">
        <v>5850</v>
      </c>
      <c r="AL816" t="s">
        <v>562</v>
      </c>
      <c r="AM816" s="3" t="s">
        <v>786</v>
      </c>
      <c r="AN816" t="s">
        <v>186</v>
      </c>
      <c r="AO816" t="s">
        <v>793</v>
      </c>
      <c r="AP816" t="s">
        <v>33</v>
      </c>
      <c r="AQ816" t="s">
        <v>33</v>
      </c>
      <c r="AR816" t="s">
        <v>33</v>
      </c>
      <c r="AS816" s="6">
        <f>LOG(10^8)</f>
        <v>8</v>
      </c>
      <c r="AT816" s="3">
        <f>IFERROR(AS816-AU816,"NA")</f>
        <v>4.9139999999999997</v>
      </c>
      <c r="AU816" s="6">
        <v>3.0859999999999999</v>
      </c>
      <c r="AV816" t="b">
        <v>1</v>
      </c>
      <c r="AW816" t="s">
        <v>29</v>
      </c>
      <c r="AX816" t="s">
        <v>30</v>
      </c>
      <c r="AY816" t="s">
        <v>33</v>
      </c>
      <c r="AZ816" t="s">
        <v>134</v>
      </c>
      <c r="BA816" s="18" t="s">
        <v>798</v>
      </c>
      <c r="BB816" t="b">
        <v>0</v>
      </c>
      <c r="BC816" t="s">
        <v>81</v>
      </c>
      <c r="BD816">
        <v>18</v>
      </c>
      <c r="BE816" t="s">
        <v>80</v>
      </c>
      <c r="BF816" s="11">
        <v>21</v>
      </c>
      <c r="BG816" t="s">
        <v>694</v>
      </c>
      <c r="BH816" t="s">
        <v>31</v>
      </c>
      <c r="BI816" t="s">
        <v>31</v>
      </c>
      <c r="BJ816" s="3">
        <f t="shared" si="388"/>
        <v>3.0859999999999999</v>
      </c>
      <c r="BK816" s="3">
        <f t="shared" si="382"/>
        <v>0.48939592172712942</v>
      </c>
      <c r="BL816">
        <v>2</v>
      </c>
      <c r="BM816" s="3">
        <f t="shared" si="401"/>
        <v>2.2020392304169327</v>
      </c>
      <c r="BN816" t="s">
        <v>33</v>
      </c>
      <c r="BO816" s="3">
        <f t="shared" si="387"/>
        <v>159.23525599481528</v>
      </c>
      <c r="BP816" t="s">
        <v>33</v>
      </c>
      <c r="BQ816" t="s">
        <v>33</v>
      </c>
      <c r="BR816" t="s">
        <v>33</v>
      </c>
      <c r="BS816" t="s">
        <v>33</v>
      </c>
      <c r="BT816" t="s">
        <v>31</v>
      </c>
      <c r="BU816" t="s">
        <v>338</v>
      </c>
      <c r="BV816">
        <v>2005</v>
      </c>
      <c r="BW816" s="2" t="s">
        <v>342</v>
      </c>
      <c r="BX816" t="s">
        <v>78</v>
      </c>
      <c r="BY816" t="s">
        <v>340</v>
      </c>
      <c r="BZ816" t="s">
        <v>33</v>
      </c>
      <c r="CA816" t="str">
        <f t="shared" si="389"/>
        <v>low acid</v>
      </c>
    </row>
    <row r="817" spans="1:79">
      <c r="A817" t="s">
        <v>588</v>
      </c>
      <c r="B817" t="s">
        <v>565</v>
      </c>
      <c r="C817" t="s">
        <v>563</v>
      </c>
      <c r="D817" t="s">
        <v>608</v>
      </c>
      <c r="E817" t="s">
        <v>77</v>
      </c>
      <c r="F817" t="s">
        <v>32</v>
      </c>
      <c r="G817" t="s">
        <v>33</v>
      </c>
      <c r="H817">
        <v>40</v>
      </c>
      <c r="I817" t="b">
        <v>0</v>
      </c>
      <c r="J817" t="s">
        <v>33</v>
      </c>
      <c r="K817" t="s">
        <v>33</v>
      </c>
      <c r="L817">
        <v>35</v>
      </c>
      <c r="M817" s="4">
        <v>250</v>
      </c>
      <c r="N817" t="e">
        <f>(#REF!*Y817)/(T817*X817*O817)</f>
        <v>#REF!</v>
      </c>
      <c r="O817">
        <v>3.7</v>
      </c>
      <c r="P817" t="s">
        <v>33</v>
      </c>
      <c r="Q817" s="1">
        <f t="shared" si="406"/>
        <v>1.6216216216216214E-2</v>
      </c>
      <c r="R817" t="s">
        <v>183</v>
      </c>
      <c r="S817" t="s">
        <v>613</v>
      </c>
      <c r="T817">
        <v>6</v>
      </c>
      <c r="U817">
        <v>1.9</v>
      </c>
      <c r="V817">
        <v>2.2999999999999998</v>
      </c>
      <c r="W817" t="s">
        <v>33</v>
      </c>
      <c r="X817">
        <f>IFERROR(((PI())*(((V817*10^-1)/2)^2)*(U817*10^-1)), "NA")</f>
        <v>7.8940369403077502E-3</v>
      </c>
      <c r="Y817">
        <v>1</v>
      </c>
      <c r="Z817" s="3">
        <f t="shared" si="407"/>
        <v>0.48679894465231133</v>
      </c>
      <c r="AA817" t="s">
        <v>33</v>
      </c>
      <c r="AB817">
        <f t="shared" si="408"/>
        <v>4.0540540540540535</v>
      </c>
      <c r="AC817" s="1" t="str">
        <f t="shared" si="404"/>
        <v>NA</v>
      </c>
      <c r="AE817" s="3">
        <f t="shared" si="405"/>
        <v>529.19999999999993</v>
      </c>
      <c r="AF817">
        <v>90</v>
      </c>
      <c r="AG817" s="1" t="str">
        <f t="shared" ref="AG817:AG823" si="409">IFERROR((N817*P817*Q817), "NA")</f>
        <v>NA</v>
      </c>
      <c r="AH817" s="1" t="str">
        <f t="shared" ref="AH817:AH823" si="410">IFERROR((AG817*U817*AI817), "NA")</f>
        <v>NA</v>
      </c>
      <c r="AI817" s="1">
        <v>1</v>
      </c>
      <c r="AJ817" s="11" t="s">
        <v>31</v>
      </c>
      <c r="AK817">
        <v>4800</v>
      </c>
      <c r="AL817" t="s">
        <v>156</v>
      </c>
      <c r="AM817" t="s">
        <v>157</v>
      </c>
      <c r="AN817" t="s">
        <v>186</v>
      </c>
      <c r="AO817" t="s">
        <v>792</v>
      </c>
      <c r="AP817">
        <v>6.53</v>
      </c>
      <c r="AQ817" t="s">
        <v>33</v>
      </c>
      <c r="AR817" t="s">
        <v>33</v>
      </c>
      <c r="AS817">
        <v>6.5</v>
      </c>
      <c r="AT817">
        <v>4.92</v>
      </c>
      <c r="AU817" s="6">
        <f>AS817-AT817</f>
        <v>1.58</v>
      </c>
      <c r="AV817" t="b">
        <v>1</v>
      </c>
      <c r="AW817" t="s">
        <v>626</v>
      </c>
      <c r="AX817" t="s">
        <v>627</v>
      </c>
      <c r="AY817" t="s">
        <v>625</v>
      </c>
      <c r="AZ817" t="s">
        <v>33</v>
      </c>
      <c r="BA817" s="18" t="s">
        <v>800</v>
      </c>
      <c r="BB817" s="3" t="b">
        <v>0</v>
      </c>
      <c r="BC817" t="s">
        <v>81</v>
      </c>
      <c r="BD817">
        <v>12</v>
      </c>
      <c r="BE817" t="s">
        <v>80</v>
      </c>
      <c r="BF817">
        <v>48</v>
      </c>
      <c r="BG817" t="s">
        <v>643</v>
      </c>
      <c r="BH817" t="s">
        <v>31</v>
      </c>
      <c r="BI817" t="s">
        <v>31</v>
      </c>
      <c r="BJ817">
        <f t="shared" si="388"/>
        <v>1.58</v>
      </c>
      <c r="BK817" s="3">
        <f t="shared" si="382"/>
        <v>0.19865708695442263</v>
      </c>
      <c r="BL817">
        <v>2</v>
      </c>
      <c r="BM817" s="3">
        <f t="shared" si="401"/>
        <v>2.5249627485610406</v>
      </c>
      <c r="BN817" t="s">
        <v>33</v>
      </c>
      <c r="BO817" s="3">
        <f t="shared" si="387"/>
        <v>334.93670886075944</v>
      </c>
      <c r="BP817" t="s">
        <v>33</v>
      </c>
      <c r="BQ817" t="s">
        <v>33</v>
      </c>
      <c r="BR817" t="s">
        <v>33</v>
      </c>
      <c r="BS817" t="s">
        <v>33</v>
      </c>
      <c r="BT817" t="s">
        <v>31</v>
      </c>
      <c r="BU817" s="13" t="s">
        <v>163</v>
      </c>
      <c r="BV817">
        <v>2004</v>
      </c>
      <c r="BW817" t="s">
        <v>654</v>
      </c>
      <c r="BX817" t="s">
        <v>78</v>
      </c>
      <c r="BY817" s="13" t="s">
        <v>677</v>
      </c>
      <c r="CA817" t="str">
        <f t="shared" si="389"/>
        <v>low acid</v>
      </c>
    </row>
    <row r="818" spans="1:79">
      <c r="A818" t="s">
        <v>590</v>
      </c>
      <c r="B818" t="s">
        <v>565</v>
      </c>
      <c r="C818" t="s">
        <v>564</v>
      </c>
      <c r="D818" t="s">
        <v>609</v>
      </c>
      <c r="E818" t="s">
        <v>77</v>
      </c>
      <c r="F818" t="s">
        <v>32</v>
      </c>
      <c r="G818">
        <v>40</v>
      </c>
      <c r="H818">
        <v>49</v>
      </c>
      <c r="I818" t="b">
        <v>0</v>
      </c>
      <c r="J818" t="s">
        <v>33</v>
      </c>
      <c r="K818" t="s">
        <v>33</v>
      </c>
      <c r="L818">
        <v>15</v>
      </c>
      <c r="M818" s="4">
        <v>120</v>
      </c>
      <c r="N818" t="e">
        <f>(#REF!*Y818)/(T818*X818*O818)</f>
        <v>#REF!</v>
      </c>
      <c r="O818">
        <v>3</v>
      </c>
      <c r="P818" t="s">
        <v>33</v>
      </c>
      <c r="Q818" s="1">
        <f t="shared" si="406"/>
        <v>9.5000000000000001E-2</v>
      </c>
      <c r="R818" t="s">
        <v>183</v>
      </c>
      <c r="S818" t="s">
        <v>612</v>
      </c>
      <c r="T818">
        <v>4</v>
      </c>
      <c r="U818">
        <v>3</v>
      </c>
      <c r="V818">
        <v>2.6</v>
      </c>
      <c r="W818">
        <v>1.5900000000000001E-2</v>
      </c>
      <c r="X818">
        <f>IFERROR(((PI())*(((V818*10^-1)/2)^2)*(U818*10^-1)), "NA")</f>
        <v>1.5927874753700257E-2</v>
      </c>
      <c r="Y818">
        <v>8.3333299999999999E-2</v>
      </c>
      <c r="Z818" s="3">
        <f t="shared" si="407"/>
        <v>0.16766183951263428</v>
      </c>
      <c r="AA818" t="s">
        <v>33</v>
      </c>
      <c r="AB818">
        <f t="shared" si="408"/>
        <v>11.4</v>
      </c>
      <c r="AC818" s="1" t="str">
        <f t="shared" si="404"/>
        <v>NA</v>
      </c>
      <c r="AE818" s="3">
        <f t="shared" si="405"/>
        <v>35.396999999999998</v>
      </c>
      <c r="AF818">
        <v>136.80000000000001</v>
      </c>
      <c r="AG818" s="1" t="str">
        <f t="shared" si="409"/>
        <v>NA</v>
      </c>
      <c r="AH818" s="1" t="str">
        <f t="shared" si="410"/>
        <v>NA</v>
      </c>
      <c r="AI818" s="1">
        <v>1</v>
      </c>
      <c r="AJ818" s="11" t="s">
        <v>31</v>
      </c>
      <c r="AK818">
        <v>1150</v>
      </c>
      <c r="AL818" t="s">
        <v>551</v>
      </c>
      <c r="AM818" t="s">
        <v>86</v>
      </c>
      <c r="AN818" t="s">
        <v>186</v>
      </c>
      <c r="AO818" t="s">
        <v>794</v>
      </c>
      <c r="AP818">
        <v>5.92</v>
      </c>
      <c r="AQ818" t="s">
        <v>33</v>
      </c>
      <c r="AR818" t="s">
        <v>33</v>
      </c>
      <c r="AS818">
        <v>6</v>
      </c>
      <c r="AT818">
        <f>AS818-AU818</f>
        <v>4.92</v>
      </c>
      <c r="AU818" s="6">
        <v>1.08</v>
      </c>
      <c r="AV818" t="b">
        <v>1</v>
      </c>
      <c r="AW818" t="s">
        <v>626</v>
      </c>
      <c r="AX818" t="s">
        <v>627</v>
      </c>
      <c r="AY818" t="s">
        <v>631</v>
      </c>
      <c r="AZ818" t="s">
        <v>33</v>
      </c>
      <c r="BA818" s="18" t="s">
        <v>800</v>
      </c>
      <c r="BB818" s="3" t="b">
        <v>0</v>
      </c>
      <c r="BC818" t="s">
        <v>81</v>
      </c>
      <c r="BD818">
        <v>20</v>
      </c>
      <c r="BE818" t="s">
        <v>80</v>
      </c>
      <c r="BF818">
        <v>20</v>
      </c>
      <c r="BG818" t="s">
        <v>695</v>
      </c>
      <c r="BH818" t="s">
        <v>32</v>
      </c>
      <c r="BI818" t="s">
        <v>31</v>
      </c>
      <c r="BJ818">
        <f t="shared" si="388"/>
        <v>1.08</v>
      </c>
      <c r="BK818" s="3">
        <f t="shared" si="382"/>
        <v>3.342375548694973E-2</v>
      </c>
      <c r="BL818">
        <v>2</v>
      </c>
      <c r="BM818" s="3">
        <f t="shared" si="401"/>
        <v>1.5155427003621218</v>
      </c>
      <c r="BN818" t="s">
        <v>33</v>
      </c>
      <c r="BO818" s="3">
        <f t="shared" si="387"/>
        <v>32.774999999999999</v>
      </c>
      <c r="BP818" t="s">
        <v>33</v>
      </c>
      <c r="BQ818" t="s">
        <v>33</v>
      </c>
      <c r="BR818" t="s">
        <v>33</v>
      </c>
      <c r="BS818" t="s">
        <v>33</v>
      </c>
      <c r="BT818" t="s">
        <v>32</v>
      </c>
      <c r="BU818" s="15" t="s">
        <v>207</v>
      </c>
      <c r="BV818">
        <v>2014</v>
      </c>
      <c r="BW818" t="s">
        <v>242</v>
      </c>
      <c r="BX818" t="s">
        <v>78</v>
      </c>
      <c r="BY818" s="13" t="s">
        <v>678</v>
      </c>
      <c r="CA818" t="str">
        <f t="shared" si="389"/>
        <v>low acid</v>
      </c>
    </row>
    <row r="819" spans="1:79">
      <c r="A819" t="s">
        <v>585</v>
      </c>
      <c r="B819" t="s">
        <v>565</v>
      </c>
      <c r="C819" t="s">
        <v>563</v>
      </c>
      <c r="D819" t="s">
        <v>608</v>
      </c>
      <c r="E819" t="s">
        <v>77</v>
      </c>
      <c r="F819" t="s">
        <v>32</v>
      </c>
      <c r="G819" t="s">
        <v>33</v>
      </c>
      <c r="H819" t="s">
        <v>33</v>
      </c>
      <c r="I819" t="b">
        <v>0</v>
      </c>
      <c r="J819" t="s">
        <v>33</v>
      </c>
      <c r="K819">
        <v>13.5</v>
      </c>
      <c r="L819">
        <v>25</v>
      </c>
      <c r="M819" s="4">
        <v>200</v>
      </c>
      <c r="N819" t="e">
        <f>(#REF!*Y819)/(T819*X819*O819)</f>
        <v>#REF!</v>
      </c>
      <c r="O819">
        <v>2.12</v>
      </c>
      <c r="P819" t="s">
        <v>33</v>
      </c>
      <c r="Q819" s="1">
        <f t="shared" si="406"/>
        <v>0.14740566037735847</v>
      </c>
      <c r="R819" t="s">
        <v>183</v>
      </c>
      <c r="S819" t="s">
        <v>613</v>
      </c>
      <c r="T819">
        <v>4</v>
      </c>
      <c r="U819">
        <v>1.9</v>
      </c>
      <c r="V819">
        <v>2.2999999999999998</v>
      </c>
      <c r="W819" t="s">
        <v>33</v>
      </c>
      <c r="X819">
        <f>IFERROR(((PI())*(((V819*10^-1)/2)^2)*(U819*10^-1)), "NA")</f>
        <v>7.8940369403077502E-3</v>
      </c>
      <c r="Y819">
        <v>1.2</v>
      </c>
      <c r="Z819" s="3">
        <f t="shared" si="407"/>
        <v>5.3553146603047781E-2</v>
      </c>
      <c r="AA819" t="s">
        <v>33</v>
      </c>
      <c r="AB819">
        <f t="shared" si="408"/>
        <v>29.481132075471695</v>
      </c>
      <c r="AC819" s="1" t="str">
        <f t="shared" si="404"/>
        <v>NA</v>
      </c>
      <c r="AE819" s="3">
        <f t="shared" si="405"/>
        <v>1012.4999999999998</v>
      </c>
      <c r="AF819">
        <v>250</v>
      </c>
      <c r="AG819" s="1" t="str">
        <f t="shared" si="409"/>
        <v>NA</v>
      </c>
      <c r="AH819" s="1" t="str">
        <f t="shared" si="410"/>
        <v>NA</v>
      </c>
      <c r="AI819" s="1">
        <v>1</v>
      </c>
      <c r="AJ819" s="11" t="s">
        <v>31</v>
      </c>
      <c r="AK819">
        <v>6480</v>
      </c>
      <c r="AL819" t="s">
        <v>562</v>
      </c>
      <c r="AM819" s="3" t="s">
        <v>786</v>
      </c>
      <c r="AN819" t="s">
        <v>186</v>
      </c>
      <c r="AO819" t="s">
        <v>793</v>
      </c>
      <c r="AP819">
        <v>7.67</v>
      </c>
      <c r="AQ819" t="s">
        <v>33</v>
      </c>
      <c r="AR819" t="s">
        <v>33</v>
      </c>
      <c r="AS819">
        <v>5.73</v>
      </c>
      <c r="AT819">
        <v>4.92</v>
      </c>
      <c r="AU819" s="6">
        <f>AS819-AT819</f>
        <v>0.8100000000000005</v>
      </c>
      <c r="AV819" t="b">
        <v>1</v>
      </c>
      <c r="AW819" t="s">
        <v>617</v>
      </c>
      <c r="AX819" t="s">
        <v>33</v>
      </c>
      <c r="AY819" t="s">
        <v>622</v>
      </c>
      <c r="AZ819" t="s">
        <v>619</v>
      </c>
      <c r="BA819" s="18" t="s">
        <v>802</v>
      </c>
      <c r="BB819" s="3" t="b">
        <v>0</v>
      </c>
      <c r="BC819" t="s">
        <v>81</v>
      </c>
      <c r="BD819">
        <v>48</v>
      </c>
      <c r="BE819" t="s">
        <v>80</v>
      </c>
      <c r="BF819">
        <v>48</v>
      </c>
      <c r="BG819" t="s">
        <v>569</v>
      </c>
      <c r="BH819" t="s">
        <v>31</v>
      </c>
      <c r="BI819" t="s">
        <v>31</v>
      </c>
      <c r="BJ819">
        <f t="shared" si="388"/>
        <v>0.8100000000000005</v>
      </c>
      <c r="BK819" s="3">
        <f t="shared" si="382"/>
        <v>-9.1514981121349981E-2</v>
      </c>
      <c r="BL819">
        <v>2</v>
      </c>
      <c r="BM819" s="3">
        <f t="shared" si="401"/>
        <v>3.0969100130080562</v>
      </c>
      <c r="BN819" t="s">
        <v>33</v>
      </c>
      <c r="BO819" s="3">
        <f t="shared" si="387"/>
        <v>1249.9999999999989</v>
      </c>
      <c r="BP819" t="s">
        <v>33</v>
      </c>
      <c r="BQ819" t="s">
        <v>33</v>
      </c>
      <c r="BR819" t="s">
        <v>33</v>
      </c>
      <c r="BS819" t="s">
        <v>33</v>
      </c>
      <c r="BT819" t="s">
        <v>31</v>
      </c>
      <c r="BU819" t="s">
        <v>652</v>
      </c>
      <c r="BV819">
        <v>2004</v>
      </c>
      <c r="BW819" t="s">
        <v>653</v>
      </c>
      <c r="BX819" t="s">
        <v>78</v>
      </c>
      <c r="BY819" s="13" t="s">
        <v>675</v>
      </c>
      <c r="CA819" t="str">
        <f t="shared" si="389"/>
        <v>low acid</v>
      </c>
    </row>
    <row r="820" spans="1:79">
      <c r="A820" t="s">
        <v>590</v>
      </c>
      <c r="B820" t="s">
        <v>565</v>
      </c>
      <c r="C820" t="s">
        <v>564</v>
      </c>
      <c r="D820" t="s">
        <v>609</v>
      </c>
      <c r="E820" t="s">
        <v>77</v>
      </c>
      <c r="F820" t="s">
        <v>32</v>
      </c>
      <c r="G820">
        <v>40</v>
      </c>
      <c r="H820">
        <v>49</v>
      </c>
      <c r="I820" t="b">
        <v>0</v>
      </c>
      <c r="J820" t="s">
        <v>33</v>
      </c>
      <c r="K820" t="s">
        <v>33</v>
      </c>
      <c r="L820">
        <v>21</v>
      </c>
      <c r="M820" s="4">
        <v>120</v>
      </c>
      <c r="N820" t="e">
        <f>(#REF!*Y820)/(T820*X820*O820)</f>
        <v>#REF!</v>
      </c>
      <c r="O820">
        <v>3</v>
      </c>
      <c r="P820" t="s">
        <v>33</v>
      </c>
      <c r="Q820" s="1">
        <f t="shared" si="406"/>
        <v>3.770833333333333E-2</v>
      </c>
      <c r="R820" t="s">
        <v>183</v>
      </c>
      <c r="S820" t="s">
        <v>612</v>
      </c>
      <c r="T820">
        <v>4</v>
      </c>
      <c r="U820">
        <v>3</v>
      </c>
      <c r="V820">
        <v>2.6</v>
      </c>
      <c r="W820">
        <v>1.5900000000000001E-2</v>
      </c>
      <c r="X820">
        <f>IFERROR(((PI())*(((V820*10^-1)/2)^2)*(U820*10^-1)), "NA")</f>
        <v>1.5927874753700257E-2</v>
      </c>
      <c r="Y820">
        <v>8.3333299999999999E-2</v>
      </c>
      <c r="Z820" s="3">
        <f t="shared" si="407"/>
        <v>0.42239667855116708</v>
      </c>
      <c r="AA820" t="s">
        <v>33</v>
      </c>
      <c r="AB820">
        <f t="shared" si="408"/>
        <v>4.5249999999999995</v>
      </c>
      <c r="AC820" s="1" t="str">
        <f t="shared" si="404"/>
        <v>NA</v>
      </c>
      <c r="AE820" s="3">
        <f t="shared" si="405"/>
        <v>27.538244999999996</v>
      </c>
      <c r="AF820">
        <v>54.3</v>
      </c>
      <c r="AG820" s="1" t="str">
        <f t="shared" si="409"/>
        <v>NA</v>
      </c>
      <c r="AH820" s="1" t="str">
        <f t="shared" si="410"/>
        <v>NA</v>
      </c>
      <c r="AI820" s="1">
        <v>1</v>
      </c>
      <c r="AJ820" s="11" t="s">
        <v>31</v>
      </c>
      <c r="AK820">
        <v>1150</v>
      </c>
      <c r="AL820" t="s">
        <v>551</v>
      </c>
      <c r="AM820" t="s">
        <v>86</v>
      </c>
      <c r="AN820" t="s">
        <v>186</v>
      </c>
      <c r="AO820" t="s">
        <v>794</v>
      </c>
      <c r="AP820">
        <v>5.92</v>
      </c>
      <c r="AQ820" t="s">
        <v>33</v>
      </c>
      <c r="AR820" t="s">
        <v>33</v>
      </c>
      <c r="AS820">
        <v>6</v>
      </c>
      <c r="AT820">
        <f>AS820-AU820</f>
        <v>4.93</v>
      </c>
      <c r="AU820" s="6">
        <v>1.07</v>
      </c>
      <c r="AV820" t="b">
        <v>1</v>
      </c>
      <c r="AW820" t="s">
        <v>626</v>
      </c>
      <c r="AX820" t="s">
        <v>627</v>
      </c>
      <c r="AY820" t="s">
        <v>631</v>
      </c>
      <c r="AZ820" t="s">
        <v>33</v>
      </c>
      <c r="BA820" s="18" t="s">
        <v>800</v>
      </c>
      <c r="BB820" s="3" t="b">
        <v>0</v>
      </c>
      <c r="BC820" t="s">
        <v>81</v>
      </c>
      <c r="BD820">
        <v>20</v>
      </c>
      <c r="BE820" t="s">
        <v>80</v>
      </c>
      <c r="BF820">
        <v>20</v>
      </c>
      <c r="BG820" t="s">
        <v>695</v>
      </c>
      <c r="BH820" t="s">
        <v>32</v>
      </c>
      <c r="BI820" t="s">
        <v>31</v>
      </c>
      <c r="BJ820">
        <f t="shared" si="388"/>
        <v>1.07</v>
      </c>
      <c r="BK820" s="3">
        <f t="shared" si="382"/>
        <v>2.9383777685209667E-2</v>
      </c>
      <c r="BL820">
        <v>2</v>
      </c>
      <c r="BM820" s="3">
        <f t="shared" si="401"/>
        <v>1.4105524817250874</v>
      </c>
      <c r="BN820" t="s">
        <v>33</v>
      </c>
      <c r="BO820" s="3">
        <f t="shared" si="387"/>
        <v>25.736677570093452</v>
      </c>
      <c r="BP820" t="s">
        <v>33</v>
      </c>
      <c r="BQ820" t="s">
        <v>33</v>
      </c>
      <c r="BR820" t="s">
        <v>33</v>
      </c>
      <c r="BS820" t="s">
        <v>33</v>
      </c>
      <c r="BT820" t="s">
        <v>32</v>
      </c>
      <c r="BU820" s="15" t="s">
        <v>207</v>
      </c>
      <c r="BV820">
        <v>2014</v>
      </c>
      <c r="BW820" t="s">
        <v>242</v>
      </c>
      <c r="BX820" t="s">
        <v>78</v>
      </c>
      <c r="BY820" s="13" t="s">
        <v>678</v>
      </c>
      <c r="CA820" t="str">
        <f t="shared" si="389"/>
        <v>low acid</v>
      </c>
    </row>
    <row r="821" spans="1:79">
      <c r="A821" t="s">
        <v>584</v>
      </c>
      <c r="B821" t="s">
        <v>566</v>
      </c>
      <c r="C821" t="s">
        <v>563</v>
      </c>
      <c r="D821" t="s">
        <v>607</v>
      </c>
      <c r="E821" t="s">
        <v>77</v>
      </c>
      <c r="F821" t="s">
        <v>33</v>
      </c>
      <c r="G821">
        <v>20</v>
      </c>
      <c r="H821">
        <v>35</v>
      </c>
      <c r="I821" t="b">
        <v>0</v>
      </c>
      <c r="J821">
        <v>1000</v>
      </c>
      <c r="K821">
        <v>200</v>
      </c>
      <c r="L821">
        <v>25</v>
      </c>
      <c r="M821" s="4">
        <v>1</v>
      </c>
      <c r="N821" t="e">
        <f>(#REF!*Y821)/(T821*X821*O821)</f>
        <v>#REF!</v>
      </c>
      <c r="O821">
        <v>3</v>
      </c>
      <c r="P821" t="s">
        <v>33</v>
      </c>
      <c r="Q821" s="1">
        <f t="shared" si="406"/>
        <v>50.000000000000007</v>
      </c>
      <c r="R821" t="s">
        <v>183</v>
      </c>
      <c r="S821" t="s">
        <v>33</v>
      </c>
      <c r="T821">
        <v>1</v>
      </c>
      <c r="U821">
        <v>2.5</v>
      </c>
      <c r="V821" t="s">
        <v>33</v>
      </c>
      <c r="W821">
        <v>0.50249999999999995</v>
      </c>
      <c r="X821">
        <f>W821</f>
        <v>0.50249999999999995</v>
      </c>
      <c r="Y821" t="s">
        <v>33</v>
      </c>
      <c r="Z821" s="3">
        <f t="shared" si="407"/>
        <v>1.0049999999999998E-2</v>
      </c>
      <c r="AA821" t="s">
        <v>33</v>
      </c>
      <c r="AB821">
        <f t="shared" si="408"/>
        <v>50.000000000000007</v>
      </c>
      <c r="AC821" s="1" t="str">
        <f t="shared" si="404"/>
        <v>NA</v>
      </c>
      <c r="AE821" s="3">
        <f t="shared" si="405"/>
        <v>93.750000000000014</v>
      </c>
      <c r="AF821">
        <v>150</v>
      </c>
      <c r="AG821" s="1" t="str">
        <f t="shared" si="409"/>
        <v>NA</v>
      </c>
      <c r="AH821" s="1" t="str">
        <f t="shared" si="410"/>
        <v>NA</v>
      </c>
      <c r="AI821" s="1">
        <v>1</v>
      </c>
      <c r="AJ821" s="11" t="s">
        <v>31</v>
      </c>
      <c r="AK821">
        <v>1000</v>
      </c>
      <c r="AL821" t="s">
        <v>614</v>
      </c>
      <c r="AM821" s="3" t="s">
        <v>103</v>
      </c>
      <c r="AN821" t="s">
        <v>130</v>
      </c>
      <c r="AO821" t="s">
        <v>795</v>
      </c>
      <c r="AP821">
        <v>7</v>
      </c>
      <c r="AQ821" t="s">
        <v>33</v>
      </c>
      <c r="AR821" t="s">
        <v>33</v>
      </c>
      <c r="AS821">
        <v>8</v>
      </c>
      <c r="AT821">
        <f>AS821-AU821</f>
        <v>4.93</v>
      </c>
      <c r="AU821" s="6">
        <v>3.07</v>
      </c>
      <c r="AV821" t="b">
        <v>1</v>
      </c>
      <c r="AW821" t="s">
        <v>617</v>
      </c>
      <c r="AX821" t="s">
        <v>33</v>
      </c>
      <c r="AY821" t="s">
        <v>623</v>
      </c>
      <c r="AZ821" t="s">
        <v>621</v>
      </c>
      <c r="BA821" s="18" t="s">
        <v>802</v>
      </c>
      <c r="BB821" s="3" t="b">
        <v>0</v>
      </c>
      <c r="BC821" t="s">
        <v>81</v>
      </c>
      <c r="BD821">
        <v>18</v>
      </c>
      <c r="BE821" t="s">
        <v>80</v>
      </c>
      <c r="BF821">
        <v>24</v>
      </c>
      <c r="BG821" t="s">
        <v>569</v>
      </c>
      <c r="BH821" t="s">
        <v>31</v>
      </c>
      <c r="BI821" t="s">
        <v>31</v>
      </c>
      <c r="BJ821">
        <f t="shared" si="388"/>
        <v>3.07</v>
      </c>
      <c r="BK821" s="3">
        <f t="shared" ref="BK821:BK881" si="411">LOG10(BJ821)</f>
        <v>0.48713837547718647</v>
      </c>
      <c r="BL821">
        <v>2</v>
      </c>
      <c r="BM821" s="3">
        <f t="shared" si="401"/>
        <v>1.48483290092257</v>
      </c>
      <c r="BN821" t="s">
        <v>33</v>
      </c>
      <c r="BO821" s="3">
        <f t="shared" si="387"/>
        <v>30.53745928338763</v>
      </c>
      <c r="BP821" t="s">
        <v>33</v>
      </c>
      <c r="BQ821" t="s">
        <v>33</v>
      </c>
      <c r="BR821" t="s">
        <v>33</v>
      </c>
      <c r="BS821" t="s">
        <v>33</v>
      </c>
      <c r="BT821" t="s">
        <v>31</v>
      </c>
      <c r="BU821" t="s">
        <v>255</v>
      </c>
      <c r="BV821">
        <v>2010</v>
      </c>
      <c r="BW821" t="s">
        <v>651</v>
      </c>
      <c r="BX821" t="s">
        <v>78</v>
      </c>
      <c r="BY821" s="13" t="s">
        <v>674</v>
      </c>
      <c r="CA821" t="str">
        <f t="shared" si="389"/>
        <v>low acid</v>
      </c>
    </row>
    <row r="822" spans="1:79">
      <c r="A822" t="s">
        <v>584</v>
      </c>
      <c r="B822" t="s">
        <v>566</v>
      </c>
      <c r="C822" t="s">
        <v>563</v>
      </c>
      <c r="D822" t="s">
        <v>607</v>
      </c>
      <c r="E822" t="s">
        <v>77</v>
      </c>
      <c r="F822" t="s">
        <v>33</v>
      </c>
      <c r="G822">
        <v>20</v>
      </c>
      <c r="H822">
        <v>35</v>
      </c>
      <c r="I822" t="b">
        <v>0</v>
      </c>
      <c r="J822">
        <v>1000</v>
      </c>
      <c r="K822">
        <v>200</v>
      </c>
      <c r="L822">
        <v>20</v>
      </c>
      <c r="M822" s="4">
        <v>1</v>
      </c>
      <c r="N822" t="e">
        <f>(#REF!*Y822)/(T822*X822*O822)</f>
        <v>#REF!</v>
      </c>
      <c r="O822">
        <v>3</v>
      </c>
      <c r="P822" t="s">
        <v>33</v>
      </c>
      <c r="Q822" s="1">
        <f t="shared" si="406"/>
        <v>10</v>
      </c>
      <c r="R822" t="s">
        <v>183</v>
      </c>
      <c r="S822" t="s">
        <v>33</v>
      </c>
      <c r="T822">
        <v>1</v>
      </c>
      <c r="U822">
        <v>2.5</v>
      </c>
      <c r="V822" t="s">
        <v>33</v>
      </c>
      <c r="W822">
        <v>0.50249999999999995</v>
      </c>
      <c r="X822">
        <f>W822</f>
        <v>0.50249999999999995</v>
      </c>
      <c r="Y822" t="s">
        <v>33</v>
      </c>
      <c r="Z822" s="3">
        <f t="shared" si="407"/>
        <v>5.0249999999999996E-2</v>
      </c>
      <c r="AA822" t="s">
        <v>33</v>
      </c>
      <c r="AB822">
        <f t="shared" si="408"/>
        <v>10</v>
      </c>
      <c r="AC822" s="1" t="str">
        <f t="shared" si="404"/>
        <v>NA</v>
      </c>
      <c r="AE822" s="3">
        <f t="shared" si="405"/>
        <v>12</v>
      </c>
      <c r="AF822">
        <v>30</v>
      </c>
      <c r="AG822" s="1" t="str">
        <f t="shared" si="409"/>
        <v>NA</v>
      </c>
      <c r="AH822" s="1" t="str">
        <f t="shared" si="410"/>
        <v>NA</v>
      </c>
      <c r="AI822" s="1">
        <v>1</v>
      </c>
      <c r="AJ822" s="11" t="s">
        <v>31</v>
      </c>
      <c r="AK822">
        <v>1000</v>
      </c>
      <c r="AL822" t="s">
        <v>614</v>
      </c>
      <c r="AM822" s="3" t="s">
        <v>103</v>
      </c>
      <c r="AN822" t="s">
        <v>305</v>
      </c>
      <c r="AO822" t="s">
        <v>790</v>
      </c>
      <c r="AP822">
        <v>3.5</v>
      </c>
      <c r="AQ822" t="s">
        <v>33</v>
      </c>
      <c r="AR822" t="s">
        <v>33</v>
      </c>
      <c r="AS822">
        <v>8</v>
      </c>
      <c r="AT822">
        <f>AS822-AU822</f>
        <v>4.93</v>
      </c>
      <c r="AU822" s="6">
        <v>3.07</v>
      </c>
      <c r="AV822" t="b">
        <v>1</v>
      </c>
      <c r="AW822" t="s">
        <v>617</v>
      </c>
      <c r="AX822" t="s">
        <v>33</v>
      </c>
      <c r="AY822" t="s">
        <v>623</v>
      </c>
      <c r="AZ822" t="s">
        <v>621</v>
      </c>
      <c r="BA822" s="18" t="s">
        <v>802</v>
      </c>
      <c r="BB822" s="3" t="b">
        <v>0</v>
      </c>
      <c r="BC822" t="s">
        <v>81</v>
      </c>
      <c r="BD822">
        <v>18</v>
      </c>
      <c r="BE822" t="s">
        <v>80</v>
      </c>
      <c r="BF822">
        <v>24</v>
      </c>
      <c r="BG822" t="s">
        <v>642</v>
      </c>
      <c r="BH822" t="s">
        <v>32</v>
      </c>
      <c r="BI822" t="s">
        <v>31</v>
      </c>
      <c r="BJ822">
        <f t="shared" si="388"/>
        <v>3.07</v>
      </c>
      <c r="BK822" s="3">
        <f t="shared" si="411"/>
        <v>0.48713837547718647</v>
      </c>
      <c r="BL822">
        <v>2</v>
      </c>
      <c r="BM822" s="3">
        <f t="shared" si="401"/>
        <v>0.59204287057043836</v>
      </c>
      <c r="BN822" t="s">
        <v>33</v>
      </c>
      <c r="BO822" s="3">
        <f t="shared" si="387"/>
        <v>3.908794788273616</v>
      </c>
      <c r="BP822" t="s">
        <v>33</v>
      </c>
      <c r="BQ822" t="s">
        <v>33</v>
      </c>
      <c r="BR822" t="s">
        <v>33</v>
      </c>
      <c r="BS822" t="s">
        <v>33</v>
      </c>
      <c r="BT822" t="s">
        <v>31</v>
      </c>
      <c r="BU822" t="s">
        <v>255</v>
      </c>
      <c r="BV822">
        <v>2010</v>
      </c>
      <c r="BW822" t="s">
        <v>651</v>
      </c>
      <c r="BX822" t="s">
        <v>78</v>
      </c>
      <c r="BY822" s="13" t="s">
        <v>674</v>
      </c>
      <c r="CA822" t="str">
        <f t="shared" si="389"/>
        <v>high acid</v>
      </c>
    </row>
    <row r="823" spans="1:79">
      <c r="A823" t="s">
        <v>584</v>
      </c>
      <c r="B823" t="s">
        <v>566</v>
      </c>
      <c r="C823" t="s">
        <v>563</v>
      </c>
      <c r="D823" t="s">
        <v>607</v>
      </c>
      <c r="E823" t="s">
        <v>77</v>
      </c>
      <c r="F823" t="s">
        <v>33</v>
      </c>
      <c r="G823">
        <v>20</v>
      </c>
      <c r="H823">
        <v>35</v>
      </c>
      <c r="I823" t="b">
        <v>0</v>
      </c>
      <c r="J823">
        <v>1000</v>
      </c>
      <c r="K823">
        <v>200</v>
      </c>
      <c r="L823">
        <v>25</v>
      </c>
      <c r="M823" s="4">
        <v>1</v>
      </c>
      <c r="N823" t="e">
        <f>(#REF!*Y823)/(T823*X823*O823)</f>
        <v>#REF!</v>
      </c>
      <c r="O823">
        <v>3</v>
      </c>
      <c r="P823" t="s">
        <v>33</v>
      </c>
      <c r="Q823" s="1">
        <f t="shared" si="406"/>
        <v>5</v>
      </c>
      <c r="R823" t="s">
        <v>183</v>
      </c>
      <c r="S823" t="s">
        <v>33</v>
      </c>
      <c r="T823">
        <v>1</v>
      </c>
      <c r="U823">
        <v>2.5</v>
      </c>
      <c r="V823" t="s">
        <v>33</v>
      </c>
      <c r="W823">
        <v>0.50249999999999995</v>
      </c>
      <c r="X823">
        <f>W823</f>
        <v>0.50249999999999995</v>
      </c>
      <c r="Y823" t="s">
        <v>33</v>
      </c>
      <c r="Z823" s="3">
        <f t="shared" si="407"/>
        <v>0.10049999999999999</v>
      </c>
      <c r="AA823" t="s">
        <v>33</v>
      </c>
      <c r="AB823">
        <f t="shared" si="408"/>
        <v>5</v>
      </c>
      <c r="AC823" s="1" t="str">
        <f t="shared" si="404"/>
        <v>NA</v>
      </c>
      <c r="AE823" s="3">
        <f t="shared" si="405"/>
        <v>9.375</v>
      </c>
      <c r="AF823">
        <v>15</v>
      </c>
      <c r="AG823" s="1" t="str">
        <f t="shared" si="409"/>
        <v>NA</v>
      </c>
      <c r="AH823" s="1" t="str">
        <f t="shared" si="410"/>
        <v>NA</v>
      </c>
      <c r="AI823" s="1">
        <v>1</v>
      </c>
      <c r="AJ823" s="11" t="s">
        <v>31</v>
      </c>
      <c r="AK823">
        <v>1000</v>
      </c>
      <c r="AL823" t="s">
        <v>614</v>
      </c>
      <c r="AM823" s="3" t="s">
        <v>103</v>
      </c>
      <c r="AN823" t="s">
        <v>305</v>
      </c>
      <c r="AO823" t="s">
        <v>790</v>
      </c>
      <c r="AP823">
        <v>3.5</v>
      </c>
      <c r="AQ823" t="s">
        <v>33</v>
      </c>
      <c r="AR823" t="s">
        <v>33</v>
      </c>
      <c r="AS823">
        <v>8</v>
      </c>
      <c r="AT823">
        <f>AS823-AU823</f>
        <v>4.93</v>
      </c>
      <c r="AU823" s="6">
        <v>3.07</v>
      </c>
      <c r="AV823" t="b">
        <v>1</v>
      </c>
      <c r="AW823" t="s">
        <v>617</v>
      </c>
      <c r="AX823" t="s">
        <v>33</v>
      </c>
      <c r="AY823" t="s">
        <v>623</v>
      </c>
      <c r="AZ823" t="s">
        <v>621</v>
      </c>
      <c r="BA823" s="18" t="s">
        <v>802</v>
      </c>
      <c r="BB823" s="3" t="b">
        <v>0</v>
      </c>
      <c r="BC823" t="s">
        <v>81</v>
      </c>
      <c r="BD823">
        <v>18</v>
      </c>
      <c r="BE823" t="s">
        <v>80</v>
      </c>
      <c r="BF823">
        <v>24</v>
      </c>
      <c r="BG823" t="s">
        <v>642</v>
      </c>
      <c r="BH823" t="s">
        <v>32</v>
      </c>
      <c r="BI823" t="s">
        <v>31</v>
      </c>
      <c r="BJ823">
        <f t="shared" si="388"/>
        <v>3.07</v>
      </c>
      <c r="BK823" s="3">
        <f t="shared" si="411"/>
        <v>0.48713837547718647</v>
      </c>
      <c r="BL823">
        <v>2</v>
      </c>
      <c r="BM823" s="3">
        <f t="shared" si="401"/>
        <v>0.48483290092257003</v>
      </c>
      <c r="BN823" t="s">
        <v>33</v>
      </c>
      <c r="BO823" s="3">
        <f t="shared" si="387"/>
        <v>3.0537459283387625</v>
      </c>
      <c r="BP823" t="s">
        <v>33</v>
      </c>
      <c r="BQ823" t="s">
        <v>33</v>
      </c>
      <c r="BR823" t="s">
        <v>33</v>
      </c>
      <c r="BS823" t="s">
        <v>33</v>
      </c>
      <c r="BT823" t="s">
        <v>31</v>
      </c>
      <c r="BU823" t="s">
        <v>255</v>
      </c>
      <c r="BV823">
        <v>2010</v>
      </c>
      <c r="BW823" t="s">
        <v>651</v>
      </c>
      <c r="BX823" t="s">
        <v>78</v>
      </c>
      <c r="BY823" s="13" t="s">
        <v>674</v>
      </c>
      <c r="CA823" t="str">
        <f t="shared" si="389"/>
        <v>high acid</v>
      </c>
    </row>
    <row r="824" spans="1:79">
      <c r="A824" t="s">
        <v>143</v>
      </c>
      <c r="B824" t="s">
        <v>565</v>
      </c>
      <c r="C824" t="s">
        <v>563</v>
      </c>
      <c r="D824" t="s">
        <v>118</v>
      </c>
      <c r="E824" t="s">
        <v>77</v>
      </c>
      <c r="F824" t="s">
        <v>32</v>
      </c>
      <c r="G824">
        <v>10</v>
      </c>
      <c r="H824" t="s">
        <v>33</v>
      </c>
      <c r="I824" t="b">
        <v>0</v>
      </c>
      <c r="J824" t="s">
        <v>33</v>
      </c>
      <c r="K824" t="s">
        <v>33</v>
      </c>
      <c r="L824">
        <v>20</v>
      </c>
      <c r="M824" s="4">
        <v>500</v>
      </c>
      <c r="N824" s="3">
        <f>IFERROR(AF824/((T824*X824/Y824)*O824*AI824),"NA")</f>
        <v>503.35454362283343</v>
      </c>
      <c r="O824">
        <v>3</v>
      </c>
      <c r="P824" t="s">
        <v>33</v>
      </c>
      <c r="Q824" s="8">
        <f t="shared" si="406"/>
        <v>1.4555555555555556E-2</v>
      </c>
      <c r="R824" t="s">
        <v>183</v>
      </c>
      <c r="S824" t="s">
        <v>613</v>
      </c>
      <c r="T824" s="11">
        <v>6</v>
      </c>
      <c r="U824">
        <v>2.9</v>
      </c>
      <c r="V824">
        <v>2.2999999999999998</v>
      </c>
      <c r="W824" t="s">
        <v>33</v>
      </c>
      <c r="X824">
        <f>IFERROR(((PI())*(((V824*10^-1)/2)^2)*(U824*10^-1)), "NA")</f>
        <v>1.204879322468025E-2</v>
      </c>
      <c r="Y824" s="8">
        <f>50/60</f>
        <v>0.83333333333333337</v>
      </c>
      <c r="Z824" s="9">
        <f t="shared" si="407"/>
        <v>0.82777968719177286</v>
      </c>
      <c r="AA824" t="s">
        <v>33</v>
      </c>
      <c r="AB824" s="6">
        <f t="shared" si="408"/>
        <v>7.2777777777777786</v>
      </c>
      <c r="AC824" t="str">
        <f t="shared" si="404"/>
        <v>NA</v>
      </c>
      <c r="AD824" s="4">
        <f>IFERROR(AB824*T824*AI824, "NA")</f>
        <v>43.666666666666671</v>
      </c>
      <c r="AE824" s="3">
        <f t="shared" si="405"/>
        <v>190.73600000000002</v>
      </c>
      <c r="AF824">
        <v>131</v>
      </c>
      <c r="AG824" t="str">
        <f>IFERROR((M824*O824*P824), "NA")</f>
        <v>NA</v>
      </c>
      <c r="AH824" t="str">
        <f>IFERROR((AG824*T824*AI824), "NA")</f>
        <v>NA</v>
      </c>
      <c r="AI824" s="11">
        <v>1</v>
      </c>
      <c r="AJ824" t="s">
        <v>31</v>
      </c>
      <c r="AK824">
        <v>3640</v>
      </c>
      <c r="AL824" t="s">
        <v>145</v>
      </c>
      <c r="AM824" t="s">
        <v>86</v>
      </c>
      <c r="AN824" t="s">
        <v>205</v>
      </c>
      <c r="AO824" t="s">
        <v>789</v>
      </c>
      <c r="AP824">
        <v>3.18</v>
      </c>
      <c r="AQ824" t="s">
        <v>33</v>
      </c>
      <c r="AR824" t="s">
        <v>33</v>
      </c>
      <c r="AS824" s="3">
        <v>6.5919999999999996</v>
      </c>
      <c r="AT824" s="3">
        <f>IFERROR(AS824-AU824,"NA")</f>
        <v>4.9319999999999995</v>
      </c>
      <c r="AU824" s="6">
        <v>1.66</v>
      </c>
      <c r="AV824" t="b">
        <v>1</v>
      </c>
      <c r="AW824" t="s">
        <v>92</v>
      </c>
      <c r="AX824" t="s">
        <v>93</v>
      </c>
      <c r="AY824" t="s">
        <v>137</v>
      </c>
      <c r="AZ824" t="s">
        <v>33</v>
      </c>
      <c r="BA824" s="18" t="s">
        <v>801</v>
      </c>
      <c r="BB824" t="b">
        <v>0</v>
      </c>
      <c r="BC824" t="s">
        <v>81</v>
      </c>
      <c r="BD824">
        <f>(48+24)/2</f>
        <v>36</v>
      </c>
      <c r="BE824" t="s">
        <v>80</v>
      </c>
      <c r="BF824" s="11">
        <f>(48+24)/2</f>
        <v>36</v>
      </c>
      <c r="BG824" t="s">
        <v>139</v>
      </c>
      <c r="BH824" t="s">
        <v>31</v>
      </c>
      <c r="BI824" t="s">
        <v>31</v>
      </c>
      <c r="BJ824">
        <f t="shared" si="388"/>
        <v>1.66</v>
      </c>
      <c r="BK824" s="3">
        <f t="shared" si="411"/>
        <v>0.22010808804005508</v>
      </c>
      <c r="BL824">
        <v>2</v>
      </c>
      <c r="BM824" s="3">
        <f>LOG(BO824)</f>
        <v>2.0603245825927274</v>
      </c>
      <c r="BN824" t="s">
        <v>33</v>
      </c>
      <c r="BO824" s="3">
        <f t="shared" si="387"/>
        <v>114.90120481927713</v>
      </c>
      <c r="BP824" t="s">
        <v>33</v>
      </c>
      <c r="BQ824" t="s">
        <v>33</v>
      </c>
      <c r="BR824" t="s">
        <v>33</v>
      </c>
      <c r="BS824" t="s">
        <v>33</v>
      </c>
      <c r="BT824" t="s">
        <v>31</v>
      </c>
      <c r="BU824" t="s">
        <v>135</v>
      </c>
      <c r="BV824">
        <v>2010</v>
      </c>
      <c r="BW824" t="s">
        <v>140</v>
      </c>
      <c r="BX824" t="s">
        <v>78</v>
      </c>
      <c r="BY824" t="s">
        <v>33</v>
      </c>
      <c r="BZ824" t="s">
        <v>33</v>
      </c>
      <c r="CA824" t="str">
        <f t="shared" si="389"/>
        <v>high acid</v>
      </c>
    </row>
    <row r="825" spans="1:79">
      <c r="A825" t="s">
        <v>534</v>
      </c>
      <c r="B825" t="s">
        <v>565</v>
      </c>
      <c r="C825" t="s">
        <v>564</v>
      </c>
      <c r="D825" t="s">
        <v>243</v>
      </c>
      <c r="E825" t="s">
        <v>77</v>
      </c>
      <c r="F825" t="s">
        <v>32</v>
      </c>
      <c r="G825">
        <v>40</v>
      </c>
      <c r="H825">
        <v>50.2</v>
      </c>
      <c r="I825" t="b">
        <v>0</v>
      </c>
      <c r="J825" t="s">
        <v>33</v>
      </c>
      <c r="K825" t="s">
        <v>33</v>
      </c>
      <c r="L825">
        <v>24</v>
      </c>
      <c r="M825" s="4">
        <v>120</v>
      </c>
      <c r="N825" s="3">
        <f>IFERROR(AF825/((T825*X825/Y825)*O825*AI825),"NA")</f>
        <v>200.55685355651937</v>
      </c>
      <c r="O825">
        <v>3</v>
      </c>
      <c r="P825" t="s">
        <v>33</v>
      </c>
      <c r="Q825" s="8">
        <f t="shared" si="406"/>
        <v>6.3888888888888884E-2</v>
      </c>
      <c r="R825" t="s">
        <v>183</v>
      </c>
      <c r="S825" t="s">
        <v>612</v>
      </c>
      <c r="T825" s="11">
        <v>4</v>
      </c>
      <c r="U825">
        <v>3</v>
      </c>
      <c r="V825">
        <v>2.6</v>
      </c>
      <c r="W825">
        <v>1.5900000000000001E-2</v>
      </c>
      <c r="X825" s="8">
        <f>IFERROR(((PI())*(((V825*10^-1)/2)^2)*(U825*10^-1)), "NA")</f>
        <v>1.5927874753700257E-2</v>
      </c>
      <c r="Y825" s="6">
        <f>25/60</f>
        <v>0.41666666666666669</v>
      </c>
      <c r="Z825" s="3">
        <f t="shared" si="407"/>
        <v>0.249305865710091</v>
      </c>
      <c r="AA825" t="s">
        <v>33</v>
      </c>
      <c r="AB825" s="6">
        <f t="shared" si="408"/>
        <v>7.6666666666666661</v>
      </c>
      <c r="AC825" t="str">
        <f t="shared" si="404"/>
        <v>NA</v>
      </c>
      <c r="AD825" s="4">
        <f>IFERROR(AB825*T825*AI825, "NA")</f>
        <v>30.666666666666664</v>
      </c>
      <c r="AE825" s="3">
        <f t="shared" si="405"/>
        <v>48.752639999999992</v>
      </c>
      <c r="AF825">
        <v>92</v>
      </c>
      <c r="AG825" t="str">
        <f>IFERROR((M825*O825*P825), "NA")</f>
        <v>NA</v>
      </c>
      <c r="AH825" t="str">
        <f>IFERROR((AG825*T825*AI825), "NA")</f>
        <v>NA</v>
      </c>
      <c r="AI825" s="11">
        <v>1</v>
      </c>
      <c r="AJ825" t="s">
        <v>31</v>
      </c>
      <c r="AK825">
        <v>920</v>
      </c>
      <c r="AL825" t="s">
        <v>551</v>
      </c>
      <c r="AM825" t="s">
        <v>86</v>
      </c>
      <c r="AN825" t="s">
        <v>186</v>
      </c>
      <c r="AO825" t="s">
        <v>794</v>
      </c>
      <c r="AP825">
        <v>5.92</v>
      </c>
      <c r="AQ825" t="s">
        <v>33</v>
      </c>
      <c r="AR825" t="s">
        <v>33</v>
      </c>
      <c r="AS825" s="6">
        <f>LOG(1.4*10^6)</f>
        <v>6.1461280356782382</v>
      </c>
      <c r="AT825" s="3">
        <f>IFERROR(AS825-AU825,"NA")</f>
        <v>4.9371280356782385</v>
      </c>
      <c r="AU825" s="6">
        <v>1.2090000000000001</v>
      </c>
      <c r="AV825" t="b">
        <v>1</v>
      </c>
      <c r="AW825" t="s">
        <v>29</v>
      </c>
      <c r="AX825" t="s">
        <v>30</v>
      </c>
      <c r="AY825" t="s">
        <v>244</v>
      </c>
      <c r="AZ825" t="s">
        <v>33</v>
      </c>
      <c r="BA825" s="18" t="s">
        <v>798</v>
      </c>
      <c r="BB825" t="b">
        <v>0</v>
      </c>
      <c r="BC825" t="s">
        <v>81</v>
      </c>
      <c r="BD825">
        <v>20</v>
      </c>
      <c r="BE825" t="s">
        <v>80</v>
      </c>
      <c r="BF825" s="11">
        <v>20</v>
      </c>
      <c r="BG825" t="s">
        <v>245</v>
      </c>
      <c r="BH825" t="s">
        <v>31</v>
      </c>
      <c r="BI825" t="s">
        <v>31</v>
      </c>
      <c r="BJ825" s="3">
        <f t="shared" si="388"/>
        <v>1.2090000000000001</v>
      </c>
      <c r="BK825" s="3">
        <f t="shared" si="411"/>
        <v>8.2426300860771906E-2</v>
      </c>
      <c r="BL825">
        <v>2</v>
      </c>
      <c r="BM825" s="3">
        <f t="shared" ref="BM825:BM837" si="412">IFERROR(LOG(BO825),"NA")</f>
        <v>1.6055718372535506</v>
      </c>
      <c r="BN825" t="s">
        <v>33</v>
      </c>
      <c r="BO825" s="3">
        <f t="shared" si="387"/>
        <v>40.324764267990062</v>
      </c>
      <c r="BP825" t="s">
        <v>33</v>
      </c>
      <c r="BQ825" t="s">
        <v>33</v>
      </c>
      <c r="BR825" t="s">
        <v>33</v>
      </c>
      <c r="BS825" t="s">
        <v>33</v>
      </c>
      <c r="BT825" t="s">
        <v>32</v>
      </c>
      <c r="BU825" t="s">
        <v>207</v>
      </c>
      <c r="BV825">
        <v>2014</v>
      </c>
      <c r="BW825" s="2" t="s">
        <v>242</v>
      </c>
      <c r="BX825" t="s">
        <v>78</v>
      </c>
      <c r="BY825" t="s">
        <v>33</v>
      </c>
      <c r="BZ825" t="s">
        <v>33</v>
      </c>
      <c r="CA825" t="str">
        <f t="shared" si="389"/>
        <v>low acid</v>
      </c>
    </row>
    <row r="826" spans="1:79">
      <c r="A826" t="s">
        <v>448</v>
      </c>
      <c r="B826" t="s">
        <v>565</v>
      </c>
      <c r="C826" t="s">
        <v>563</v>
      </c>
      <c r="D826" t="s">
        <v>182</v>
      </c>
      <c r="E826" t="s">
        <v>77</v>
      </c>
      <c r="F826" t="s">
        <v>32</v>
      </c>
      <c r="G826">
        <v>18</v>
      </c>
      <c r="H826">
        <v>49</v>
      </c>
      <c r="I826" t="b">
        <v>1</v>
      </c>
      <c r="J826" t="s">
        <v>33</v>
      </c>
      <c r="K826" t="s">
        <v>33</v>
      </c>
      <c r="L826">
        <v>33</v>
      </c>
      <c r="M826" s="4" t="s">
        <v>33</v>
      </c>
      <c r="N826" s="3">
        <f>IFERROR(AF826/((T826*X826/Y826)*O826*AI826),"NA")</f>
        <v>281.42752925843115</v>
      </c>
      <c r="O826">
        <v>8</v>
      </c>
      <c r="P826">
        <f>0.047/2</f>
        <v>2.35E-2</v>
      </c>
      <c r="Q826" s="8">
        <f t="shared" si="406"/>
        <v>2.3318614270936313E-2</v>
      </c>
      <c r="R826" t="s">
        <v>183</v>
      </c>
      <c r="S826" t="s">
        <v>613</v>
      </c>
      <c r="T826" s="11">
        <v>2</v>
      </c>
      <c r="U826">
        <v>5.6</v>
      </c>
      <c r="V826">
        <v>4.5</v>
      </c>
      <c r="W826" t="s">
        <v>33</v>
      </c>
      <c r="X826" s="9">
        <f>IFERROR(((PI())*(((V826*10^-1)/2)^2)*(U826*10^-1)), "NA")</f>
        <v>8.9064151729270638E-2</v>
      </c>
      <c r="Y826" s="6">
        <f>13750/3600</f>
        <v>3.8194444444444446</v>
      </c>
      <c r="Z826" s="3">
        <f>IFERROR(X826*N826*O826*T826*AI826/AF826, "NA")</f>
        <v>3.8194444444444442</v>
      </c>
      <c r="AA826" t="s">
        <v>33</v>
      </c>
      <c r="AB826" s="4">
        <f>IFERROR(((X826*N826)/Y826), "NA")</f>
        <v>6.5624999999999991</v>
      </c>
      <c r="AC826" s="4">
        <f>IFERROR(N826*P826,"NA")</f>
        <v>6.6135469375731324</v>
      </c>
      <c r="AD826" s="4">
        <f>AB826*T826*AI826</f>
        <v>13.124999999999998</v>
      </c>
      <c r="AE826" s="3">
        <f>IFERROR(((L826^2)*N826*O826*AK826*10^-6*Q826*T826*AI826), "NA")</f>
        <v>262.99349999999998</v>
      </c>
      <c r="AF826">
        <v>105</v>
      </c>
      <c r="AG826" s="4">
        <f>IFERROR((N826*O826*P826), "NA")</f>
        <v>52.908375500585059</v>
      </c>
      <c r="AH826" s="4">
        <f>IFERROR((AG826*T826*AI826), "NA")</f>
        <v>105.81675100117012</v>
      </c>
      <c r="AI826" s="11">
        <v>1</v>
      </c>
      <c r="AJ826" t="s">
        <v>31</v>
      </c>
      <c r="AK826">
        <v>2300</v>
      </c>
      <c r="AL826" t="s">
        <v>805</v>
      </c>
      <c r="AM826" t="s">
        <v>515</v>
      </c>
      <c r="AN826" t="s">
        <v>205</v>
      </c>
      <c r="AO826" t="s">
        <v>788</v>
      </c>
      <c r="AP826">
        <v>3.68</v>
      </c>
      <c r="AQ826" t="s">
        <v>33</v>
      </c>
      <c r="AR826" t="s">
        <v>33</v>
      </c>
      <c r="AS826">
        <f>LOG(10^7)</f>
        <v>7</v>
      </c>
      <c r="AT826" s="3">
        <f>IFERROR(AS826-AU826,"NA")</f>
        <v>4.9399999999999995</v>
      </c>
      <c r="AU826" s="6">
        <v>2.06</v>
      </c>
      <c r="AV826" t="b">
        <v>1</v>
      </c>
      <c r="AW826" t="s">
        <v>172</v>
      </c>
      <c r="AX826" t="s">
        <v>173</v>
      </c>
      <c r="AY826" t="s">
        <v>465</v>
      </c>
      <c r="AZ826" t="s">
        <v>33</v>
      </c>
      <c r="BA826" s="18" t="s">
        <v>799</v>
      </c>
      <c r="BB826" t="b">
        <v>0</v>
      </c>
      <c r="BC826" t="s">
        <v>81</v>
      </c>
      <c r="BD826" t="s">
        <v>33</v>
      </c>
      <c r="BE826" t="s">
        <v>80</v>
      </c>
      <c r="BF826" t="s">
        <v>33</v>
      </c>
      <c r="BG826" t="s">
        <v>401</v>
      </c>
      <c r="BH826" t="s">
        <v>31</v>
      </c>
      <c r="BI826" t="s">
        <v>31</v>
      </c>
      <c r="BJ826" s="3">
        <f t="shared" si="388"/>
        <v>2.06</v>
      </c>
      <c r="BK826" s="3">
        <f t="shared" si="411"/>
        <v>0.31386722036915343</v>
      </c>
      <c r="BL826">
        <v>2</v>
      </c>
      <c r="BM826" s="3">
        <f t="shared" si="412"/>
        <v>2.1060777944741527</v>
      </c>
      <c r="BN826" t="s">
        <v>33</v>
      </c>
      <c r="BO826" s="3">
        <f t="shared" si="387"/>
        <v>127.66674757281552</v>
      </c>
      <c r="BP826" t="s">
        <v>33</v>
      </c>
      <c r="BQ826" t="s">
        <v>33</v>
      </c>
      <c r="BR826" t="s">
        <v>33</v>
      </c>
      <c r="BS826" t="s">
        <v>33</v>
      </c>
      <c r="BT826" t="s">
        <v>32</v>
      </c>
      <c r="BU826" t="s">
        <v>484</v>
      </c>
      <c r="BV826">
        <v>2015</v>
      </c>
      <c r="BW826" t="s">
        <v>485</v>
      </c>
      <c r="BX826" t="s">
        <v>78</v>
      </c>
      <c r="BY826" t="s">
        <v>486</v>
      </c>
      <c r="CA826" t="str">
        <f t="shared" si="389"/>
        <v>high acid</v>
      </c>
    </row>
    <row r="827" spans="1:79">
      <c r="A827" t="s">
        <v>604</v>
      </c>
      <c r="B827" t="s">
        <v>565</v>
      </c>
      <c r="C827" t="s">
        <v>563</v>
      </c>
      <c r="D827" t="s">
        <v>118</v>
      </c>
      <c r="E827" t="s">
        <v>77</v>
      </c>
      <c r="F827" t="s">
        <v>33</v>
      </c>
      <c r="G827">
        <v>20</v>
      </c>
      <c r="H827">
        <v>25</v>
      </c>
      <c r="I827" t="b">
        <v>0</v>
      </c>
      <c r="J827" t="s">
        <v>33</v>
      </c>
      <c r="K827" t="s">
        <v>33</v>
      </c>
      <c r="L827">
        <v>18.100000000000001</v>
      </c>
      <c r="M827" s="4">
        <v>667</v>
      </c>
      <c r="N827" t="e">
        <f>(#REF!*Y827)/(T827*X827*O827)</f>
        <v>#REF!</v>
      </c>
      <c r="O827">
        <v>2</v>
      </c>
      <c r="P827" t="s">
        <v>33</v>
      </c>
      <c r="Q827" s="1">
        <f t="shared" si="406"/>
        <v>2.4987506246876564E-2</v>
      </c>
      <c r="R827" t="s">
        <v>183</v>
      </c>
      <c r="S827" t="s">
        <v>613</v>
      </c>
      <c r="T827">
        <v>6</v>
      </c>
      <c r="U827">
        <v>2.92</v>
      </c>
      <c r="V827">
        <v>2.2999999999999998</v>
      </c>
      <c r="W827" t="s">
        <v>33</v>
      </c>
      <c r="X827">
        <f>IFERROR(((PI())*(((V827*10^-1)/2)^2)*(U827*10^-1)), "NA")</f>
        <v>1.2131888350367701E-2</v>
      </c>
      <c r="Y827" t="s">
        <v>33</v>
      </c>
      <c r="Z827" s="3">
        <f t="shared" ref="Z827:Z840" si="413">IFERROR(X827*M827*O827*T827*AI827/AF827, "NA")</f>
        <v>0.4855181717817153</v>
      </c>
      <c r="AA827" t="s">
        <v>33</v>
      </c>
      <c r="AB827">
        <f>IFERROR(((X827*M827)/Z827), "NA")</f>
        <v>16.666666666666668</v>
      </c>
      <c r="AC827" s="1" t="str">
        <f t="shared" ref="AC827:AC840" si="414">IFERROR(M827*P827,"NA")</f>
        <v>NA</v>
      </c>
      <c r="AE827" s="3">
        <f t="shared" ref="AE827:AE840" si="415">IFERROR(((L827^2)*M827*O827*AK827*10^-6*Q827*T827*AI827), "NA")</f>
        <v>65.52200000000002</v>
      </c>
      <c r="AF827">
        <v>200</v>
      </c>
      <c r="AG827" s="1" t="str">
        <f>IFERROR((N827*P827*Q827), "NA")</f>
        <v>NA</v>
      </c>
      <c r="AH827" s="1" t="str">
        <f>IFERROR((O827*Q827*R827), "NA")</f>
        <v>NA</v>
      </c>
      <c r="AI827" s="1">
        <v>1</v>
      </c>
      <c r="AJ827" s="11" t="s">
        <v>31</v>
      </c>
      <c r="AK827">
        <v>1000</v>
      </c>
      <c r="AL827" t="s">
        <v>430</v>
      </c>
      <c r="AM827" t="s">
        <v>530</v>
      </c>
      <c r="AN827" t="s">
        <v>186</v>
      </c>
      <c r="AO827" t="s">
        <v>796</v>
      </c>
      <c r="AP827">
        <v>6</v>
      </c>
      <c r="AQ827" t="s">
        <v>33</v>
      </c>
      <c r="AR827" t="s">
        <v>33</v>
      </c>
      <c r="AS827">
        <v>6.5</v>
      </c>
      <c r="AT827">
        <f>AS827-AU827</f>
        <v>4.9399999999999995</v>
      </c>
      <c r="AU827" s="6">
        <v>1.56</v>
      </c>
      <c r="AV827" t="b">
        <v>1</v>
      </c>
      <c r="AW827" t="s">
        <v>626</v>
      </c>
      <c r="AX827" t="s">
        <v>627</v>
      </c>
      <c r="AY827" t="s">
        <v>625</v>
      </c>
      <c r="AZ827" t="s">
        <v>33</v>
      </c>
      <c r="BA827" s="18" t="s">
        <v>800</v>
      </c>
      <c r="BB827" s="3" t="b">
        <v>0</v>
      </c>
      <c r="BC827" t="s">
        <v>81</v>
      </c>
      <c r="BD827">
        <v>15</v>
      </c>
      <c r="BE827" t="s">
        <v>80</v>
      </c>
      <c r="BF827">
        <v>48</v>
      </c>
      <c r="BG827" t="s">
        <v>568</v>
      </c>
      <c r="BH827" t="s">
        <v>31</v>
      </c>
      <c r="BI827" t="s">
        <v>31</v>
      </c>
      <c r="BJ827">
        <f t="shared" si="388"/>
        <v>1.56</v>
      </c>
      <c r="BK827" s="3">
        <f t="shared" si="411"/>
        <v>0.19312459835446161</v>
      </c>
      <c r="BL827">
        <v>2</v>
      </c>
      <c r="BM827" s="3">
        <f t="shared" si="412"/>
        <v>1.6232625470478887</v>
      </c>
      <c r="BN827" t="s">
        <v>33</v>
      </c>
      <c r="BO827" s="3">
        <f t="shared" si="387"/>
        <v>42.001282051282061</v>
      </c>
      <c r="BP827" t="s">
        <v>33</v>
      </c>
      <c r="BQ827" t="s">
        <v>33</v>
      </c>
      <c r="BR827" t="s">
        <v>33</v>
      </c>
      <c r="BS827" t="s">
        <v>33</v>
      </c>
      <c r="BT827" t="s">
        <v>32</v>
      </c>
      <c r="BU827" s="15" t="s">
        <v>344</v>
      </c>
      <c r="BV827" s="14">
        <v>2008</v>
      </c>
      <c r="BW827" t="s">
        <v>432</v>
      </c>
      <c r="BX827" t="s">
        <v>78</v>
      </c>
      <c r="BY827" s="13" t="s">
        <v>691</v>
      </c>
      <c r="BZ827" s="13" t="s">
        <v>781</v>
      </c>
      <c r="CA827" t="str">
        <f t="shared" si="389"/>
        <v>low acid</v>
      </c>
    </row>
    <row r="828" spans="1:79">
      <c r="A828" t="s">
        <v>698</v>
      </c>
      <c r="B828" t="s">
        <v>566</v>
      </c>
      <c r="C828" t="s">
        <v>563</v>
      </c>
      <c r="D828" t="s">
        <v>699</v>
      </c>
      <c r="E828" t="s">
        <v>77</v>
      </c>
      <c r="F828" t="s">
        <v>32</v>
      </c>
      <c r="G828">
        <v>20</v>
      </c>
      <c r="H828">
        <v>41</v>
      </c>
      <c r="I828" t="b">
        <v>1</v>
      </c>
      <c r="J828" t="s">
        <v>33</v>
      </c>
      <c r="K828" t="s">
        <v>33</v>
      </c>
      <c r="L828">
        <v>20</v>
      </c>
      <c r="M828" s="4">
        <v>30</v>
      </c>
      <c r="N828" s="3">
        <f>IFERROR(AF828/((T828*X828/Y828)*O828*AI828),"NA")</f>
        <v>29.861111111111104</v>
      </c>
      <c r="O828">
        <v>5</v>
      </c>
      <c r="P828">
        <v>0.43</v>
      </c>
      <c r="Q828" s="8">
        <f>IFERROR(X828/Y828, "NA")</f>
        <v>0.43200000000000011</v>
      </c>
      <c r="R828" t="s">
        <v>183</v>
      </c>
      <c r="S828" t="s">
        <v>612</v>
      </c>
      <c r="T828" s="11">
        <v>1</v>
      </c>
      <c r="U828">
        <v>4</v>
      </c>
      <c r="V828" t="s">
        <v>33</v>
      </c>
      <c r="W828">
        <f>0.4*3*0.5</f>
        <v>0.60000000000000009</v>
      </c>
      <c r="X828" s="9">
        <f>W828</f>
        <v>0.60000000000000009</v>
      </c>
      <c r="Y828" s="6">
        <f>5000/3600</f>
        <v>1.3888888888888888</v>
      </c>
      <c r="Z828" s="3">
        <f t="shared" si="413"/>
        <v>1.3953488372093026</v>
      </c>
      <c r="AA828" t="s">
        <v>33</v>
      </c>
      <c r="AB828" s="4">
        <f>IFERROR(((X828*M828)/Y828), "NA")</f>
        <v>12.960000000000003</v>
      </c>
      <c r="AC828" s="4">
        <f t="shared" si="414"/>
        <v>12.9</v>
      </c>
      <c r="AD828" s="4">
        <f>AB828*T828*AI828</f>
        <v>12.960000000000003</v>
      </c>
      <c r="AE828" s="3">
        <f t="shared" si="415"/>
        <v>51.840000000000011</v>
      </c>
      <c r="AF828">
        <v>64.5</v>
      </c>
      <c r="AG828" s="4">
        <f>IFERROR((M828*O828*P828), "NA")</f>
        <v>64.5</v>
      </c>
      <c r="AH828" s="4">
        <f>IFERROR((AG828*T828*AI828), "NA")</f>
        <v>64.5</v>
      </c>
      <c r="AI828">
        <v>1</v>
      </c>
      <c r="AJ828" s="11" t="s">
        <v>31</v>
      </c>
      <c r="AK828">
        <v>2000</v>
      </c>
      <c r="AL828" t="s">
        <v>784</v>
      </c>
      <c r="AM828" t="s">
        <v>103</v>
      </c>
      <c r="AN828" t="s">
        <v>130</v>
      </c>
      <c r="AO828" t="s">
        <v>795</v>
      </c>
      <c r="AP828">
        <v>7</v>
      </c>
      <c r="AQ828" t="s">
        <v>33</v>
      </c>
      <c r="AR828" t="s">
        <v>33</v>
      </c>
      <c r="AS828" s="6">
        <f>LOG(AVERAGE(10^8, 10^9))</f>
        <v>8.7403626894942441</v>
      </c>
      <c r="AT828" s="3">
        <f>IFERROR(AS828-AU828,"NA")</f>
        <v>4.955362689494244</v>
      </c>
      <c r="AU828" s="6">
        <v>3.7850000000000001</v>
      </c>
      <c r="AV828" t="b">
        <v>1</v>
      </c>
      <c r="AW828" t="s">
        <v>29</v>
      </c>
      <c r="AX828" t="s">
        <v>30</v>
      </c>
      <c r="AY828" t="s">
        <v>701</v>
      </c>
      <c r="AZ828" t="s">
        <v>33</v>
      </c>
      <c r="BA828" s="18" t="s">
        <v>798</v>
      </c>
      <c r="BB828" s="3" t="b">
        <v>0</v>
      </c>
      <c r="BC828" t="s">
        <v>81</v>
      </c>
      <c r="BD828">
        <v>24</v>
      </c>
      <c r="BE828" t="s">
        <v>80</v>
      </c>
      <c r="BF828">
        <v>24</v>
      </c>
      <c r="BG828" t="s">
        <v>568</v>
      </c>
      <c r="BH828" t="s">
        <v>31</v>
      </c>
      <c r="BI828" t="s">
        <v>31</v>
      </c>
      <c r="BJ828" s="3">
        <f t="shared" si="388"/>
        <v>3.7850000000000001</v>
      </c>
      <c r="BK828" s="3">
        <f t="shared" si="411"/>
        <v>0.57806588383609159</v>
      </c>
      <c r="BL828">
        <v>2</v>
      </c>
      <c r="BM828" s="3">
        <f t="shared" si="412"/>
        <v>1.1365991090264453</v>
      </c>
      <c r="BN828" t="s">
        <v>33</v>
      </c>
      <c r="BO828" s="3">
        <f t="shared" si="387"/>
        <v>13.696169088507268</v>
      </c>
      <c r="BP828" t="s">
        <v>33</v>
      </c>
      <c r="BQ828" t="s">
        <v>33</v>
      </c>
      <c r="BR828" t="s">
        <v>33</v>
      </c>
      <c r="BS828" t="s">
        <v>33</v>
      </c>
      <c r="BT828" t="s">
        <v>32</v>
      </c>
      <c r="BU828" t="s">
        <v>709</v>
      </c>
      <c r="BV828">
        <v>2024</v>
      </c>
      <c r="BW828" t="s">
        <v>710</v>
      </c>
      <c r="BX828" t="s">
        <v>78</v>
      </c>
      <c r="BY828" t="s">
        <v>711</v>
      </c>
      <c r="CA828" t="str">
        <f t="shared" si="389"/>
        <v>low acid</v>
      </c>
    </row>
    <row r="829" spans="1:79">
      <c r="A829" t="s">
        <v>398</v>
      </c>
      <c r="B829" t="s">
        <v>565</v>
      </c>
      <c r="C829" t="s">
        <v>563</v>
      </c>
      <c r="D829" t="s">
        <v>118</v>
      </c>
      <c r="E829" t="s">
        <v>77</v>
      </c>
      <c r="F829" t="s">
        <v>32</v>
      </c>
      <c r="G829">
        <v>25</v>
      </c>
      <c r="H829">
        <v>36</v>
      </c>
      <c r="I829" t="b">
        <v>0</v>
      </c>
      <c r="J829" t="s">
        <v>33</v>
      </c>
      <c r="K829" t="s">
        <v>33</v>
      </c>
      <c r="L829">
        <v>30</v>
      </c>
      <c r="M829" s="4">
        <v>200</v>
      </c>
      <c r="N829" s="3" t="str">
        <f>IFERROR(AF829/((T829*X829/Y829)*O829*AI829),"NA")</f>
        <v>NA</v>
      </c>
      <c r="O829">
        <v>2</v>
      </c>
      <c r="P829" t="s">
        <v>33</v>
      </c>
      <c r="Q829" s="8">
        <f t="shared" ref="Q829:Q838" si="416">IFERROR(X829/Z829, "NA")</f>
        <v>9.3750000000000014E-2</v>
      </c>
      <c r="R829" t="s">
        <v>183</v>
      </c>
      <c r="S829" t="s">
        <v>613</v>
      </c>
      <c r="T829" s="11">
        <v>8</v>
      </c>
      <c r="U829">
        <v>2.9</v>
      </c>
      <c r="V829">
        <v>2.2999999999999998</v>
      </c>
      <c r="W829">
        <v>1.2E-2</v>
      </c>
      <c r="X829" s="8">
        <f>IFERROR(((PI())*(((V829*10^-1)/2)^2)*(U829*10^-1)), "NA")</f>
        <v>1.204879322468025E-2</v>
      </c>
      <c r="Y829" t="s">
        <v>33</v>
      </c>
      <c r="Z829" s="3">
        <f t="shared" si="413"/>
        <v>0.12852046106325599</v>
      </c>
      <c r="AA829" t="s">
        <v>33</v>
      </c>
      <c r="AB829" s="6">
        <f t="shared" ref="AB829:AB838" si="417">IFERROR(((X829*M829)/Z829), "NA")</f>
        <v>18.75</v>
      </c>
      <c r="AC829" t="str">
        <f t="shared" si="414"/>
        <v>NA</v>
      </c>
      <c r="AD829" s="4">
        <f>AB829*T829*AI829</f>
        <v>150</v>
      </c>
      <c r="AE829" s="3">
        <f t="shared" si="415"/>
        <v>1144.8</v>
      </c>
      <c r="AF829">
        <v>300</v>
      </c>
      <c r="AG829" t="str">
        <f>IFERROR((M829*O829*P829), "NA")</f>
        <v>NA</v>
      </c>
      <c r="AH829" t="str">
        <f>IFERROR((AG829*T829*AI829), "NA")</f>
        <v>NA</v>
      </c>
      <c r="AI829">
        <v>1</v>
      </c>
      <c r="AJ829" t="s">
        <v>31</v>
      </c>
      <c r="AK829">
        <v>4240</v>
      </c>
      <c r="AL829" t="s">
        <v>238</v>
      </c>
      <c r="AM829" t="s">
        <v>86</v>
      </c>
      <c r="AN829" t="s">
        <v>205</v>
      </c>
      <c r="AO829" t="s">
        <v>789</v>
      </c>
      <c r="AP829">
        <v>3.56</v>
      </c>
      <c r="AQ829" t="s">
        <v>33</v>
      </c>
      <c r="AR829" t="s">
        <v>33</v>
      </c>
      <c r="AS829" s="6">
        <f>LOG(10^8)</f>
        <v>8</v>
      </c>
      <c r="AT829" s="3">
        <f>IFERROR(AS829-AU829,"NA")</f>
        <v>4.9569999999999999</v>
      </c>
      <c r="AU829" s="6">
        <v>3.0430000000000001</v>
      </c>
      <c r="AV829" t="b">
        <v>1</v>
      </c>
      <c r="AW829" t="s">
        <v>123</v>
      </c>
      <c r="AX829" t="s">
        <v>393</v>
      </c>
      <c r="AY829" t="s">
        <v>394</v>
      </c>
      <c r="AZ829" t="s">
        <v>33</v>
      </c>
      <c r="BA829" s="18" t="s">
        <v>579</v>
      </c>
      <c r="BB829" t="b">
        <v>1</v>
      </c>
      <c r="BC829" t="s">
        <v>81</v>
      </c>
      <c r="BD829">
        <v>72</v>
      </c>
      <c r="BE829" t="s">
        <v>80</v>
      </c>
      <c r="BF829" s="11">
        <v>72</v>
      </c>
      <c r="BG829" t="s">
        <v>395</v>
      </c>
      <c r="BH829" t="s">
        <v>31</v>
      </c>
      <c r="BI829" t="s">
        <v>31</v>
      </c>
      <c r="BJ829" s="3">
        <f t="shared" si="388"/>
        <v>3.0430000000000001</v>
      </c>
      <c r="BK829" s="3">
        <f t="shared" si="411"/>
        <v>0.48330195235816714</v>
      </c>
      <c r="BL829">
        <v>2</v>
      </c>
      <c r="BM829" s="3">
        <f t="shared" si="412"/>
        <v>2.5754276683935529</v>
      </c>
      <c r="BN829" t="s">
        <v>33</v>
      </c>
      <c r="BO829" s="3">
        <f t="shared" si="387"/>
        <v>376.20768977982249</v>
      </c>
      <c r="BP829" t="s">
        <v>33</v>
      </c>
      <c r="BQ829" t="s">
        <v>33</v>
      </c>
      <c r="BR829" t="s">
        <v>33</v>
      </c>
      <c r="BS829" t="s">
        <v>33</v>
      </c>
      <c r="BT829" t="s">
        <v>31</v>
      </c>
      <c r="BU829" t="s">
        <v>240</v>
      </c>
      <c r="BV829">
        <v>2005</v>
      </c>
      <c r="BW829" t="s">
        <v>396</v>
      </c>
      <c r="BX829" t="s">
        <v>78</v>
      </c>
      <c r="BY829" t="s">
        <v>33</v>
      </c>
      <c r="BZ829" t="s">
        <v>33</v>
      </c>
      <c r="CA829" t="str">
        <f t="shared" si="389"/>
        <v>high acid</v>
      </c>
    </row>
    <row r="830" spans="1:79">
      <c r="A830" t="s">
        <v>261</v>
      </c>
      <c r="B830" t="s">
        <v>565</v>
      </c>
      <c r="C830" t="s">
        <v>563</v>
      </c>
      <c r="D830" t="s">
        <v>118</v>
      </c>
      <c r="E830" t="s">
        <v>77</v>
      </c>
      <c r="F830" t="s">
        <v>32</v>
      </c>
      <c r="G830">
        <v>5</v>
      </c>
      <c r="H830">
        <v>40</v>
      </c>
      <c r="I830" t="b">
        <v>0</v>
      </c>
      <c r="J830" t="s">
        <v>33</v>
      </c>
      <c r="K830" t="s">
        <v>33</v>
      </c>
      <c r="L830">
        <v>35</v>
      </c>
      <c r="M830" s="4">
        <v>175</v>
      </c>
      <c r="N830" s="3">
        <f>IFERROR(AF830/((T830*X830/Y830)*O830*AI830),"NA")</f>
        <v>2361.2015298892129</v>
      </c>
      <c r="O830">
        <v>4</v>
      </c>
      <c r="P830" t="s">
        <v>33</v>
      </c>
      <c r="Q830" s="8">
        <f t="shared" si="416"/>
        <v>8.9285714285714288E-2</v>
      </c>
      <c r="R830" t="s">
        <v>183</v>
      </c>
      <c r="S830" t="s">
        <v>613</v>
      </c>
      <c r="T830" s="11">
        <v>8</v>
      </c>
      <c r="U830">
        <v>2.92</v>
      </c>
      <c r="V830">
        <v>2.2999999999999998</v>
      </c>
      <c r="W830">
        <v>1.21E-2</v>
      </c>
      <c r="X830" s="8">
        <f>IFERROR(((PI())*(((V830*10^-1)/2)^2)*(U830*10^-1)), "NA")</f>
        <v>1.2131888350367701E-2</v>
      </c>
      <c r="Y830" s="6">
        <f>110/60</f>
        <v>1.8333333333333333</v>
      </c>
      <c r="Z830" s="3">
        <f t="shared" si="413"/>
        <v>0.13587714952411825</v>
      </c>
      <c r="AA830" t="s">
        <v>33</v>
      </c>
      <c r="AB830" s="6">
        <f t="shared" si="417"/>
        <v>15.624999999999998</v>
      </c>
      <c r="AC830" t="str">
        <f t="shared" si="414"/>
        <v>NA</v>
      </c>
      <c r="AD830" s="4">
        <f>AB830*T830*AI830</f>
        <v>124.99999999999999</v>
      </c>
      <c r="AE830" s="3">
        <f t="shared" si="415"/>
        <v>3142.1249999999995</v>
      </c>
      <c r="AF830">
        <v>500</v>
      </c>
      <c r="AG830" t="str">
        <f>IFERROR((M830*O830*P830), "NA")</f>
        <v>NA</v>
      </c>
      <c r="AH830" t="str">
        <f>IFERROR((AG830*T830*AI830), "NA")</f>
        <v>NA</v>
      </c>
      <c r="AI830">
        <v>1</v>
      </c>
      <c r="AJ830" t="s">
        <v>31</v>
      </c>
      <c r="AK830">
        <v>5130</v>
      </c>
      <c r="AL830" t="s">
        <v>547</v>
      </c>
      <c r="AM830" t="s">
        <v>86</v>
      </c>
      <c r="AN830" t="s">
        <v>205</v>
      </c>
      <c r="AO830" t="s">
        <v>789</v>
      </c>
      <c r="AP830">
        <v>3.16</v>
      </c>
      <c r="AQ830" t="s">
        <v>33</v>
      </c>
      <c r="AR830" t="s">
        <v>33</v>
      </c>
      <c r="AS830" s="6">
        <f>LOG((10^7+10^8)/2)</f>
        <v>7.7403626894942441</v>
      </c>
      <c r="AT830" s="3">
        <f>IFERROR(AS830-AU830,"NA")</f>
        <v>4.9583626894942441</v>
      </c>
      <c r="AU830" s="6">
        <v>2.782</v>
      </c>
      <c r="AV830" t="b">
        <v>1</v>
      </c>
      <c r="AW830" t="s">
        <v>29</v>
      </c>
      <c r="AX830" t="s">
        <v>30</v>
      </c>
      <c r="AY830" t="s">
        <v>33</v>
      </c>
      <c r="AZ830" t="s">
        <v>134</v>
      </c>
      <c r="BA830" s="18" t="s">
        <v>798</v>
      </c>
      <c r="BB830" t="b">
        <v>0</v>
      </c>
      <c r="BC830" t="s">
        <v>81</v>
      </c>
      <c r="BD830">
        <v>15</v>
      </c>
      <c r="BE830" t="s">
        <v>80</v>
      </c>
      <c r="BF830" s="11">
        <v>24</v>
      </c>
      <c r="BG830" t="s">
        <v>262</v>
      </c>
      <c r="BH830" t="s">
        <v>31</v>
      </c>
      <c r="BI830" t="s">
        <v>31</v>
      </c>
      <c r="BJ830" s="3">
        <f t="shared" si="388"/>
        <v>2.782</v>
      </c>
      <c r="BK830" s="3">
        <f t="shared" si="411"/>
        <v>0.44435712565602759</v>
      </c>
      <c r="BL830">
        <v>2</v>
      </c>
      <c r="BM830" s="3">
        <f t="shared" si="412"/>
        <v>3.0528663324923588</v>
      </c>
      <c r="BN830" t="s">
        <v>33</v>
      </c>
      <c r="BO830" s="3">
        <f t="shared" si="387"/>
        <v>1129.4482386772104</v>
      </c>
      <c r="BP830" t="s">
        <v>33</v>
      </c>
      <c r="BQ830" t="s">
        <v>33</v>
      </c>
      <c r="BR830" t="s">
        <v>33</v>
      </c>
      <c r="BS830" t="s">
        <v>33</v>
      </c>
      <c r="BT830" t="s">
        <v>31</v>
      </c>
      <c r="BU830" t="s">
        <v>219</v>
      </c>
      <c r="BV830">
        <v>2008</v>
      </c>
      <c r="BW830" s="2" t="s">
        <v>257</v>
      </c>
      <c r="BX830" t="s">
        <v>78</v>
      </c>
      <c r="BY830" t="s">
        <v>33</v>
      </c>
      <c r="BZ830" t="s">
        <v>33</v>
      </c>
      <c r="CA830" t="str">
        <f t="shared" si="389"/>
        <v>high acid</v>
      </c>
    </row>
    <row r="831" spans="1:79">
      <c r="A831" t="s">
        <v>584</v>
      </c>
      <c r="B831" t="s">
        <v>566</v>
      </c>
      <c r="C831" t="s">
        <v>563</v>
      </c>
      <c r="D831" t="s">
        <v>607</v>
      </c>
      <c r="E831" t="s">
        <v>77</v>
      </c>
      <c r="F831" t="s">
        <v>33</v>
      </c>
      <c r="G831">
        <v>20</v>
      </c>
      <c r="H831">
        <v>35</v>
      </c>
      <c r="I831" t="b">
        <v>0</v>
      </c>
      <c r="J831">
        <v>1000</v>
      </c>
      <c r="K831">
        <v>200</v>
      </c>
      <c r="L831">
        <v>25</v>
      </c>
      <c r="M831" s="4">
        <v>1</v>
      </c>
      <c r="N831" t="e">
        <f>(#REF!*Y831)/(T831*X831*O831)</f>
        <v>#REF!</v>
      </c>
      <c r="O831">
        <v>3</v>
      </c>
      <c r="P831" t="s">
        <v>33</v>
      </c>
      <c r="Q831" s="1">
        <f t="shared" si="416"/>
        <v>9</v>
      </c>
      <c r="R831" t="s">
        <v>183</v>
      </c>
      <c r="S831" t="s">
        <v>33</v>
      </c>
      <c r="T831">
        <v>1</v>
      </c>
      <c r="U831">
        <v>2.5</v>
      </c>
      <c r="V831" t="s">
        <v>33</v>
      </c>
      <c r="W831">
        <v>0.50249999999999995</v>
      </c>
      <c r="X831">
        <f>W831</f>
        <v>0.50249999999999995</v>
      </c>
      <c r="Y831" t="s">
        <v>33</v>
      </c>
      <c r="Z831" s="3">
        <f t="shared" si="413"/>
        <v>5.5833333333333325E-2</v>
      </c>
      <c r="AA831" t="s">
        <v>33</v>
      </c>
      <c r="AB831">
        <f t="shared" si="417"/>
        <v>9</v>
      </c>
      <c r="AC831" s="1" t="str">
        <f t="shared" si="414"/>
        <v>NA</v>
      </c>
      <c r="AE831" s="3">
        <f t="shared" si="415"/>
        <v>16.875</v>
      </c>
      <c r="AF831">
        <v>27</v>
      </c>
      <c r="AG831" s="1" t="str">
        <f>IFERROR((N831*P831*Q831), "NA")</f>
        <v>NA</v>
      </c>
      <c r="AH831" s="1" t="str">
        <f>IFERROR((AG831*U831*AI831), "NA")</f>
        <v>NA</v>
      </c>
      <c r="AI831" s="1">
        <v>1</v>
      </c>
      <c r="AJ831" s="11" t="s">
        <v>31</v>
      </c>
      <c r="AK831">
        <v>1000</v>
      </c>
      <c r="AL831" t="s">
        <v>614</v>
      </c>
      <c r="AM831" s="3" t="s">
        <v>103</v>
      </c>
      <c r="AN831" t="s">
        <v>305</v>
      </c>
      <c r="AO831" t="s">
        <v>790</v>
      </c>
      <c r="AP831">
        <v>3.5</v>
      </c>
      <c r="AQ831" t="s">
        <v>33</v>
      </c>
      <c r="AR831" t="s">
        <v>33</v>
      </c>
      <c r="AS831">
        <v>8</v>
      </c>
      <c r="AT831">
        <f>AS831-AU831</f>
        <v>4.96</v>
      </c>
      <c r="AU831" s="6">
        <v>3.04</v>
      </c>
      <c r="AV831" t="b">
        <v>1</v>
      </c>
      <c r="AW831" t="s">
        <v>617</v>
      </c>
      <c r="AX831" t="s">
        <v>33</v>
      </c>
      <c r="AY831" t="s">
        <v>623</v>
      </c>
      <c r="AZ831" t="s">
        <v>621</v>
      </c>
      <c r="BA831" s="18" t="s">
        <v>802</v>
      </c>
      <c r="BB831" s="3" t="b">
        <v>0</v>
      </c>
      <c r="BC831" t="s">
        <v>81</v>
      </c>
      <c r="BD831">
        <v>18</v>
      </c>
      <c r="BE831" t="s">
        <v>80</v>
      </c>
      <c r="BF831">
        <v>24</v>
      </c>
      <c r="BG831" t="s">
        <v>642</v>
      </c>
      <c r="BH831" t="s">
        <v>32</v>
      </c>
      <c r="BI831" t="s">
        <v>31</v>
      </c>
      <c r="BJ831">
        <f t="shared" si="388"/>
        <v>3.04</v>
      </c>
      <c r="BK831" s="3">
        <f t="shared" si="411"/>
        <v>0.48287358360875376</v>
      </c>
      <c r="BL831">
        <v>2</v>
      </c>
      <c r="BM831" s="3">
        <f t="shared" si="412"/>
        <v>0.7443701978943088</v>
      </c>
      <c r="BN831" t="s">
        <v>33</v>
      </c>
      <c r="BO831" s="3">
        <f t="shared" si="387"/>
        <v>5.5509868421052628</v>
      </c>
      <c r="BP831" t="s">
        <v>33</v>
      </c>
      <c r="BQ831" t="s">
        <v>33</v>
      </c>
      <c r="BR831" t="s">
        <v>33</v>
      </c>
      <c r="BS831" t="s">
        <v>33</v>
      </c>
      <c r="BT831" t="s">
        <v>31</v>
      </c>
      <c r="BU831" t="s">
        <v>255</v>
      </c>
      <c r="BV831">
        <v>2010</v>
      </c>
      <c r="BW831" t="s">
        <v>651</v>
      </c>
      <c r="BX831" t="s">
        <v>78</v>
      </c>
      <c r="BY831" s="13" t="s">
        <v>674</v>
      </c>
      <c r="CA831" t="str">
        <f t="shared" si="389"/>
        <v>high acid</v>
      </c>
    </row>
    <row r="832" spans="1:79">
      <c r="A832" t="s">
        <v>196</v>
      </c>
      <c r="B832" t="s">
        <v>565</v>
      </c>
      <c r="C832" t="s">
        <v>563</v>
      </c>
      <c r="D832" t="s">
        <v>118</v>
      </c>
      <c r="E832" t="s">
        <v>77</v>
      </c>
      <c r="F832" t="s">
        <v>32</v>
      </c>
      <c r="G832">
        <v>23</v>
      </c>
      <c r="H832">
        <v>56</v>
      </c>
      <c r="I832" t="b">
        <v>0</v>
      </c>
      <c r="J832" t="s">
        <v>33</v>
      </c>
      <c r="K832" t="s">
        <v>33</v>
      </c>
      <c r="L832">
        <v>25</v>
      </c>
      <c r="M832" s="4">
        <v>1000</v>
      </c>
      <c r="N832" s="3">
        <f>IFERROR(AF832/((T832*X832/Y832)*O832*AI832),"NA")</f>
        <v>995.95036417586573</v>
      </c>
      <c r="O832">
        <v>3</v>
      </c>
      <c r="P832" t="s">
        <v>33</v>
      </c>
      <c r="Q832">
        <f t="shared" si="416"/>
        <v>1.2E-2</v>
      </c>
      <c r="R832" t="s">
        <v>183</v>
      </c>
      <c r="S832" t="s">
        <v>613</v>
      </c>
      <c r="T832" s="11">
        <v>4</v>
      </c>
      <c r="U832">
        <v>2.9</v>
      </c>
      <c r="V832">
        <v>2.2999999999999998</v>
      </c>
      <c r="W832" t="s">
        <v>33</v>
      </c>
      <c r="X832" s="8">
        <f>IFERROR(((PI())*(((V832*10^-1)/2)^2)*(U832*10^-1)), "NA")</f>
        <v>1.204879322468025E-2</v>
      </c>
      <c r="Y832">
        <v>1</v>
      </c>
      <c r="Z832" s="3">
        <f t="shared" si="413"/>
        <v>1.0040661020566874</v>
      </c>
      <c r="AA832" t="s">
        <v>33</v>
      </c>
      <c r="AB832" s="6">
        <f t="shared" si="417"/>
        <v>12.000000000000002</v>
      </c>
      <c r="AC832" t="str">
        <f t="shared" si="414"/>
        <v>NA</v>
      </c>
      <c r="AD832" s="4">
        <f>IFERROR(AB832*T832*AI832, "NA")</f>
        <v>48.000000000000007</v>
      </c>
      <c r="AE832" s="3">
        <f t="shared" si="415"/>
        <v>189</v>
      </c>
      <c r="AF832">
        <v>144</v>
      </c>
      <c r="AG832" t="str">
        <f>IFERROR((M832*O832*P832), "NA")</f>
        <v>NA</v>
      </c>
      <c r="AH832" t="str">
        <f>IFERROR((AG832*T832*AI832), "NA")</f>
        <v>NA</v>
      </c>
      <c r="AI832" s="11">
        <v>1</v>
      </c>
      <c r="AJ832" t="s">
        <v>31</v>
      </c>
      <c r="AK832">
        <v>2100</v>
      </c>
      <c r="AL832" t="s">
        <v>114</v>
      </c>
      <c r="AM832" t="s">
        <v>103</v>
      </c>
      <c r="AN832" t="s">
        <v>130</v>
      </c>
      <c r="AO832" t="s">
        <v>795</v>
      </c>
      <c r="AP832">
        <v>7</v>
      </c>
      <c r="AQ832" t="s">
        <v>33</v>
      </c>
      <c r="AR832" t="s">
        <v>33</v>
      </c>
      <c r="AS832">
        <f>LOG(10^8)</f>
        <v>8</v>
      </c>
      <c r="AT832" s="3">
        <f>IFERROR(AS832-AU832,"NA")</f>
        <v>4.9630000000000001</v>
      </c>
      <c r="AU832" s="6">
        <v>3.0369999999999999</v>
      </c>
      <c r="AV832" t="b">
        <v>1</v>
      </c>
      <c r="AW832" t="s">
        <v>92</v>
      </c>
      <c r="AX832" t="s">
        <v>93</v>
      </c>
      <c r="AY832" t="s">
        <v>97</v>
      </c>
      <c r="AZ832" t="s">
        <v>33</v>
      </c>
      <c r="BA832" s="18" t="s">
        <v>801</v>
      </c>
      <c r="BB832" t="b">
        <v>0</v>
      </c>
      <c r="BC832" t="s">
        <v>81</v>
      </c>
      <c r="BD832">
        <v>18</v>
      </c>
      <c r="BE832" t="s">
        <v>80</v>
      </c>
      <c r="BF832" t="s">
        <v>33</v>
      </c>
      <c r="BG832" t="s">
        <v>568</v>
      </c>
      <c r="BH832" t="s">
        <v>31</v>
      </c>
      <c r="BI832" t="s">
        <v>31</v>
      </c>
      <c r="BJ832" s="3">
        <f t="shared" ref="BJ832:BJ860" si="418">AU832</f>
        <v>3.0369999999999999</v>
      </c>
      <c r="BK832" s="3">
        <f t="shared" si="411"/>
        <v>0.48244479191826517</v>
      </c>
      <c r="BL832">
        <v>2</v>
      </c>
      <c r="BM832" s="3">
        <f t="shared" si="412"/>
        <v>1.794017012254979</v>
      </c>
      <c r="BN832" t="s">
        <v>33</v>
      </c>
      <c r="BO832" s="3">
        <f t="shared" si="387"/>
        <v>62.232466249588413</v>
      </c>
      <c r="BP832" t="s">
        <v>33</v>
      </c>
      <c r="BQ832" t="s">
        <v>33</v>
      </c>
      <c r="BR832" t="s">
        <v>33</v>
      </c>
      <c r="BS832" t="s">
        <v>33</v>
      </c>
      <c r="BT832" t="s">
        <v>31</v>
      </c>
      <c r="BU832" t="s">
        <v>187</v>
      </c>
      <c r="BV832">
        <v>2003</v>
      </c>
      <c r="BW832" t="s">
        <v>192</v>
      </c>
      <c r="BX832" t="s">
        <v>78</v>
      </c>
      <c r="BY832" t="s">
        <v>33</v>
      </c>
      <c r="BZ832" t="s">
        <v>33</v>
      </c>
      <c r="CA832" t="str">
        <f t="shared" si="389"/>
        <v>low acid</v>
      </c>
    </row>
    <row r="833" spans="1:79">
      <c r="A833" t="s">
        <v>260</v>
      </c>
      <c r="B833" t="s">
        <v>565</v>
      </c>
      <c r="C833" t="s">
        <v>563</v>
      </c>
      <c r="D833" t="s">
        <v>118</v>
      </c>
      <c r="E833" t="s">
        <v>77</v>
      </c>
      <c r="F833" t="s">
        <v>32</v>
      </c>
      <c r="G833">
        <v>5</v>
      </c>
      <c r="H833">
        <v>40</v>
      </c>
      <c r="I833" t="b">
        <v>0</v>
      </c>
      <c r="J833" t="s">
        <v>33</v>
      </c>
      <c r="K833" t="s">
        <v>33</v>
      </c>
      <c r="L833">
        <v>35</v>
      </c>
      <c r="M833" s="4">
        <v>175</v>
      </c>
      <c r="N833" s="3">
        <f>IFERROR(AF833/((T833*X833/Y833)*O833*AI833),"NA")</f>
        <v>2361.2015298892129</v>
      </c>
      <c r="O833">
        <v>4</v>
      </c>
      <c r="P833" t="s">
        <v>33</v>
      </c>
      <c r="Q833" s="8">
        <f t="shared" si="416"/>
        <v>8.9285714285714288E-2</v>
      </c>
      <c r="R833" t="s">
        <v>183</v>
      </c>
      <c r="S833" t="s">
        <v>613</v>
      </c>
      <c r="T833" s="11">
        <v>8</v>
      </c>
      <c r="U833">
        <v>2.92</v>
      </c>
      <c r="V833">
        <v>2.2999999999999998</v>
      </c>
      <c r="W833">
        <v>1.21E-2</v>
      </c>
      <c r="X833" s="8">
        <f>IFERROR(((PI())*(((V833*10^-1)/2)^2)*(U833*10^-1)), "NA")</f>
        <v>1.2131888350367701E-2</v>
      </c>
      <c r="Y833" s="6">
        <f>110/60</f>
        <v>1.8333333333333333</v>
      </c>
      <c r="Z833" s="3">
        <f t="shared" si="413"/>
        <v>0.13587714952411825</v>
      </c>
      <c r="AA833" t="s">
        <v>33</v>
      </c>
      <c r="AB833" s="6">
        <f t="shared" si="417"/>
        <v>15.624999999999998</v>
      </c>
      <c r="AC833" t="str">
        <f t="shared" si="414"/>
        <v>NA</v>
      </c>
      <c r="AD833" s="4">
        <f>AB833*T833*AI833</f>
        <v>124.99999999999999</v>
      </c>
      <c r="AE833" s="3">
        <f t="shared" si="415"/>
        <v>3307.5</v>
      </c>
      <c r="AF833">
        <v>500</v>
      </c>
      <c r="AG833" t="str">
        <f>IFERROR((M833*O833*P833), "NA")</f>
        <v>NA</v>
      </c>
      <c r="AH833" t="str">
        <f>IFERROR((AG833*T833*AI833), "NA")</f>
        <v>NA</v>
      </c>
      <c r="AI833">
        <v>1</v>
      </c>
      <c r="AJ833" t="s">
        <v>31</v>
      </c>
      <c r="AK833">
        <v>5400</v>
      </c>
      <c r="AL833" t="s">
        <v>238</v>
      </c>
      <c r="AM833" t="s">
        <v>86</v>
      </c>
      <c r="AN833" t="s">
        <v>205</v>
      </c>
      <c r="AO833" t="s">
        <v>789</v>
      </c>
      <c r="AP833">
        <v>3.44</v>
      </c>
      <c r="AQ833" t="s">
        <v>33</v>
      </c>
      <c r="AR833" t="s">
        <v>33</v>
      </c>
      <c r="AS833" s="6">
        <f>LOG((10^7+10^8)/2)</f>
        <v>7.7403626894942441</v>
      </c>
      <c r="AT833" s="3">
        <f>IFERROR(AS833-AU833,"NA")</f>
        <v>4.9653626894942438</v>
      </c>
      <c r="AU833" s="6">
        <v>2.7749999999999999</v>
      </c>
      <c r="AV833" t="b">
        <v>1</v>
      </c>
      <c r="AW833" t="s">
        <v>29</v>
      </c>
      <c r="AX833" t="s">
        <v>30</v>
      </c>
      <c r="AY833" t="s">
        <v>33</v>
      </c>
      <c r="AZ833" t="s">
        <v>134</v>
      </c>
      <c r="BA833" s="18" t="s">
        <v>798</v>
      </c>
      <c r="BB833" t="b">
        <v>0</v>
      </c>
      <c r="BC833" t="s">
        <v>81</v>
      </c>
      <c r="BD833">
        <v>15</v>
      </c>
      <c r="BE833" t="s">
        <v>80</v>
      </c>
      <c r="BF833" s="11">
        <v>24</v>
      </c>
      <c r="BG833" t="s">
        <v>262</v>
      </c>
      <c r="BH833" t="s">
        <v>31</v>
      </c>
      <c r="BI833" t="s">
        <v>31</v>
      </c>
      <c r="BJ833" s="3">
        <f t="shared" si="418"/>
        <v>2.7749999999999999</v>
      </c>
      <c r="BK833" s="3">
        <f t="shared" si="411"/>
        <v>0.44326298745869502</v>
      </c>
      <c r="BL833">
        <v>2</v>
      </c>
      <c r="BM833" s="3">
        <f t="shared" si="412"/>
        <v>3.0762368654008436</v>
      </c>
      <c r="BN833" t="s">
        <v>33</v>
      </c>
      <c r="BO833" s="3">
        <f t="shared" si="387"/>
        <v>1191.8918918918919</v>
      </c>
      <c r="BP833" t="s">
        <v>33</v>
      </c>
      <c r="BQ833" t="s">
        <v>33</v>
      </c>
      <c r="BR833" t="s">
        <v>33</v>
      </c>
      <c r="BS833" t="s">
        <v>33</v>
      </c>
      <c r="BT833" t="s">
        <v>31</v>
      </c>
      <c r="BU833" t="s">
        <v>219</v>
      </c>
      <c r="BV833">
        <v>2008</v>
      </c>
      <c r="BW833" s="2" t="s">
        <v>257</v>
      </c>
      <c r="BX833" t="s">
        <v>78</v>
      </c>
      <c r="BY833" t="s">
        <v>33</v>
      </c>
      <c r="BZ833" t="s">
        <v>33</v>
      </c>
      <c r="CA833" t="str">
        <f t="shared" si="389"/>
        <v>high acid</v>
      </c>
    </row>
    <row r="834" spans="1:79">
      <c r="A834" t="s">
        <v>585</v>
      </c>
      <c r="B834" t="s">
        <v>565</v>
      </c>
      <c r="C834" t="s">
        <v>563</v>
      </c>
      <c r="D834" t="s">
        <v>608</v>
      </c>
      <c r="E834" t="s">
        <v>77</v>
      </c>
      <c r="F834" t="s">
        <v>32</v>
      </c>
      <c r="G834" t="s">
        <v>33</v>
      </c>
      <c r="H834" t="s">
        <v>33</v>
      </c>
      <c r="I834" t="b">
        <v>0</v>
      </c>
      <c r="J834" t="s">
        <v>33</v>
      </c>
      <c r="K834">
        <v>13.5</v>
      </c>
      <c r="L834">
        <v>22.5</v>
      </c>
      <c r="M834" s="4">
        <v>200</v>
      </c>
      <c r="N834" t="e">
        <f>(#REF!*Y834)/(T834*X834*O834)</f>
        <v>#REF!</v>
      </c>
      <c r="O834">
        <v>2.12</v>
      </c>
      <c r="P834" t="s">
        <v>33</v>
      </c>
      <c r="Q834" s="1">
        <f t="shared" si="416"/>
        <v>0.14740566037735847</v>
      </c>
      <c r="R834" t="s">
        <v>183</v>
      </c>
      <c r="S834" t="s">
        <v>613</v>
      </c>
      <c r="T834">
        <v>4</v>
      </c>
      <c r="U834">
        <v>1.9</v>
      </c>
      <c r="V834">
        <v>2.2999999999999998</v>
      </c>
      <c r="W834" t="s">
        <v>33</v>
      </c>
      <c r="X834">
        <f>IFERROR(((PI())*(((V834*10^-1)/2)^2)*(U834*10^-1)), "NA")</f>
        <v>7.8940369403077502E-3</v>
      </c>
      <c r="Y834">
        <v>1.2</v>
      </c>
      <c r="Z834" s="3">
        <f t="shared" si="413"/>
        <v>5.3553146603047781E-2</v>
      </c>
      <c r="AA834" t="s">
        <v>33</v>
      </c>
      <c r="AB834">
        <f t="shared" si="417"/>
        <v>29.481132075471695</v>
      </c>
      <c r="AC834" s="1" t="str">
        <f t="shared" si="414"/>
        <v>NA</v>
      </c>
      <c r="AE834" s="3">
        <f t="shared" si="415"/>
        <v>820.12499999999989</v>
      </c>
      <c r="AF834">
        <v>250</v>
      </c>
      <c r="AG834" s="1" t="str">
        <f>IFERROR((N834*P834*Q834), "NA")</f>
        <v>NA</v>
      </c>
      <c r="AH834" s="1" t="str">
        <f>IFERROR((AG834*U834*AI834), "NA")</f>
        <v>NA</v>
      </c>
      <c r="AI834" s="1">
        <v>1</v>
      </c>
      <c r="AJ834" s="11" t="s">
        <v>31</v>
      </c>
      <c r="AK834">
        <v>6480</v>
      </c>
      <c r="AL834" t="s">
        <v>562</v>
      </c>
      <c r="AM834" s="3" t="s">
        <v>786</v>
      </c>
      <c r="AN834" t="s">
        <v>186</v>
      </c>
      <c r="AO834" t="s">
        <v>793</v>
      </c>
      <c r="AP834">
        <v>7.67</v>
      </c>
      <c r="AQ834" t="s">
        <v>33</v>
      </c>
      <c r="AR834" t="s">
        <v>33</v>
      </c>
      <c r="AS834">
        <v>5.5</v>
      </c>
      <c r="AT834">
        <v>4.97</v>
      </c>
      <c r="AU834" s="6">
        <f>AS834-AT834</f>
        <v>0.53000000000000025</v>
      </c>
      <c r="AV834" t="b">
        <v>1</v>
      </c>
      <c r="AW834" t="s">
        <v>617</v>
      </c>
      <c r="AX834" t="s">
        <v>33</v>
      </c>
      <c r="AY834" t="s">
        <v>622</v>
      </c>
      <c r="AZ834" t="s">
        <v>619</v>
      </c>
      <c r="BA834" s="18" t="s">
        <v>802</v>
      </c>
      <c r="BB834" s="3" t="b">
        <v>0</v>
      </c>
      <c r="BC834" t="s">
        <v>81</v>
      </c>
      <c r="BD834">
        <v>48</v>
      </c>
      <c r="BE834" t="s">
        <v>80</v>
      </c>
      <c r="BF834">
        <v>48</v>
      </c>
      <c r="BG834" t="s">
        <v>569</v>
      </c>
      <c r="BH834" t="s">
        <v>31</v>
      </c>
      <c r="BI834" t="s">
        <v>31</v>
      </c>
      <c r="BJ834">
        <f t="shared" si="418"/>
        <v>0.53000000000000025</v>
      </c>
      <c r="BK834" s="3">
        <f t="shared" si="411"/>
        <v>-0.27572413039921073</v>
      </c>
      <c r="BL834">
        <v>2</v>
      </c>
      <c r="BM834" s="3">
        <f t="shared" si="412"/>
        <v>3.1896041811645666</v>
      </c>
      <c r="BN834" t="s">
        <v>33</v>
      </c>
      <c r="BO834" s="3">
        <f t="shared" ref="BO834:BO897" si="419">IFERROR((AE834/BJ834),"NA")</f>
        <v>1547.4056603773577</v>
      </c>
      <c r="BP834" t="s">
        <v>33</v>
      </c>
      <c r="BQ834" t="s">
        <v>33</v>
      </c>
      <c r="BR834" t="s">
        <v>33</v>
      </c>
      <c r="BS834" t="s">
        <v>33</v>
      </c>
      <c r="BT834" t="s">
        <v>31</v>
      </c>
      <c r="BU834" t="s">
        <v>652</v>
      </c>
      <c r="BV834">
        <v>2004</v>
      </c>
      <c r="BW834" t="s">
        <v>653</v>
      </c>
      <c r="BX834" t="s">
        <v>78</v>
      </c>
      <c r="BY834" s="13" t="s">
        <v>675</v>
      </c>
      <c r="CA834" t="str">
        <f t="shared" si="389"/>
        <v>low acid</v>
      </c>
    </row>
    <row r="835" spans="1:79">
      <c r="A835" t="s">
        <v>593</v>
      </c>
      <c r="B835" t="s">
        <v>565</v>
      </c>
      <c r="C835" t="s">
        <v>563</v>
      </c>
      <c r="D835" t="s">
        <v>118</v>
      </c>
      <c r="E835" t="s">
        <v>77</v>
      </c>
      <c r="F835" t="s">
        <v>32</v>
      </c>
      <c r="G835" t="s">
        <v>33</v>
      </c>
      <c r="H835">
        <v>35</v>
      </c>
      <c r="I835" t="b">
        <v>0</v>
      </c>
      <c r="J835" t="s">
        <v>33</v>
      </c>
      <c r="K835" t="s">
        <v>33</v>
      </c>
      <c r="L835">
        <v>30</v>
      </c>
      <c r="M835" s="4">
        <v>400</v>
      </c>
      <c r="N835" t="e">
        <f>(#REF!*Y835)/(T835*X835*O835)</f>
        <v>#REF!</v>
      </c>
      <c r="O835">
        <v>2</v>
      </c>
      <c r="P835" t="s">
        <v>33</v>
      </c>
      <c r="Q835" s="1">
        <f t="shared" si="416"/>
        <v>0.06</v>
      </c>
      <c r="R835" t="s">
        <v>183</v>
      </c>
      <c r="S835" t="s">
        <v>613</v>
      </c>
      <c r="T835">
        <v>6</v>
      </c>
      <c r="U835">
        <v>2.92</v>
      </c>
      <c r="V835">
        <v>2.2999999999999998</v>
      </c>
      <c r="W835" t="s">
        <v>33</v>
      </c>
      <c r="X835">
        <f>IFERROR(((PI())*(((V835*10^-1)/2)^2)*(U835*10^-1)), "NA")</f>
        <v>1.2131888350367701E-2</v>
      </c>
      <c r="Y835">
        <v>1</v>
      </c>
      <c r="Z835" s="3">
        <f t="shared" si="413"/>
        <v>0.20219813917279503</v>
      </c>
      <c r="AA835" t="s">
        <v>33</v>
      </c>
      <c r="AB835">
        <f t="shared" si="417"/>
        <v>24</v>
      </c>
      <c r="AC835" s="1" t="str">
        <f t="shared" si="414"/>
        <v>NA</v>
      </c>
      <c r="AE835" s="3">
        <f t="shared" si="415"/>
        <v>570.24</v>
      </c>
      <c r="AF835">
        <v>288</v>
      </c>
      <c r="AG835" s="1" t="str">
        <f>IFERROR((N835*P835*Q835), "NA")</f>
        <v>NA</v>
      </c>
      <c r="AH835" s="1" t="str">
        <f>IFERROR((AG835*U835*AI835), "NA")</f>
        <v>NA</v>
      </c>
      <c r="AI835">
        <v>1</v>
      </c>
      <c r="AJ835" s="11" t="s">
        <v>31</v>
      </c>
      <c r="AK835">
        <v>2200</v>
      </c>
      <c r="AL835" t="s">
        <v>693</v>
      </c>
      <c r="AM835" t="s">
        <v>530</v>
      </c>
      <c r="AN835" t="s">
        <v>186</v>
      </c>
      <c r="AO835" t="s">
        <v>796</v>
      </c>
      <c r="AP835">
        <v>7.19</v>
      </c>
      <c r="AQ835" t="s">
        <v>33</v>
      </c>
      <c r="AR835" t="s">
        <v>33</v>
      </c>
      <c r="AS835">
        <v>6.5</v>
      </c>
      <c r="AT835">
        <f>AS835-AU835</f>
        <v>4.97</v>
      </c>
      <c r="AU835" s="6">
        <v>1.53</v>
      </c>
      <c r="AV835" t="b">
        <v>1</v>
      </c>
      <c r="AW835" t="s">
        <v>626</v>
      </c>
      <c r="AX835" t="s">
        <v>627</v>
      </c>
      <c r="AY835" t="s">
        <v>625</v>
      </c>
      <c r="AZ835" t="s">
        <v>33</v>
      </c>
      <c r="BA835" s="18" t="s">
        <v>800</v>
      </c>
      <c r="BB835" s="3" t="b">
        <v>0</v>
      </c>
      <c r="BC835" t="s">
        <v>81</v>
      </c>
      <c r="BD835">
        <f>AVERAGE(14, 16)</f>
        <v>15</v>
      </c>
      <c r="BE835" t="s">
        <v>80</v>
      </c>
      <c r="BF835">
        <v>48</v>
      </c>
      <c r="BG835" t="s">
        <v>568</v>
      </c>
      <c r="BH835" t="s">
        <v>31</v>
      </c>
      <c r="BI835" t="s">
        <v>31</v>
      </c>
      <c r="BJ835">
        <f t="shared" si="418"/>
        <v>1.53</v>
      </c>
      <c r="BK835" s="3">
        <f t="shared" si="411"/>
        <v>0.18469143081759881</v>
      </c>
      <c r="BL835">
        <v>2</v>
      </c>
      <c r="BM835" s="3">
        <f t="shared" si="412"/>
        <v>2.5713662472031631</v>
      </c>
      <c r="BN835" t="s">
        <v>33</v>
      </c>
      <c r="BO835" s="3">
        <f t="shared" si="419"/>
        <v>372.70588235294116</v>
      </c>
      <c r="BP835" t="s">
        <v>33</v>
      </c>
      <c r="BQ835" t="s">
        <v>33</v>
      </c>
      <c r="BR835" t="s">
        <v>33</v>
      </c>
      <c r="BS835" t="s">
        <v>33</v>
      </c>
      <c r="BT835" t="s">
        <v>31</v>
      </c>
      <c r="BU835" s="15" t="s">
        <v>217</v>
      </c>
      <c r="BV835">
        <v>2012</v>
      </c>
      <c r="BW835" t="s">
        <v>660</v>
      </c>
      <c r="BX835" t="s">
        <v>78</v>
      </c>
      <c r="BY835" s="13" t="s">
        <v>681</v>
      </c>
      <c r="CA835" t="str">
        <f t="shared" ref="CA835:CA898" si="420">IF(OR(AN835="low acidic liquid medium", AN835="low acidic food product"), "low acid",
    IF(OR(AN835="high acidic food product", AN835="high acidic liquid medium"), "high acid", "NA"))</f>
        <v>low acid</v>
      </c>
    </row>
    <row r="836" spans="1:79">
      <c r="A836" t="s">
        <v>593</v>
      </c>
      <c r="B836" t="s">
        <v>565</v>
      </c>
      <c r="C836" t="s">
        <v>563</v>
      </c>
      <c r="D836" t="s">
        <v>118</v>
      </c>
      <c r="E836" t="s">
        <v>77</v>
      </c>
      <c r="F836" t="s">
        <v>32</v>
      </c>
      <c r="G836" t="s">
        <v>33</v>
      </c>
      <c r="H836">
        <v>35</v>
      </c>
      <c r="I836" t="b">
        <v>0</v>
      </c>
      <c r="J836" t="s">
        <v>33</v>
      </c>
      <c r="K836" t="s">
        <v>33</v>
      </c>
      <c r="L836">
        <v>40</v>
      </c>
      <c r="M836" s="4">
        <v>400</v>
      </c>
      <c r="N836" t="e">
        <f>(#REF!*Y836)/(T836*X836*O836)</f>
        <v>#REF!</v>
      </c>
      <c r="O836">
        <v>2</v>
      </c>
      <c r="P836" t="s">
        <v>33</v>
      </c>
      <c r="Q836" s="1">
        <f t="shared" si="416"/>
        <v>0.03</v>
      </c>
      <c r="R836" t="s">
        <v>183</v>
      </c>
      <c r="S836" t="s">
        <v>613</v>
      </c>
      <c r="T836">
        <v>6</v>
      </c>
      <c r="U836">
        <v>2.92</v>
      </c>
      <c r="V836">
        <v>2.2999999999999998</v>
      </c>
      <c r="W836" t="s">
        <v>33</v>
      </c>
      <c r="X836">
        <f>IFERROR(((PI())*(((V836*10^-1)/2)^2)*(U836*10^-1)), "NA")</f>
        <v>1.2131888350367701E-2</v>
      </c>
      <c r="Y836">
        <v>1</v>
      </c>
      <c r="Z836" s="3">
        <f t="shared" si="413"/>
        <v>0.40439627834559005</v>
      </c>
      <c r="AA836" t="s">
        <v>33</v>
      </c>
      <c r="AB836">
        <f t="shared" si="417"/>
        <v>12</v>
      </c>
      <c r="AC836" s="1" t="str">
        <f t="shared" si="414"/>
        <v>NA</v>
      </c>
      <c r="AE836" s="3">
        <f t="shared" si="415"/>
        <v>529.91999999999996</v>
      </c>
      <c r="AF836">
        <v>144</v>
      </c>
      <c r="AG836" s="1" t="str">
        <f>IFERROR((N836*P836*Q836), "NA")</f>
        <v>NA</v>
      </c>
      <c r="AH836" s="1" t="str">
        <f>IFERROR((AG836*U836*AI836), "NA")</f>
        <v>NA</v>
      </c>
      <c r="AI836">
        <v>1</v>
      </c>
      <c r="AJ836" s="11" t="s">
        <v>31</v>
      </c>
      <c r="AK836">
        <v>2300</v>
      </c>
      <c r="AL836" t="s">
        <v>693</v>
      </c>
      <c r="AM836" t="s">
        <v>530</v>
      </c>
      <c r="AN836" t="s">
        <v>186</v>
      </c>
      <c r="AO836" t="s">
        <v>796</v>
      </c>
      <c r="AP836">
        <v>7.19</v>
      </c>
      <c r="AQ836" t="s">
        <v>33</v>
      </c>
      <c r="AR836" t="s">
        <v>33</v>
      </c>
      <c r="AS836">
        <v>6.5</v>
      </c>
      <c r="AT836">
        <f>AS836-AU836</f>
        <v>4.97</v>
      </c>
      <c r="AU836" s="6">
        <v>1.53</v>
      </c>
      <c r="AV836" t="b">
        <v>1</v>
      </c>
      <c r="AW836" t="s">
        <v>626</v>
      </c>
      <c r="AX836" t="s">
        <v>627</v>
      </c>
      <c r="AY836" t="s">
        <v>625</v>
      </c>
      <c r="AZ836" t="s">
        <v>33</v>
      </c>
      <c r="BA836" s="18" t="s">
        <v>800</v>
      </c>
      <c r="BB836" s="3" t="b">
        <v>0</v>
      </c>
      <c r="BC836" t="s">
        <v>81</v>
      </c>
      <c r="BD836">
        <f>AVERAGE(14, 16)</f>
        <v>15</v>
      </c>
      <c r="BE836" t="s">
        <v>80</v>
      </c>
      <c r="BF836">
        <v>48</v>
      </c>
      <c r="BG836" t="s">
        <v>568</v>
      </c>
      <c r="BH836" t="s">
        <v>31</v>
      </c>
      <c r="BI836" t="s">
        <v>31</v>
      </c>
      <c r="BJ836">
        <f t="shared" si="418"/>
        <v>1.53</v>
      </c>
      <c r="BK836" s="3">
        <f t="shared" si="411"/>
        <v>0.18469143081759881</v>
      </c>
      <c r="BL836">
        <v>2</v>
      </c>
      <c r="BM836" s="3">
        <f t="shared" si="412"/>
        <v>2.5395188799511685</v>
      </c>
      <c r="BN836" t="s">
        <v>33</v>
      </c>
      <c r="BO836" s="3">
        <f t="shared" si="419"/>
        <v>346.35294117647055</v>
      </c>
      <c r="BP836" t="s">
        <v>33</v>
      </c>
      <c r="BQ836" t="s">
        <v>33</v>
      </c>
      <c r="BR836" t="s">
        <v>33</v>
      </c>
      <c r="BS836" t="s">
        <v>33</v>
      </c>
      <c r="BT836" t="s">
        <v>31</v>
      </c>
      <c r="BU836" s="15" t="s">
        <v>217</v>
      </c>
      <c r="BV836">
        <v>2012</v>
      </c>
      <c r="BW836" t="s">
        <v>660</v>
      </c>
      <c r="BX836" t="s">
        <v>78</v>
      </c>
      <c r="BY836" s="13" t="s">
        <v>681</v>
      </c>
      <c r="CA836" t="str">
        <f t="shared" si="420"/>
        <v>low acid</v>
      </c>
    </row>
    <row r="837" spans="1:79">
      <c r="A837" t="s">
        <v>592</v>
      </c>
      <c r="B837" t="s">
        <v>566</v>
      </c>
      <c r="C837" t="s">
        <v>563</v>
      </c>
      <c r="D837" t="s">
        <v>607</v>
      </c>
      <c r="E837" t="s">
        <v>77</v>
      </c>
      <c r="F837" t="s">
        <v>32</v>
      </c>
      <c r="G837" t="s">
        <v>33</v>
      </c>
      <c r="H837">
        <v>35</v>
      </c>
      <c r="I837" t="b">
        <v>0</v>
      </c>
      <c r="J837">
        <v>30000</v>
      </c>
      <c r="K837">
        <v>200</v>
      </c>
      <c r="L837">
        <v>25</v>
      </c>
      <c r="M837" s="4">
        <v>1</v>
      </c>
      <c r="N837" t="e">
        <f>(#REF!*Y837)/(T837*X837*O837)</f>
        <v>#REF!</v>
      </c>
      <c r="O837">
        <v>3</v>
      </c>
      <c r="P837" t="s">
        <v>33</v>
      </c>
      <c r="Q837" s="1">
        <f t="shared" si="416"/>
        <v>167.70000000000002</v>
      </c>
      <c r="R837" t="s">
        <v>183</v>
      </c>
      <c r="S837" t="s">
        <v>33</v>
      </c>
      <c r="T837">
        <v>1</v>
      </c>
      <c r="U837">
        <v>2.5</v>
      </c>
      <c r="V837" t="s">
        <v>33</v>
      </c>
      <c r="W837">
        <v>0.50249999999999995</v>
      </c>
      <c r="X837">
        <f>W837</f>
        <v>0.50249999999999995</v>
      </c>
      <c r="Y837" t="s">
        <v>33</v>
      </c>
      <c r="Z837" s="3">
        <f t="shared" si="413"/>
        <v>2.9964221824686937E-3</v>
      </c>
      <c r="AA837" t="s">
        <v>33</v>
      </c>
      <c r="AB837">
        <f t="shared" si="417"/>
        <v>167.70000000000002</v>
      </c>
      <c r="AC837" s="1" t="str">
        <f t="shared" si="414"/>
        <v>NA</v>
      </c>
      <c r="AE837" s="3">
        <f t="shared" si="415"/>
        <v>314.43750000000006</v>
      </c>
      <c r="AF837">
        <v>503.1</v>
      </c>
      <c r="AG837" s="1" t="str">
        <f>IFERROR((N837*P837*Q837), "NA")</f>
        <v>NA</v>
      </c>
      <c r="AH837" s="1" t="str">
        <f>IFERROR((AG837*U837*AI837), "NA")</f>
        <v>NA</v>
      </c>
      <c r="AI837" s="1">
        <v>1</v>
      </c>
      <c r="AJ837" s="11" t="s">
        <v>31</v>
      </c>
      <c r="AK837">
        <v>1000</v>
      </c>
      <c r="AL837" t="s">
        <v>614</v>
      </c>
      <c r="AM837" s="3" t="s">
        <v>103</v>
      </c>
      <c r="AN837" t="s">
        <v>305</v>
      </c>
      <c r="AO837" t="s">
        <v>790</v>
      </c>
      <c r="AP837">
        <v>4.5</v>
      </c>
      <c r="AQ837" t="s">
        <v>33</v>
      </c>
      <c r="AR837" t="s">
        <v>33</v>
      </c>
      <c r="AS837">
        <v>8</v>
      </c>
      <c r="AT837">
        <f>AS837-AU837</f>
        <v>4.9700000000000006</v>
      </c>
      <c r="AU837" s="6">
        <v>3.03</v>
      </c>
      <c r="AV837" t="b">
        <v>1</v>
      </c>
      <c r="AW837" t="s">
        <v>626</v>
      </c>
      <c r="AX837" t="s">
        <v>627</v>
      </c>
      <c r="AY837" t="s">
        <v>633</v>
      </c>
      <c r="AZ837" t="s">
        <v>33</v>
      </c>
      <c r="BA837" s="18" t="s">
        <v>800</v>
      </c>
      <c r="BB837" s="3" t="b">
        <v>0</v>
      </c>
      <c r="BC837" t="s">
        <v>81</v>
      </c>
      <c r="BD837">
        <v>24</v>
      </c>
      <c r="BE837" t="s">
        <v>80</v>
      </c>
      <c r="BF837">
        <v>48</v>
      </c>
      <c r="BG837" t="s">
        <v>569</v>
      </c>
      <c r="BH837" t="s">
        <v>31</v>
      </c>
      <c r="BI837" t="s">
        <v>31</v>
      </c>
      <c r="BJ837">
        <f t="shared" si="418"/>
        <v>3.03</v>
      </c>
      <c r="BK837" s="3">
        <f t="shared" si="411"/>
        <v>0.48144262850230496</v>
      </c>
      <c r="BL837">
        <v>2</v>
      </c>
      <c r="BM837" s="3">
        <f t="shared" si="412"/>
        <v>2.0160917061675185</v>
      </c>
      <c r="BN837" t="s">
        <v>33</v>
      </c>
      <c r="BO837" s="3">
        <f t="shared" si="419"/>
        <v>103.77475247524755</v>
      </c>
      <c r="BP837" t="s">
        <v>33</v>
      </c>
      <c r="BQ837" t="s">
        <v>33</v>
      </c>
      <c r="BR837" t="s">
        <v>33</v>
      </c>
      <c r="BS837" t="s">
        <v>33</v>
      </c>
      <c r="BT837" t="s">
        <v>31</v>
      </c>
      <c r="BU837" s="15" t="s">
        <v>255</v>
      </c>
      <c r="BV837">
        <v>2010</v>
      </c>
      <c r="BW837" t="s">
        <v>659</v>
      </c>
      <c r="BX837" t="s">
        <v>78</v>
      </c>
      <c r="BY837" s="13" t="s">
        <v>680</v>
      </c>
      <c r="CA837" t="str">
        <f t="shared" si="420"/>
        <v>high acid</v>
      </c>
    </row>
    <row r="838" spans="1:79">
      <c r="A838" t="s">
        <v>107</v>
      </c>
      <c r="B838" t="s">
        <v>565</v>
      </c>
      <c r="C838" t="s">
        <v>563</v>
      </c>
      <c r="D838" t="s">
        <v>118</v>
      </c>
      <c r="E838" t="s">
        <v>77</v>
      </c>
      <c r="F838" t="s">
        <v>32</v>
      </c>
      <c r="G838">
        <v>23</v>
      </c>
      <c r="H838">
        <v>40</v>
      </c>
      <c r="I838" t="b">
        <v>0</v>
      </c>
      <c r="J838" t="s">
        <v>33</v>
      </c>
      <c r="K838" t="s">
        <v>33</v>
      </c>
      <c r="L838">
        <v>25</v>
      </c>
      <c r="M838" s="4">
        <v>667</v>
      </c>
      <c r="N838" s="3">
        <f>IFERROR(AF838/((T838*X838/Y838)*O838*AI838),"NA")</f>
        <v>663.96690945057719</v>
      </c>
      <c r="O838">
        <v>3</v>
      </c>
      <c r="P838" t="s">
        <v>33</v>
      </c>
      <c r="Q838" s="8">
        <f t="shared" si="416"/>
        <v>5.9970014992503755E-3</v>
      </c>
      <c r="R838" t="s">
        <v>183</v>
      </c>
      <c r="S838" t="s">
        <v>613</v>
      </c>
      <c r="T838" s="11">
        <v>4</v>
      </c>
      <c r="U838">
        <v>2.9</v>
      </c>
      <c r="V838">
        <v>2.2999999999999998</v>
      </c>
      <c r="W838" t="s">
        <v>33</v>
      </c>
      <c r="X838">
        <f>IFERROR(((PI())*(((V838*10^-1)/2)^2)*(U838*10^-1)), "NA")</f>
        <v>1.204879322468025E-2</v>
      </c>
      <c r="Y838">
        <v>2</v>
      </c>
      <c r="Z838" s="9">
        <f t="shared" si="413"/>
        <v>2.0091362702154316</v>
      </c>
      <c r="AA838" t="s">
        <v>33</v>
      </c>
      <c r="AB838" s="6">
        <f t="shared" si="417"/>
        <v>4</v>
      </c>
      <c r="AC838" t="str">
        <f t="shared" si="414"/>
        <v>NA</v>
      </c>
      <c r="AD838" s="4">
        <f>IFERROR(AB838*T838*AI838, "NA")</f>
        <v>16</v>
      </c>
      <c r="AE838">
        <f t="shared" si="415"/>
        <v>138.00000000000003</v>
      </c>
      <c r="AF838">
        <v>48</v>
      </c>
      <c r="AG838" t="str">
        <f>IFERROR((M838*O838*P838), "NA")</f>
        <v>NA</v>
      </c>
      <c r="AH838" t="str">
        <f>IFERROR((AG838*T838*AI838), "NA")</f>
        <v>NA</v>
      </c>
      <c r="AI838" s="11">
        <v>1</v>
      </c>
      <c r="AJ838" t="s">
        <v>31</v>
      </c>
      <c r="AK838">
        <v>4600</v>
      </c>
      <c r="AL838" t="s">
        <v>204</v>
      </c>
      <c r="AM838" t="s">
        <v>785</v>
      </c>
      <c r="AN838" t="s">
        <v>205</v>
      </c>
      <c r="AO838" t="s">
        <v>791</v>
      </c>
      <c r="AP838">
        <v>4.2</v>
      </c>
      <c r="AQ838" t="s">
        <v>33</v>
      </c>
      <c r="AR838" t="s">
        <v>33</v>
      </c>
      <c r="AS838" s="3">
        <v>8</v>
      </c>
      <c r="AT838" s="3">
        <f>IFERROR(AS838-AU838,"NA")</f>
        <v>4.4700000000000006</v>
      </c>
      <c r="AU838" s="6">
        <v>3.53</v>
      </c>
      <c r="AV838" t="b">
        <v>1</v>
      </c>
      <c r="AW838" t="s">
        <v>92</v>
      </c>
      <c r="AX838" t="s">
        <v>93</v>
      </c>
      <c r="AY838" t="s">
        <v>97</v>
      </c>
      <c r="AZ838" t="s">
        <v>33</v>
      </c>
      <c r="BA838" s="18" t="s">
        <v>801</v>
      </c>
      <c r="BB838" t="b">
        <v>0</v>
      </c>
      <c r="BC838" t="s">
        <v>81</v>
      </c>
      <c r="BD838">
        <v>18</v>
      </c>
      <c r="BE838" t="s">
        <v>80</v>
      </c>
      <c r="BF838" t="s">
        <v>33</v>
      </c>
      <c r="BG838" t="s">
        <v>568</v>
      </c>
      <c r="BH838" t="s">
        <v>31</v>
      </c>
      <c r="BI838" t="s">
        <v>31</v>
      </c>
      <c r="BJ838">
        <f t="shared" si="418"/>
        <v>3.53</v>
      </c>
      <c r="BK838" s="3">
        <f t="shared" si="411"/>
        <v>0.54777470538782258</v>
      </c>
      <c r="BL838">
        <v>2</v>
      </c>
      <c r="BM838" s="3">
        <f>LOG(BO838)</f>
        <v>1.5921043810134141</v>
      </c>
      <c r="BN838" t="s">
        <v>33</v>
      </c>
      <c r="BO838" s="3">
        <f t="shared" si="419"/>
        <v>39.093484419263469</v>
      </c>
      <c r="BP838" t="s">
        <v>33</v>
      </c>
      <c r="BQ838" t="s">
        <v>33</v>
      </c>
      <c r="BR838" t="s">
        <v>33</v>
      </c>
      <c r="BS838" t="s">
        <v>33</v>
      </c>
      <c r="BT838" t="s">
        <v>32</v>
      </c>
      <c r="BU838" t="s">
        <v>116</v>
      </c>
      <c r="BV838">
        <v>2011</v>
      </c>
      <c r="BW838" t="s">
        <v>91</v>
      </c>
      <c r="BX838" t="s">
        <v>78</v>
      </c>
      <c r="BY838" t="s">
        <v>33</v>
      </c>
      <c r="BZ838" t="s">
        <v>113</v>
      </c>
      <c r="CA838" t="str">
        <f t="shared" si="420"/>
        <v>high acid</v>
      </c>
    </row>
    <row r="839" spans="1:79">
      <c r="A839" t="s">
        <v>722</v>
      </c>
      <c r="B839" t="s">
        <v>566</v>
      </c>
      <c r="C839" t="s">
        <v>563</v>
      </c>
      <c r="D839" t="s">
        <v>699</v>
      </c>
      <c r="E839" t="s">
        <v>77</v>
      </c>
      <c r="F839" t="s">
        <v>32</v>
      </c>
      <c r="G839">
        <v>20</v>
      </c>
      <c r="H839">
        <v>42.5</v>
      </c>
      <c r="I839" t="b">
        <v>1</v>
      </c>
      <c r="J839" t="s">
        <v>33</v>
      </c>
      <c r="K839" t="s">
        <v>33</v>
      </c>
      <c r="L839">
        <v>20</v>
      </c>
      <c r="M839" s="4">
        <v>47</v>
      </c>
      <c r="N839" s="3">
        <f>IFERROR(AF839/((T839*X839/Y839)*O839*AI839),"NA")</f>
        <v>46.759259259259245</v>
      </c>
      <c r="O839">
        <v>5</v>
      </c>
      <c r="P839">
        <v>0.43</v>
      </c>
      <c r="Q839" s="8">
        <f>IFERROR(X839/Y839, "NA")</f>
        <v>0.43200000000000011</v>
      </c>
      <c r="R839" t="s">
        <v>183</v>
      </c>
      <c r="S839" t="s">
        <v>612</v>
      </c>
      <c r="T839" s="11">
        <v>1</v>
      </c>
      <c r="U839">
        <v>4</v>
      </c>
      <c r="V839" t="s">
        <v>33</v>
      </c>
      <c r="W839">
        <f>0.4*3*0.5</f>
        <v>0.60000000000000009</v>
      </c>
      <c r="X839" s="9">
        <f>W839</f>
        <v>0.60000000000000009</v>
      </c>
      <c r="Y839" s="6">
        <f>5000/3600</f>
        <v>1.3888888888888888</v>
      </c>
      <c r="Z839" s="3">
        <f t="shared" si="413"/>
        <v>1.3960396039603959</v>
      </c>
      <c r="AA839" t="s">
        <v>33</v>
      </c>
      <c r="AB839" s="4">
        <f>IFERROR(((X839*M839)/Y839), "NA")</f>
        <v>20.304000000000002</v>
      </c>
      <c r="AC839" s="4">
        <f t="shared" si="414"/>
        <v>20.21</v>
      </c>
      <c r="AD839" s="4">
        <f>AB839*T839*AI839</f>
        <v>20.304000000000002</v>
      </c>
      <c r="AE839" s="3">
        <f t="shared" si="415"/>
        <v>81.216000000000022</v>
      </c>
      <c r="AF839">
        <v>101</v>
      </c>
      <c r="AG839" s="4">
        <f>IFERROR((M839*O839*P839), "NA")</f>
        <v>101.05</v>
      </c>
      <c r="AH839" s="4">
        <f>IFERROR((AG839*T839*AI839), "NA")</f>
        <v>101.05</v>
      </c>
      <c r="AI839">
        <v>1</v>
      </c>
      <c r="AJ839" s="11" t="s">
        <v>31</v>
      </c>
      <c r="AK839">
        <v>2000</v>
      </c>
      <c r="AL839" t="s">
        <v>784</v>
      </c>
      <c r="AM839" t="s">
        <v>103</v>
      </c>
      <c r="AN839" t="s">
        <v>130</v>
      </c>
      <c r="AO839" t="s">
        <v>795</v>
      </c>
      <c r="AP839">
        <v>7</v>
      </c>
      <c r="AQ839" t="s">
        <v>33</v>
      </c>
      <c r="AR839" t="s">
        <v>33</v>
      </c>
      <c r="AS839" s="6">
        <f>LOG(AVERAGE(10^8, 10^9))</f>
        <v>8.7403626894942441</v>
      </c>
      <c r="AT839" s="3">
        <f>IFERROR(AS839-AU839,"NA")</f>
        <v>4.9723626894942443</v>
      </c>
      <c r="AU839" s="6">
        <v>3.7679999999999998</v>
      </c>
      <c r="AV839" t="b">
        <v>1</v>
      </c>
      <c r="AW839" t="s">
        <v>123</v>
      </c>
      <c r="AX839" t="s">
        <v>88</v>
      </c>
      <c r="AY839" t="s">
        <v>727</v>
      </c>
      <c r="AZ839" t="s">
        <v>33</v>
      </c>
      <c r="BA839" s="18" t="s">
        <v>579</v>
      </c>
      <c r="BB839" s="3" t="b">
        <v>1</v>
      </c>
      <c r="BC839" t="s">
        <v>81</v>
      </c>
      <c r="BD839">
        <v>24</v>
      </c>
      <c r="BE839" t="s">
        <v>80</v>
      </c>
      <c r="BF839">
        <v>48</v>
      </c>
      <c r="BG839" t="s">
        <v>395</v>
      </c>
      <c r="BH839" t="s">
        <v>31</v>
      </c>
      <c r="BI839" t="s">
        <v>31</v>
      </c>
      <c r="BJ839" s="3">
        <f t="shared" si="418"/>
        <v>3.7679999999999998</v>
      </c>
      <c r="BK839" s="3">
        <f t="shared" si="411"/>
        <v>0.57611089412083971</v>
      </c>
      <c r="BL839">
        <v>2</v>
      </c>
      <c r="BM839" s="3">
        <f t="shared" ref="BM839:BM853" si="421">IFERROR(LOG(BO839),"NA")</f>
        <v>1.3335307019577523</v>
      </c>
      <c r="BN839" t="s">
        <v>33</v>
      </c>
      <c r="BO839" s="3">
        <f t="shared" si="419"/>
        <v>21.554140127388543</v>
      </c>
      <c r="BP839" t="s">
        <v>33</v>
      </c>
      <c r="BQ839" t="s">
        <v>33</v>
      </c>
      <c r="BR839" t="s">
        <v>33</v>
      </c>
      <c r="BS839" t="s">
        <v>33</v>
      </c>
      <c r="BT839" t="s">
        <v>32</v>
      </c>
      <c r="BU839" t="s">
        <v>709</v>
      </c>
      <c r="BV839">
        <v>2024</v>
      </c>
      <c r="BW839" t="s">
        <v>710</v>
      </c>
      <c r="BX839" t="s">
        <v>78</v>
      </c>
      <c r="BY839" t="s">
        <v>711</v>
      </c>
      <c r="CA839" t="str">
        <f t="shared" si="420"/>
        <v>low acid</v>
      </c>
    </row>
    <row r="840" spans="1:79">
      <c r="A840" t="s">
        <v>325</v>
      </c>
      <c r="B840" t="s">
        <v>565</v>
      </c>
      <c r="C840" t="s">
        <v>563</v>
      </c>
      <c r="D840" t="s">
        <v>304</v>
      </c>
      <c r="E840" t="s">
        <v>77</v>
      </c>
      <c r="F840" t="s">
        <v>32</v>
      </c>
      <c r="G840">
        <v>30</v>
      </c>
      <c r="H840">
        <v>31.5</v>
      </c>
      <c r="I840" t="b">
        <v>1</v>
      </c>
      <c r="J840">
        <v>12600</v>
      </c>
      <c r="K840">
        <v>50.4</v>
      </c>
      <c r="L840">
        <v>27.3</v>
      </c>
      <c r="M840" s="4">
        <v>286</v>
      </c>
      <c r="N840" s="3">
        <f>IFERROR(AF840/((T840*X840/Y840)*O840*AI840),"NA")</f>
        <v>291.26394814203059</v>
      </c>
      <c r="O840">
        <v>2</v>
      </c>
      <c r="P840">
        <v>2.4E-2</v>
      </c>
      <c r="Q840" s="8">
        <f t="shared" ref="Q840:Q851" si="422">IFERROR(X840/Z840, "NA")</f>
        <v>2.4475524475524472E-2</v>
      </c>
      <c r="R840" t="s">
        <v>183</v>
      </c>
      <c r="S840" t="s">
        <v>612</v>
      </c>
      <c r="T840" s="11">
        <v>1</v>
      </c>
      <c r="U840">
        <v>3.4</v>
      </c>
      <c r="V840">
        <v>3</v>
      </c>
      <c r="W840">
        <v>2.4E-2</v>
      </c>
      <c r="X840" s="8">
        <f>IFERROR(((PI())*(((V840*10^-1)/2)^2)*(U840*10^-1)), "NA")</f>
        <v>2.4033183799961926E-2</v>
      </c>
      <c r="Y840" s="6">
        <f>1</f>
        <v>1</v>
      </c>
      <c r="Z840" s="3">
        <f t="shared" si="413"/>
        <v>0.98192722382701592</v>
      </c>
      <c r="AA840">
        <v>6.9</v>
      </c>
      <c r="AB840" s="6">
        <f>IFERROR(((X840*M840)/Z840), "NA")</f>
        <v>7</v>
      </c>
      <c r="AC840">
        <f t="shared" si="414"/>
        <v>6.8639999999999999</v>
      </c>
      <c r="AD840" s="4">
        <f>IFERROR(AB840*T840*AI840, "NA")</f>
        <v>7</v>
      </c>
      <c r="AE840" s="3">
        <f t="shared" si="415"/>
        <v>10.434060000000001</v>
      </c>
      <c r="AF840">
        <v>14</v>
      </c>
      <c r="AG840">
        <f>IFERROR((M840*O840*P840), "NA")</f>
        <v>13.728</v>
      </c>
      <c r="AH840">
        <f>IFERROR((AG840*T840*AI840), "NA")</f>
        <v>13.728</v>
      </c>
      <c r="AI840" s="11">
        <v>1</v>
      </c>
      <c r="AJ840" t="s">
        <v>31</v>
      </c>
      <c r="AK840">
        <v>1000</v>
      </c>
      <c r="AL840" t="s">
        <v>169</v>
      </c>
      <c r="AM840" t="s">
        <v>103</v>
      </c>
      <c r="AN840" t="s">
        <v>305</v>
      </c>
      <c r="AO840" t="s">
        <v>790</v>
      </c>
      <c r="AP840">
        <v>4.5</v>
      </c>
      <c r="AQ840" t="s">
        <v>33</v>
      </c>
      <c r="AR840" t="s">
        <v>33</v>
      </c>
      <c r="AS840" s="6">
        <f>LOG(3*10^7)</f>
        <v>7.4771212547196626</v>
      </c>
      <c r="AT840" s="3">
        <f>IFERROR(AS840-AU840,"NA")</f>
        <v>4.9771212547196626</v>
      </c>
      <c r="AU840" s="6">
        <v>2.5</v>
      </c>
      <c r="AV840" t="b">
        <v>1</v>
      </c>
      <c r="AW840" t="s">
        <v>123</v>
      </c>
      <c r="AX840" t="s">
        <v>88</v>
      </c>
      <c r="AY840" t="s">
        <v>306</v>
      </c>
      <c r="AZ840" t="s">
        <v>33</v>
      </c>
      <c r="BA840" s="18" t="s">
        <v>579</v>
      </c>
      <c r="BB840" t="b">
        <v>1</v>
      </c>
      <c r="BC840" t="s">
        <v>81</v>
      </c>
      <c r="BD840">
        <v>48</v>
      </c>
      <c r="BE840" t="s">
        <v>80</v>
      </c>
      <c r="BF840" s="11">
        <v>120</v>
      </c>
      <c r="BG840" t="s">
        <v>395</v>
      </c>
      <c r="BH840" t="s">
        <v>31</v>
      </c>
      <c r="BI840" t="s">
        <v>31</v>
      </c>
      <c r="BJ840" s="3">
        <f t="shared" si="418"/>
        <v>2.5</v>
      </c>
      <c r="BK840" s="3">
        <f t="shared" si="411"/>
        <v>0.3979400086720376</v>
      </c>
      <c r="BL840">
        <v>2</v>
      </c>
      <c r="BM840" s="3">
        <f t="shared" si="421"/>
        <v>0.62051332108771251</v>
      </c>
      <c r="BN840" t="s">
        <v>33</v>
      </c>
      <c r="BO840" s="3">
        <f t="shared" si="419"/>
        <v>4.1736240000000002</v>
      </c>
      <c r="BP840" t="s">
        <v>33</v>
      </c>
      <c r="BQ840" t="s">
        <v>33</v>
      </c>
      <c r="BR840" t="s">
        <v>33</v>
      </c>
      <c r="BS840" t="s">
        <v>33</v>
      </c>
      <c r="BT840" t="s">
        <v>32</v>
      </c>
      <c r="BU840" t="s">
        <v>323</v>
      </c>
      <c r="BV840">
        <v>2003</v>
      </c>
      <c r="BW840" s="2" t="s">
        <v>322</v>
      </c>
      <c r="BX840" t="s">
        <v>78</v>
      </c>
      <c r="BY840" t="s">
        <v>33</v>
      </c>
      <c r="BZ840" t="s">
        <v>33</v>
      </c>
      <c r="CA840" t="str">
        <f t="shared" si="420"/>
        <v>high acid</v>
      </c>
    </row>
    <row r="841" spans="1:79">
      <c r="A841" t="s">
        <v>448</v>
      </c>
      <c r="B841" t="s">
        <v>565</v>
      </c>
      <c r="C841" t="s">
        <v>563</v>
      </c>
      <c r="D841" t="s">
        <v>182</v>
      </c>
      <c r="E841" t="s">
        <v>77</v>
      </c>
      <c r="F841" t="s">
        <v>32</v>
      </c>
      <c r="G841">
        <v>18</v>
      </c>
      <c r="H841">
        <v>47</v>
      </c>
      <c r="I841" t="b">
        <v>1</v>
      </c>
      <c r="J841" t="s">
        <v>33</v>
      </c>
      <c r="K841" t="s">
        <v>33</v>
      </c>
      <c r="L841">
        <v>27</v>
      </c>
      <c r="M841" s="4" t="s">
        <v>33</v>
      </c>
      <c r="N841" s="3">
        <f>IFERROR(AF841/((T841*X841/Y841)*O841*AI841),"NA")</f>
        <v>220.85360391328314</v>
      </c>
      <c r="O841">
        <v>10</v>
      </c>
      <c r="P841">
        <f>0.047/2</f>
        <v>2.35E-2</v>
      </c>
      <c r="Q841" s="8">
        <f t="shared" si="422"/>
        <v>2.3318614270936313E-2</v>
      </c>
      <c r="R841" t="s">
        <v>183</v>
      </c>
      <c r="S841" t="s">
        <v>613</v>
      </c>
      <c r="T841" s="11">
        <v>2</v>
      </c>
      <c r="U841">
        <v>5.6</v>
      </c>
      <c r="V841">
        <v>4.5</v>
      </c>
      <c r="W841" t="s">
        <v>33</v>
      </c>
      <c r="X841" s="9">
        <f>IFERROR(((PI())*(((V841*10^-1)/2)^2)*(U841*10^-1)), "NA")</f>
        <v>8.9064151729270638E-2</v>
      </c>
      <c r="Y841" s="6">
        <f>13750/3600</f>
        <v>3.8194444444444446</v>
      </c>
      <c r="Z841" s="3">
        <f>IFERROR(X841*N841*O841*T841*AI841/AF841, "NA")</f>
        <v>3.8194444444444442</v>
      </c>
      <c r="AA841" t="s">
        <v>33</v>
      </c>
      <c r="AB841" s="4">
        <f>IFERROR(((X841*N841)/Y841), "NA")</f>
        <v>5.1499999999999995</v>
      </c>
      <c r="AC841" s="4">
        <f>IFERROR(N841*P841,"NA")</f>
        <v>5.190059691962154</v>
      </c>
      <c r="AD841" s="4">
        <f>IFERROR(AB841*T841*AI841, "NA")</f>
        <v>10.299999999999999</v>
      </c>
      <c r="AE841" s="3">
        <f>IFERROR(((L841^2)*N841*O841*AK841*10^-6*Q841*T841*AI841), "NA")</f>
        <v>172.70010000000002</v>
      </c>
      <c r="AF841">
        <v>103</v>
      </c>
      <c r="AG841" s="4">
        <f>IFERROR((N841*O841*P841), "NA")</f>
        <v>51.900596919621535</v>
      </c>
      <c r="AH841" s="4">
        <f>IFERROR((AG841*T841*AI841), "NA")</f>
        <v>103.80119383924307</v>
      </c>
      <c r="AI841" s="11">
        <v>1</v>
      </c>
      <c r="AJ841" t="s">
        <v>31</v>
      </c>
      <c r="AK841">
        <v>2300</v>
      </c>
      <c r="AL841" t="s">
        <v>805</v>
      </c>
      <c r="AM841" t="s">
        <v>515</v>
      </c>
      <c r="AN841" t="s">
        <v>205</v>
      </c>
      <c r="AO841" t="s">
        <v>788</v>
      </c>
      <c r="AP841">
        <v>3.68</v>
      </c>
      <c r="AQ841" t="s">
        <v>33</v>
      </c>
      <c r="AR841" t="s">
        <v>33</v>
      </c>
      <c r="AS841">
        <f>LOG(10^7)</f>
        <v>7</v>
      </c>
      <c r="AT841" s="3">
        <f>IFERROR(AS841-AU841,"NA")</f>
        <v>4.9800000000000004</v>
      </c>
      <c r="AU841" s="6">
        <v>2.02</v>
      </c>
      <c r="AV841" t="b">
        <v>1</v>
      </c>
      <c r="AW841" t="s">
        <v>172</v>
      </c>
      <c r="AX841" t="s">
        <v>173</v>
      </c>
      <c r="AY841" t="s">
        <v>465</v>
      </c>
      <c r="AZ841" t="s">
        <v>33</v>
      </c>
      <c r="BA841" s="18" t="s">
        <v>799</v>
      </c>
      <c r="BB841" t="b">
        <v>0</v>
      </c>
      <c r="BC841" t="s">
        <v>81</v>
      </c>
      <c r="BD841" t="s">
        <v>33</v>
      </c>
      <c r="BE841" t="s">
        <v>80</v>
      </c>
      <c r="BF841" t="s">
        <v>33</v>
      </c>
      <c r="BG841" t="s">
        <v>401</v>
      </c>
      <c r="BH841" t="s">
        <v>31</v>
      </c>
      <c r="BI841" t="s">
        <v>31</v>
      </c>
      <c r="BJ841" s="3">
        <f t="shared" si="418"/>
        <v>2.02</v>
      </c>
      <c r="BK841" s="3">
        <f t="shared" si="411"/>
        <v>0.30535136944662378</v>
      </c>
      <c r="BL841">
        <v>2</v>
      </c>
      <c r="BM841" s="3">
        <f t="shared" si="421"/>
        <v>1.9319412195941159</v>
      </c>
      <c r="BN841" t="s">
        <v>33</v>
      </c>
      <c r="BO841" s="3">
        <f t="shared" si="419"/>
        <v>85.495099009900997</v>
      </c>
      <c r="BP841" t="s">
        <v>33</v>
      </c>
      <c r="BQ841" t="s">
        <v>33</v>
      </c>
      <c r="BR841" t="s">
        <v>33</v>
      </c>
      <c r="BS841" t="s">
        <v>33</v>
      </c>
      <c r="BT841" t="s">
        <v>32</v>
      </c>
      <c r="BU841" t="s">
        <v>484</v>
      </c>
      <c r="BV841">
        <v>2015</v>
      </c>
      <c r="BW841" t="s">
        <v>485</v>
      </c>
      <c r="BX841" t="s">
        <v>78</v>
      </c>
      <c r="BY841" t="s">
        <v>486</v>
      </c>
      <c r="CA841" t="str">
        <f t="shared" si="420"/>
        <v>high acid</v>
      </c>
    </row>
    <row r="842" spans="1:79">
      <c r="A842" t="s">
        <v>455</v>
      </c>
      <c r="B842" t="s">
        <v>565</v>
      </c>
      <c r="C842" t="s">
        <v>563</v>
      </c>
      <c r="D842" t="s">
        <v>182</v>
      </c>
      <c r="E842" t="s">
        <v>77</v>
      </c>
      <c r="F842" t="s">
        <v>32</v>
      </c>
      <c r="G842">
        <v>18</v>
      </c>
      <c r="H842">
        <v>49</v>
      </c>
      <c r="I842" t="b">
        <v>1</v>
      </c>
      <c r="J842" t="s">
        <v>33</v>
      </c>
      <c r="K842" t="s">
        <v>33</v>
      </c>
      <c r="L842">
        <v>33</v>
      </c>
      <c r="M842" s="4" t="s">
        <v>33</v>
      </c>
      <c r="N842" s="3">
        <f>IFERROR(AF842/((T842*X842/Y842)*O842*AI842),"NA")</f>
        <v>281.42752925843115</v>
      </c>
      <c r="O842">
        <v>8</v>
      </c>
      <c r="P842">
        <f>0.047/2</f>
        <v>2.35E-2</v>
      </c>
      <c r="Q842" s="8">
        <f t="shared" si="422"/>
        <v>2.3318614270936313E-2</v>
      </c>
      <c r="R842" t="s">
        <v>183</v>
      </c>
      <c r="S842" t="s">
        <v>613</v>
      </c>
      <c r="T842" s="11">
        <v>2</v>
      </c>
      <c r="U842">
        <v>5.6</v>
      </c>
      <c r="V842">
        <v>4.5</v>
      </c>
      <c r="W842" t="s">
        <v>33</v>
      </c>
      <c r="X842" s="9">
        <f>IFERROR(((PI())*(((V842*10^-1)/2)^2)*(U842*10^-1)), "NA")</f>
        <v>8.9064151729270638E-2</v>
      </c>
      <c r="Y842" s="6">
        <f>13750/3600</f>
        <v>3.8194444444444446</v>
      </c>
      <c r="Z842" s="3">
        <f>IFERROR(X842*N842*O842*T842*AI842/AF842, "NA")</f>
        <v>3.8194444444444442</v>
      </c>
      <c r="AA842" t="s">
        <v>33</v>
      </c>
      <c r="AB842" s="4">
        <f>IFERROR(((X842*N842)/Y842), "NA")</f>
        <v>6.5624999999999991</v>
      </c>
      <c r="AC842" s="4">
        <f>IFERROR(N842*P842,"NA")</f>
        <v>6.6135469375731324</v>
      </c>
      <c r="AD842" s="4">
        <f>AB842*T842*AI842</f>
        <v>13.124999999999998</v>
      </c>
      <c r="AE842" s="3">
        <f>IFERROR(((L842^2)*N842*O842*AK842*10^-6*Q842*T842*AI842), "NA")</f>
        <v>262.99349999999998</v>
      </c>
      <c r="AF842">
        <v>105</v>
      </c>
      <c r="AG842" s="4">
        <f>IFERROR((N842*O842*P842), "NA")</f>
        <v>52.908375500585059</v>
      </c>
      <c r="AH842" s="4">
        <f>IFERROR((AG842*T842*AI842), "NA")</f>
        <v>105.81675100117012</v>
      </c>
      <c r="AI842" s="11">
        <v>1</v>
      </c>
      <c r="AJ842" t="s">
        <v>31</v>
      </c>
      <c r="AK842">
        <v>2300</v>
      </c>
      <c r="AL842" t="s">
        <v>805</v>
      </c>
      <c r="AM842" t="s">
        <v>515</v>
      </c>
      <c r="AN842" t="s">
        <v>205</v>
      </c>
      <c r="AO842" t="s">
        <v>788</v>
      </c>
      <c r="AP842">
        <v>3.68</v>
      </c>
      <c r="AQ842" t="s">
        <v>33</v>
      </c>
      <c r="AR842" t="s">
        <v>33</v>
      </c>
      <c r="AS842">
        <f>LOG(10^8)</f>
        <v>8</v>
      </c>
      <c r="AT842" s="3">
        <f>IFERROR(AS842-AU842,"NA")</f>
        <v>4.9800000000000004</v>
      </c>
      <c r="AU842" s="6">
        <v>3.02</v>
      </c>
      <c r="AV842" t="b">
        <v>1</v>
      </c>
      <c r="AW842" t="s">
        <v>233</v>
      </c>
      <c r="AX842" t="s">
        <v>234</v>
      </c>
      <c r="AY842" t="s">
        <v>473</v>
      </c>
      <c r="AZ842" t="s">
        <v>33</v>
      </c>
      <c r="BA842" s="18" t="s">
        <v>579</v>
      </c>
      <c r="BB842" t="b">
        <v>1</v>
      </c>
      <c r="BC842" t="s">
        <v>81</v>
      </c>
      <c r="BD842" t="s">
        <v>33</v>
      </c>
      <c r="BE842" t="s">
        <v>80</v>
      </c>
      <c r="BF842" t="s">
        <v>33</v>
      </c>
      <c r="BG842" t="s">
        <v>395</v>
      </c>
      <c r="BH842" t="s">
        <v>31</v>
      </c>
      <c r="BI842" t="s">
        <v>31</v>
      </c>
      <c r="BJ842" s="3">
        <f t="shared" si="418"/>
        <v>3.02</v>
      </c>
      <c r="BK842" s="3">
        <f t="shared" si="411"/>
        <v>0.48000694295715063</v>
      </c>
      <c r="BL842">
        <v>2</v>
      </c>
      <c r="BM842" s="3">
        <f t="shared" si="421"/>
        <v>1.9399380718861552</v>
      </c>
      <c r="BN842" t="s">
        <v>33</v>
      </c>
      <c r="BO842" s="3">
        <f t="shared" si="419"/>
        <v>87.083940397350986</v>
      </c>
      <c r="BP842" t="s">
        <v>33</v>
      </c>
      <c r="BQ842" t="s">
        <v>33</v>
      </c>
      <c r="BR842" t="s">
        <v>33</v>
      </c>
      <c r="BS842" t="s">
        <v>33</v>
      </c>
      <c r="BT842" t="s">
        <v>32</v>
      </c>
      <c r="BU842" t="s">
        <v>484</v>
      </c>
      <c r="BV842">
        <v>2015</v>
      </c>
      <c r="BW842" t="s">
        <v>485</v>
      </c>
      <c r="BX842" t="s">
        <v>78</v>
      </c>
      <c r="BY842" t="s">
        <v>486</v>
      </c>
      <c r="CA842" t="str">
        <f t="shared" si="420"/>
        <v>high acid</v>
      </c>
    </row>
    <row r="843" spans="1:79">
      <c r="A843" t="s">
        <v>590</v>
      </c>
      <c r="B843" t="s">
        <v>565</v>
      </c>
      <c r="C843" t="s">
        <v>564</v>
      </c>
      <c r="D843" t="s">
        <v>609</v>
      </c>
      <c r="E843" t="s">
        <v>77</v>
      </c>
      <c r="F843" t="s">
        <v>32</v>
      </c>
      <c r="G843">
        <v>40</v>
      </c>
      <c r="H843">
        <v>49</v>
      </c>
      <c r="I843" t="b">
        <v>0</v>
      </c>
      <c r="J843" t="s">
        <v>33</v>
      </c>
      <c r="K843" t="s">
        <v>33</v>
      </c>
      <c r="L843">
        <v>21</v>
      </c>
      <c r="M843" s="4">
        <v>120</v>
      </c>
      <c r="N843" t="e">
        <f>(#REF!*Y843)/(T843*X843*O843)</f>
        <v>#REF!</v>
      </c>
      <c r="O843">
        <v>3</v>
      </c>
      <c r="P843" t="s">
        <v>33</v>
      </c>
      <c r="Q843" s="1">
        <f t="shared" si="422"/>
        <v>4.715277777777778E-2</v>
      </c>
      <c r="R843" t="s">
        <v>183</v>
      </c>
      <c r="S843" t="s">
        <v>612</v>
      </c>
      <c r="T843">
        <v>4</v>
      </c>
      <c r="U843">
        <v>3</v>
      </c>
      <c r="V843">
        <v>2.6</v>
      </c>
      <c r="W843">
        <v>1.5900000000000001E-2</v>
      </c>
      <c r="X843">
        <f>IFERROR(((PI())*(((V843*10^-1)/2)^2)*(U843*10^-1)), "NA")</f>
        <v>1.5927874753700257E-2</v>
      </c>
      <c r="Y843">
        <v>8.3333299999999999E-2</v>
      </c>
      <c r="Z843" s="3">
        <f t="shared" ref="Z843:Z855" si="423">IFERROR(X843*M843*O843*T843*AI843/AF843, "NA")</f>
        <v>0.33779292555711882</v>
      </c>
      <c r="AA843" t="s">
        <v>33</v>
      </c>
      <c r="AB843">
        <f t="shared" ref="AB843:AB848" si="424">IFERROR(((X843*M843)/Z843), "NA")</f>
        <v>5.6583333333333341</v>
      </c>
      <c r="AC843" s="1" t="str">
        <f t="shared" ref="AC843:AC873" si="425">IFERROR(M843*P843,"NA")</f>
        <v>NA</v>
      </c>
      <c r="AE843" s="3">
        <f t="shared" ref="AE843:AE864" si="426">IFERROR(((L843^2)*M843*O843*AK843*10^-6*Q843*T843*AI843), "NA")</f>
        <v>34.435485</v>
      </c>
      <c r="AF843">
        <v>67.900000000000006</v>
      </c>
      <c r="AG843" s="1" t="str">
        <f>IFERROR((N843*P843*Q843), "NA")</f>
        <v>NA</v>
      </c>
      <c r="AH843" s="1" t="str">
        <f>IFERROR((AG843*U843*AI843), "NA")</f>
        <v>NA</v>
      </c>
      <c r="AI843" s="1">
        <v>1</v>
      </c>
      <c r="AJ843" s="11" t="s">
        <v>31</v>
      </c>
      <c r="AK843">
        <v>1150</v>
      </c>
      <c r="AL843" t="s">
        <v>551</v>
      </c>
      <c r="AM843" t="s">
        <v>86</v>
      </c>
      <c r="AN843" t="s">
        <v>186</v>
      </c>
      <c r="AO843" t="s">
        <v>794</v>
      </c>
      <c r="AP843">
        <v>5.92</v>
      </c>
      <c r="AQ843" t="s">
        <v>33</v>
      </c>
      <c r="AR843" t="s">
        <v>33</v>
      </c>
      <c r="AS843">
        <v>6</v>
      </c>
      <c r="AT843">
        <f>AS843-AU843</f>
        <v>4.9800000000000004</v>
      </c>
      <c r="AU843" s="6">
        <v>1.02</v>
      </c>
      <c r="AV843" t="b">
        <v>1</v>
      </c>
      <c r="AW843" t="s">
        <v>626</v>
      </c>
      <c r="AX843" t="s">
        <v>627</v>
      </c>
      <c r="AY843" t="s">
        <v>631</v>
      </c>
      <c r="AZ843" t="s">
        <v>33</v>
      </c>
      <c r="BA843" s="18" t="s">
        <v>800</v>
      </c>
      <c r="BB843" s="3" t="b">
        <v>0</v>
      </c>
      <c r="BC843" t="s">
        <v>81</v>
      </c>
      <c r="BD843">
        <v>20</v>
      </c>
      <c r="BE843" t="s">
        <v>80</v>
      </c>
      <c r="BF843">
        <v>20</v>
      </c>
      <c r="BG843" t="s">
        <v>695</v>
      </c>
      <c r="BH843" t="s">
        <v>32</v>
      </c>
      <c r="BI843" t="s">
        <v>31</v>
      </c>
      <c r="BJ843">
        <f t="shared" si="418"/>
        <v>1.02</v>
      </c>
      <c r="BK843" s="3">
        <f t="shared" si="411"/>
        <v>8.6001717619175692E-3</v>
      </c>
      <c r="BL843">
        <v>2</v>
      </c>
      <c r="BM843" s="3">
        <f t="shared" si="421"/>
        <v>1.5284060323400344</v>
      </c>
      <c r="BN843" t="s">
        <v>33</v>
      </c>
      <c r="BO843" s="3">
        <f t="shared" si="419"/>
        <v>33.760279411764706</v>
      </c>
      <c r="BP843" t="s">
        <v>33</v>
      </c>
      <c r="BQ843" t="s">
        <v>33</v>
      </c>
      <c r="BR843" t="s">
        <v>33</v>
      </c>
      <c r="BS843" t="s">
        <v>33</v>
      </c>
      <c r="BT843" t="s">
        <v>32</v>
      </c>
      <c r="BU843" s="15" t="s">
        <v>207</v>
      </c>
      <c r="BV843">
        <v>2014</v>
      </c>
      <c r="BW843" t="s">
        <v>242</v>
      </c>
      <c r="BX843" t="s">
        <v>78</v>
      </c>
      <c r="BY843" s="13" t="s">
        <v>678</v>
      </c>
      <c r="CA843" t="str">
        <f t="shared" si="420"/>
        <v>low acid</v>
      </c>
    </row>
    <row r="844" spans="1:79">
      <c r="A844" t="s">
        <v>585</v>
      </c>
      <c r="B844" t="s">
        <v>565</v>
      </c>
      <c r="C844" t="s">
        <v>563</v>
      </c>
      <c r="D844" t="s">
        <v>608</v>
      </c>
      <c r="E844" t="s">
        <v>77</v>
      </c>
      <c r="F844" t="s">
        <v>32</v>
      </c>
      <c r="G844" t="s">
        <v>33</v>
      </c>
      <c r="H844" t="s">
        <v>33</v>
      </c>
      <c r="I844" t="b">
        <v>0</v>
      </c>
      <c r="J844" t="s">
        <v>33</v>
      </c>
      <c r="K844">
        <v>13.5</v>
      </c>
      <c r="L844">
        <v>22.5</v>
      </c>
      <c r="M844" s="4">
        <v>200</v>
      </c>
      <c r="N844" t="e">
        <f>(#REF!*Y844)/(T844*X844*O844)</f>
        <v>#REF!</v>
      </c>
      <c r="O844">
        <v>2.12</v>
      </c>
      <c r="P844" t="s">
        <v>33</v>
      </c>
      <c r="Q844" s="1">
        <f t="shared" si="422"/>
        <v>0.14740566037735847</v>
      </c>
      <c r="R844" t="s">
        <v>183</v>
      </c>
      <c r="S844" t="s">
        <v>613</v>
      </c>
      <c r="T844">
        <v>4</v>
      </c>
      <c r="U844">
        <v>1.9</v>
      </c>
      <c r="V844">
        <v>2.2999999999999998</v>
      </c>
      <c r="W844" t="s">
        <v>33</v>
      </c>
      <c r="X844">
        <f>IFERROR(((PI())*(((V844*10^-1)/2)^2)*(U844*10^-1)), "NA")</f>
        <v>7.8940369403077502E-3</v>
      </c>
      <c r="Y844">
        <v>1.2</v>
      </c>
      <c r="Z844" s="3">
        <f t="shared" si="423"/>
        <v>5.3553146603047781E-2</v>
      </c>
      <c r="AA844" t="s">
        <v>33</v>
      </c>
      <c r="AB844">
        <f t="shared" si="424"/>
        <v>29.481132075471695</v>
      </c>
      <c r="AC844" s="1" t="str">
        <f t="shared" si="425"/>
        <v>NA</v>
      </c>
      <c r="AE844" s="3">
        <f t="shared" si="426"/>
        <v>820.12499999999989</v>
      </c>
      <c r="AF844">
        <v>250</v>
      </c>
      <c r="AG844" s="1" t="str">
        <f>IFERROR((N844*P844*Q844), "NA")</f>
        <v>NA</v>
      </c>
      <c r="AH844" s="1" t="str">
        <f>IFERROR((AG844*U844*AI844), "NA")</f>
        <v>NA</v>
      </c>
      <c r="AI844" s="1">
        <v>1</v>
      </c>
      <c r="AJ844" s="11" t="s">
        <v>31</v>
      </c>
      <c r="AK844">
        <v>6480</v>
      </c>
      <c r="AL844" t="s">
        <v>615</v>
      </c>
      <c r="AM844" s="3" t="s">
        <v>786</v>
      </c>
      <c r="AN844" t="s">
        <v>186</v>
      </c>
      <c r="AO844" t="s">
        <v>793</v>
      </c>
      <c r="AP844">
        <v>7.67</v>
      </c>
      <c r="AQ844" t="s">
        <v>33</v>
      </c>
      <c r="AR844" t="s">
        <v>33</v>
      </c>
      <c r="AS844">
        <v>5.5</v>
      </c>
      <c r="AT844">
        <v>4.9800000000000004</v>
      </c>
      <c r="AU844" s="6">
        <f>AS844-AT844</f>
        <v>0.51999999999999957</v>
      </c>
      <c r="AV844" t="b">
        <v>1</v>
      </c>
      <c r="AW844" t="s">
        <v>617</v>
      </c>
      <c r="AX844" t="s">
        <v>33</v>
      </c>
      <c r="AY844" t="s">
        <v>622</v>
      </c>
      <c r="AZ844" t="s">
        <v>619</v>
      </c>
      <c r="BA844" s="18" t="s">
        <v>802</v>
      </c>
      <c r="BB844" s="3" t="b">
        <v>0</v>
      </c>
      <c r="BC844" t="s">
        <v>81</v>
      </c>
      <c r="BD844">
        <v>48</v>
      </c>
      <c r="BE844" t="s">
        <v>80</v>
      </c>
      <c r="BF844">
        <v>48</v>
      </c>
      <c r="BG844" t="s">
        <v>569</v>
      </c>
      <c r="BH844" t="s">
        <v>31</v>
      </c>
      <c r="BI844" t="s">
        <v>31</v>
      </c>
      <c r="BJ844">
        <f t="shared" si="418"/>
        <v>0.51999999999999957</v>
      </c>
      <c r="BK844" s="3">
        <f t="shared" si="411"/>
        <v>-0.28399665636520122</v>
      </c>
      <c r="BL844">
        <v>2</v>
      </c>
      <c r="BM844" s="3">
        <f t="shared" si="421"/>
        <v>3.1978767071305572</v>
      </c>
      <c r="BN844" t="s">
        <v>33</v>
      </c>
      <c r="BO844" s="3">
        <f t="shared" si="419"/>
        <v>1577.1634615384626</v>
      </c>
      <c r="BP844" t="s">
        <v>33</v>
      </c>
      <c r="BQ844" t="s">
        <v>33</v>
      </c>
      <c r="BR844" t="s">
        <v>33</v>
      </c>
      <c r="BS844" t="s">
        <v>33</v>
      </c>
      <c r="BT844" t="s">
        <v>31</v>
      </c>
      <c r="BU844" t="s">
        <v>652</v>
      </c>
      <c r="BV844">
        <v>2004</v>
      </c>
      <c r="BW844" t="s">
        <v>653</v>
      </c>
      <c r="BX844" t="s">
        <v>78</v>
      </c>
      <c r="BY844" s="13" t="s">
        <v>675</v>
      </c>
      <c r="CA844" t="str">
        <f t="shared" si="420"/>
        <v>low acid</v>
      </c>
    </row>
    <row r="845" spans="1:79">
      <c r="A845" t="s">
        <v>584</v>
      </c>
      <c r="B845" t="s">
        <v>566</v>
      </c>
      <c r="C845" t="s">
        <v>563</v>
      </c>
      <c r="D845" t="s">
        <v>607</v>
      </c>
      <c r="E845" t="s">
        <v>77</v>
      </c>
      <c r="F845" t="s">
        <v>33</v>
      </c>
      <c r="G845">
        <v>20</v>
      </c>
      <c r="H845">
        <v>35</v>
      </c>
      <c r="I845" t="b">
        <v>0</v>
      </c>
      <c r="J845">
        <v>1000</v>
      </c>
      <c r="K845">
        <v>200</v>
      </c>
      <c r="L845">
        <v>25</v>
      </c>
      <c r="M845" s="4">
        <v>1</v>
      </c>
      <c r="N845" t="e">
        <f>(#REF!*Y845)/(T845*X845*O845)</f>
        <v>#REF!</v>
      </c>
      <c r="O845">
        <v>3</v>
      </c>
      <c r="P845" t="s">
        <v>33</v>
      </c>
      <c r="Q845" s="1">
        <f t="shared" si="422"/>
        <v>50.000000000000007</v>
      </c>
      <c r="R845" t="s">
        <v>183</v>
      </c>
      <c r="S845" t="s">
        <v>33</v>
      </c>
      <c r="T845">
        <v>1</v>
      </c>
      <c r="U845">
        <v>2.5</v>
      </c>
      <c r="V845" t="s">
        <v>33</v>
      </c>
      <c r="W845">
        <v>0.50249999999999995</v>
      </c>
      <c r="X845">
        <f>W845</f>
        <v>0.50249999999999995</v>
      </c>
      <c r="Y845" t="s">
        <v>33</v>
      </c>
      <c r="Z845" s="3">
        <f t="shared" si="423"/>
        <v>1.0049999999999998E-2</v>
      </c>
      <c r="AA845" t="s">
        <v>33</v>
      </c>
      <c r="AB845">
        <f t="shared" si="424"/>
        <v>50.000000000000007</v>
      </c>
      <c r="AC845" s="1" t="str">
        <f t="shared" si="425"/>
        <v>NA</v>
      </c>
      <c r="AE845" s="3">
        <f t="shared" si="426"/>
        <v>93.750000000000014</v>
      </c>
      <c r="AF845">
        <v>150</v>
      </c>
      <c r="AG845" s="1" t="str">
        <f>IFERROR((N845*P845*Q845), "NA")</f>
        <v>NA</v>
      </c>
      <c r="AH845" s="1" t="str">
        <f>IFERROR((AG845*U845*AI845), "NA")</f>
        <v>NA</v>
      </c>
      <c r="AI845" s="1">
        <v>1</v>
      </c>
      <c r="AJ845" s="11" t="s">
        <v>31</v>
      </c>
      <c r="AK845">
        <v>1000</v>
      </c>
      <c r="AL845" t="s">
        <v>614</v>
      </c>
      <c r="AM845" s="3" t="s">
        <v>103</v>
      </c>
      <c r="AN845" t="s">
        <v>305</v>
      </c>
      <c r="AO845" t="s">
        <v>790</v>
      </c>
      <c r="AP845">
        <v>4.5</v>
      </c>
      <c r="AQ845" t="s">
        <v>33</v>
      </c>
      <c r="AR845" t="s">
        <v>33</v>
      </c>
      <c r="AS845">
        <v>8</v>
      </c>
      <c r="AT845">
        <f>AS845-AU845</f>
        <v>4.9800000000000004</v>
      </c>
      <c r="AU845" s="6">
        <v>3.02</v>
      </c>
      <c r="AV845" t="b">
        <v>1</v>
      </c>
      <c r="AW845" t="s">
        <v>617</v>
      </c>
      <c r="AX845" t="s">
        <v>33</v>
      </c>
      <c r="AY845" t="s">
        <v>623</v>
      </c>
      <c r="AZ845" t="s">
        <v>621</v>
      </c>
      <c r="BA845" s="18" t="s">
        <v>802</v>
      </c>
      <c r="BB845" s="3" t="b">
        <v>0</v>
      </c>
      <c r="BC845" t="s">
        <v>81</v>
      </c>
      <c r="BD845">
        <v>18</v>
      </c>
      <c r="BE845" t="s">
        <v>80</v>
      </c>
      <c r="BF845">
        <v>24</v>
      </c>
      <c r="BG845" t="s">
        <v>569</v>
      </c>
      <c r="BH845" t="s">
        <v>31</v>
      </c>
      <c r="BI845" t="s">
        <v>31</v>
      </c>
      <c r="BJ845">
        <f t="shared" si="418"/>
        <v>3.02</v>
      </c>
      <c r="BK845" s="3">
        <f t="shared" si="411"/>
        <v>0.48000694295715063</v>
      </c>
      <c r="BL845">
        <v>2</v>
      </c>
      <c r="BM845" s="3">
        <f t="shared" si="421"/>
        <v>1.4919643334426058</v>
      </c>
      <c r="BN845" t="s">
        <v>33</v>
      </c>
      <c r="BO845" s="3">
        <f t="shared" si="419"/>
        <v>31.0430463576159</v>
      </c>
      <c r="BP845" t="s">
        <v>33</v>
      </c>
      <c r="BQ845" t="s">
        <v>33</v>
      </c>
      <c r="BR845" t="s">
        <v>33</v>
      </c>
      <c r="BS845" t="s">
        <v>33</v>
      </c>
      <c r="BT845" t="s">
        <v>31</v>
      </c>
      <c r="BU845" t="s">
        <v>255</v>
      </c>
      <c r="BV845">
        <v>2010</v>
      </c>
      <c r="BW845" t="s">
        <v>651</v>
      </c>
      <c r="BX845" t="s">
        <v>78</v>
      </c>
      <c r="BY845" s="13" t="s">
        <v>674</v>
      </c>
      <c r="CA845" t="str">
        <f t="shared" si="420"/>
        <v>high acid</v>
      </c>
    </row>
    <row r="846" spans="1:79">
      <c r="A846" t="s">
        <v>590</v>
      </c>
      <c r="B846" t="s">
        <v>565</v>
      </c>
      <c r="C846" t="s">
        <v>564</v>
      </c>
      <c r="D846" t="s">
        <v>609</v>
      </c>
      <c r="E846" t="s">
        <v>77</v>
      </c>
      <c r="F846" t="s">
        <v>32</v>
      </c>
      <c r="G846">
        <v>40</v>
      </c>
      <c r="H846">
        <v>49</v>
      </c>
      <c r="I846" t="b">
        <v>0</v>
      </c>
      <c r="J846" t="s">
        <v>33</v>
      </c>
      <c r="K846" t="s">
        <v>33</v>
      </c>
      <c r="L846">
        <v>12</v>
      </c>
      <c r="M846" s="4">
        <v>120</v>
      </c>
      <c r="N846" t="e">
        <f>(#REF!*Y846)/(T846*X846*O846)</f>
        <v>#REF!</v>
      </c>
      <c r="O846">
        <v>3</v>
      </c>
      <c r="P846" t="s">
        <v>33</v>
      </c>
      <c r="Q846" s="1">
        <f t="shared" si="422"/>
        <v>0.12743055555555555</v>
      </c>
      <c r="R846" t="s">
        <v>183</v>
      </c>
      <c r="S846" t="s">
        <v>612</v>
      </c>
      <c r="T846">
        <v>4</v>
      </c>
      <c r="U846">
        <v>3</v>
      </c>
      <c r="V846">
        <v>2.6</v>
      </c>
      <c r="W846">
        <v>1.5900000000000001E-2</v>
      </c>
      <c r="X846">
        <f t="shared" ref="X846:X851" si="427">IFERROR(((PI())*(((V846*10^-1)/2)^2)*(U846*10^-1)), "NA")</f>
        <v>1.5927874753700257E-2</v>
      </c>
      <c r="Y846">
        <v>8.3333299999999999E-2</v>
      </c>
      <c r="Z846" s="3">
        <f t="shared" si="423"/>
        <v>0.1249925866230429</v>
      </c>
      <c r="AA846" t="s">
        <v>33</v>
      </c>
      <c r="AB846">
        <f t="shared" si="424"/>
        <v>15.291666666666666</v>
      </c>
      <c r="AC846" s="1" t="str">
        <f t="shared" si="425"/>
        <v>NA</v>
      </c>
      <c r="AE846" s="3">
        <f t="shared" si="426"/>
        <v>30.387599999999999</v>
      </c>
      <c r="AF846">
        <v>183.5</v>
      </c>
      <c r="AG846" s="1" t="str">
        <f>IFERROR((N846*P846*Q846), "NA")</f>
        <v>NA</v>
      </c>
      <c r="AH846" s="1" t="str">
        <f>IFERROR((AG846*U846*AI846), "NA")</f>
        <v>NA</v>
      </c>
      <c r="AI846" s="1">
        <v>1</v>
      </c>
      <c r="AJ846" s="11" t="s">
        <v>31</v>
      </c>
      <c r="AK846">
        <v>1150</v>
      </c>
      <c r="AL846" t="s">
        <v>551</v>
      </c>
      <c r="AM846" t="s">
        <v>86</v>
      </c>
      <c r="AN846" t="s">
        <v>186</v>
      </c>
      <c r="AO846" t="s">
        <v>794</v>
      </c>
      <c r="AP846">
        <v>5.92</v>
      </c>
      <c r="AQ846" t="s">
        <v>33</v>
      </c>
      <c r="AR846" t="s">
        <v>33</v>
      </c>
      <c r="AS846">
        <v>6</v>
      </c>
      <c r="AT846">
        <f>AS846-AU846</f>
        <v>4.99</v>
      </c>
      <c r="AU846" s="6">
        <v>1.01</v>
      </c>
      <c r="AV846" t="b">
        <v>1</v>
      </c>
      <c r="AW846" t="s">
        <v>626</v>
      </c>
      <c r="AX846" t="s">
        <v>627</v>
      </c>
      <c r="AY846" t="s">
        <v>631</v>
      </c>
      <c r="AZ846" t="s">
        <v>33</v>
      </c>
      <c r="BA846" s="18" t="s">
        <v>800</v>
      </c>
      <c r="BB846" s="3" t="b">
        <v>0</v>
      </c>
      <c r="BC846" t="s">
        <v>81</v>
      </c>
      <c r="BD846">
        <v>20</v>
      </c>
      <c r="BE846" t="s">
        <v>80</v>
      </c>
      <c r="BF846">
        <v>20</v>
      </c>
      <c r="BG846" t="s">
        <v>695</v>
      </c>
      <c r="BH846" t="s">
        <v>32</v>
      </c>
      <c r="BI846" t="s">
        <v>31</v>
      </c>
      <c r="BJ846">
        <f t="shared" si="418"/>
        <v>1.01</v>
      </c>
      <c r="BK846" s="3">
        <f t="shared" si="411"/>
        <v>4.3213737826425782E-3</v>
      </c>
      <c r="BL846">
        <v>2</v>
      </c>
      <c r="BM846" s="3">
        <f t="shared" si="421"/>
        <v>1.4783750272543268</v>
      </c>
      <c r="BN846" t="s">
        <v>33</v>
      </c>
      <c r="BO846" s="3">
        <f t="shared" si="419"/>
        <v>30.086732673267324</v>
      </c>
      <c r="BP846" t="s">
        <v>33</v>
      </c>
      <c r="BQ846" t="s">
        <v>33</v>
      </c>
      <c r="BR846" t="s">
        <v>33</v>
      </c>
      <c r="BS846" t="s">
        <v>33</v>
      </c>
      <c r="BT846" t="s">
        <v>32</v>
      </c>
      <c r="BU846" s="15" t="s">
        <v>207</v>
      </c>
      <c r="BV846">
        <v>2014</v>
      </c>
      <c r="BW846" t="s">
        <v>242</v>
      </c>
      <c r="BX846" t="s">
        <v>78</v>
      </c>
      <c r="BY846" s="13" t="s">
        <v>678</v>
      </c>
      <c r="CA846" t="str">
        <f t="shared" si="420"/>
        <v>low acid</v>
      </c>
    </row>
    <row r="847" spans="1:79">
      <c r="A847" t="s">
        <v>532</v>
      </c>
      <c r="B847" t="s">
        <v>565</v>
      </c>
      <c r="C847" t="s">
        <v>564</v>
      </c>
      <c r="D847" t="s">
        <v>209</v>
      </c>
      <c r="E847" t="s">
        <v>77</v>
      </c>
      <c r="F847" t="s">
        <v>32</v>
      </c>
      <c r="G847">
        <v>30</v>
      </c>
      <c r="H847">
        <v>38.200000000000003</v>
      </c>
      <c r="I847" t="b">
        <v>0</v>
      </c>
      <c r="J847" t="s">
        <v>33</v>
      </c>
      <c r="K847" t="s">
        <v>33</v>
      </c>
      <c r="L847">
        <v>12</v>
      </c>
      <c r="M847" s="4">
        <v>120</v>
      </c>
      <c r="N847" s="3">
        <f>IFERROR(AF847/((T847*X847/Y847)*O847*AI847),"NA")</f>
        <v>19.881288091689747</v>
      </c>
      <c r="O847">
        <v>3</v>
      </c>
      <c r="P847" t="s">
        <v>33</v>
      </c>
      <c r="Q847" s="9">
        <f t="shared" si="422"/>
        <v>2.0833333333333332E-2</v>
      </c>
      <c r="R847" t="s">
        <v>183</v>
      </c>
      <c r="S847" t="s">
        <v>612</v>
      </c>
      <c r="T847" s="11">
        <v>4</v>
      </c>
      <c r="U847">
        <v>3</v>
      </c>
      <c r="V847">
        <v>2.6</v>
      </c>
      <c r="W847" t="s">
        <v>33</v>
      </c>
      <c r="X847" s="8">
        <f t="shared" si="427"/>
        <v>1.5927874753700257E-2</v>
      </c>
      <c r="Y847" s="6">
        <f>7.6/60</f>
        <v>0.12666666666666665</v>
      </c>
      <c r="Z847" s="3">
        <f t="shared" si="423"/>
        <v>0.76453798817761232</v>
      </c>
      <c r="AA847" t="s">
        <v>33</v>
      </c>
      <c r="AB847" s="6">
        <f t="shared" si="424"/>
        <v>2.5</v>
      </c>
      <c r="AC847" t="str">
        <f t="shared" si="425"/>
        <v>NA</v>
      </c>
      <c r="AD847" s="4">
        <f>IFERROR(AB847*T847*AI847, "NA")</f>
        <v>10</v>
      </c>
      <c r="AE847" s="3">
        <f t="shared" si="426"/>
        <v>4.2335999999999991</v>
      </c>
      <c r="AF847">
        <v>30</v>
      </c>
      <c r="AG847" t="str">
        <f>IFERROR((M847*O847*P847), "NA")</f>
        <v>NA</v>
      </c>
      <c r="AH847" t="str">
        <f>IFERROR((AG847*T847*AI847), "NA")</f>
        <v>NA</v>
      </c>
      <c r="AI847" s="11">
        <v>1</v>
      </c>
      <c r="AJ847" t="s">
        <v>31</v>
      </c>
      <c r="AK847">
        <v>980</v>
      </c>
      <c r="AL847" t="s">
        <v>551</v>
      </c>
      <c r="AM847" t="s">
        <v>86</v>
      </c>
      <c r="AN847" t="s">
        <v>186</v>
      </c>
      <c r="AO847" t="s">
        <v>794</v>
      </c>
      <c r="AP847">
        <v>5.98</v>
      </c>
      <c r="AQ847" t="s">
        <v>33</v>
      </c>
      <c r="AR847" t="s">
        <v>33</v>
      </c>
      <c r="AS847" s="6">
        <v>6.4</v>
      </c>
      <c r="AT847" s="3">
        <f>IFERROR(AS847-AU847,"NA")</f>
        <v>4.9969999999999999</v>
      </c>
      <c r="AU847" s="6">
        <v>1.403</v>
      </c>
      <c r="AV847" t="b">
        <v>1</v>
      </c>
      <c r="AW847" t="s">
        <v>172</v>
      </c>
      <c r="AX847" t="s">
        <v>173</v>
      </c>
      <c r="AY847" t="s">
        <v>246</v>
      </c>
      <c r="AZ847" t="s">
        <v>33</v>
      </c>
      <c r="BA847" s="18" t="s">
        <v>799</v>
      </c>
      <c r="BB847" t="b">
        <v>0</v>
      </c>
      <c r="BC847" t="s">
        <v>81</v>
      </c>
      <c r="BD847">
        <v>72</v>
      </c>
      <c r="BE847" t="s">
        <v>80</v>
      </c>
      <c r="BF847" s="11">
        <v>72</v>
      </c>
      <c r="BG847" t="s">
        <v>522</v>
      </c>
      <c r="BH847" t="s">
        <v>31</v>
      </c>
      <c r="BI847" t="s">
        <v>31</v>
      </c>
      <c r="BJ847" s="3">
        <f t="shared" si="418"/>
        <v>1.403</v>
      </c>
      <c r="BK847" s="3">
        <f t="shared" si="411"/>
        <v>0.14705767102835993</v>
      </c>
      <c r="BL847">
        <v>2</v>
      </c>
      <c r="BM847" s="3">
        <f t="shared" si="421"/>
        <v>0.47965215147904694</v>
      </c>
      <c r="BN847" t="s">
        <v>33</v>
      </c>
      <c r="BO847" s="3">
        <f t="shared" si="419"/>
        <v>3.0175338560228075</v>
      </c>
      <c r="BP847" t="s">
        <v>33</v>
      </c>
      <c r="BQ847" t="s">
        <v>33</v>
      </c>
      <c r="BR847" t="s">
        <v>33</v>
      </c>
      <c r="BS847" t="s">
        <v>33</v>
      </c>
      <c r="BT847" t="s">
        <v>32</v>
      </c>
      <c r="BU847" t="s">
        <v>207</v>
      </c>
      <c r="BV847">
        <v>2014</v>
      </c>
      <c r="BW847" t="s">
        <v>208</v>
      </c>
      <c r="BX847" t="s">
        <v>78</v>
      </c>
      <c r="BY847" t="s">
        <v>33</v>
      </c>
      <c r="BZ847" t="s">
        <v>33</v>
      </c>
      <c r="CA847" t="str">
        <f t="shared" si="420"/>
        <v>low acid</v>
      </c>
    </row>
    <row r="848" spans="1:79">
      <c r="A848" t="s">
        <v>590</v>
      </c>
      <c r="B848" t="s">
        <v>565</v>
      </c>
      <c r="C848" t="s">
        <v>564</v>
      </c>
      <c r="D848" t="s">
        <v>609</v>
      </c>
      <c r="E848" t="s">
        <v>77</v>
      </c>
      <c r="F848" t="s">
        <v>32</v>
      </c>
      <c r="G848">
        <v>40</v>
      </c>
      <c r="H848">
        <v>49</v>
      </c>
      <c r="I848" t="b">
        <v>0</v>
      </c>
      <c r="J848" t="s">
        <v>33</v>
      </c>
      <c r="K848" t="s">
        <v>33</v>
      </c>
      <c r="L848">
        <v>18</v>
      </c>
      <c r="M848" s="4">
        <v>120</v>
      </c>
      <c r="N848" t="e">
        <f>(#REF!*Y848)/(T848*X848*O848)</f>
        <v>#REF!</v>
      </c>
      <c r="O848">
        <v>3</v>
      </c>
      <c r="P848" t="s">
        <v>33</v>
      </c>
      <c r="Q848" s="1">
        <f t="shared" si="422"/>
        <v>6.3333333333333325E-2</v>
      </c>
      <c r="R848" t="s">
        <v>183</v>
      </c>
      <c r="S848" t="s">
        <v>612</v>
      </c>
      <c r="T848">
        <v>4</v>
      </c>
      <c r="U848">
        <v>3</v>
      </c>
      <c r="V848">
        <v>2.6</v>
      </c>
      <c r="W848">
        <v>1.5900000000000001E-2</v>
      </c>
      <c r="X848">
        <f t="shared" si="427"/>
        <v>1.5927874753700257E-2</v>
      </c>
      <c r="Y848">
        <v>8.3333299999999999E-2</v>
      </c>
      <c r="Z848" s="3">
        <f t="shared" si="423"/>
        <v>0.25149275926895143</v>
      </c>
      <c r="AA848" t="s">
        <v>33</v>
      </c>
      <c r="AB848">
        <f t="shared" si="424"/>
        <v>7.6</v>
      </c>
      <c r="AC848" s="1" t="str">
        <f t="shared" si="425"/>
        <v>NA</v>
      </c>
      <c r="AE848" s="3">
        <f t="shared" si="426"/>
        <v>33.981119999999997</v>
      </c>
      <c r="AF848">
        <v>91.2</v>
      </c>
      <c r="AG848" s="1" t="str">
        <f>IFERROR((N848*P848*Q848), "NA")</f>
        <v>NA</v>
      </c>
      <c r="AH848" s="1" t="str">
        <f>IFERROR((AG848*U848*AI848), "NA")</f>
        <v>NA</v>
      </c>
      <c r="AI848" s="1">
        <v>1</v>
      </c>
      <c r="AJ848" s="11" t="s">
        <v>31</v>
      </c>
      <c r="AK848">
        <v>1150</v>
      </c>
      <c r="AL848" t="s">
        <v>551</v>
      </c>
      <c r="AM848" t="s">
        <v>86</v>
      </c>
      <c r="AN848" t="s">
        <v>186</v>
      </c>
      <c r="AO848" t="s">
        <v>794</v>
      </c>
      <c r="AP848">
        <v>5.92</v>
      </c>
      <c r="AQ848" t="s">
        <v>33</v>
      </c>
      <c r="AR848" t="s">
        <v>33</v>
      </c>
      <c r="AS848">
        <v>6</v>
      </c>
      <c r="AT848">
        <f>AS848-AU848</f>
        <v>5</v>
      </c>
      <c r="AU848" s="6">
        <v>1</v>
      </c>
      <c r="AV848" t="b">
        <v>1</v>
      </c>
      <c r="AW848" t="s">
        <v>626</v>
      </c>
      <c r="AX848" t="s">
        <v>627</v>
      </c>
      <c r="AY848" t="s">
        <v>631</v>
      </c>
      <c r="AZ848" t="s">
        <v>33</v>
      </c>
      <c r="BA848" s="18" t="s">
        <v>800</v>
      </c>
      <c r="BB848" s="3" t="b">
        <v>0</v>
      </c>
      <c r="BC848" t="s">
        <v>81</v>
      </c>
      <c r="BD848">
        <v>20</v>
      </c>
      <c r="BE848" t="s">
        <v>80</v>
      </c>
      <c r="BF848">
        <v>20</v>
      </c>
      <c r="BG848" t="s">
        <v>695</v>
      </c>
      <c r="BH848" t="s">
        <v>32</v>
      </c>
      <c r="BI848" t="s">
        <v>31</v>
      </c>
      <c r="BJ848">
        <f t="shared" si="418"/>
        <v>1</v>
      </c>
      <c r="BK848" s="3">
        <f t="shared" si="411"/>
        <v>0</v>
      </c>
      <c r="BL848">
        <v>2</v>
      </c>
      <c r="BM848" s="3">
        <f t="shared" si="421"/>
        <v>1.5312376888886399</v>
      </c>
      <c r="BN848" t="s">
        <v>33</v>
      </c>
      <c r="BO848" s="3">
        <f t="shared" si="419"/>
        <v>33.981119999999997</v>
      </c>
      <c r="BP848" t="s">
        <v>33</v>
      </c>
      <c r="BQ848" t="s">
        <v>33</v>
      </c>
      <c r="BR848" t="s">
        <v>33</v>
      </c>
      <c r="BS848" t="s">
        <v>33</v>
      </c>
      <c r="BT848" t="s">
        <v>32</v>
      </c>
      <c r="BU848" s="15" t="s">
        <v>207</v>
      </c>
      <c r="BV848">
        <v>2014</v>
      </c>
      <c r="BW848" t="s">
        <v>242</v>
      </c>
      <c r="BX848" t="s">
        <v>78</v>
      </c>
      <c r="BY848" s="13" t="s">
        <v>678</v>
      </c>
      <c r="CA848" t="str">
        <f t="shared" si="420"/>
        <v>low acid</v>
      </c>
    </row>
    <row r="849" spans="1:79">
      <c r="A849" t="s">
        <v>415</v>
      </c>
      <c r="B849" t="s">
        <v>565</v>
      </c>
      <c r="C849" t="s">
        <v>563</v>
      </c>
      <c r="D849" t="s">
        <v>33</v>
      </c>
      <c r="E849" t="s">
        <v>77</v>
      </c>
      <c r="F849" t="s">
        <v>32</v>
      </c>
      <c r="G849">
        <v>25</v>
      </c>
      <c r="H849">
        <v>29.6</v>
      </c>
      <c r="I849" t="b">
        <v>0</v>
      </c>
      <c r="J849">
        <v>4125</v>
      </c>
      <c r="K849">
        <v>11.3</v>
      </c>
      <c r="L849">
        <v>15</v>
      </c>
      <c r="M849" s="4">
        <v>250</v>
      </c>
      <c r="N849" s="3">
        <f t="shared" ref="N849:N856" si="428">IFERROR(AF849/((T849*X849/Y849)*O849*AI849),"NA")</f>
        <v>251.11113243387931</v>
      </c>
      <c r="O849">
        <v>4</v>
      </c>
      <c r="P849" t="s">
        <v>33</v>
      </c>
      <c r="Q849" s="8">
        <f t="shared" si="422"/>
        <v>1.4200000000000001E-2</v>
      </c>
      <c r="R849" t="s">
        <v>183</v>
      </c>
      <c r="S849" t="s">
        <v>612</v>
      </c>
      <c r="T849" s="11">
        <v>6</v>
      </c>
      <c r="U849">
        <v>2.7</v>
      </c>
      <c r="V849">
        <v>2</v>
      </c>
      <c r="W849">
        <v>8.5000000000000006E-3</v>
      </c>
      <c r="X849" s="9">
        <f t="shared" si="427"/>
        <v>8.4823001646924419E-3</v>
      </c>
      <c r="Y849" s="6">
        <f>36/60</f>
        <v>0.6</v>
      </c>
      <c r="Z849" s="3">
        <f t="shared" si="423"/>
        <v>0.59734508202059444</v>
      </c>
      <c r="AA849">
        <f>21.3/6</f>
        <v>3.5500000000000003</v>
      </c>
      <c r="AB849" s="6">
        <f>IFERROR(((X849*M849)/Y849), "NA")</f>
        <v>3.5342917352885173</v>
      </c>
      <c r="AC849" t="str">
        <f t="shared" si="425"/>
        <v>NA</v>
      </c>
      <c r="AD849" s="4">
        <f>IFERROR(AB849*T849*AI849, "NA")</f>
        <v>21.205750411731103</v>
      </c>
      <c r="AE849" s="3">
        <f t="shared" si="426"/>
        <v>76.680000000000007</v>
      </c>
      <c r="AF849">
        <f>AI849*T849*O849*AA849</f>
        <v>85.2</v>
      </c>
      <c r="AG849" t="str">
        <f t="shared" ref="AG849:AG856" si="429">IFERROR((M849*O849*P849), "NA")</f>
        <v>NA</v>
      </c>
      <c r="AH849" t="str">
        <f t="shared" ref="AH849:AH856" si="430">IFERROR((AG849*T849*AI849), "NA")</f>
        <v>NA</v>
      </c>
      <c r="AI849" s="11">
        <v>1</v>
      </c>
      <c r="AJ849" t="s">
        <v>31</v>
      </c>
      <c r="AK849">
        <v>4000</v>
      </c>
      <c r="AL849" t="s">
        <v>416</v>
      </c>
      <c r="AM849" t="s">
        <v>103</v>
      </c>
      <c r="AN849" t="s">
        <v>130</v>
      </c>
      <c r="AO849" t="s">
        <v>795</v>
      </c>
      <c r="AP849" s="4">
        <v>5</v>
      </c>
      <c r="AQ849" t="s">
        <v>33</v>
      </c>
      <c r="AR849" t="s">
        <v>33</v>
      </c>
      <c r="AS849" s="3">
        <f>LOG(10^8)</f>
        <v>8</v>
      </c>
      <c r="AT849" s="3">
        <f t="shared" ref="AT849:AT856" si="431">IFERROR(AS849-AU849,"NA")</f>
        <v>5</v>
      </c>
      <c r="AU849" s="6">
        <v>3</v>
      </c>
      <c r="AV849" t="b">
        <v>1</v>
      </c>
      <c r="AW849" t="s">
        <v>29</v>
      </c>
      <c r="AX849" t="s">
        <v>30</v>
      </c>
      <c r="AY849" t="s">
        <v>226</v>
      </c>
      <c r="AZ849" t="s">
        <v>33</v>
      </c>
      <c r="BA849" s="18" t="s">
        <v>798</v>
      </c>
      <c r="BB849" t="b">
        <v>0</v>
      </c>
      <c r="BC849" t="s">
        <v>81</v>
      </c>
      <c r="BD849">
        <v>14</v>
      </c>
      <c r="BE849" t="s">
        <v>80</v>
      </c>
      <c r="BF849" s="11">
        <v>48</v>
      </c>
      <c r="BG849" t="s">
        <v>139</v>
      </c>
      <c r="BH849" t="s">
        <v>31</v>
      </c>
      <c r="BI849" t="s">
        <v>31</v>
      </c>
      <c r="BJ849" s="3">
        <f t="shared" si="418"/>
        <v>3</v>
      </c>
      <c r="BK849" s="3">
        <f t="shared" si="411"/>
        <v>0.47712125471966244</v>
      </c>
      <c r="BL849">
        <v>2</v>
      </c>
      <c r="BM849" s="3">
        <f t="shared" si="421"/>
        <v>1.4075608494863625</v>
      </c>
      <c r="BN849" t="s">
        <v>33</v>
      </c>
      <c r="BO849" s="3">
        <f t="shared" si="419"/>
        <v>25.560000000000002</v>
      </c>
      <c r="BP849" t="s">
        <v>33</v>
      </c>
      <c r="BQ849" t="s">
        <v>33</v>
      </c>
      <c r="BR849" t="s">
        <v>33</v>
      </c>
      <c r="BS849" t="s">
        <v>33</v>
      </c>
      <c r="BT849" t="s">
        <v>31</v>
      </c>
      <c r="BU849" t="s">
        <v>227</v>
      </c>
      <c r="BV849">
        <v>2004</v>
      </c>
      <c r="BW849" t="s">
        <v>417</v>
      </c>
      <c r="BX849" t="s">
        <v>78</v>
      </c>
      <c r="BY849" t="s">
        <v>33</v>
      </c>
      <c r="BZ849" t="s">
        <v>33</v>
      </c>
      <c r="CA849" t="str">
        <f t="shared" si="420"/>
        <v>low acid</v>
      </c>
    </row>
    <row r="850" spans="1:79">
      <c r="A850" t="s">
        <v>225</v>
      </c>
      <c r="B850" t="s">
        <v>565</v>
      </c>
      <c r="C850" t="s">
        <v>563</v>
      </c>
      <c r="D850" t="s">
        <v>33</v>
      </c>
      <c r="E850" t="s">
        <v>77</v>
      </c>
      <c r="F850" t="s">
        <v>32</v>
      </c>
      <c r="G850">
        <v>30</v>
      </c>
      <c r="H850">
        <v>61</v>
      </c>
      <c r="I850" t="b">
        <v>1</v>
      </c>
      <c r="J850" t="s">
        <v>33</v>
      </c>
      <c r="K850" t="s">
        <v>33</v>
      </c>
      <c r="L850">
        <v>30</v>
      </c>
      <c r="M850" s="4">
        <v>250</v>
      </c>
      <c r="N850" s="3">
        <f t="shared" si="428"/>
        <v>260.5243209473274</v>
      </c>
      <c r="O850">
        <v>2</v>
      </c>
      <c r="P850" t="s">
        <v>33</v>
      </c>
      <c r="Q850" s="8">
        <f t="shared" si="422"/>
        <v>1.3333333333333332E-2</v>
      </c>
      <c r="R850" t="s">
        <v>183</v>
      </c>
      <c r="S850" t="s">
        <v>613</v>
      </c>
      <c r="T850" s="11">
        <v>6</v>
      </c>
      <c r="U850">
        <v>2.2999999999999998</v>
      </c>
      <c r="V850">
        <v>2.2000000000000002</v>
      </c>
      <c r="W850" t="s">
        <v>33</v>
      </c>
      <c r="X850" s="8">
        <f t="shared" si="427"/>
        <v>8.7430523549403959E-3</v>
      </c>
      <c r="Y850" s="6">
        <f>41/60</f>
        <v>0.68333333333333335</v>
      </c>
      <c r="Z850" s="3">
        <f t="shared" si="423"/>
        <v>0.65572892662052973</v>
      </c>
      <c r="AA850" s="3">
        <f>20/6</f>
        <v>3.3333333333333335</v>
      </c>
      <c r="AB850" s="6">
        <f>IFERROR(((X850*M850)/Z850), "NA")</f>
        <v>3.333333333333333</v>
      </c>
      <c r="AC850" t="str">
        <f t="shared" si="425"/>
        <v>NA</v>
      </c>
      <c r="AD850" s="4">
        <f>IFERROR(AB850*T850*AI850, "NA")</f>
        <v>20</v>
      </c>
      <c r="AE850" s="3">
        <f t="shared" si="426"/>
        <v>144</v>
      </c>
      <c r="AF850">
        <v>40</v>
      </c>
      <c r="AG850" t="str">
        <f t="shared" si="429"/>
        <v>NA</v>
      </c>
      <c r="AH850" t="str">
        <f t="shared" si="430"/>
        <v>NA</v>
      </c>
      <c r="AI850" s="11">
        <v>1</v>
      </c>
      <c r="AJ850" t="s">
        <v>31</v>
      </c>
      <c r="AK850">
        <v>4000</v>
      </c>
      <c r="AL850" t="s">
        <v>546</v>
      </c>
      <c r="AM850" t="s">
        <v>103</v>
      </c>
      <c r="AN850" t="s">
        <v>130</v>
      </c>
      <c r="AO850" t="s">
        <v>795</v>
      </c>
      <c r="AP850">
        <v>5</v>
      </c>
      <c r="AQ850" t="s">
        <v>33</v>
      </c>
      <c r="AR850" t="s">
        <v>33</v>
      </c>
      <c r="AS850" s="6">
        <v>8.1</v>
      </c>
      <c r="AT850" s="3">
        <f t="shared" si="431"/>
        <v>5</v>
      </c>
      <c r="AU850" s="6">
        <v>3.1</v>
      </c>
      <c r="AV850" t="b">
        <v>1</v>
      </c>
      <c r="AW850" t="s">
        <v>29</v>
      </c>
      <c r="AX850" t="s">
        <v>30</v>
      </c>
      <c r="AY850" t="s">
        <v>226</v>
      </c>
      <c r="AZ850" t="s">
        <v>33</v>
      </c>
      <c r="BA850" s="18" t="s">
        <v>798</v>
      </c>
      <c r="BB850" t="b">
        <v>0</v>
      </c>
      <c r="BC850" t="s">
        <v>81</v>
      </c>
      <c r="BD850">
        <v>14</v>
      </c>
      <c r="BE850" t="s">
        <v>80</v>
      </c>
      <c r="BF850" s="11">
        <v>120</v>
      </c>
      <c r="BG850" t="s">
        <v>139</v>
      </c>
      <c r="BH850" t="s">
        <v>31</v>
      </c>
      <c r="BI850" t="s">
        <v>31</v>
      </c>
      <c r="BJ850" s="3">
        <f t="shared" si="418"/>
        <v>3.1</v>
      </c>
      <c r="BK850" s="3">
        <f t="shared" si="411"/>
        <v>0.49136169383427269</v>
      </c>
      <c r="BL850">
        <v>2</v>
      </c>
      <c r="BM850" s="3">
        <f t="shared" si="421"/>
        <v>1.6670007982609769</v>
      </c>
      <c r="BN850" t="s">
        <v>33</v>
      </c>
      <c r="BO850" s="3">
        <f t="shared" si="419"/>
        <v>46.451612903225808</v>
      </c>
      <c r="BP850" t="s">
        <v>33</v>
      </c>
      <c r="BQ850" t="s">
        <v>33</v>
      </c>
      <c r="BR850" t="s">
        <v>33</v>
      </c>
      <c r="BS850" t="s">
        <v>33</v>
      </c>
      <c r="BT850" t="s">
        <v>31</v>
      </c>
      <c r="BU850" t="s">
        <v>227</v>
      </c>
      <c r="BV850">
        <v>2001</v>
      </c>
      <c r="BW850" t="s">
        <v>228</v>
      </c>
      <c r="BX850" t="s">
        <v>78</v>
      </c>
      <c r="BY850" t="s">
        <v>33</v>
      </c>
      <c r="BZ850" t="s">
        <v>33</v>
      </c>
      <c r="CA850" t="str">
        <f t="shared" si="420"/>
        <v>low acid</v>
      </c>
    </row>
    <row r="851" spans="1:79">
      <c r="A851" t="s">
        <v>535</v>
      </c>
      <c r="B851" t="s">
        <v>565</v>
      </c>
      <c r="C851" t="s">
        <v>564</v>
      </c>
      <c r="D851" t="s">
        <v>243</v>
      </c>
      <c r="E851" t="s">
        <v>77</v>
      </c>
      <c r="F851" t="s">
        <v>32</v>
      </c>
      <c r="G851">
        <v>40</v>
      </c>
      <c r="H851">
        <v>43</v>
      </c>
      <c r="I851" t="b">
        <v>0</v>
      </c>
      <c r="J851" t="s">
        <v>33</v>
      </c>
      <c r="K851" t="s">
        <v>33</v>
      </c>
      <c r="L851">
        <v>12</v>
      </c>
      <c r="M851" s="4">
        <v>120</v>
      </c>
      <c r="N851" s="3">
        <f t="shared" si="428"/>
        <v>200.55685355651937</v>
      </c>
      <c r="O851">
        <v>3</v>
      </c>
      <c r="P851" t="s">
        <v>33</v>
      </c>
      <c r="Q851" s="9">
        <f t="shared" si="422"/>
        <v>6.3888888888888884E-2</v>
      </c>
      <c r="R851" t="s">
        <v>183</v>
      </c>
      <c r="S851" t="s">
        <v>612</v>
      </c>
      <c r="T851" s="11">
        <v>4</v>
      </c>
      <c r="U851">
        <v>3</v>
      </c>
      <c r="V851">
        <v>2.6</v>
      </c>
      <c r="W851">
        <v>1.5900000000000001E-2</v>
      </c>
      <c r="X851" s="8">
        <f t="shared" si="427"/>
        <v>1.5927874753700257E-2</v>
      </c>
      <c r="Y851" s="6">
        <f>25/60</f>
        <v>0.41666666666666669</v>
      </c>
      <c r="Z851" s="3">
        <f t="shared" si="423"/>
        <v>0.249305865710091</v>
      </c>
      <c r="AA851" t="s">
        <v>33</v>
      </c>
      <c r="AB851" s="6">
        <f>IFERROR(((X851*M851)/Z851), "NA")</f>
        <v>7.6666666666666661</v>
      </c>
      <c r="AC851" t="str">
        <f t="shared" si="425"/>
        <v>NA</v>
      </c>
      <c r="AD851" s="4">
        <f>IFERROR(AB851*T851*AI851, "NA")</f>
        <v>30.666666666666664</v>
      </c>
      <c r="AE851" s="3">
        <f t="shared" si="426"/>
        <v>12.188159999999998</v>
      </c>
      <c r="AF851">
        <v>92</v>
      </c>
      <c r="AG851" t="str">
        <f t="shared" si="429"/>
        <v>NA</v>
      </c>
      <c r="AH851" t="str">
        <f t="shared" si="430"/>
        <v>NA</v>
      </c>
      <c r="AI851" s="11">
        <v>1</v>
      </c>
      <c r="AJ851" t="s">
        <v>31</v>
      </c>
      <c r="AK851">
        <v>920</v>
      </c>
      <c r="AL851" t="s">
        <v>551</v>
      </c>
      <c r="AM851" t="s">
        <v>86</v>
      </c>
      <c r="AN851" t="s">
        <v>186</v>
      </c>
      <c r="AO851" t="s">
        <v>794</v>
      </c>
      <c r="AP851">
        <v>5.92</v>
      </c>
      <c r="AQ851" t="s">
        <v>33</v>
      </c>
      <c r="AR851" t="s">
        <v>33</v>
      </c>
      <c r="AS851" s="6">
        <f>LOG(1.1*10^7)</f>
        <v>7.0413926851582254</v>
      </c>
      <c r="AT851" s="3">
        <f t="shared" si="431"/>
        <v>5.0053926851582258</v>
      </c>
      <c r="AU851" s="6">
        <v>2.036</v>
      </c>
      <c r="AV851" t="b">
        <v>1</v>
      </c>
      <c r="AW851" t="s">
        <v>172</v>
      </c>
      <c r="AX851" t="s">
        <v>173</v>
      </c>
      <c r="AY851" t="s">
        <v>246</v>
      </c>
      <c r="AZ851" t="s">
        <v>33</v>
      </c>
      <c r="BA851" s="18" t="s">
        <v>799</v>
      </c>
      <c r="BB851" t="b">
        <v>0</v>
      </c>
      <c r="BC851" t="s">
        <v>81</v>
      </c>
      <c r="BD851">
        <v>72</v>
      </c>
      <c r="BE851" t="s">
        <v>80</v>
      </c>
      <c r="BF851" s="11">
        <v>72</v>
      </c>
      <c r="BG851" t="s">
        <v>522</v>
      </c>
      <c r="BH851" t="s">
        <v>31</v>
      </c>
      <c r="BI851" t="s">
        <v>31</v>
      </c>
      <c r="BJ851" s="3">
        <f t="shared" si="418"/>
        <v>2.036</v>
      </c>
      <c r="BK851" s="3">
        <f t="shared" si="411"/>
        <v>0.30877777366472114</v>
      </c>
      <c r="BL851">
        <v>2</v>
      </c>
      <c r="BM851" s="3">
        <f t="shared" si="421"/>
        <v>0.77716037312163899</v>
      </c>
      <c r="BN851" t="s">
        <v>33</v>
      </c>
      <c r="BO851" s="3">
        <f t="shared" si="419"/>
        <v>5.9863261296660104</v>
      </c>
      <c r="BP851" t="s">
        <v>33</v>
      </c>
      <c r="BQ851" t="s">
        <v>33</v>
      </c>
      <c r="BR851" t="s">
        <v>33</v>
      </c>
      <c r="BS851" t="s">
        <v>33</v>
      </c>
      <c r="BT851" t="s">
        <v>32</v>
      </c>
      <c r="BU851" t="s">
        <v>207</v>
      </c>
      <c r="BV851">
        <v>2014</v>
      </c>
      <c r="BW851" s="2" t="s">
        <v>242</v>
      </c>
      <c r="BX851" t="s">
        <v>78</v>
      </c>
      <c r="BY851" t="s">
        <v>33</v>
      </c>
      <c r="BZ851" t="s">
        <v>33</v>
      </c>
      <c r="CA851" t="str">
        <f t="shared" si="420"/>
        <v>low acid</v>
      </c>
    </row>
    <row r="852" spans="1:79">
      <c r="A852" t="s">
        <v>712</v>
      </c>
      <c r="B852" t="s">
        <v>566</v>
      </c>
      <c r="C852" t="s">
        <v>563</v>
      </c>
      <c r="D852" t="s">
        <v>699</v>
      </c>
      <c r="E852" t="s">
        <v>77</v>
      </c>
      <c r="F852" t="s">
        <v>32</v>
      </c>
      <c r="G852">
        <v>20</v>
      </c>
      <c r="H852">
        <v>64</v>
      </c>
      <c r="I852" t="b">
        <v>1</v>
      </c>
      <c r="J852" t="s">
        <v>33</v>
      </c>
      <c r="K852" t="s">
        <v>33</v>
      </c>
      <c r="L852">
        <v>20</v>
      </c>
      <c r="M852" s="4">
        <v>64</v>
      </c>
      <c r="N852" s="3">
        <f t="shared" si="428"/>
        <v>63.657407407407391</v>
      </c>
      <c r="O852">
        <v>5</v>
      </c>
      <c r="P852">
        <v>0.43</v>
      </c>
      <c r="Q852" s="8">
        <f>IFERROR(X852/Y852, "NA")</f>
        <v>0.43200000000000011</v>
      </c>
      <c r="R852" t="s">
        <v>183</v>
      </c>
      <c r="S852" t="s">
        <v>612</v>
      </c>
      <c r="T852" s="11">
        <v>1</v>
      </c>
      <c r="U852">
        <v>4</v>
      </c>
      <c r="V852" t="s">
        <v>33</v>
      </c>
      <c r="W852">
        <f>0.4*3*0.5</f>
        <v>0.60000000000000009</v>
      </c>
      <c r="X852" s="9">
        <f>W852</f>
        <v>0.60000000000000009</v>
      </c>
      <c r="Y852" s="6">
        <f>5000/3600</f>
        <v>1.3888888888888888</v>
      </c>
      <c r="Z852" s="3">
        <f t="shared" si="423"/>
        <v>1.3963636363636365</v>
      </c>
      <c r="AA852" t="s">
        <v>33</v>
      </c>
      <c r="AB852" s="4">
        <f>IFERROR(((X852*M852)/Y852), "NA")</f>
        <v>27.648000000000007</v>
      </c>
      <c r="AC852" s="4">
        <f t="shared" si="425"/>
        <v>27.52</v>
      </c>
      <c r="AD852" s="4">
        <f>AB852*T852*AI852</f>
        <v>27.648000000000007</v>
      </c>
      <c r="AE852" s="3">
        <f t="shared" si="426"/>
        <v>110.59200000000003</v>
      </c>
      <c r="AF852">
        <v>137.5</v>
      </c>
      <c r="AG852" s="4">
        <f t="shared" si="429"/>
        <v>137.6</v>
      </c>
      <c r="AH852" s="4">
        <f t="shared" si="430"/>
        <v>137.6</v>
      </c>
      <c r="AI852">
        <v>1</v>
      </c>
      <c r="AJ852" s="11" t="s">
        <v>31</v>
      </c>
      <c r="AK852">
        <v>2000</v>
      </c>
      <c r="AL852" t="s">
        <v>784</v>
      </c>
      <c r="AM852" t="s">
        <v>103</v>
      </c>
      <c r="AN852" t="s">
        <v>130</v>
      </c>
      <c r="AO852" t="s">
        <v>795</v>
      </c>
      <c r="AP852">
        <v>7</v>
      </c>
      <c r="AQ852" t="s">
        <v>33</v>
      </c>
      <c r="AR852" t="s">
        <v>33</v>
      </c>
      <c r="AS852" s="6">
        <f>LOG(AVERAGE(10^8, 10^9))</f>
        <v>8.7403626894942441</v>
      </c>
      <c r="AT852" s="3">
        <f t="shared" si="431"/>
        <v>5.0073626894942436</v>
      </c>
      <c r="AU852" s="6">
        <v>3.7330000000000001</v>
      </c>
      <c r="AV852" t="b">
        <v>1</v>
      </c>
      <c r="AW852" t="s">
        <v>92</v>
      </c>
      <c r="AX852" t="s">
        <v>93</v>
      </c>
      <c r="AY852" t="s">
        <v>713</v>
      </c>
      <c r="AZ852" t="s">
        <v>33</v>
      </c>
      <c r="BA852" s="18" t="s">
        <v>801</v>
      </c>
      <c r="BB852" s="3" t="b">
        <v>0</v>
      </c>
      <c r="BC852" t="s">
        <v>81</v>
      </c>
      <c r="BD852">
        <v>24</v>
      </c>
      <c r="BE852" t="s">
        <v>80</v>
      </c>
      <c r="BF852">
        <v>24</v>
      </c>
      <c r="BG852" t="s">
        <v>568</v>
      </c>
      <c r="BH852" t="s">
        <v>31</v>
      </c>
      <c r="BI852" t="s">
        <v>31</v>
      </c>
      <c r="BJ852" s="3">
        <f t="shared" si="418"/>
        <v>3.7330000000000001</v>
      </c>
      <c r="BK852" s="3">
        <f t="shared" si="411"/>
        <v>0.57205798992630452</v>
      </c>
      <c r="BL852">
        <v>2</v>
      </c>
      <c r="BM852" s="3">
        <f t="shared" si="421"/>
        <v>1.4716657222004572</v>
      </c>
      <c r="BN852" t="s">
        <v>33</v>
      </c>
      <c r="BO852" s="3">
        <f t="shared" si="419"/>
        <v>29.625502276989025</v>
      </c>
      <c r="BP852" t="s">
        <v>33</v>
      </c>
      <c r="BQ852" t="s">
        <v>33</v>
      </c>
      <c r="BR852" t="s">
        <v>33</v>
      </c>
      <c r="BS852" t="s">
        <v>33</v>
      </c>
      <c r="BT852" t="s">
        <v>32</v>
      </c>
      <c r="BU852" t="s">
        <v>709</v>
      </c>
      <c r="BV852">
        <v>2024</v>
      </c>
      <c r="BW852" t="s">
        <v>710</v>
      </c>
      <c r="BX852" t="s">
        <v>78</v>
      </c>
      <c r="BY852" t="s">
        <v>711</v>
      </c>
      <c r="CA852" t="str">
        <f t="shared" si="420"/>
        <v>low acid</v>
      </c>
    </row>
    <row r="853" spans="1:79">
      <c r="A853" t="s">
        <v>254</v>
      </c>
      <c r="B853" t="s">
        <v>566</v>
      </c>
      <c r="C853" t="s">
        <v>563</v>
      </c>
      <c r="D853" t="s">
        <v>33</v>
      </c>
      <c r="E853" t="s">
        <v>77</v>
      </c>
      <c r="F853" t="s">
        <v>32</v>
      </c>
      <c r="G853">
        <v>20</v>
      </c>
      <c r="H853">
        <v>50.5</v>
      </c>
      <c r="I853" t="b">
        <v>1</v>
      </c>
      <c r="J853" t="s">
        <v>33</v>
      </c>
      <c r="K853" t="s">
        <v>33</v>
      </c>
      <c r="L853">
        <v>25</v>
      </c>
      <c r="M853" s="4">
        <v>52</v>
      </c>
      <c r="N853" s="3">
        <f t="shared" si="428"/>
        <v>29.478458049886626</v>
      </c>
      <c r="O853">
        <v>3</v>
      </c>
      <c r="P853" t="s">
        <v>33</v>
      </c>
      <c r="Q853">
        <f>IFERROR(X853/Z853, "NA")</f>
        <v>0.45000000000000007</v>
      </c>
      <c r="R853" t="s">
        <v>183</v>
      </c>
      <c r="S853" t="s">
        <v>612</v>
      </c>
      <c r="T853" s="11">
        <v>1</v>
      </c>
      <c r="U853">
        <v>4.5</v>
      </c>
      <c r="V853" t="s">
        <v>33</v>
      </c>
      <c r="W853" t="s">
        <v>33</v>
      </c>
      <c r="X853">
        <f>U853*0.1*1.47</f>
        <v>0.66149999999999998</v>
      </c>
      <c r="Y853" s="6">
        <f>3000/3600</f>
        <v>0.83333333333333337</v>
      </c>
      <c r="Z853" s="3">
        <f t="shared" si="423"/>
        <v>1.4699999999999998</v>
      </c>
      <c r="AA853" t="s">
        <v>33</v>
      </c>
      <c r="AB853" s="6">
        <f>IFERROR(((X853*M853)/Z853), "NA")</f>
        <v>23.400000000000002</v>
      </c>
      <c r="AC853" t="str">
        <f t="shared" si="425"/>
        <v>NA</v>
      </c>
      <c r="AD853" s="4">
        <f>IFERROR(AB853*T853*AI853, "NA")</f>
        <v>23.400000000000002</v>
      </c>
      <c r="AE853" s="3">
        <f t="shared" si="426"/>
        <v>118.46250000000002</v>
      </c>
      <c r="AF853">
        <v>70.2</v>
      </c>
      <c r="AG853" t="str">
        <f t="shared" si="429"/>
        <v>NA</v>
      </c>
      <c r="AH853" t="str">
        <f t="shared" si="430"/>
        <v>NA</v>
      </c>
      <c r="AI853" s="11">
        <v>1</v>
      </c>
      <c r="AJ853" t="s">
        <v>31</v>
      </c>
      <c r="AK853" s="11">
        <v>2700</v>
      </c>
      <c r="AL853" t="s">
        <v>149</v>
      </c>
      <c r="AM853" t="s">
        <v>86</v>
      </c>
      <c r="AN853" t="s">
        <v>205</v>
      </c>
      <c r="AO853" t="s">
        <v>789</v>
      </c>
      <c r="AP853">
        <v>3.5</v>
      </c>
      <c r="AQ853" t="s">
        <v>33</v>
      </c>
      <c r="AR853" t="s">
        <v>33</v>
      </c>
      <c r="AS853" s="6">
        <f>LOG(10^8)</f>
        <v>8</v>
      </c>
      <c r="AT853" s="3">
        <f t="shared" si="431"/>
        <v>5.01</v>
      </c>
      <c r="AU853" s="6">
        <v>2.99</v>
      </c>
      <c r="AV853" t="b">
        <v>1</v>
      </c>
      <c r="AW853" t="s">
        <v>29</v>
      </c>
      <c r="AX853" t="s">
        <v>30</v>
      </c>
      <c r="AY853" t="s">
        <v>33</v>
      </c>
      <c r="AZ853" t="s">
        <v>134</v>
      </c>
      <c r="BA853" s="18" t="s">
        <v>798</v>
      </c>
      <c r="BB853" t="b">
        <v>0</v>
      </c>
      <c r="BC853" t="s">
        <v>81</v>
      </c>
      <c r="BD853">
        <v>12</v>
      </c>
      <c r="BE853" t="s">
        <v>80</v>
      </c>
      <c r="BF853" s="11">
        <v>48</v>
      </c>
      <c r="BG853" t="s">
        <v>569</v>
      </c>
      <c r="BH853" t="s">
        <v>31</v>
      </c>
      <c r="BI853" t="s">
        <v>31</v>
      </c>
      <c r="BJ853" s="3">
        <f t="shared" si="418"/>
        <v>2.99</v>
      </c>
      <c r="BK853" s="3">
        <f t="shared" si="411"/>
        <v>0.47567118832442967</v>
      </c>
      <c r="BL853">
        <v>2</v>
      </c>
      <c r="BM853" s="3">
        <f t="shared" si="421"/>
        <v>1.5979097053084381</v>
      </c>
      <c r="BN853" t="s">
        <v>33</v>
      </c>
      <c r="BO853" s="3">
        <f t="shared" si="419"/>
        <v>39.619565217391305</v>
      </c>
      <c r="BP853" t="s">
        <v>33</v>
      </c>
      <c r="BQ853" t="s">
        <v>33</v>
      </c>
      <c r="BR853" t="s">
        <v>33</v>
      </c>
      <c r="BS853" t="s">
        <v>33</v>
      </c>
      <c r="BT853" t="s">
        <v>32</v>
      </c>
      <c r="BU853" t="s">
        <v>255</v>
      </c>
      <c r="BV853">
        <v>2011</v>
      </c>
      <c r="BW853" s="2" t="s">
        <v>256</v>
      </c>
      <c r="BX853" t="s">
        <v>78</v>
      </c>
      <c r="BY853" t="s">
        <v>33</v>
      </c>
      <c r="BZ853" t="s">
        <v>33</v>
      </c>
      <c r="CA853" t="str">
        <f t="shared" si="420"/>
        <v>high acid</v>
      </c>
    </row>
    <row r="854" spans="1:79">
      <c r="A854" t="s">
        <v>141</v>
      </c>
      <c r="B854" t="s">
        <v>565</v>
      </c>
      <c r="C854" t="s">
        <v>563</v>
      </c>
      <c r="D854" t="s">
        <v>118</v>
      </c>
      <c r="E854" t="s">
        <v>77</v>
      </c>
      <c r="F854" t="s">
        <v>32</v>
      </c>
      <c r="G854">
        <v>20</v>
      </c>
      <c r="H854" t="s">
        <v>33</v>
      </c>
      <c r="I854" t="b">
        <v>0</v>
      </c>
      <c r="J854" t="s">
        <v>33</v>
      </c>
      <c r="K854" t="s">
        <v>33</v>
      </c>
      <c r="L854">
        <v>20</v>
      </c>
      <c r="M854" s="4">
        <v>500</v>
      </c>
      <c r="N854" s="3">
        <f t="shared" si="428"/>
        <v>503.35454362283343</v>
      </c>
      <c r="O854">
        <v>3</v>
      </c>
      <c r="P854" t="s">
        <v>33</v>
      </c>
      <c r="Q854" s="8">
        <f>IFERROR(X854/Z854, "NA")</f>
        <v>1.4555555555555556E-2</v>
      </c>
      <c r="R854" t="s">
        <v>183</v>
      </c>
      <c r="S854" t="s">
        <v>613</v>
      </c>
      <c r="T854" s="11">
        <v>6</v>
      </c>
      <c r="U854">
        <v>2.9</v>
      </c>
      <c r="V854">
        <v>2.2999999999999998</v>
      </c>
      <c r="W854" t="s">
        <v>33</v>
      </c>
      <c r="X854">
        <f>IFERROR(((PI())*(((V854*10^-1)/2)^2)*(U854*10^-1)), "NA")</f>
        <v>1.204879322468025E-2</v>
      </c>
      <c r="Y854" s="8">
        <f>50/60</f>
        <v>0.83333333333333337</v>
      </c>
      <c r="Z854" s="9">
        <f t="shared" si="423"/>
        <v>0.82777968719177286</v>
      </c>
      <c r="AA854" t="s">
        <v>33</v>
      </c>
      <c r="AB854" s="6">
        <f>IFERROR(((X854*M854)/Z854), "NA")</f>
        <v>7.2777777777777786</v>
      </c>
      <c r="AC854" t="str">
        <f t="shared" si="425"/>
        <v>NA</v>
      </c>
      <c r="AD854" s="4">
        <f>AB854*T854*AI854</f>
        <v>43.666666666666671</v>
      </c>
      <c r="AE854" s="3">
        <f t="shared" si="426"/>
        <v>202.26400000000001</v>
      </c>
      <c r="AF854">
        <v>131</v>
      </c>
      <c r="AG854" t="str">
        <f t="shared" si="429"/>
        <v>NA</v>
      </c>
      <c r="AH854" t="str">
        <f t="shared" si="430"/>
        <v>NA</v>
      </c>
      <c r="AI854">
        <v>1</v>
      </c>
      <c r="AJ854" t="s">
        <v>31</v>
      </c>
      <c r="AK854">
        <v>3860</v>
      </c>
      <c r="AL854" t="s">
        <v>138</v>
      </c>
      <c r="AM854" t="s">
        <v>86</v>
      </c>
      <c r="AN854" t="s">
        <v>205</v>
      </c>
      <c r="AO854" t="s">
        <v>789</v>
      </c>
      <c r="AP854">
        <v>3.9</v>
      </c>
      <c r="AQ854" t="s">
        <v>33</v>
      </c>
      <c r="AR854" t="s">
        <v>33</v>
      </c>
      <c r="AS854" s="3">
        <v>7.2510000000000003</v>
      </c>
      <c r="AT854" s="3">
        <f t="shared" si="431"/>
        <v>5.0110000000000001</v>
      </c>
      <c r="AU854" s="6">
        <v>2.2400000000000002</v>
      </c>
      <c r="AV854" t="b">
        <v>1</v>
      </c>
      <c r="AW854" t="s">
        <v>92</v>
      </c>
      <c r="AX854" t="s">
        <v>93</v>
      </c>
      <c r="AY854" t="s">
        <v>137</v>
      </c>
      <c r="AZ854" t="s">
        <v>33</v>
      </c>
      <c r="BA854" s="18" t="s">
        <v>801</v>
      </c>
      <c r="BB854" t="b">
        <v>0</v>
      </c>
      <c r="BC854" t="s">
        <v>81</v>
      </c>
      <c r="BD854">
        <f>(48+24)/2</f>
        <v>36</v>
      </c>
      <c r="BE854" t="s">
        <v>80</v>
      </c>
      <c r="BF854" s="11">
        <f>(48+24)/2</f>
        <v>36</v>
      </c>
      <c r="BG854" t="s">
        <v>139</v>
      </c>
      <c r="BH854" t="s">
        <v>31</v>
      </c>
      <c r="BI854" t="s">
        <v>31</v>
      </c>
      <c r="BJ854">
        <f t="shared" si="418"/>
        <v>2.2400000000000002</v>
      </c>
      <c r="BK854" s="3">
        <f t="shared" si="411"/>
        <v>0.35024801833416286</v>
      </c>
      <c r="BL854">
        <v>2</v>
      </c>
      <c r="BM854" s="3">
        <f>LOG(BO854)</f>
        <v>1.9556705733213187</v>
      </c>
      <c r="BN854" t="s">
        <v>33</v>
      </c>
      <c r="BO854" s="3">
        <f t="shared" si="419"/>
        <v>90.296428571428564</v>
      </c>
      <c r="BP854" t="s">
        <v>33</v>
      </c>
      <c r="BQ854" t="s">
        <v>33</v>
      </c>
      <c r="BR854" t="s">
        <v>33</v>
      </c>
      <c r="BS854" t="s">
        <v>33</v>
      </c>
      <c r="BT854" t="s">
        <v>31</v>
      </c>
      <c r="BU854" t="s">
        <v>135</v>
      </c>
      <c r="BV854">
        <v>2011</v>
      </c>
      <c r="BW854" s="2" t="s">
        <v>136</v>
      </c>
      <c r="BX854" t="s">
        <v>78</v>
      </c>
      <c r="BY854" t="s">
        <v>33</v>
      </c>
      <c r="BZ854" t="s">
        <v>33</v>
      </c>
      <c r="CA854" t="str">
        <f t="shared" si="420"/>
        <v>high acid</v>
      </c>
    </row>
    <row r="855" spans="1:79">
      <c r="A855" t="s">
        <v>237</v>
      </c>
      <c r="B855" t="s">
        <v>565</v>
      </c>
      <c r="C855" t="s">
        <v>563</v>
      </c>
      <c r="D855" t="s">
        <v>118</v>
      </c>
      <c r="E855" t="s">
        <v>77</v>
      </c>
      <c r="F855" t="s">
        <v>32</v>
      </c>
      <c r="G855">
        <v>4</v>
      </c>
      <c r="H855">
        <v>32.5</v>
      </c>
      <c r="I855" t="b">
        <v>0</v>
      </c>
      <c r="J855" t="s">
        <v>33</v>
      </c>
      <c r="K855" t="s">
        <v>33</v>
      </c>
      <c r="L855">
        <v>35</v>
      </c>
      <c r="M855" s="4">
        <v>200</v>
      </c>
      <c r="N855" s="3">
        <f t="shared" si="428"/>
        <v>772.75686432737871</v>
      </c>
      <c r="O855">
        <v>4</v>
      </c>
      <c r="P855" t="s">
        <v>33</v>
      </c>
      <c r="Q855" s="9">
        <f>IFERROR(X855/Z855, "NA")</f>
        <v>4.6874999999999993E-2</v>
      </c>
      <c r="R855" t="s">
        <v>183</v>
      </c>
      <c r="S855" t="s">
        <v>612</v>
      </c>
      <c r="T855" s="11">
        <v>8</v>
      </c>
      <c r="U855">
        <v>2.92</v>
      </c>
      <c r="V855">
        <v>2.2999999999999998</v>
      </c>
      <c r="W855">
        <v>1.2E-2</v>
      </c>
      <c r="X855" s="8">
        <f>IFERROR(((PI())*(((V855*10^-1)/2)^2)*(U855*10^-1)), "NA")</f>
        <v>1.2131888350367701E-2</v>
      </c>
      <c r="Y855" s="6">
        <f>60/60</f>
        <v>1</v>
      </c>
      <c r="Z855" s="3">
        <f t="shared" si="423"/>
        <v>0.25881361814117765</v>
      </c>
      <c r="AA855" t="s">
        <v>33</v>
      </c>
      <c r="AB855" s="6">
        <f>IFERROR(((X855*M855)/Z855), "NA")</f>
        <v>9.3749999999999982</v>
      </c>
      <c r="AC855" t="str">
        <f t="shared" si="425"/>
        <v>NA</v>
      </c>
      <c r="AD855" s="4">
        <f>AB855*T855*AI855</f>
        <v>74.999999999999986</v>
      </c>
      <c r="AE855" s="3">
        <f t="shared" si="426"/>
        <v>1558.1999999999996</v>
      </c>
      <c r="AF855">
        <v>300</v>
      </c>
      <c r="AG855" t="str">
        <f t="shared" si="429"/>
        <v>NA</v>
      </c>
      <c r="AH855" t="str">
        <f t="shared" si="430"/>
        <v>NA</v>
      </c>
      <c r="AI855">
        <v>1</v>
      </c>
      <c r="AJ855" t="s">
        <v>31</v>
      </c>
      <c r="AK855">
        <v>4240</v>
      </c>
      <c r="AL855" t="s">
        <v>238</v>
      </c>
      <c r="AM855" t="s">
        <v>86</v>
      </c>
      <c r="AN855" t="s">
        <v>205</v>
      </c>
      <c r="AO855" t="s">
        <v>789</v>
      </c>
      <c r="AP855">
        <v>3.56</v>
      </c>
      <c r="AQ855" t="s">
        <v>33</v>
      </c>
      <c r="AR855" t="s">
        <v>33</v>
      </c>
      <c r="AS855">
        <f>LOG(10^8)</f>
        <v>8</v>
      </c>
      <c r="AT855" s="3">
        <f t="shared" si="431"/>
        <v>5.0120000000000005</v>
      </c>
      <c r="AU855" s="6">
        <v>2.988</v>
      </c>
      <c r="AV855" t="b">
        <v>1</v>
      </c>
      <c r="AW855" t="s">
        <v>172</v>
      </c>
      <c r="AX855" t="s">
        <v>173</v>
      </c>
      <c r="AY855" t="s">
        <v>239</v>
      </c>
      <c r="AZ855" t="s">
        <v>33</v>
      </c>
      <c r="BA855" s="18" t="s">
        <v>799</v>
      </c>
      <c r="BB855" t="b">
        <v>0</v>
      </c>
      <c r="BC855" t="s">
        <v>81</v>
      </c>
      <c r="BD855">
        <v>48</v>
      </c>
      <c r="BE855" t="s">
        <v>80</v>
      </c>
      <c r="BF855" s="11">
        <v>120</v>
      </c>
      <c r="BG855" t="s">
        <v>571</v>
      </c>
      <c r="BH855" t="s">
        <v>31</v>
      </c>
      <c r="BI855" t="s">
        <v>31</v>
      </c>
      <c r="BJ855" s="3">
        <f t="shared" si="418"/>
        <v>2.988</v>
      </c>
      <c r="BK855" s="3">
        <f t="shared" si="411"/>
        <v>0.47538059314336117</v>
      </c>
      <c r="BL855">
        <v>2</v>
      </c>
      <c r="BM855" s="3">
        <f t="shared" ref="BM855:BM884" si="432">IFERROR(LOG(BO855),"NA")</f>
        <v>2.717242606869585</v>
      </c>
      <c r="BN855" t="s">
        <v>33</v>
      </c>
      <c r="BO855" s="3">
        <f t="shared" si="419"/>
        <v>521.48594377510028</v>
      </c>
      <c r="BP855" t="s">
        <v>33</v>
      </c>
      <c r="BQ855" t="s">
        <v>33</v>
      </c>
      <c r="BR855" t="s">
        <v>33</v>
      </c>
      <c r="BS855" t="s">
        <v>33</v>
      </c>
      <c r="BT855" t="s">
        <v>31</v>
      </c>
      <c r="BU855" t="s">
        <v>240</v>
      </c>
      <c r="BV855">
        <v>2004</v>
      </c>
      <c r="BW855" t="s">
        <v>241</v>
      </c>
      <c r="BX855" t="s">
        <v>78</v>
      </c>
      <c r="BY855" t="s">
        <v>33</v>
      </c>
      <c r="BZ855" t="s">
        <v>33</v>
      </c>
      <c r="CA855" t="str">
        <f t="shared" si="420"/>
        <v>high acid</v>
      </c>
    </row>
    <row r="856" spans="1:79">
      <c r="A856" t="s">
        <v>764</v>
      </c>
      <c r="B856" t="s">
        <v>565</v>
      </c>
      <c r="C856" t="s">
        <v>563</v>
      </c>
      <c r="D856" t="s">
        <v>765</v>
      </c>
      <c r="E856" t="s">
        <v>77</v>
      </c>
      <c r="F856" t="s">
        <v>31</v>
      </c>
      <c r="G856">
        <v>22</v>
      </c>
      <c r="H856">
        <v>58</v>
      </c>
      <c r="I856" t="b">
        <v>0</v>
      </c>
      <c r="J856" t="s">
        <v>33</v>
      </c>
      <c r="K856" t="s">
        <v>33</v>
      </c>
      <c r="L856">
        <v>20</v>
      </c>
      <c r="M856" s="4">
        <f>N856</f>
        <v>184.73977488019611</v>
      </c>
      <c r="N856" s="3">
        <f t="shared" si="428"/>
        <v>184.73977488019611</v>
      </c>
      <c r="O856">
        <v>3</v>
      </c>
      <c r="P856">
        <v>7.1800000000000003E-2</v>
      </c>
      <c r="Q856" s="8">
        <f>IFERROR(X856/Y856, "NA")</f>
        <v>7.1812725090036014E-2</v>
      </c>
      <c r="R856" t="s">
        <v>183</v>
      </c>
      <c r="S856" t="s">
        <v>33</v>
      </c>
      <c r="T856" s="11">
        <v>1</v>
      </c>
      <c r="U856" t="s">
        <v>33</v>
      </c>
      <c r="V856" t="s">
        <v>33</v>
      </c>
      <c r="W856">
        <v>9.9699999999999997E-2</v>
      </c>
      <c r="X856">
        <f>W856</f>
        <v>9.9699999999999997E-2</v>
      </c>
      <c r="Y856" s="6">
        <f>83.3/60</f>
        <v>1.3883333333333332</v>
      </c>
      <c r="Z856" s="6">
        <f>Y856</f>
        <v>1.3883333333333332</v>
      </c>
      <c r="AA856" t="s">
        <v>33</v>
      </c>
      <c r="AB856" s="4">
        <f>IFERROR(((X856*M856)/Y856), "NA")</f>
        <v>13.266666666666666</v>
      </c>
      <c r="AC856" s="4">
        <f t="shared" si="425"/>
        <v>13.264315836398081</v>
      </c>
      <c r="AD856" s="4">
        <f>AB856*T856*AI856</f>
        <v>13.266666666666666</v>
      </c>
      <c r="AE856" s="3">
        <f t="shared" si="426"/>
        <v>47.759999999999984</v>
      </c>
      <c r="AF856">
        <v>39.799999999999997</v>
      </c>
      <c r="AG856" s="4">
        <f t="shared" si="429"/>
        <v>39.792947509194242</v>
      </c>
      <c r="AH856" s="4">
        <f t="shared" si="430"/>
        <v>39.792947509194242</v>
      </c>
      <c r="AI856">
        <v>1</v>
      </c>
      <c r="AJ856" s="11" t="s">
        <v>31</v>
      </c>
      <c r="AK856">
        <v>3000</v>
      </c>
      <c r="AL856" t="s">
        <v>169</v>
      </c>
      <c r="AM856" t="s">
        <v>103</v>
      </c>
      <c r="AN856" t="s">
        <v>130</v>
      </c>
      <c r="AO856" t="s">
        <v>795</v>
      </c>
      <c r="AP856">
        <v>7.3</v>
      </c>
      <c r="AQ856" t="s">
        <v>33</v>
      </c>
      <c r="AR856" t="s">
        <v>33</v>
      </c>
      <c r="AS856">
        <v>7</v>
      </c>
      <c r="AT856" s="3">
        <f t="shared" si="431"/>
        <v>5.0169999999999995</v>
      </c>
      <c r="AU856" s="6">
        <v>1.9830000000000001</v>
      </c>
      <c r="AV856" t="b">
        <v>1</v>
      </c>
      <c r="AW856" t="s">
        <v>29</v>
      </c>
      <c r="AX856" t="s">
        <v>30</v>
      </c>
      <c r="AY856" t="s">
        <v>766</v>
      </c>
      <c r="AZ856" t="s">
        <v>33</v>
      </c>
      <c r="BA856" s="18" t="s">
        <v>798</v>
      </c>
      <c r="BB856" s="3" t="b">
        <v>0</v>
      </c>
      <c r="BC856" t="s">
        <v>81</v>
      </c>
      <c r="BD856">
        <v>16</v>
      </c>
      <c r="BE856" t="s">
        <v>80</v>
      </c>
      <c r="BF856">
        <v>24</v>
      </c>
      <c r="BG856" t="s">
        <v>569</v>
      </c>
      <c r="BH856" t="s">
        <v>31</v>
      </c>
      <c r="BI856" t="s">
        <v>31</v>
      </c>
      <c r="BJ856" s="3">
        <f t="shared" si="418"/>
        <v>1.9830000000000001</v>
      </c>
      <c r="BK856" s="3">
        <f t="shared" si="411"/>
        <v>0.29732271420530271</v>
      </c>
      <c r="BL856">
        <v>2</v>
      </c>
      <c r="BM856" s="3">
        <f t="shared" si="432"/>
        <v>1.3817416039160098</v>
      </c>
      <c r="BN856" t="s">
        <v>33</v>
      </c>
      <c r="BO856" s="3">
        <f t="shared" si="419"/>
        <v>24.084720121028734</v>
      </c>
      <c r="BP856" t="s">
        <v>33</v>
      </c>
      <c r="BQ856" t="s">
        <v>33</v>
      </c>
      <c r="BR856" t="s">
        <v>33</v>
      </c>
      <c r="BS856" t="s">
        <v>33</v>
      </c>
      <c r="BT856" t="s">
        <v>31</v>
      </c>
      <c r="BU856" t="s">
        <v>767</v>
      </c>
      <c r="BV856">
        <v>2021</v>
      </c>
      <c r="BW856" t="s">
        <v>768</v>
      </c>
      <c r="BX856" t="s">
        <v>78</v>
      </c>
      <c r="BY856" t="s">
        <v>769</v>
      </c>
      <c r="CA856" t="str">
        <f t="shared" si="420"/>
        <v>low acid</v>
      </c>
    </row>
    <row r="857" spans="1:79">
      <c r="A857" t="s">
        <v>595</v>
      </c>
      <c r="B857" t="s">
        <v>565</v>
      </c>
      <c r="C857" t="s">
        <v>564</v>
      </c>
      <c r="D857" t="s">
        <v>609</v>
      </c>
      <c r="E857" t="s">
        <v>77</v>
      </c>
      <c r="F857" t="s">
        <v>32</v>
      </c>
      <c r="G857">
        <v>30</v>
      </c>
      <c r="H857">
        <v>38.200000000000003</v>
      </c>
      <c r="I857" t="b">
        <v>0</v>
      </c>
      <c r="J857" t="s">
        <v>33</v>
      </c>
      <c r="K857" t="s">
        <v>33</v>
      </c>
      <c r="L857">
        <v>18</v>
      </c>
      <c r="M857" s="4">
        <v>120</v>
      </c>
      <c r="N857" t="e">
        <f>(#REF!*Y857)/(T857*X857*O857)</f>
        <v>#REF!</v>
      </c>
      <c r="O857">
        <v>3</v>
      </c>
      <c r="P857" t="s">
        <v>33</v>
      </c>
      <c r="Q857" s="1">
        <f t="shared" ref="Q857:Q862" si="433">IFERROR(X857/Z857, "NA")</f>
        <v>6.25E-2</v>
      </c>
      <c r="R857" t="s">
        <v>183</v>
      </c>
      <c r="S857" t="s">
        <v>612</v>
      </c>
      <c r="T857">
        <v>4</v>
      </c>
      <c r="U857">
        <v>3</v>
      </c>
      <c r="V857">
        <v>2.6</v>
      </c>
      <c r="W857" t="s">
        <v>33</v>
      </c>
      <c r="X857">
        <f>IFERROR(((PI())*(((V857*10^-1)/2)^2)*(U857*10^-1)), "NA")</f>
        <v>1.5927874753700257E-2</v>
      </c>
      <c r="Y857">
        <v>0.126667</v>
      </c>
      <c r="Z857" s="3">
        <f t="shared" ref="Z857:Z864" si="434">IFERROR(X857*M857*O857*T857*AI857/AF857, "NA")</f>
        <v>0.25484599605920411</v>
      </c>
      <c r="AA857" t="s">
        <v>33</v>
      </c>
      <c r="AB857">
        <f t="shared" ref="AB857:AB862" si="435">IFERROR(((X857*M857)/Z857), "NA")</f>
        <v>7.5</v>
      </c>
      <c r="AC857" s="1" t="str">
        <f t="shared" si="425"/>
        <v>NA</v>
      </c>
      <c r="AE857" s="3">
        <f t="shared" si="426"/>
        <v>28.576799999999999</v>
      </c>
      <c r="AF857">
        <v>90</v>
      </c>
      <c r="AG857" s="1" t="str">
        <f t="shared" ref="AG857:AG862" si="436">IFERROR((N857*P857*Q857), "NA")</f>
        <v>NA</v>
      </c>
      <c r="AH857" s="1" t="str">
        <f t="shared" ref="AH857:AH862" si="437">IFERROR((AG857*U857*AI857), "NA")</f>
        <v>NA</v>
      </c>
      <c r="AI857" s="1">
        <v>1</v>
      </c>
      <c r="AJ857" s="11" t="s">
        <v>31</v>
      </c>
      <c r="AK857">
        <v>980</v>
      </c>
      <c r="AL857" t="s">
        <v>551</v>
      </c>
      <c r="AM857" t="s">
        <v>86</v>
      </c>
      <c r="AN857" t="s">
        <v>186</v>
      </c>
      <c r="AO857" t="s">
        <v>794</v>
      </c>
      <c r="AP857">
        <v>5.98</v>
      </c>
      <c r="AQ857" t="s">
        <v>33</v>
      </c>
      <c r="AR857" t="s">
        <v>33</v>
      </c>
      <c r="AS857">
        <v>6</v>
      </c>
      <c r="AT857">
        <f>AS857-AU857</f>
        <v>5.0199999999999996</v>
      </c>
      <c r="AU857" s="6">
        <v>0.98</v>
      </c>
      <c r="AV857" t="b">
        <v>1</v>
      </c>
      <c r="AW857" t="s">
        <v>626</v>
      </c>
      <c r="AX857" t="s">
        <v>627</v>
      </c>
      <c r="AY857" t="s">
        <v>631</v>
      </c>
      <c r="AZ857" t="s">
        <v>33</v>
      </c>
      <c r="BA857" s="18" t="s">
        <v>800</v>
      </c>
      <c r="BB857" s="3" t="b">
        <v>0</v>
      </c>
      <c r="BC857" t="s">
        <v>81</v>
      </c>
      <c r="BD857">
        <v>20</v>
      </c>
      <c r="BE857" t="s">
        <v>80</v>
      </c>
      <c r="BF857">
        <v>20</v>
      </c>
      <c r="BG857" t="s">
        <v>695</v>
      </c>
      <c r="BH857" t="s">
        <v>32</v>
      </c>
      <c r="BI857" t="s">
        <v>31</v>
      </c>
      <c r="BJ857">
        <f t="shared" si="418"/>
        <v>0.98</v>
      </c>
      <c r="BK857" s="3">
        <f t="shared" si="411"/>
        <v>-8.7739243075051505E-3</v>
      </c>
      <c r="BL857">
        <v>2</v>
      </c>
      <c r="BM857" s="3">
        <f t="shared" si="432"/>
        <v>1.464787519645937</v>
      </c>
      <c r="BN857" t="s">
        <v>33</v>
      </c>
      <c r="BO857" s="3">
        <f t="shared" si="419"/>
        <v>29.16</v>
      </c>
      <c r="BP857" t="s">
        <v>33</v>
      </c>
      <c r="BQ857" t="s">
        <v>33</v>
      </c>
      <c r="BR857" t="s">
        <v>33</v>
      </c>
      <c r="BS857" t="s">
        <v>33</v>
      </c>
      <c r="BT857" t="s">
        <v>32</v>
      </c>
      <c r="BU857" t="s">
        <v>207</v>
      </c>
      <c r="BV857">
        <v>2014</v>
      </c>
      <c r="BW857" t="s">
        <v>208</v>
      </c>
      <c r="BX857" t="s">
        <v>78</v>
      </c>
      <c r="BY857" s="13" t="s">
        <v>683</v>
      </c>
      <c r="CA857" t="str">
        <f t="shared" si="420"/>
        <v>low acid</v>
      </c>
    </row>
    <row r="858" spans="1:79">
      <c r="A858" t="s">
        <v>587</v>
      </c>
      <c r="B858" t="s">
        <v>565</v>
      </c>
      <c r="C858" t="s">
        <v>563</v>
      </c>
      <c r="D858" t="s">
        <v>118</v>
      </c>
      <c r="E858" t="s">
        <v>77</v>
      </c>
      <c r="F858" t="s">
        <v>32</v>
      </c>
      <c r="G858">
        <v>20</v>
      </c>
      <c r="H858">
        <v>20</v>
      </c>
      <c r="I858" t="b">
        <v>1</v>
      </c>
      <c r="J858" t="s">
        <v>33</v>
      </c>
      <c r="K858" t="s">
        <v>33</v>
      </c>
      <c r="L858">
        <v>30</v>
      </c>
      <c r="M858" s="4">
        <v>100</v>
      </c>
      <c r="N858" t="e">
        <f>(#REF!*Y858)/(T858*X858*O858)</f>
        <v>#REF!</v>
      </c>
      <c r="O858">
        <v>2</v>
      </c>
      <c r="P858" t="s">
        <v>33</v>
      </c>
      <c r="Q858" s="1">
        <f t="shared" si="433"/>
        <v>0.66666666666666663</v>
      </c>
      <c r="R858" t="s">
        <v>183</v>
      </c>
      <c r="S858" t="s">
        <v>613</v>
      </c>
      <c r="T858">
        <v>6</v>
      </c>
      <c r="U858">
        <v>2.92</v>
      </c>
      <c r="V858">
        <v>2.2999999999999998</v>
      </c>
      <c r="W858" t="s">
        <v>33</v>
      </c>
      <c r="X858">
        <f>IFERROR(((PI())*(((V858*10^-1)/2)^2)*(U858*10^-1)), "NA")</f>
        <v>1.2131888350367701E-2</v>
      </c>
      <c r="Y858">
        <v>1.4</v>
      </c>
      <c r="Z858" s="3">
        <f t="shared" si="434"/>
        <v>1.8197832525551551E-2</v>
      </c>
      <c r="AA858" t="s">
        <v>33</v>
      </c>
      <c r="AB858">
        <f t="shared" si="435"/>
        <v>66.666666666666671</v>
      </c>
      <c r="AC858" s="1" t="str">
        <f t="shared" si="425"/>
        <v>NA</v>
      </c>
      <c r="AE858" s="3">
        <f t="shared" si="426"/>
        <v>4464</v>
      </c>
      <c r="AF858">
        <v>800</v>
      </c>
      <c r="AG858" s="1" t="str">
        <f t="shared" si="436"/>
        <v>NA</v>
      </c>
      <c r="AH858" s="1" t="str">
        <f t="shared" si="437"/>
        <v>NA</v>
      </c>
      <c r="AI858" s="1">
        <v>1</v>
      </c>
      <c r="AJ858" s="11" t="s">
        <v>31</v>
      </c>
      <c r="AK858">
        <v>6200</v>
      </c>
      <c r="AL858" t="s">
        <v>561</v>
      </c>
      <c r="AM858" s="3" t="s">
        <v>786</v>
      </c>
      <c r="AN858" t="s">
        <v>186</v>
      </c>
      <c r="AO858" t="s">
        <v>793</v>
      </c>
      <c r="AP858">
        <v>7.6</v>
      </c>
      <c r="AQ858" t="s">
        <v>33</v>
      </c>
      <c r="AR858" t="s">
        <v>33</v>
      </c>
      <c r="AS858">
        <v>8</v>
      </c>
      <c r="AT858">
        <f>AS858-AU858</f>
        <v>5.0199999999999996</v>
      </c>
      <c r="AU858" s="6">
        <v>2.98</v>
      </c>
      <c r="AV858" t="b">
        <v>1</v>
      </c>
      <c r="AW858" t="s">
        <v>626</v>
      </c>
      <c r="AX858" t="s">
        <v>627</v>
      </c>
      <c r="AY858" t="s">
        <v>622</v>
      </c>
      <c r="AZ858" t="s">
        <v>33</v>
      </c>
      <c r="BA858" s="18" t="s">
        <v>800</v>
      </c>
      <c r="BB858" s="3" t="b">
        <v>0</v>
      </c>
      <c r="BC858" t="s">
        <v>81</v>
      </c>
      <c r="BD858">
        <v>13</v>
      </c>
      <c r="BE858" t="s">
        <v>80</v>
      </c>
      <c r="BF858">
        <v>48</v>
      </c>
      <c r="BG858" t="s">
        <v>568</v>
      </c>
      <c r="BH858" t="s">
        <v>31</v>
      </c>
      <c r="BI858" t="s">
        <v>31</v>
      </c>
      <c r="BJ858">
        <f t="shared" si="418"/>
        <v>2.98</v>
      </c>
      <c r="BK858" s="3">
        <f t="shared" si="411"/>
        <v>0.47421626407625522</v>
      </c>
      <c r="BL858">
        <v>2</v>
      </c>
      <c r="BM858" s="3">
        <f t="shared" si="432"/>
        <v>3.1755079218532671</v>
      </c>
      <c r="BN858" t="s">
        <v>33</v>
      </c>
      <c r="BO858" s="3">
        <f t="shared" si="419"/>
        <v>1497.9865771812081</v>
      </c>
      <c r="BP858" t="s">
        <v>33</v>
      </c>
      <c r="BQ858" t="s">
        <v>33</v>
      </c>
      <c r="BR858" t="s">
        <v>33</v>
      </c>
      <c r="BS858" t="s">
        <v>33</v>
      </c>
      <c r="BT858" t="s">
        <v>31</v>
      </c>
      <c r="BU858" t="s">
        <v>344</v>
      </c>
      <c r="BV858">
        <v>2007</v>
      </c>
      <c r="BW858" t="s">
        <v>345</v>
      </c>
      <c r="BX858" t="s">
        <v>78</v>
      </c>
      <c r="BY858" s="13" t="s">
        <v>676</v>
      </c>
      <c r="CA858" t="str">
        <f t="shared" si="420"/>
        <v>low acid</v>
      </c>
    </row>
    <row r="859" spans="1:79">
      <c r="A859" t="s">
        <v>605</v>
      </c>
      <c r="B859" t="s">
        <v>565</v>
      </c>
      <c r="C859" t="s">
        <v>563</v>
      </c>
      <c r="D859" t="s">
        <v>118</v>
      </c>
      <c r="E859" t="s">
        <v>77</v>
      </c>
      <c r="F859" t="s">
        <v>33</v>
      </c>
      <c r="G859" t="s">
        <v>33</v>
      </c>
      <c r="H859" t="s">
        <v>33</v>
      </c>
      <c r="I859" t="b">
        <v>0</v>
      </c>
      <c r="J859" t="s">
        <v>33</v>
      </c>
      <c r="K859" t="s">
        <v>33</v>
      </c>
      <c r="L859">
        <v>17</v>
      </c>
      <c r="M859" s="4">
        <v>500</v>
      </c>
      <c r="N859" t="e">
        <f>(#REF!*Y859)/(T859*X859*O859)</f>
        <v>#REF!</v>
      </c>
      <c r="O859">
        <v>3</v>
      </c>
      <c r="P859" t="s">
        <v>33</v>
      </c>
      <c r="Q859" s="1">
        <f t="shared" si="433"/>
        <v>1.7444444444444443E-2</v>
      </c>
      <c r="R859" t="s">
        <v>183</v>
      </c>
      <c r="S859" t="s">
        <v>613</v>
      </c>
      <c r="T859">
        <v>6</v>
      </c>
      <c r="U859">
        <v>2.9</v>
      </c>
      <c r="V859">
        <v>2.2999999999999998</v>
      </c>
      <c r="W859" t="s">
        <v>33</v>
      </c>
      <c r="X859">
        <f>IFERROR(((PI())*(((V859*10^-1)/2)^2)*(U859*10^-1)), "NA")</f>
        <v>1.204879322468025E-2</v>
      </c>
      <c r="Y859">
        <v>0.83333299999999999</v>
      </c>
      <c r="Z859" s="3">
        <f t="shared" si="434"/>
        <v>0.69069515300714812</v>
      </c>
      <c r="AA859" t="s">
        <v>33</v>
      </c>
      <c r="AB859">
        <f t="shared" si="435"/>
        <v>8.7222222222222232</v>
      </c>
      <c r="AC859" s="1" t="str">
        <f t="shared" si="425"/>
        <v>NA</v>
      </c>
      <c r="AE859" s="3">
        <f t="shared" si="426"/>
        <v>53.086409999999987</v>
      </c>
      <c r="AF859">
        <v>157</v>
      </c>
      <c r="AG859" s="1" t="str">
        <f t="shared" si="436"/>
        <v>NA</v>
      </c>
      <c r="AH859" s="1" t="str">
        <f t="shared" si="437"/>
        <v>NA</v>
      </c>
      <c r="AI859" s="1">
        <v>1</v>
      </c>
      <c r="AJ859" s="11" t="s">
        <v>31</v>
      </c>
      <c r="AK859">
        <f>1.17*10^3</f>
        <v>1170</v>
      </c>
      <c r="AL859" t="s">
        <v>138</v>
      </c>
      <c r="AM859" t="s">
        <v>86</v>
      </c>
      <c r="AN859" t="s">
        <v>205</v>
      </c>
      <c r="AO859" t="s">
        <v>789</v>
      </c>
      <c r="AP859">
        <v>3.85</v>
      </c>
      <c r="AQ859" t="s">
        <v>33</v>
      </c>
      <c r="AR859" t="s">
        <v>33</v>
      </c>
      <c r="AS859">
        <v>7.52</v>
      </c>
      <c r="AT859">
        <v>5.03</v>
      </c>
      <c r="AU859" s="6">
        <f>AS859-AT859</f>
        <v>2.4899999999999993</v>
      </c>
      <c r="AV859" t="b">
        <v>1</v>
      </c>
      <c r="AW859" t="s">
        <v>626</v>
      </c>
      <c r="AX859" t="s">
        <v>627</v>
      </c>
      <c r="AY859">
        <v>95047</v>
      </c>
      <c r="AZ859" t="s">
        <v>33</v>
      </c>
      <c r="BA859" s="18" t="s">
        <v>800</v>
      </c>
      <c r="BB859" s="3" t="b">
        <v>0</v>
      </c>
      <c r="BC859" t="s">
        <v>81</v>
      </c>
      <c r="BD859">
        <f>AVERAGE(24,48)</f>
        <v>36</v>
      </c>
      <c r="BE859" t="s">
        <v>80</v>
      </c>
      <c r="BF859">
        <v>48</v>
      </c>
      <c r="BG859" t="s">
        <v>647</v>
      </c>
      <c r="BH859" t="s">
        <v>31</v>
      </c>
      <c r="BI859" t="s">
        <v>31</v>
      </c>
      <c r="BJ859" s="3">
        <f t="shared" si="418"/>
        <v>2.4899999999999993</v>
      </c>
      <c r="BK859" s="3">
        <f t="shared" si="411"/>
        <v>0.39619934709573623</v>
      </c>
      <c r="BL859">
        <v>2</v>
      </c>
      <c r="BM859" s="3">
        <f t="shared" si="432"/>
        <v>1.3287840098162069</v>
      </c>
      <c r="BN859" t="s">
        <v>33</v>
      </c>
      <c r="BO859" s="3">
        <f t="shared" si="419"/>
        <v>21.319843373493978</v>
      </c>
      <c r="BP859" t="s">
        <v>33</v>
      </c>
      <c r="BQ859" t="s">
        <v>33</v>
      </c>
      <c r="BR859" t="s">
        <v>33</v>
      </c>
      <c r="BS859" t="s">
        <v>33</v>
      </c>
      <c r="BT859" t="s">
        <v>31</v>
      </c>
      <c r="BU859" s="13" t="s">
        <v>135</v>
      </c>
      <c r="BV859" s="14">
        <v>2009</v>
      </c>
      <c r="BW859" s="13" t="s">
        <v>136</v>
      </c>
      <c r="BX859" t="s">
        <v>78</v>
      </c>
      <c r="BY859" s="13" t="s">
        <v>692</v>
      </c>
      <c r="CA859" t="str">
        <f t="shared" si="420"/>
        <v>high acid</v>
      </c>
    </row>
    <row r="860" spans="1:79">
      <c r="A860" t="s">
        <v>588</v>
      </c>
      <c r="B860" t="s">
        <v>565</v>
      </c>
      <c r="C860" t="s">
        <v>563</v>
      </c>
      <c r="D860" t="s">
        <v>608</v>
      </c>
      <c r="E860" t="s">
        <v>77</v>
      </c>
      <c r="F860" t="s">
        <v>32</v>
      </c>
      <c r="G860" t="s">
        <v>33</v>
      </c>
      <c r="H860">
        <v>40</v>
      </c>
      <c r="I860" t="b">
        <v>0</v>
      </c>
      <c r="J860" t="s">
        <v>33</v>
      </c>
      <c r="K860" t="s">
        <v>33</v>
      </c>
      <c r="L860">
        <v>35</v>
      </c>
      <c r="M860" s="4">
        <v>250</v>
      </c>
      <c r="N860" t="e">
        <f>(#REF!*Y860)/(T860*X860*O860)</f>
        <v>#REF!</v>
      </c>
      <c r="O860">
        <v>3.7</v>
      </c>
      <c r="P860" t="s">
        <v>33</v>
      </c>
      <c r="Q860" s="1">
        <f t="shared" si="433"/>
        <v>3.2432432432432427E-2</v>
      </c>
      <c r="R860" t="s">
        <v>183</v>
      </c>
      <c r="S860" t="s">
        <v>613</v>
      </c>
      <c r="T860">
        <v>6</v>
      </c>
      <c r="U860">
        <v>1.9</v>
      </c>
      <c r="V860">
        <v>2.2999999999999998</v>
      </c>
      <c r="W860" t="s">
        <v>33</v>
      </c>
      <c r="X860">
        <f>IFERROR(((PI())*(((V860*10^-1)/2)^2)*(U860*10^-1)), "NA")</f>
        <v>7.8940369403077502E-3</v>
      </c>
      <c r="Y860">
        <v>1</v>
      </c>
      <c r="Z860" s="3">
        <f t="shared" si="434"/>
        <v>0.24339947232615566</v>
      </c>
      <c r="AA860" t="s">
        <v>33</v>
      </c>
      <c r="AB860">
        <f t="shared" si="435"/>
        <v>8.108108108108107</v>
      </c>
      <c r="AC860" s="1" t="str">
        <f t="shared" si="425"/>
        <v>NA</v>
      </c>
      <c r="AE860" s="3">
        <f t="shared" si="426"/>
        <v>1058.3999999999999</v>
      </c>
      <c r="AF860">
        <v>180</v>
      </c>
      <c r="AG860" s="1" t="str">
        <f t="shared" si="436"/>
        <v>NA</v>
      </c>
      <c r="AH860" s="1" t="str">
        <f t="shared" si="437"/>
        <v>NA</v>
      </c>
      <c r="AI860" s="1">
        <v>1</v>
      </c>
      <c r="AJ860" s="11" t="s">
        <v>31</v>
      </c>
      <c r="AK860">
        <v>4800</v>
      </c>
      <c r="AL860" t="s">
        <v>156</v>
      </c>
      <c r="AM860" t="s">
        <v>157</v>
      </c>
      <c r="AN860" t="s">
        <v>186</v>
      </c>
      <c r="AO860" t="s">
        <v>792</v>
      </c>
      <c r="AP860">
        <v>6.53</v>
      </c>
      <c r="AQ860" t="s">
        <v>33</v>
      </c>
      <c r="AR860" t="s">
        <v>33</v>
      </c>
      <c r="AS860">
        <v>6.5</v>
      </c>
      <c r="AT860">
        <v>5.05</v>
      </c>
      <c r="AU860" s="6">
        <f>AS860-AT860</f>
        <v>1.4500000000000002</v>
      </c>
      <c r="AV860" t="b">
        <v>1</v>
      </c>
      <c r="AW860" t="s">
        <v>626</v>
      </c>
      <c r="AX860" t="s">
        <v>627</v>
      </c>
      <c r="AY860" t="s">
        <v>625</v>
      </c>
      <c r="AZ860" t="s">
        <v>33</v>
      </c>
      <c r="BA860" s="18" t="s">
        <v>800</v>
      </c>
      <c r="BB860" s="3" t="b">
        <v>0</v>
      </c>
      <c r="BC860" t="s">
        <v>81</v>
      </c>
      <c r="BD860">
        <v>12</v>
      </c>
      <c r="BE860" t="s">
        <v>80</v>
      </c>
      <c r="BF860">
        <v>48</v>
      </c>
      <c r="BG860" t="s">
        <v>643</v>
      </c>
      <c r="BH860" t="s">
        <v>31</v>
      </c>
      <c r="BI860" t="s">
        <v>31</v>
      </c>
      <c r="BJ860">
        <f t="shared" si="418"/>
        <v>1.4500000000000002</v>
      </c>
      <c r="BK860" s="3">
        <f t="shared" si="411"/>
        <v>0.16136800223497494</v>
      </c>
      <c r="BL860">
        <v>2</v>
      </c>
      <c r="BM860" s="3">
        <f t="shared" si="432"/>
        <v>2.8632818289444697</v>
      </c>
      <c r="BN860" t="s">
        <v>33</v>
      </c>
      <c r="BO860" s="3">
        <f t="shared" si="419"/>
        <v>729.93103448275849</v>
      </c>
      <c r="BP860" t="s">
        <v>33</v>
      </c>
      <c r="BQ860" t="s">
        <v>33</v>
      </c>
      <c r="BR860" t="s">
        <v>33</v>
      </c>
      <c r="BS860" t="s">
        <v>33</v>
      </c>
      <c r="BT860" t="s">
        <v>31</v>
      </c>
      <c r="BU860" s="13" t="s">
        <v>163</v>
      </c>
      <c r="BV860">
        <v>2004</v>
      </c>
      <c r="BW860" t="s">
        <v>654</v>
      </c>
      <c r="BX860" t="s">
        <v>78</v>
      </c>
      <c r="BY860" s="13" t="s">
        <v>677</v>
      </c>
      <c r="CA860" t="str">
        <f t="shared" si="420"/>
        <v>low acid</v>
      </c>
    </row>
    <row r="861" spans="1:79">
      <c r="A861" t="s">
        <v>580</v>
      </c>
      <c r="B861" t="s">
        <v>565</v>
      </c>
      <c r="C861" t="s">
        <v>563</v>
      </c>
      <c r="D861" t="s">
        <v>118</v>
      </c>
      <c r="E861" t="s">
        <v>77</v>
      </c>
      <c r="F861" t="s">
        <v>32</v>
      </c>
      <c r="G861">
        <v>22</v>
      </c>
      <c r="H861">
        <v>40</v>
      </c>
      <c r="I861" t="b">
        <v>0</v>
      </c>
      <c r="J861">
        <v>10220</v>
      </c>
      <c r="K861">
        <v>59.68</v>
      </c>
      <c r="L861">
        <v>35</v>
      </c>
      <c r="M861" s="4">
        <v>100</v>
      </c>
      <c r="N861" t="e">
        <f>(#REF!*Y861)/(T861*X861*O861)</f>
        <v>#REF!</v>
      </c>
      <c r="O861">
        <v>4</v>
      </c>
      <c r="P861">
        <v>7.8499999999999993E-3</v>
      </c>
      <c r="Q861" s="1">
        <f t="shared" si="433"/>
        <v>0.53125</v>
      </c>
      <c r="R861" t="s">
        <v>183</v>
      </c>
      <c r="S861" t="s">
        <v>613</v>
      </c>
      <c r="T861">
        <v>8</v>
      </c>
      <c r="U861">
        <v>2.92</v>
      </c>
      <c r="V861">
        <v>2.2999999999999998</v>
      </c>
      <c r="W861">
        <v>1.21E-2</v>
      </c>
      <c r="X861">
        <v>1.2131888350367701E-2</v>
      </c>
      <c r="Y861">
        <v>1.3333299999999999</v>
      </c>
      <c r="Z861" s="3">
        <f t="shared" si="434"/>
        <v>2.2836495718339202E-2</v>
      </c>
      <c r="AA861" t="s">
        <v>33</v>
      </c>
      <c r="AB861">
        <f t="shared" si="435"/>
        <v>53.125</v>
      </c>
      <c r="AC861" s="1">
        <f t="shared" si="425"/>
        <v>0.78499999999999992</v>
      </c>
      <c r="AE861" s="3">
        <f t="shared" si="426"/>
        <v>10683.224999999999</v>
      </c>
      <c r="AF861">
        <v>1700</v>
      </c>
      <c r="AG861" s="1" t="str">
        <f t="shared" si="436"/>
        <v>NA</v>
      </c>
      <c r="AH861" s="1" t="str">
        <f t="shared" si="437"/>
        <v>NA</v>
      </c>
      <c r="AI861" s="1">
        <v>1</v>
      </c>
      <c r="AJ861" s="11" t="s">
        <v>31</v>
      </c>
      <c r="AK861">
        <v>5130</v>
      </c>
      <c r="AL861" t="s">
        <v>547</v>
      </c>
      <c r="AM861" t="s">
        <v>86</v>
      </c>
      <c r="AN861" t="s">
        <v>205</v>
      </c>
      <c r="AO861" t="s">
        <v>789</v>
      </c>
      <c r="AP861">
        <v>4.4000000000000004</v>
      </c>
      <c r="AQ861" t="s">
        <v>33</v>
      </c>
      <c r="AR861" t="s">
        <v>33</v>
      </c>
      <c r="AS861">
        <v>7.5</v>
      </c>
      <c r="AT861">
        <v>5.05</v>
      </c>
      <c r="AU861" s="6">
        <v>4.43</v>
      </c>
      <c r="AV861" t="b">
        <v>1</v>
      </c>
      <c r="AW861" t="s">
        <v>617</v>
      </c>
      <c r="AX861" t="s">
        <v>33</v>
      </c>
      <c r="AY861" t="s">
        <v>33</v>
      </c>
      <c r="AZ861" t="s">
        <v>619</v>
      </c>
      <c r="BA861" s="18" t="s">
        <v>802</v>
      </c>
      <c r="BB861" s="3" t="b">
        <v>0</v>
      </c>
      <c r="BC861" t="s">
        <v>81</v>
      </c>
      <c r="BD861">
        <v>15</v>
      </c>
      <c r="BE861" t="s">
        <v>80</v>
      </c>
      <c r="BF861">
        <v>24</v>
      </c>
      <c r="BG861" t="s">
        <v>697</v>
      </c>
      <c r="BH861" t="s">
        <v>32</v>
      </c>
      <c r="BI861" t="s">
        <v>31</v>
      </c>
      <c r="BJ861">
        <v>2.4500000000000002</v>
      </c>
      <c r="BK861" s="3">
        <f t="shared" si="411"/>
        <v>0.38916608436453248</v>
      </c>
      <c r="BL861">
        <v>2</v>
      </c>
      <c r="BM861" s="3">
        <f t="shared" si="432"/>
        <v>3.6395362908261091</v>
      </c>
      <c r="BN861" t="s">
        <v>33</v>
      </c>
      <c r="BO861" s="3">
        <f t="shared" si="419"/>
        <v>4360.4999999999991</v>
      </c>
      <c r="BP861" t="s">
        <v>33</v>
      </c>
      <c r="BQ861" t="s">
        <v>33</v>
      </c>
      <c r="BR861" t="s">
        <v>33</v>
      </c>
      <c r="BS861" t="s">
        <v>33</v>
      </c>
      <c r="BT861" t="s">
        <v>31</v>
      </c>
      <c r="BU861" s="13" t="s">
        <v>219</v>
      </c>
      <c r="BV861" s="14">
        <v>2008</v>
      </c>
      <c r="BW861" t="s">
        <v>257</v>
      </c>
      <c r="BX861" t="s">
        <v>78</v>
      </c>
      <c r="BY861" s="13" t="s">
        <v>670</v>
      </c>
      <c r="CA861" t="str">
        <f t="shared" si="420"/>
        <v>high acid</v>
      </c>
    </row>
    <row r="862" spans="1:79">
      <c r="A862" t="s">
        <v>580</v>
      </c>
      <c r="B862" t="s">
        <v>565</v>
      </c>
      <c r="C862" t="s">
        <v>563</v>
      </c>
      <c r="D862" t="s">
        <v>118</v>
      </c>
      <c r="E862" t="s">
        <v>77</v>
      </c>
      <c r="F862" t="s">
        <v>32</v>
      </c>
      <c r="G862">
        <v>22</v>
      </c>
      <c r="H862">
        <v>40</v>
      </c>
      <c r="I862" t="b">
        <v>0</v>
      </c>
      <c r="J862">
        <v>10220</v>
      </c>
      <c r="K862">
        <v>34.78</v>
      </c>
      <c r="L862">
        <v>35</v>
      </c>
      <c r="M862" s="4">
        <v>100</v>
      </c>
      <c r="N862" t="e">
        <f>(#REF!*Y862)/(T862*X862*O862)</f>
        <v>#REF!</v>
      </c>
      <c r="O862">
        <v>4</v>
      </c>
      <c r="P862">
        <f>AVERAGE(0.0066, 0.0091)</f>
        <v>7.8499999999999993E-3</v>
      </c>
      <c r="Q862" s="1">
        <f t="shared" si="433"/>
        <v>0.15625</v>
      </c>
      <c r="R862" t="s">
        <v>183</v>
      </c>
      <c r="S862" t="s">
        <v>613</v>
      </c>
      <c r="T862">
        <v>8</v>
      </c>
      <c r="U862">
        <v>2.92</v>
      </c>
      <c r="V862">
        <v>2.2999999999999998</v>
      </c>
      <c r="W862">
        <v>1.21E-2</v>
      </c>
      <c r="X862">
        <f>IFERROR(((PI())*(((V862*10^-1)/2)^2)*(U862*10^-1)), "NA")</f>
        <v>1.2131888350367701E-2</v>
      </c>
      <c r="Y862">
        <v>1.5</v>
      </c>
      <c r="Z862" s="3">
        <f t="shared" si="434"/>
        <v>7.7644085442353281E-2</v>
      </c>
      <c r="AA862" t="s">
        <v>33</v>
      </c>
      <c r="AB862">
        <f t="shared" si="435"/>
        <v>15.625000000000002</v>
      </c>
      <c r="AC862" s="1">
        <f t="shared" si="425"/>
        <v>0.78499999999999992</v>
      </c>
      <c r="AE862" s="3">
        <f t="shared" si="426"/>
        <v>1831.375</v>
      </c>
      <c r="AF862">
        <v>500</v>
      </c>
      <c r="AG862" s="1" t="str">
        <f t="shared" si="436"/>
        <v>NA</v>
      </c>
      <c r="AH862" s="1" t="str">
        <f t="shared" si="437"/>
        <v>NA</v>
      </c>
      <c r="AI862" s="1">
        <v>1</v>
      </c>
      <c r="AJ862" s="11" t="s">
        <v>31</v>
      </c>
      <c r="AK862">
        <v>2990</v>
      </c>
      <c r="AL862" t="s">
        <v>544</v>
      </c>
      <c r="AM862" t="s">
        <v>86</v>
      </c>
      <c r="AN862" t="s">
        <v>205</v>
      </c>
      <c r="AO862" t="s">
        <v>789</v>
      </c>
      <c r="AP862">
        <v>4.4000000000000004</v>
      </c>
      <c r="AQ862" t="s">
        <v>33</v>
      </c>
      <c r="AR862" t="s">
        <v>33</v>
      </c>
      <c r="AS862">
        <v>7.5</v>
      </c>
      <c r="AT862">
        <f>AS862-AU862</f>
        <v>5.05</v>
      </c>
      <c r="AU862" s="6">
        <v>2.4500000000000002</v>
      </c>
      <c r="AV862" t="b">
        <v>1</v>
      </c>
      <c r="AW862" t="s">
        <v>617</v>
      </c>
      <c r="AX862" t="s">
        <v>33</v>
      </c>
      <c r="AY862" t="s">
        <v>33</v>
      </c>
      <c r="AZ862" t="s">
        <v>619</v>
      </c>
      <c r="BA862" s="18" t="s">
        <v>802</v>
      </c>
      <c r="BB862" s="3" t="b">
        <v>0</v>
      </c>
      <c r="BC862" t="s">
        <v>81</v>
      </c>
      <c r="BD862">
        <v>15</v>
      </c>
      <c r="BE862" t="s">
        <v>80</v>
      </c>
      <c r="BF862">
        <v>24</v>
      </c>
      <c r="BG862" t="s">
        <v>697</v>
      </c>
      <c r="BH862" t="s">
        <v>32</v>
      </c>
      <c r="BI862" t="s">
        <v>31</v>
      </c>
      <c r="BJ862">
        <f t="shared" ref="BJ862:BJ924" si="438">AU862</f>
        <v>2.4500000000000002</v>
      </c>
      <c r="BK862" s="3">
        <f t="shared" si="411"/>
        <v>0.38916608436453248</v>
      </c>
      <c r="BL862">
        <v>2</v>
      </c>
      <c r="BM862" s="3">
        <f t="shared" si="432"/>
        <v>2.8736111969964671</v>
      </c>
      <c r="BN862" t="s">
        <v>33</v>
      </c>
      <c r="BO862" s="3">
        <f t="shared" si="419"/>
        <v>747.5</v>
      </c>
      <c r="BP862" t="s">
        <v>33</v>
      </c>
      <c r="BQ862" t="s">
        <v>33</v>
      </c>
      <c r="BR862" t="s">
        <v>33</v>
      </c>
      <c r="BS862" t="s">
        <v>33</v>
      </c>
      <c r="BT862" t="s">
        <v>31</v>
      </c>
      <c r="BU862" t="s">
        <v>219</v>
      </c>
      <c r="BV862" s="14">
        <v>2008</v>
      </c>
      <c r="BW862" t="s">
        <v>257</v>
      </c>
      <c r="BX862" t="s">
        <v>78</v>
      </c>
      <c r="BY862" s="13" t="s">
        <v>670</v>
      </c>
      <c r="CA862" t="str">
        <f t="shared" si="420"/>
        <v>high acid</v>
      </c>
    </row>
    <row r="863" spans="1:79">
      <c r="A863" t="s">
        <v>722</v>
      </c>
      <c r="B863" t="s">
        <v>566</v>
      </c>
      <c r="C863" t="s">
        <v>563</v>
      </c>
      <c r="D863" t="s">
        <v>699</v>
      </c>
      <c r="E863" t="s">
        <v>77</v>
      </c>
      <c r="F863" t="s">
        <v>32</v>
      </c>
      <c r="G863">
        <v>20</v>
      </c>
      <c r="H863">
        <v>42.5</v>
      </c>
      <c r="I863" t="b">
        <v>1</v>
      </c>
      <c r="J863" t="s">
        <v>33</v>
      </c>
      <c r="K863" t="s">
        <v>33</v>
      </c>
      <c r="L863">
        <v>20</v>
      </c>
      <c r="M863" s="4">
        <v>47</v>
      </c>
      <c r="N863" s="3">
        <f>IFERROR(AF863/((T863*X863/Y863)*O863*AI863),"NA")</f>
        <v>46.759259259259245</v>
      </c>
      <c r="O863">
        <v>5</v>
      </c>
      <c r="P863">
        <v>0.43</v>
      </c>
      <c r="Q863" s="8">
        <f>IFERROR(X863/Y863, "NA")</f>
        <v>0.43200000000000011</v>
      </c>
      <c r="R863" t="s">
        <v>183</v>
      </c>
      <c r="S863" t="s">
        <v>612</v>
      </c>
      <c r="T863" s="11">
        <v>1</v>
      </c>
      <c r="U863">
        <v>4</v>
      </c>
      <c r="V863" t="s">
        <v>33</v>
      </c>
      <c r="W863">
        <f>0.4*3*0.5</f>
        <v>0.60000000000000009</v>
      </c>
      <c r="X863" s="9">
        <f>W863</f>
        <v>0.60000000000000009</v>
      </c>
      <c r="Y863" s="6">
        <f>5000/3600</f>
        <v>1.3888888888888888</v>
      </c>
      <c r="Z863" s="3">
        <f t="shared" si="434"/>
        <v>1.3960396039603959</v>
      </c>
      <c r="AA863" t="s">
        <v>33</v>
      </c>
      <c r="AB863" s="4">
        <f>IFERROR(((X863*M863)/Y863), "NA")</f>
        <v>20.304000000000002</v>
      </c>
      <c r="AC863" s="4">
        <f t="shared" si="425"/>
        <v>20.21</v>
      </c>
      <c r="AD863" s="4">
        <f>AB863*T863*AI863</f>
        <v>20.304000000000002</v>
      </c>
      <c r="AE863" s="3">
        <f t="shared" si="426"/>
        <v>81.216000000000022</v>
      </c>
      <c r="AF863">
        <v>101</v>
      </c>
      <c r="AG863" s="4">
        <f>IFERROR((M863*O863*P863), "NA")</f>
        <v>101.05</v>
      </c>
      <c r="AH863" s="4">
        <f>IFERROR((AG863*T863*AI863), "NA")</f>
        <v>101.05</v>
      </c>
      <c r="AI863">
        <v>1</v>
      </c>
      <c r="AJ863" s="11" t="s">
        <v>31</v>
      </c>
      <c r="AK863">
        <v>2000</v>
      </c>
      <c r="AL863" t="s">
        <v>784</v>
      </c>
      <c r="AM863" t="s">
        <v>103</v>
      </c>
      <c r="AN863" t="s">
        <v>130</v>
      </c>
      <c r="AO863" t="s">
        <v>795</v>
      </c>
      <c r="AP863">
        <v>7</v>
      </c>
      <c r="AQ863" t="s">
        <v>33</v>
      </c>
      <c r="AR863" t="s">
        <v>33</v>
      </c>
      <c r="AS863" s="6">
        <f>LOG(AVERAGE(10^8, 10^9))</f>
        <v>8.7403626894942441</v>
      </c>
      <c r="AT863" s="3">
        <f>IFERROR(AS863-AU863,"NA")</f>
        <v>5.0533626894942447</v>
      </c>
      <c r="AU863" s="6">
        <v>3.6869999999999998</v>
      </c>
      <c r="AV863" t="b">
        <v>1</v>
      </c>
      <c r="AW863" t="s">
        <v>123</v>
      </c>
      <c r="AX863" t="s">
        <v>88</v>
      </c>
      <c r="AY863" t="s">
        <v>726</v>
      </c>
      <c r="AZ863" t="s">
        <v>33</v>
      </c>
      <c r="BA863" s="18" t="s">
        <v>579</v>
      </c>
      <c r="BB863" s="3" t="b">
        <v>1</v>
      </c>
      <c r="BC863" t="s">
        <v>81</v>
      </c>
      <c r="BD863">
        <v>24</v>
      </c>
      <c r="BE863" t="s">
        <v>80</v>
      </c>
      <c r="BF863">
        <v>48</v>
      </c>
      <c r="BG863" t="s">
        <v>395</v>
      </c>
      <c r="BH863" t="s">
        <v>31</v>
      </c>
      <c r="BI863" t="s">
        <v>31</v>
      </c>
      <c r="BJ863" s="3">
        <f t="shared" si="438"/>
        <v>3.6869999999999998</v>
      </c>
      <c r="BK863" s="3">
        <f t="shared" si="411"/>
        <v>0.56667313760611648</v>
      </c>
      <c r="BL863">
        <v>2</v>
      </c>
      <c r="BM863" s="3">
        <f t="shared" si="432"/>
        <v>1.3429684584724755</v>
      </c>
      <c r="BN863" t="s">
        <v>33</v>
      </c>
      <c r="BO863" s="3">
        <f t="shared" si="419"/>
        <v>22.027664768104156</v>
      </c>
      <c r="BP863" t="s">
        <v>33</v>
      </c>
      <c r="BQ863" t="s">
        <v>33</v>
      </c>
      <c r="BR863" t="s">
        <v>33</v>
      </c>
      <c r="BS863" t="s">
        <v>33</v>
      </c>
      <c r="BT863" t="s">
        <v>32</v>
      </c>
      <c r="BU863" t="s">
        <v>709</v>
      </c>
      <c r="BV863">
        <v>2024</v>
      </c>
      <c r="BW863" t="s">
        <v>710</v>
      </c>
      <c r="BX863" t="s">
        <v>78</v>
      </c>
      <c r="BY863" t="s">
        <v>711</v>
      </c>
      <c r="CA863" t="str">
        <f t="shared" si="420"/>
        <v>low acid</v>
      </c>
    </row>
    <row r="864" spans="1:79">
      <c r="A864" t="s">
        <v>220</v>
      </c>
      <c r="B864" t="s">
        <v>565</v>
      </c>
      <c r="C864" t="s">
        <v>563</v>
      </c>
      <c r="D864" t="s">
        <v>118</v>
      </c>
      <c r="E864" t="s">
        <v>77</v>
      </c>
      <c r="F864" t="s">
        <v>32</v>
      </c>
      <c r="G864">
        <v>5</v>
      </c>
      <c r="H864">
        <v>39.1</v>
      </c>
      <c r="I864" t="b">
        <v>0</v>
      </c>
      <c r="J864" t="s">
        <v>33</v>
      </c>
      <c r="K864" t="s">
        <v>33</v>
      </c>
      <c r="L864">
        <v>35</v>
      </c>
      <c r="M864" s="4">
        <v>175</v>
      </c>
      <c r="N864" s="3">
        <f>IFERROR(AF864/((T864*X864/Y864)*O864*AI864),"NA")</f>
        <v>2146.5468453538301</v>
      </c>
      <c r="O864">
        <v>4</v>
      </c>
      <c r="P864" t="s">
        <v>33</v>
      </c>
      <c r="Q864" s="8">
        <f t="shared" ref="Q864:Q881" si="439">IFERROR(X864/Z864, "NA")</f>
        <v>8.9285714285714288E-2</v>
      </c>
      <c r="R864" t="s">
        <v>183</v>
      </c>
      <c r="S864" t="s">
        <v>613</v>
      </c>
      <c r="T864" s="11">
        <v>8</v>
      </c>
      <c r="U864">
        <v>2.92</v>
      </c>
      <c r="V864">
        <v>2.2999999999999998</v>
      </c>
      <c r="W864">
        <v>1.21E-2</v>
      </c>
      <c r="X864" s="8">
        <f t="shared" ref="X864:X869" si="440">IFERROR(((PI())*(((V864*10^-1)/2)^2)*(U864*10^-1)), "NA")</f>
        <v>1.2131888350367701E-2</v>
      </c>
      <c r="Y864" s="6">
        <f>100/60</f>
        <v>1.6666666666666667</v>
      </c>
      <c r="Z864" s="3">
        <f t="shared" si="434"/>
        <v>0.13587714952411825</v>
      </c>
      <c r="AA864" t="s">
        <v>33</v>
      </c>
      <c r="AB864" s="6">
        <f t="shared" ref="AB864:AB873" si="441">IFERROR(((X864*M864)/Z864), "NA")</f>
        <v>15.624999999999998</v>
      </c>
      <c r="AC864" t="str">
        <f t="shared" si="425"/>
        <v>NA</v>
      </c>
      <c r="AD864" s="4">
        <f>AB864*T864*AI864</f>
        <v>124.99999999999999</v>
      </c>
      <c r="AE864" s="3">
        <f t="shared" si="426"/>
        <v>3203.3749999999995</v>
      </c>
      <c r="AF864">
        <v>500</v>
      </c>
      <c r="AG864" t="str">
        <f>IFERROR((M864*O864*P864), "NA")</f>
        <v>NA</v>
      </c>
      <c r="AH864" t="str">
        <f>IFERROR((AG864*T864*AI864), "NA")</f>
        <v>NA</v>
      </c>
      <c r="AI864">
        <v>1</v>
      </c>
      <c r="AJ864" t="s">
        <v>31</v>
      </c>
      <c r="AK864">
        <v>5230</v>
      </c>
      <c r="AL864" t="s">
        <v>542</v>
      </c>
      <c r="AM864" t="s">
        <v>86</v>
      </c>
      <c r="AN864" t="s">
        <v>186</v>
      </c>
      <c r="AO864" t="s">
        <v>794</v>
      </c>
      <c r="AP864">
        <v>5.82</v>
      </c>
      <c r="AQ864" t="s">
        <v>33</v>
      </c>
      <c r="AR864" t="s">
        <v>33</v>
      </c>
      <c r="AS864" s="6">
        <f>LOG((10^7+10^8)/2)</f>
        <v>7.7403626894942441</v>
      </c>
      <c r="AT864" s="3">
        <f>IFERROR(AS864-AU864,"NA")</f>
        <v>5.0593626894942441</v>
      </c>
      <c r="AU864" s="6">
        <v>2.681</v>
      </c>
      <c r="AV864" t="b">
        <v>1</v>
      </c>
      <c r="AW864" t="s">
        <v>29</v>
      </c>
      <c r="AX864" t="s">
        <v>30</v>
      </c>
      <c r="AY864" s="10">
        <v>1107</v>
      </c>
      <c r="AZ864" t="s">
        <v>33</v>
      </c>
      <c r="BA864" s="18" t="s">
        <v>798</v>
      </c>
      <c r="BB864" t="b">
        <v>0</v>
      </c>
      <c r="BC864" t="s">
        <v>81</v>
      </c>
      <c r="BD864">
        <f>(16+14)/2</f>
        <v>15</v>
      </c>
      <c r="BE864" t="s">
        <v>80</v>
      </c>
      <c r="BF864" t="s">
        <v>33</v>
      </c>
      <c r="BG864" t="s">
        <v>222</v>
      </c>
      <c r="BH864" t="s">
        <v>31</v>
      </c>
      <c r="BI864" t="s">
        <v>31</v>
      </c>
      <c r="BJ864" s="3">
        <f t="shared" si="438"/>
        <v>2.681</v>
      </c>
      <c r="BK864" s="3">
        <f t="shared" si="411"/>
        <v>0.42829681398287955</v>
      </c>
      <c r="BL864">
        <v>2</v>
      </c>
      <c r="BM864" s="3">
        <f t="shared" si="432"/>
        <v>3.0773109679209645</v>
      </c>
      <c r="BN864" t="s">
        <v>33</v>
      </c>
      <c r="BO864" s="3">
        <f t="shared" si="419"/>
        <v>1194.8433420365534</v>
      </c>
      <c r="BP864" t="s">
        <v>33</v>
      </c>
      <c r="BQ864" t="s">
        <v>33</v>
      </c>
      <c r="BR864" t="s">
        <v>33</v>
      </c>
      <c r="BS864" t="s">
        <v>33</v>
      </c>
      <c r="BT864" t="s">
        <v>31</v>
      </c>
      <c r="BU864" t="s">
        <v>219</v>
      </c>
      <c r="BV864">
        <v>2007</v>
      </c>
      <c r="BW864" t="s">
        <v>218</v>
      </c>
      <c r="BX864" t="s">
        <v>78</v>
      </c>
      <c r="BY864" t="s">
        <v>33</v>
      </c>
      <c r="BZ864" t="s">
        <v>33</v>
      </c>
      <c r="CA864" t="str">
        <f t="shared" si="420"/>
        <v>low acid</v>
      </c>
    </row>
    <row r="865" spans="1:79">
      <c r="A865" t="s">
        <v>367</v>
      </c>
      <c r="B865" t="s">
        <v>565</v>
      </c>
      <c r="C865" t="s">
        <v>563</v>
      </c>
      <c r="D865" t="s">
        <v>118</v>
      </c>
      <c r="E865" t="s">
        <v>77</v>
      </c>
      <c r="F865" t="s">
        <v>32</v>
      </c>
      <c r="G865">
        <v>20</v>
      </c>
      <c r="H865">
        <v>30</v>
      </c>
      <c r="I865" t="b">
        <v>0</v>
      </c>
      <c r="J865" t="s">
        <v>33</v>
      </c>
      <c r="K865" t="s">
        <v>33</v>
      </c>
      <c r="L865">
        <v>20</v>
      </c>
      <c r="M865" s="4" t="s">
        <v>33</v>
      </c>
      <c r="N865" s="3">
        <f>IFERROR(AF865/((T865*X865/Y865)*O865*AI865),"NA")</f>
        <v>160.73532266282723</v>
      </c>
      <c r="O865">
        <v>2</v>
      </c>
      <c r="P865" t="s">
        <v>33</v>
      </c>
      <c r="Q865" s="8">
        <f t="shared" si="439"/>
        <v>8.6062808747716102E-3</v>
      </c>
      <c r="R865" t="s">
        <v>183</v>
      </c>
      <c r="S865" t="s">
        <v>613</v>
      </c>
      <c r="T865" s="11">
        <v>6</v>
      </c>
      <c r="U865">
        <v>2.9</v>
      </c>
      <c r="V865">
        <v>2.2999999999999998</v>
      </c>
      <c r="W865" t="s">
        <v>33</v>
      </c>
      <c r="X865" s="8">
        <f t="shared" si="440"/>
        <v>1.204879322468025E-2</v>
      </c>
      <c r="Y865">
        <f>84/60</f>
        <v>1.4</v>
      </c>
      <c r="Z865" s="3">
        <f>IFERROR(X865*N865*O865*T865*AI865/AF865, "NA")</f>
        <v>1.3999999999999997</v>
      </c>
      <c r="AA865">
        <f>8.3/6</f>
        <v>1.3833333333333335</v>
      </c>
      <c r="AB865" s="6" t="str">
        <f t="shared" si="441"/>
        <v>NA</v>
      </c>
      <c r="AC865" t="str">
        <f t="shared" si="425"/>
        <v>NA</v>
      </c>
      <c r="AD865" s="4" t="str">
        <f>IFERROR(AB865*T865*AI865, "NA")</f>
        <v>NA</v>
      </c>
      <c r="AE865" s="3">
        <f>IFERROR(((L865^2)*N865*O865*AK865*10^-6*Q865*T865*AI865), "NA")</f>
        <v>12.284000000000002</v>
      </c>
      <c r="AF865" s="3">
        <f>AA865*O865*T865</f>
        <v>16.600000000000001</v>
      </c>
      <c r="AG865" t="str">
        <f>IFERROR((M865*O865*P865), "NA")</f>
        <v>NA</v>
      </c>
      <c r="AH865" t="str">
        <f>IFERROR((AG865*T865*AI865), "NA")</f>
        <v>NA</v>
      </c>
      <c r="AI865" s="11">
        <v>1</v>
      </c>
      <c r="AJ865" t="s">
        <v>31</v>
      </c>
      <c r="AK865">
        <v>1850</v>
      </c>
      <c r="AL865" t="s">
        <v>149</v>
      </c>
      <c r="AM865" t="s">
        <v>86</v>
      </c>
      <c r="AN865" t="s">
        <v>205</v>
      </c>
      <c r="AO865" t="s">
        <v>789</v>
      </c>
      <c r="AP865" t="s">
        <v>33</v>
      </c>
      <c r="AQ865" t="s">
        <v>33</v>
      </c>
      <c r="AR865" t="s">
        <v>33</v>
      </c>
      <c r="AS865" s="6">
        <f>LOG(4*10^6)</f>
        <v>6.6020599913279625</v>
      </c>
      <c r="AT865" s="3">
        <f>IFERROR(AS865-AU865,"NA")</f>
        <v>5.0700599913279625</v>
      </c>
      <c r="AU865" s="6">
        <v>1.532</v>
      </c>
      <c r="AV865" t="b">
        <v>1</v>
      </c>
      <c r="AW865" t="s">
        <v>172</v>
      </c>
      <c r="AX865" t="s">
        <v>173</v>
      </c>
      <c r="AY865" t="s">
        <v>363</v>
      </c>
      <c r="AZ865" t="s">
        <v>33</v>
      </c>
      <c r="BA865" s="18" t="s">
        <v>799</v>
      </c>
      <c r="BB865" t="b">
        <v>0</v>
      </c>
      <c r="BC865" t="s">
        <v>81</v>
      </c>
      <c r="BD865">
        <v>48</v>
      </c>
      <c r="BE865" t="s">
        <v>80</v>
      </c>
      <c r="BF865" s="11">
        <v>120</v>
      </c>
      <c r="BG865" t="s">
        <v>364</v>
      </c>
      <c r="BH865" t="s">
        <v>31</v>
      </c>
      <c r="BI865" t="s">
        <v>31</v>
      </c>
      <c r="BJ865" s="3">
        <f t="shared" si="438"/>
        <v>1.532</v>
      </c>
      <c r="BK865" s="3">
        <f t="shared" si="411"/>
        <v>0.18525876529658514</v>
      </c>
      <c r="BL865">
        <v>2</v>
      </c>
      <c r="BM865" s="3">
        <f t="shared" si="432"/>
        <v>0.90408104247444621</v>
      </c>
      <c r="BN865" t="s">
        <v>33</v>
      </c>
      <c r="BO865" s="3">
        <f t="shared" si="419"/>
        <v>8.0182767624020901</v>
      </c>
      <c r="BP865" t="s">
        <v>33</v>
      </c>
      <c r="BQ865" t="s">
        <v>33</v>
      </c>
      <c r="BR865" t="s">
        <v>33</v>
      </c>
      <c r="BS865" t="s">
        <v>33</v>
      </c>
      <c r="BT865" t="s">
        <v>32</v>
      </c>
      <c r="BU865" t="s">
        <v>365</v>
      </c>
      <c r="BV865">
        <v>2002</v>
      </c>
      <c r="BW865" t="s">
        <v>366</v>
      </c>
      <c r="BX865" t="s">
        <v>78</v>
      </c>
      <c r="BY865" t="s">
        <v>33</v>
      </c>
      <c r="BZ865" t="s">
        <v>33</v>
      </c>
      <c r="CA865" t="str">
        <f t="shared" si="420"/>
        <v>high acid</v>
      </c>
    </row>
    <row r="866" spans="1:79">
      <c r="A866" t="s">
        <v>533</v>
      </c>
      <c r="B866" t="s">
        <v>565</v>
      </c>
      <c r="C866" t="s">
        <v>564</v>
      </c>
      <c r="D866" t="s">
        <v>209</v>
      </c>
      <c r="E866" t="s">
        <v>77</v>
      </c>
      <c r="F866" t="s">
        <v>32</v>
      </c>
      <c r="G866">
        <v>30</v>
      </c>
      <c r="H866">
        <v>38.200000000000003</v>
      </c>
      <c r="I866" t="b">
        <v>0</v>
      </c>
      <c r="J866" t="s">
        <v>33</v>
      </c>
      <c r="K866" t="s">
        <v>33</v>
      </c>
      <c r="L866">
        <v>18</v>
      </c>
      <c r="M866" s="4">
        <v>120</v>
      </c>
      <c r="N866" s="3">
        <f>IFERROR(AF866/((T866*X866/Y866)*O866*AI866),"NA")</f>
        <v>79.525152366758988</v>
      </c>
      <c r="O866">
        <v>3</v>
      </c>
      <c r="P866" t="s">
        <v>33</v>
      </c>
      <c r="Q866" s="8">
        <f t="shared" si="439"/>
        <v>8.3333333333333329E-2</v>
      </c>
      <c r="R866" t="s">
        <v>183</v>
      </c>
      <c r="S866" t="s">
        <v>612</v>
      </c>
      <c r="T866" s="11">
        <v>4</v>
      </c>
      <c r="U866">
        <v>3</v>
      </c>
      <c r="V866">
        <v>2.6</v>
      </c>
      <c r="W866" t="s">
        <v>33</v>
      </c>
      <c r="X866" s="8">
        <f t="shared" si="440"/>
        <v>1.5927874753700257E-2</v>
      </c>
      <c r="Y866" s="6">
        <f>7.6/60</f>
        <v>0.12666666666666665</v>
      </c>
      <c r="Z866" s="3">
        <f t="shared" ref="Z866:Z873" si="442">IFERROR(X866*M866*O866*T866*AI866/AF866, "NA")</f>
        <v>0.19113449704440308</v>
      </c>
      <c r="AA866" t="s">
        <v>33</v>
      </c>
      <c r="AB866" s="6">
        <f t="shared" si="441"/>
        <v>10</v>
      </c>
      <c r="AC866" t="str">
        <f t="shared" si="425"/>
        <v>NA</v>
      </c>
      <c r="AD866" s="4">
        <f>IFERROR(AB866*T866*AI866, "NA")</f>
        <v>40</v>
      </c>
      <c r="AE866" s="3">
        <f t="shared" ref="AE866:AE873" si="443">IFERROR(((L866^2)*M866*O866*AK866*10^-6*Q866*T866*AI866), "NA")</f>
        <v>38.102399999999996</v>
      </c>
      <c r="AF866">
        <v>120</v>
      </c>
      <c r="AG866" t="str">
        <f>IFERROR((M866*O866*P866), "NA")</f>
        <v>NA</v>
      </c>
      <c r="AH866" t="str">
        <f>IFERROR((AG866*T866*AI866), "NA")</f>
        <v>NA</v>
      </c>
      <c r="AI866" s="11">
        <v>1</v>
      </c>
      <c r="AJ866" t="s">
        <v>31</v>
      </c>
      <c r="AK866">
        <v>980</v>
      </c>
      <c r="AL866" t="s">
        <v>551</v>
      </c>
      <c r="AM866" t="s">
        <v>86</v>
      </c>
      <c r="AN866" t="s">
        <v>186</v>
      </c>
      <c r="AO866" t="s">
        <v>794</v>
      </c>
      <c r="AP866">
        <v>5.98</v>
      </c>
      <c r="AQ866" t="s">
        <v>33</v>
      </c>
      <c r="AR866" t="s">
        <v>33</v>
      </c>
      <c r="AS866" s="6">
        <v>6.4</v>
      </c>
      <c r="AT866" s="3">
        <f>IFERROR(AS866-AU866,"NA")</f>
        <v>5.0710000000000006</v>
      </c>
      <c r="AU866" s="6">
        <v>1.329</v>
      </c>
      <c r="AV866" t="b">
        <v>1</v>
      </c>
      <c r="AW866" t="s">
        <v>29</v>
      </c>
      <c r="AX866" t="s">
        <v>30</v>
      </c>
      <c r="AY866" t="s">
        <v>211</v>
      </c>
      <c r="AZ866" t="s">
        <v>33</v>
      </c>
      <c r="BA866" s="18" t="s">
        <v>798</v>
      </c>
      <c r="BB866" t="b">
        <v>0</v>
      </c>
      <c r="BC866" t="s">
        <v>81</v>
      </c>
      <c r="BD866">
        <v>20</v>
      </c>
      <c r="BE866" t="s">
        <v>80</v>
      </c>
      <c r="BF866" s="11">
        <v>20</v>
      </c>
      <c r="BG866" t="s">
        <v>570</v>
      </c>
      <c r="BH866" t="s">
        <v>31</v>
      </c>
      <c r="BI866" t="s">
        <v>31</v>
      </c>
      <c r="BJ866" s="3">
        <f t="shared" si="438"/>
        <v>1.329</v>
      </c>
      <c r="BK866" s="3">
        <f t="shared" si="411"/>
        <v>0.12352498094273198</v>
      </c>
      <c r="BL866">
        <v>2</v>
      </c>
      <c r="BM866" s="3">
        <f t="shared" si="432"/>
        <v>1.4574273510039999</v>
      </c>
      <c r="BN866" t="s">
        <v>33</v>
      </c>
      <c r="BO866" s="3">
        <f t="shared" si="419"/>
        <v>28.669977426636567</v>
      </c>
      <c r="BP866" t="s">
        <v>33</v>
      </c>
      <c r="BQ866" t="s">
        <v>33</v>
      </c>
      <c r="BR866" t="s">
        <v>33</v>
      </c>
      <c r="BS866" t="s">
        <v>33</v>
      </c>
      <c r="BT866" t="s">
        <v>32</v>
      </c>
      <c r="BU866" t="s">
        <v>207</v>
      </c>
      <c r="BV866">
        <v>2014</v>
      </c>
      <c r="BW866" t="s">
        <v>208</v>
      </c>
      <c r="BX866" t="s">
        <v>78</v>
      </c>
      <c r="BY866" t="s">
        <v>33</v>
      </c>
      <c r="BZ866" t="s">
        <v>33</v>
      </c>
      <c r="CA866" t="str">
        <f t="shared" si="420"/>
        <v>low acid</v>
      </c>
    </row>
    <row r="867" spans="1:79">
      <c r="A867" t="s">
        <v>202</v>
      </c>
      <c r="B867" t="s">
        <v>565</v>
      </c>
      <c r="C867" t="s">
        <v>563</v>
      </c>
      <c r="D867" t="s">
        <v>118</v>
      </c>
      <c r="E867" t="s">
        <v>77</v>
      </c>
      <c r="F867" t="s">
        <v>32</v>
      </c>
      <c r="G867">
        <v>23</v>
      </c>
      <c r="H867">
        <v>56</v>
      </c>
      <c r="I867" t="b">
        <v>0</v>
      </c>
      <c r="J867" t="s">
        <v>33</v>
      </c>
      <c r="K867" t="s">
        <v>33</v>
      </c>
      <c r="L867">
        <v>25</v>
      </c>
      <c r="M867" s="4">
        <v>667</v>
      </c>
      <c r="N867" s="3">
        <f>IFERROR(AF867/((T867*X867/Y867)*O867*AI867),"NA")</f>
        <v>995.95036417586562</v>
      </c>
      <c r="O867">
        <v>3</v>
      </c>
      <c r="P867" t="s">
        <v>33</v>
      </c>
      <c r="Q867" s="8">
        <f t="shared" si="439"/>
        <v>1.1994002998500751E-2</v>
      </c>
      <c r="R867" t="s">
        <v>183</v>
      </c>
      <c r="S867" t="s">
        <v>613</v>
      </c>
      <c r="T867" s="11">
        <v>4</v>
      </c>
      <c r="U867">
        <v>2.9</v>
      </c>
      <c r="V867">
        <v>2.2999999999999998</v>
      </c>
      <c r="W867" t="s">
        <v>33</v>
      </c>
      <c r="X867" s="8">
        <f t="shared" si="440"/>
        <v>1.204879322468025E-2</v>
      </c>
      <c r="Y867">
        <v>1.5</v>
      </c>
      <c r="Z867" s="3">
        <f t="shared" si="442"/>
        <v>1.0045681351077158</v>
      </c>
      <c r="AA867" t="s">
        <v>33</v>
      </c>
      <c r="AB867" s="6">
        <f t="shared" si="441"/>
        <v>8</v>
      </c>
      <c r="AC867" t="str">
        <f t="shared" si="425"/>
        <v>NA</v>
      </c>
      <c r="AD867" s="4">
        <f>AB867*T867*AI867</f>
        <v>32</v>
      </c>
      <c r="AE867" s="3">
        <f t="shared" si="443"/>
        <v>276.00000000000006</v>
      </c>
      <c r="AF867">
        <v>96</v>
      </c>
      <c r="AG867" t="str">
        <f>IFERROR((M867*O867*P867), "NA")</f>
        <v>NA</v>
      </c>
      <c r="AH867" t="str">
        <f>IFERROR((AG867*T867*AI867), "NA")</f>
        <v>NA</v>
      </c>
      <c r="AI867">
        <v>1</v>
      </c>
      <c r="AJ867" t="s">
        <v>31</v>
      </c>
      <c r="AK867">
        <v>4600</v>
      </c>
      <c r="AL867" t="s">
        <v>204</v>
      </c>
      <c r="AM867" t="s">
        <v>785</v>
      </c>
      <c r="AN867" t="s">
        <v>205</v>
      </c>
      <c r="AO867" t="s">
        <v>791</v>
      </c>
      <c r="AP867">
        <v>4.2</v>
      </c>
      <c r="AQ867" t="s">
        <v>33</v>
      </c>
      <c r="AR867" t="s">
        <v>33</v>
      </c>
      <c r="AS867">
        <v>8.3239999999999998</v>
      </c>
      <c r="AT867" s="3">
        <f>IFERROR(AS867-AU867,"NA")</f>
        <v>5.0730000000000004</v>
      </c>
      <c r="AU867" s="6">
        <v>3.2509999999999999</v>
      </c>
      <c r="AV867" t="b">
        <v>1</v>
      </c>
      <c r="AW867" t="s">
        <v>92</v>
      </c>
      <c r="AX867" t="s">
        <v>93</v>
      </c>
      <c r="AY867" t="s">
        <v>101</v>
      </c>
      <c r="AZ867" t="s">
        <v>33</v>
      </c>
      <c r="BA867" s="18" t="s">
        <v>801</v>
      </c>
      <c r="BB867" t="b">
        <v>0</v>
      </c>
      <c r="BC867" t="s">
        <v>81</v>
      </c>
      <c r="BD867">
        <v>18</v>
      </c>
      <c r="BE867" t="s">
        <v>80</v>
      </c>
      <c r="BF867" t="s">
        <v>33</v>
      </c>
      <c r="BG867" t="s">
        <v>568</v>
      </c>
      <c r="BH867" t="s">
        <v>31</v>
      </c>
      <c r="BI867" t="s">
        <v>31</v>
      </c>
      <c r="BJ867" s="3">
        <f t="shared" si="438"/>
        <v>3.2509999999999999</v>
      </c>
      <c r="BK867" s="3">
        <f t="shared" si="411"/>
        <v>0.51201696949612663</v>
      </c>
      <c r="BL867">
        <v>2</v>
      </c>
      <c r="BM867" s="3">
        <f t="shared" si="432"/>
        <v>1.9288921125690912</v>
      </c>
      <c r="BN867" t="s">
        <v>33</v>
      </c>
      <c r="BO867" s="3">
        <f t="shared" si="419"/>
        <v>84.89695478314367</v>
      </c>
      <c r="BP867" t="s">
        <v>33</v>
      </c>
      <c r="BQ867" t="s">
        <v>33</v>
      </c>
      <c r="BR867" t="s">
        <v>33</v>
      </c>
      <c r="BS867" t="s">
        <v>33</v>
      </c>
      <c r="BT867" t="s">
        <v>31</v>
      </c>
      <c r="BU867" t="s">
        <v>187</v>
      </c>
      <c r="BV867">
        <v>2003</v>
      </c>
      <c r="BW867" t="s">
        <v>192</v>
      </c>
      <c r="BX867" t="s">
        <v>78</v>
      </c>
      <c r="BY867" t="s">
        <v>33</v>
      </c>
      <c r="BZ867" t="s">
        <v>33</v>
      </c>
      <c r="CA867" t="str">
        <f t="shared" si="420"/>
        <v>high acid</v>
      </c>
    </row>
    <row r="868" spans="1:79">
      <c r="A868" t="s">
        <v>580</v>
      </c>
      <c r="B868" t="s">
        <v>565</v>
      </c>
      <c r="C868" t="s">
        <v>563</v>
      </c>
      <c r="D868" t="s">
        <v>118</v>
      </c>
      <c r="E868" t="s">
        <v>77</v>
      </c>
      <c r="F868" t="s">
        <v>32</v>
      </c>
      <c r="G868">
        <v>22</v>
      </c>
      <c r="H868">
        <v>40</v>
      </c>
      <c r="I868" t="b">
        <v>0</v>
      </c>
      <c r="J868">
        <v>10220</v>
      </c>
      <c r="K868">
        <v>25.36</v>
      </c>
      <c r="L868">
        <v>35</v>
      </c>
      <c r="M868" s="4">
        <v>175</v>
      </c>
      <c r="N868" t="e">
        <f>(#REF!*Y868)/(T868*X868*O868)</f>
        <v>#REF!</v>
      </c>
      <c r="O868">
        <v>4</v>
      </c>
      <c r="P868">
        <f>AVERAGE(0.0066, 0.0091)</f>
        <v>7.8499999999999993E-3</v>
      </c>
      <c r="Q868" s="1">
        <f t="shared" si="439"/>
        <v>8.9285714285714288E-2</v>
      </c>
      <c r="R868" t="s">
        <v>183</v>
      </c>
      <c r="S868" t="s">
        <v>613</v>
      </c>
      <c r="T868">
        <v>8</v>
      </c>
      <c r="U868">
        <v>2.92</v>
      </c>
      <c r="V868">
        <v>2.2999999999999998</v>
      </c>
      <c r="W868">
        <v>1.21E-2</v>
      </c>
      <c r="X868">
        <f t="shared" si="440"/>
        <v>1.2131888350367701E-2</v>
      </c>
      <c r="Y868">
        <v>1.5</v>
      </c>
      <c r="Z868" s="3">
        <f t="shared" si="442"/>
        <v>0.13587714952411825</v>
      </c>
      <c r="AA868" t="s">
        <v>33</v>
      </c>
      <c r="AB868">
        <f t="shared" si="441"/>
        <v>15.624999999999998</v>
      </c>
      <c r="AC868" s="1">
        <f t="shared" si="425"/>
        <v>1.3737499999999998</v>
      </c>
      <c r="AE868" s="3">
        <f t="shared" si="443"/>
        <v>1335.25</v>
      </c>
      <c r="AF868">
        <v>500</v>
      </c>
      <c r="AG868" s="1" t="str">
        <f>IFERROR((N868*P868*Q868), "NA")</f>
        <v>NA</v>
      </c>
      <c r="AH868" s="1" t="str">
        <f>IFERROR((AG868*U868*AI868), "NA")</f>
        <v>NA</v>
      </c>
      <c r="AI868" s="1">
        <v>1</v>
      </c>
      <c r="AJ868" s="11" t="s">
        <v>31</v>
      </c>
      <c r="AK868">
        <v>2180</v>
      </c>
      <c r="AL868" t="s">
        <v>149</v>
      </c>
      <c r="AM868" t="s">
        <v>86</v>
      </c>
      <c r="AN868" t="s">
        <v>205</v>
      </c>
      <c r="AO868" t="s">
        <v>789</v>
      </c>
      <c r="AP868">
        <v>4.46</v>
      </c>
      <c r="AQ868" t="s">
        <v>33</v>
      </c>
      <c r="AR868" t="s">
        <v>33</v>
      </c>
      <c r="AS868">
        <v>7.5</v>
      </c>
      <c r="AT868">
        <f>AS868-AU868</f>
        <v>5.08</v>
      </c>
      <c r="AU868" s="6">
        <v>2.42</v>
      </c>
      <c r="AV868" t="b">
        <v>1</v>
      </c>
      <c r="AW868" t="s">
        <v>617</v>
      </c>
      <c r="AX868" t="s">
        <v>33</v>
      </c>
      <c r="AY868" t="s">
        <v>33</v>
      </c>
      <c r="AZ868" t="s">
        <v>619</v>
      </c>
      <c r="BA868" s="18" t="s">
        <v>802</v>
      </c>
      <c r="BB868" s="3" t="b">
        <v>0</v>
      </c>
      <c r="BC868" t="s">
        <v>81</v>
      </c>
      <c r="BD868">
        <v>15</v>
      </c>
      <c r="BE868" t="s">
        <v>80</v>
      </c>
      <c r="BF868">
        <v>24</v>
      </c>
      <c r="BG868" t="s">
        <v>697</v>
      </c>
      <c r="BH868" t="s">
        <v>32</v>
      </c>
      <c r="BI868" t="s">
        <v>31</v>
      </c>
      <c r="BJ868">
        <f t="shared" si="438"/>
        <v>2.42</v>
      </c>
      <c r="BK868" s="3">
        <f t="shared" si="411"/>
        <v>0.38381536598043126</v>
      </c>
      <c r="BL868">
        <v>2</v>
      </c>
      <c r="BM868" s="3">
        <f t="shared" si="432"/>
        <v>2.7417472206607436</v>
      </c>
      <c r="BN868" t="s">
        <v>33</v>
      </c>
      <c r="BO868" s="3">
        <f t="shared" si="419"/>
        <v>551.75619834710744</v>
      </c>
      <c r="BP868" t="s">
        <v>33</v>
      </c>
      <c r="BQ868" t="s">
        <v>33</v>
      </c>
      <c r="BR868" t="s">
        <v>33</v>
      </c>
      <c r="BS868" t="s">
        <v>33</v>
      </c>
      <c r="BT868" t="s">
        <v>31</v>
      </c>
      <c r="BU868" t="s">
        <v>219</v>
      </c>
      <c r="BV868" s="14">
        <v>2008</v>
      </c>
      <c r="BW868" t="s">
        <v>257</v>
      </c>
      <c r="BX868" t="s">
        <v>78</v>
      </c>
      <c r="BY868" s="13" t="s">
        <v>670</v>
      </c>
      <c r="CA868" t="str">
        <f t="shared" si="420"/>
        <v>high acid</v>
      </c>
    </row>
    <row r="869" spans="1:79">
      <c r="A869" t="s">
        <v>153</v>
      </c>
      <c r="B869" t="s">
        <v>565</v>
      </c>
      <c r="C869" t="s">
        <v>563</v>
      </c>
      <c r="D869" t="s">
        <v>118</v>
      </c>
      <c r="E869" t="s">
        <v>77</v>
      </c>
      <c r="F869" t="s">
        <v>32</v>
      </c>
      <c r="G869">
        <v>5</v>
      </c>
      <c r="H869">
        <v>50</v>
      </c>
      <c r="I869" t="b">
        <v>0</v>
      </c>
      <c r="J869" t="s">
        <v>33</v>
      </c>
      <c r="K869" t="s">
        <v>33</v>
      </c>
      <c r="L869">
        <v>30</v>
      </c>
      <c r="M869" s="4">
        <v>1000</v>
      </c>
      <c r="N869" s="3">
        <f>IFERROR(AF869/((T869*X869/Y869)*O869*AI869),"NA")</f>
        <v>1002.8666861493093</v>
      </c>
      <c r="O869">
        <v>2</v>
      </c>
      <c r="P869" t="s">
        <v>33</v>
      </c>
      <c r="Q869" s="8">
        <f t="shared" si="439"/>
        <v>1.2083333333333333E-2</v>
      </c>
      <c r="R869" t="s">
        <v>183</v>
      </c>
      <c r="S869" t="s">
        <v>613</v>
      </c>
      <c r="T869" s="11">
        <v>6</v>
      </c>
      <c r="U869">
        <v>2.9</v>
      </c>
      <c r="V869">
        <v>2.2999999999999998</v>
      </c>
      <c r="W869" t="s">
        <v>33</v>
      </c>
      <c r="X869" s="8">
        <f t="shared" si="440"/>
        <v>1.204879322468025E-2</v>
      </c>
      <c r="Y869" s="6">
        <f>60/60</f>
        <v>1</v>
      </c>
      <c r="Z869" s="3">
        <f t="shared" si="442"/>
        <v>0.99714150824940007</v>
      </c>
      <c r="AA869" t="s">
        <v>33</v>
      </c>
      <c r="AB869" s="6">
        <f t="shared" si="441"/>
        <v>12.083333333333334</v>
      </c>
      <c r="AC869" t="str">
        <f t="shared" si="425"/>
        <v>NA</v>
      </c>
      <c r="AD869" s="4">
        <f>AB869*T869*AI869</f>
        <v>72.5</v>
      </c>
      <c r="AE869" s="3">
        <f t="shared" si="443"/>
        <v>209.84400000000002</v>
      </c>
      <c r="AF869">
        <v>145</v>
      </c>
      <c r="AG869" t="str">
        <f>IFERROR((M869*O869*P869), "NA")</f>
        <v>NA</v>
      </c>
      <c r="AH869" t="str">
        <f>IFERROR((AG869*T869*AI869), "NA")</f>
        <v>NA</v>
      </c>
      <c r="AI869">
        <v>1</v>
      </c>
      <c r="AJ869" t="s">
        <v>31</v>
      </c>
      <c r="AK869">
        <v>1608</v>
      </c>
      <c r="AL869" t="s">
        <v>149</v>
      </c>
      <c r="AM869" t="s">
        <v>86</v>
      </c>
      <c r="AN869" t="s">
        <v>205</v>
      </c>
      <c r="AO869" t="s">
        <v>789</v>
      </c>
      <c r="AP869">
        <v>3.41</v>
      </c>
      <c r="AQ869" t="s">
        <v>33</v>
      </c>
      <c r="AR869" t="s">
        <v>33</v>
      </c>
      <c r="AS869" s="3">
        <v>9</v>
      </c>
      <c r="AT869" s="3">
        <f>IFERROR(AS869-AU869,"NA")</f>
        <v>5.08</v>
      </c>
      <c r="AU869" s="6">
        <v>3.92</v>
      </c>
      <c r="AV869" t="b">
        <v>1</v>
      </c>
      <c r="AW869" t="s">
        <v>29</v>
      </c>
      <c r="AX869" t="s">
        <v>30</v>
      </c>
      <c r="AY869" t="s">
        <v>33</v>
      </c>
      <c r="AZ869" t="s">
        <v>134</v>
      </c>
      <c r="BA869" s="18" t="s">
        <v>798</v>
      </c>
      <c r="BB869" t="b">
        <v>0</v>
      </c>
      <c r="BC869" t="s">
        <v>81</v>
      </c>
      <c r="BD869">
        <f>18</f>
        <v>18</v>
      </c>
      <c r="BE869" t="s">
        <v>80</v>
      </c>
      <c r="BF869" s="11">
        <v>24</v>
      </c>
      <c r="BG869" t="s">
        <v>262</v>
      </c>
      <c r="BH869" t="s">
        <v>31</v>
      </c>
      <c r="BI869" t="s">
        <v>31</v>
      </c>
      <c r="BJ869" s="3">
        <f t="shared" si="438"/>
        <v>3.92</v>
      </c>
      <c r="BK869" s="3">
        <f t="shared" si="411"/>
        <v>0.59328606702045728</v>
      </c>
      <c r="BL869">
        <v>2</v>
      </c>
      <c r="BM869" s="3">
        <f t="shared" si="432"/>
        <v>1.728610489066275</v>
      </c>
      <c r="BN869" t="s">
        <v>33</v>
      </c>
      <c r="BO869" s="3">
        <f t="shared" si="419"/>
        <v>53.53163265306123</v>
      </c>
      <c r="BP869" t="s">
        <v>33</v>
      </c>
      <c r="BQ869" t="s">
        <v>33</v>
      </c>
      <c r="BR869" t="s">
        <v>33</v>
      </c>
      <c r="BS869" t="s">
        <v>33</v>
      </c>
      <c r="BT869" t="s">
        <v>31</v>
      </c>
      <c r="BU869" t="s">
        <v>190</v>
      </c>
      <c r="BV869">
        <v>2021</v>
      </c>
      <c r="BW869" s="5" t="s">
        <v>191</v>
      </c>
      <c r="BX869" t="s">
        <v>78</v>
      </c>
      <c r="BY869" t="s">
        <v>33</v>
      </c>
      <c r="BZ869" t="s">
        <v>150</v>
      </c>
      <c r="CA869" t="str">
        <f t="shared" si="420"/>
        <v>high acid</v>
      </c>
    </row>
    <row r="870" spans="1:79">
      <c r="A870" t="s">
        <v>584</v>
      </c>
      <c r="B870" t="s">
        <v>566</v>
      </c>
      <c r="C870" t="s">
        <v>563</v>
      </c>
      <c r="D870" t="s">
        <v>607</v>
      </c>
      <c r="E870" t="s">
        <v>77</v>
      </c>
      <c r="F870" t="s">
        <v>33</v>
      </c>
      <c r="G870">
        <v>20</v>
      </c>
      <c r="H870">
        <v>35</v>
      </c>
      <c r="I870" t="b">
        <v>0</v>
      </c>
      <c r="J870">
        <v>1000</v>
      </c>
      <c r="K870">
        <v>200</v>
      </c>
      <c r="L870">
        <v>25</v>
      </c>
      <c r="M870" s="4">
        <v>1</v>
      </c>
      <c r="N870" t="e">
        <f>(#REF!*Y870)/(T870*X870*O870)</f>
        <v>#REF!</v>
      </c>
      <c r="O870">
        <v>3</v>
      </c>
      <c r="P870" t="s">
        <v>33</v>
      </c>
      <c r="Q870" s="1">
        <f t="shared" si="439"/>
        <v>50.000000000000007</v>
      </c>
      <c r="R870" t="s">
        <v>183</v>
      </c>
      <c r="S870" t="s">
        <v>33</v>
      </c>
      <c r="T870">
        <v>1</v>
      </c>
      <c r="U870">
        <v>2.5</v>
      </c>
      <c r="V870" t="s">
        <v>33</v>
      </c>
      <c r="W870">
        <v>0.50249999999999995</v>
      </c>
      <c r="X870">
        <f>W870</f>
        <v>0.50249999999999995</v>
      </c>
      <c r="Y870" t="s">
        <v>33</v>
      </c>
      <c r="Z870" s="3">
        <f t="shared" si="442"/>
        <v>1.0049999999999998E-2</v>
      </c>
      <c r="AA870" t="s">
        <v>33</v>
      </c>
      <c r="AB870">
        <f t="shared" si="441"/>
        <v>50.000000000000007</v>
      </c>
      <c r="AC870" s="1" t="str">
        <f t="shared" si="425"/>
        <v>NA</v>
      </c>
      <c r="AE870" s="3">
        <f t="shared" si="443"/>
        <v>93.750000000000014</v>
      </c>
      <c r="AF870">
        <v>150</v>
      </c>
      <c r="AG870" s="1" t="str">
        <f>IFERROR((N870*P870*Q870), "NA")</f>
        <v>NA</v>
      </c>
      <c r="AH870" s="1" t="str">
        <f>IFERROR((AG870*U870*AI870), "NA")</f>
        <v>NA</v>
      </c>
      <c r="AI870" s="1">
        <v>1</v>
      </c>
      <c r="AJ870" s="11" t="s">
        <v>31</v>
      </c>
      <c r="AK870">
        <v>1000</v>
      </c>
      <c r="AL870" t="s">
        <v>614</v>
      </c>
      <c r="AM870" s="3" t="s">
        <v>103</v>
      </c>
      <c r="AN870" t="s">
        <v>130</v>
      </c>
      <c r="AO870" t="s">
        <v>795</v>
      </c>
      <c r="AP870">
        <v>7</v>
      </c>
      <c r="AQ870" t="s">
        <v>33</v>
      </c>
      <c r="AR870" t="s">
        <v>33</v>
      </c>
      <c r="AS870">
        <v>8</v>
      </c>
      <c r="AT870">
        <f>AS870-AU870</f>
        <v>5.08</v>
      </c>
      <c r="AU870" s="6">
        <v>2.92</v>
      </c>
      <c r="AV870" t="b">
        <v>1</v>
      </c>
      <c r="AW870" t="s">
        <v>617</v>
      </c>
      <c r="AX870" t="s">
        <v>33</v>
      </c>
      <c r="AY870" t="s">
        <v>623</v>
      </c>
      <c r="AZ870" t="s">
        <v>621</v>
      </c>
      <c r="BA870" s="18" t="s">
        <v>802</v>
      </c>
      <c r="BB870" s="3" t="b">
        <v>0</v>
      </c>
      <c r="BC870" t="s">
        <v>81</v>
      </c>
      <c r="BD870">
        <v>18</v>
      </c>
      <c r="BE870" t="s">
        <v>80</v>
      </c>
      <c r="BF870">
        <v>24</v>
      </c>
      <c r="BG870" t="s">
        <v>642</v>
      </c>
      <c r="BH870" t="s">
        <v>32</v>
      </c>
      <c r="BI870" t="s">
        <v>31</v>
      </c>
      <c r="BJ870">
        <f t="shared" si="438"/>
        <v>2.92</v>
      </c>
      <c r="BK870" s="3">
        <f t="shared" si="411"/>
        <v>0.46538285144841829</v>
      </c>
      <c r="BL870">
        <v>2</v>
      </c>
      <c r="BM870" s="3">
        <f t="shared" si="432"/>
        <v>1.5065884249513382</v>
      </c>
      <c r="BN870" t="s">
        <v>33</v>
      </c>
      <c r="BO870" s="3">
        <f t="shared" si="419"/>
        <v>32.106164383561648</v>
      </c>
      <c r="BP870" t="s">
        <v>33</v>
      </c>
      <c r="BQ870" t="s">
        <v>33</v>
      </c>
      <c r="BR870" t="s">
        <v>33</v>
      </c>
      <c r="BS870" t="s">
        <v>33</v>
      </c>
      <c r="BT870" t="s">
        <v>31</v>
      </c>
      <c r="BU870" t="s">
        <v>255</v>
      </c>
      <c r="BV870">
        <v>2010</v>
      </c>
      <c r="BW870" t="s">
        <v>651</v>
      </c>
      <c r="BX870" t="s">
        <v>78</v>
      </c>
      <c r="BY870" s="13" t="s">
        <v>674</v>
      </c>
      <c r="CA870" t="str">
        <f t="shared" si="420"/>
        <v>low acid</v>
      </c>
    </row>
    <row r="871" spans="1:79">
      <c r="A871" t="s">
        <v>592</v>
      </c>
      <c r="B871" t="s">
        <v>566</v>
      </c>
      <c r="C871" t="s">
        <v>563</v>
      </c>
      <c r="D871" t="s">
        <v>607</v>
      </c>
      <c r="E871" t="s">
        <v>77</v>
      </c>
      <c r="F871" t="s">
        <v>32</v>
      </c>
      <c r="G871" t="s">
        <v>33</v>
      </c>
      <c r="H871">
        <v>35</v>
      </c>
      <c r="I871" t="b">
        <v>0</v>
      </c>
      <c r="J871">
        <v>30000</v>
      </c>
      <c r="K871">
        <v>200</v>
      </c>
      <c r="L871">
        <v>25</v>
      </c>
      <c r="M871" s="4">
        <v>1</v>
      </c>
      <c r="N871" t="e">
        <f>(#REF!*Y871)/(T871*X871*O871)</f>
        <v>#REF!</v>
      </c>
      <c r="O871">
        <v>3</v>
      </c>
      <c r="P871" t="s">
        <v>33</v>
      </c>
      <c r="Q871" s="1">
        <f t="shared" si="439"/>
        <v>101.8</v>
      </c>
      <c r="R871" t="s">
        <v>183</v>
      </c>
      <c r="S871" t="s">
        <v>33</v>
      </c>
      <c r="T871">
        <v>1</v>
      </c>
      <c r="U871">
        <v>2.5</v>
      </c>
      <c r="V871" t="s">
        <v>33</v>
      </c>
      <c r="W871">
        <v>0.50249999999999995</v>
      </c>
      <c r="X871">
        <f>W871</f>
        <v>0.50249999999999995</v>
      </c>
      <c r="Y871" t="s">
        <v>33</v>
      </c>
      <c r="Z871" s="3">
        <f t="shared" si="442"/>
        <v>4.93614931237721E-3</v>
      </c>
      <c r="AA871" t="s">
        <v>33</v>
      </c>
      <c r="AB871">
        <f t="shared" si="441"/>
        <v>101.8</v>
      </c>
      <c r="AC871" s="1" t="str">
        <f t="shared" si="425"/>
        <v>NA</v>
      </c>
      <c r="AE871" s="3">
        <f t="shared" si="443"/>
        <v>190.875</v>
      </c>
      <c r="AF871">
        <v>305.39999999999998</v>
      </c>
      <c r="AG871" s="1" t="str">
        <f>IFERROR((N871*P871*Q871), "NA")</f>
        <v>NA</v>
      </c>
      <c r="AH871" s="1" t="str">
        <f>IFERROR((AG871*U871*AI871), "NA")</f>
        <v>NA</v>
      </c>
      <c r="AI871" s="1">
        <v>1</v>
      </c>
      <c r="AJ871" s="11" t="s">
        <v>31</v>
      </c>
      <c r="AK871">
        <v>1000</v>
      </c>
      <c r="AL871" t="s">
        <v>614</v>
      </c>
      <c r="AM871" s="3" t="s">
        <v>103</v>
      </c>
      <c r="AN871" t="s">
        <v>305</v>
      </c>
      <c r="AO871" t="s">
        <v>790</v>
      </c>
      <c r="AP871">
        <v>4.5</v>
      </c>
      <c r="AQ871" t="s">
        <v>33</v>
      </c>
      <c r="AR871" t="s">
        <v>33</v>
      </c>
      <c r="AS871">
        <v>8</v>
      </c>
      <c r="AT871">
        <f>AS871-AU871</f>
        <v>5.08</v>
      </c>
      <c r="AU871" s="6">
        <v>2.92</v>
      </c>
      <c r="AV871" t="b">
        <v>1</v>
      </c>
      <c r="AW871" t="s">
        <v>626</v>
      </c>
      <c r="AX871" t="s">
        <v>627</v>
      </c>
      <c r="AY871" t="s">
        <v>633</v>
      </c>
      <c r="AZ871" t="s">
        <v>33</v>
      </c>
      <c r="BA871" s="18" t="s">
        <v>800</v>
      </c>
      <c r="BB871" s="3" t="b">
        <v>0</v>
      </c>
      <c r="BC871" t="s">
        <v>81</v>
      </c>
      <c r="BD871">
        <v>24</v>
      </c>
      <c r="BE871" t="s">
        <v>80</v>
      </c>
      <c r="BF871">
        <v>48</v>
      </c>
      <c r="BG871" t="s">
        <v>569</v>
      </c>
      <c r="BH871" t="s">
        <v>31</v>
      </c>
      <c r="BI871" t="s">
        <v>31</v>
      </c>
      <c r="BJ871">
        <f t="shared" si="438"/>
        <v>2.92</v>
      </c>
      <c r="BK871" s="3">
        <f t="shared" si="411"/>
        <v>0.46538285144841829</v>
      </c>
      <c r="BL871">
        <v>2</v>
      </c>
      <c r="BM871" s="3">
        <f t="shared" si="432"/>
        <v>1.8153661986160594</v>
      </c>
      <c r="BN871" t="s">
        <v>33</v>
      </c>
      <c r="BO871" s="3">
        <f t="shared" si="419"/>
        <v>65.368150684931507</v>
      </c>
      <c r="BP871" t="s">
        <v>33</v>
      </c>
      <c r="BQ871" t="s">
        <v>33</v>
      </c>
      <c r="BR871" t="s">
        <v>33</v>
      </c>
      <c r="BS871" t="s">
        <v>33</v>
      </c>
      <c r="BT871" t="s">
        <v>31</v>
      </c>
      <c r="BU871" s="15" t="s">
        <v>255</v>
      </c>
      <c r="BV871">
        <v>2010</v>
      </c>
      <c r="BW871" t="s">
        <v>659</v>
      </c>
      <c r="BX871" t="s">
        <v>78</v>
      </c>
      <c r="BY871" s="13" t="s">
        <v>680</v>
      </c>
      <c r="CA871" t="str">
        <f t="shared" si="420"/>
        <v>high acid</v>
      </c>
    </row>
    <row r="872" spans="1:79">
      <c r="A872" t="s">
        <v>597</v>
      </c>
      <c r="B872" t="s">
        <v>565</v>
      </c>
      <c r="C872" t="s">
        <v>563</v>
      </c>
      <c r="D872" t="s">
        <v>33</v>
      </c>
      <c r="E872" t="s">
        <v>77</v>
      </c>
      <c r="F872" t="s">
        <v>33</v>
      </c>
      <c r="G872">
        <v>20</v>
      </c>
      <c r="H872">
        <v>35</v>
      </c>
      <c r="I872" t="b">
        <v>0</v>
      </c>
      <c r="J872" t="s">
        <v>33</v>
      </c>
      <c r="K872" t="s">
        <v>33</v>
      </c>
      <c r="L872">
        <v>22</v>
      </c>
      <c r="M872" s="4">
        <v>1</v>
      </c>
      <c r="N872" t="e">
        <f>(#REF!*Y872)/(T872*X872*O872)</f>
        <v>#REF!</v>
      </c>
      <c r="O872">
        <v>2</v>
      </c>
      <c r="P872" t="s">
        <v>33</v>
      </c>
      <c r="Q872" s="1">
        <f t="shared" si="439"/>
        <v>397.59</v>
      </c>
      <c r="R872" t="s">
        <v>183</v>
      </c>
      <c r="S872" t="s">
        <v>33</v>
      </c>
      <c r="T872">
        <v>1</v>
      </c>
      <c r="U872">
        <v>2.5</v>
      </c>
      <c r="V872" t="s">
        <v>33</v>
      </c>
      <c r="W872">
        <v>0.50249999999999995</v>
      </c>
      <c r="X872">
        <f>W872</f>
        <v>0.50249999999999995</v>
      </c>
      <c r="Y872" t="s">
        <v>33</v>
      </c>
      <c r="Z872" s="3">
        <f t="shared" si="442"/>
        <v>1.263864785331623E-3</v>
      </c>
      <c r="AA872" t="s">
        <v>33</v>
      </c>
      <c r="AB872">
        <f t="shared" si="441"/>
        <v>397.59</v>
      </c>
      <c r="AC872" s="1" t="str">
        <f t="shared" si="425"/>
        <v>NA</v>
      </c>
      <c r="AE872" s="3">
        <f t="shared" si="443"/>
        <v>769.73423999999989</v>
      </c>
      <c r="AF872">
        <v>795.18</v>
      </c>
      <c r="AG872" s="1" t="str">
        <f>IFERROR((N872*P872*Q872), "NA")</f>
        <v>NA</v>
      </c>
      <c r="AH872" s="1" t="str">
        <f>IFERROR((AG872*U872*AI872), "NA")</f>
        <v>NA</v>
      </c>
      <c r="AI872" s="1">
        <v>1</v>
      </c>
      <c r="AJ872" s="11" t="s">
        <v>31</v>
      </c>
      <c r="AK872">
        <v>2000</v>
      </c>
      <c r="AL872" t="s">
        <v>784</v>
      </c>
      <c r="AM872" s="3" t="s">
        <v>103</v>
      </c>
      <c r="AN872" t="s">
        <v>130</v>
      </c>
      <c r="AO872" t="s">
        <v>795</v>
      </c>
      <c r="AP872">
        <v>7</v>
      </c>
      <c r="AQ872" t="s">
        <v>33</v>
      </c>
      <c r="AR872" t="s">
        <v>33</v>
      </c>
      <c r="AS872">
        <v>9</v>
      </c>
      <c r="AT872">
        <f>AS872-AU872</f>
        <v>5.08</v>
      </c>
      <c r="AU872" s="6">
        <v>3.92</v>
      </c>
      <c r="AV872" t="b">
        <v>1</v>
      </c>
      <c r="AW872" t="s">
        <v>617</v>
      </c>
      <c r="AX872" t="s">
        <v>635</v>
      </c>
      <c r="AY872" t="s">
        <v>636</v>
      </c>
      <c r="AZ872" t="s">
        <v>33</v>
      </c>
      <c r="BA872" s="18" t="s">
        <v>802</v>
      </c>
      <c r="BB872" s="3" t="b">
        <v>0</v>
      </c>
      <c r="BC872" t="s">
        <v>81</v>
      </c>
      <c r="BD872">
        <v>24</v>
      </c>
      <c r="BE872" t="s">
        <v>80</v>
      </c>
      <c r="BF872">
        <v>24</v>
      </c>
      <c r="BG872" t="s">
        <v>644</v>
      </c>
      <c r="BH872" t="s">
        <v>31</v>
      </c>
      <c r="BI872" t="s">
        <v>31</v>
      </c>
      <c r="BJ872">
        <f t="shared" si="438"/>
        <v>3.92</v>
      </c>
      <c r="BK872" s="3">
        <f t="shared" si="411"/>
        <v>0.59328606702045728</v>
      </c>
      <c r="BL872">
        <v>2</v>
      </c>
      <c r="BM872" s="3">
        <f t="shared" si="432"/>
        <v>2.2930547386403863</v>
      </c>
      <c r="BN872" t="s">
        <v>33</v>
      </c>
      <c r="BO872" s="3">
        <f t="shared" si="419"/>
        <v>196.36077551020406</v>
      </c>
      <c r="BP872" t="s">
        <v>33</v>
      </c>
      <c r="BQ872" t="s">
        <v>33</v>
      </c>
      <c r="BR872" t="s">
        <v>33</v>
      </c>
      <c r="BS872" t="s">
        <v>33</v>
      </c>
      <c r="BT872" t="s">
        <v>31</v>
      </c>
      <c r="BU872" t="s">
        <v>664</v>
      </c>
      <c r="BV872">
        <v>2000</v>
      </c>
      <c r="BW872" t="s">
        <v>665</v>
      </c>
      <c r="BX872" t="s">
        <v>78</v>
      </c>
      <c r="BY872" s="13" t="s">
        <v>685</v>
      </c>
      <c r="CA872" t="str">
        <f t="shared" si="420"/>
        <v>low acid</v>
      </c>
    </row>
    <row r="873" spans="1:79">
      <c r="A873" t="s">
        <v>597</v>
      </c>
      <c r="B873" t="s">
        <v>565</v>
      </c>
      <c r="C873" t="s">
        <v>563</v>
      </c>
      <c r="D873" t="s">
        <v>33</v>
      </c>
      <c r="E873" t="s">
        <v>77</v>
      </c>
      <c r="F873" t="s">
        <v>33</v>
      </c>
      <c r="G873">
        <v>20</v>
      </c>
      <c r="H873">
        <v>35</v>
      </c>
      <c r="I873" t="b">
        <v>0</v>
      </c>
      <c r="J873" t="s">
        <v>33</v>
      </c>
      <c r="K873" t="s">
        <v>33</v>
      </c>
      <c r="L873">
        <v>12</v>
      </c>
      <c r="M873" s="4">
        <v>1</v>
      </c>
      <c r="N873" t="e">
        <f>(#REF!*Y873)/(T873*X873*O873)</f>
        <v>#REF!</v>
      </c>
      <c r="O873">
        <v>2</v>
      </c>
      <c r="P873" t="s">
        <v>33</v>
      </c>
      <c r="Q873" s="1">
        <f t="shared" si="439"/>
        <v>196.78500000000003</v>
      </c>
      <c r="R873" t="s">
        <v>183</v>
      </c>
      <c r="S873" t="s">
        <v>33</v>
      </c>
      <c r="T873">
        <v>1</v>
      </c>
      <c r="U873">
        <v>2.5</v>
      </c>
      <c r="V873" t="s">
        <v>33</v>
      </c>
      <c r="W873">
        <v>0.50249999999999995</v>
      </c>
      <c r="X873">
        <f>W873</f>
        <v>0.50249999999999995</v>
      </c>
      <c r="Y873" t="s">
        <v>33</v>
      </c>
      <c r="Z873" s="3">
        <f t="shared" si="442"/>
        <v>2.5535482887415195E-3</v>
      </c>
      <c r="AA873" t="s">
        <v>33</v>
      </c>
      <c r="AB873">
        <f t="shared" si="441"/>
        <v>196.78500000000003</v>
      </c>
      <c r="AC873" s="1" t="str">
        <f t="shared" si="425"/>
        <v>NA</v>
      </c>
      <c r="AE873" s="3">
        <f t="shared" si="443"/>
        <v>113.34816000000001</v>
      </c>
      <c r="AF873">
        <v>393.57</v>
      </c>
      <c r="AG873" s="1" t="str">
        <f>IFERROR((N873*P873*Q873), "NA")</f>
        <v>NA</v>
      </c>
      <c r="AH873" s="1" t="str">
        <f>IFERROR((AG873*U873*AI873), "NA")</f>
        <v>NA</v>
      </c>
      <c r="AI873" s="1">
        <v>1</v>
      </c>
      <c r="AJ873" s="11" t="s">
        <v>31</v>
      </c>
      <c r="AK873">
        <v>2000</v>
      </c>
      <c r="AL873" t="s">
        <v>784</v>
      </c>
      <c r="AM873" s="3" t="s">
        <v>103</v>
      </c>
      <c r="AN873" t="s">
        <v>130</v>
      </c>
      <c r="AO873" t="s">
        <v>795</v>
      </c>
      <c r="AP873">
        <v>7</v>
      </c>
      <c r="AQ873" t="s">
        <v>33</v>
      </c>
      <c r="AR873" t="s">
        <v>33</v>
      </c>
      <c r="AS873">
        <v>9</v>
      </c>
      <c r="AT873">
        <f>AS873-AU873</f>
        <v>5.08</v>
      </c>
      <c r="AU873" s="6">
        <v>3.92</v>
      </c>
      <c r="AV873" t="b">
        <v>1</v>
      </c>
      <c r="AW873" t="s">
        <v>617</v>
      </c>
      <c r="AX873" t="s">
        <v>635</v>
      </c>
      <c r="AY873" t="s">
        <v>636</v>
      </c>
      <c r="AZ873" t="s">
        <v>33</v>
      </c>
      <c r="BA873" s="18" t="s">
        <v>802</v>
      </c>
      <c r="BB873" s="3" t="b">
        <v>0</v>
      </c>
      <c r="BC873" t="s">
        <v>81</v>
      </c>
      <c r="BD873">
        <v>24</v>
      </c>
      <c r="BE873" t="s">
        <v>80</v>
      </c>
      <c r="BF873">
        <v>24</v>
      </c>
      <c r="BG873" t="s">
        <v>644</v>
      </c>
      <c r="BH873" t="s">
        <v>31</v>
      </c>
      <c r="BI873" t="s">
        <v>31</v>
      </c>
      <c r="BJ873">
        <f t="shared" si="438"/>
        <v>3.92</v>
      </c>
      <c r="BK873" s="3">
        <f t="shared" si="411"/>
        <v>0.59328606702045728</v>
      </c>
      <c r="BL873">
        <v>2</v>
      </c>
      <c r="BM873" s="3">
        <f t="shared" si="432"/>
        <v>1.4611284075229556</v>
      </c>
      <c r="BN873" t="s">
        <v>33</v>
      </c>
      <c r="BO873" s="3">
        <f t="shared" si="419"/>
        <v>28.915346938775514</v>
      </c>
      <c r="BP873" t="s">
        <v>33</v>
      </c>
      <c r="BQ873" t="s">
        <v>33</v>
      </c>
      <c r="BR873" t="s">
        <v>33</v>
      </c>
      <c r="BS873" t="s">
        <v>33</v>
      </c>
      <c r="BT873" t="s">
        <v>31</v>
      </c>
      <c r="BU873" t="s">
        <v>664</v>
      </c>
      <c r="BV873">
        <v>2000</v>
      </c>
      <c r="BW873" t="s">
        <v>665</v>
      </c>
      <c r="BX873" t="s">
        <v>78</v>
      </c>
      <c r="BY873" s="13" t="s">
        <v>685</v>
      </c>
      <c r="CA873" t="str">
        <f t="shared" si="420"/>
        <v>low acid</v>
      </c>
    </row>
    <row r="874" spans="1:79">
      <c r="A874" t="s">
        <v>449</v>
      </c>
      <c r="B874" t="s">
        <v>565</v>
      </c>
      <c r="C874" t="s">
        <v>563</v>
      </c>
      <c r="D874" t="s">
        <v>182</v>
      </c>
      <c r="E874" t="s">
        <v>77</v>
      </c>
      <c r="F874" t="s">
        <v>32</v>
      </c>
      <c r="G874">
        <v>18</v>
      </c>
      <c r="H874">
        <v>48</v>
      </c>
      <c r="I874" t="b">
        <v>1</v>
      </c>
      <c r="J874" t="s">
        <v>33</v>
      </c>
      <c r="K874" t="s">
        <v>33</v>
      </c>
      <c r="L874">
        <v>22</v>
      </c>
      <c r="M874" s="4" t="s">
        <v>33</v>
      </c>
      <c r="N874" s="3">
        <f>IFERROR(AF874/((T874*X874/Y874)*O874*AI874),"NA")</f>
        <v>330.20830099655922</v>
      </c>
      <c r="O874">
        <v>10</v>
      </c>
      <c r="P874">
        <f>0.047/2</f>
        <v>2.35E-2</v>
      </c>
      <c r="Q874" s="8">
        <f t="shared" si="439"/>
        <v>2.3318614270936316E-2</v>
      </c>
      <c r="R874" t="s">
        <v>183</v>
      </c>
      <c r="S874" t="s">
        <v>613</v>
      </c>
      <c r="T874" s="11">
        <v>2</v>
      </c>
      <c r="U874">
        <v>5.6</v>
      </c>
      <c r="V874">
        <v>4.5</v>
      </c>
      <c r="W874" t="s">
        <v>33</v>
      </c>
      <c r="X874" s="9">
        <f>IFERROR(((PI())*(((V874*10^-1)/2)^2)*(U874*10^-1)), "NA")</f>
        <v>8.9064151729270638E-2</v>
      </c>
      <c r="Y874" s="6">
        <f>13750/3600</f>
        <v>3.8194444444444446</v>
      </c>
      <c r="Z874" s="3">
        <f>IFERROR(X874*N874*O874*T874*AI874/AF874, "NA")</f>
        <v>3.8194444444444438</v>
      </c>
      <c r="AA874" t="s">
        <v>33</v>
      </c>
      <c r="AB874" s="4">
        <f>IFERROR(((X874*N874)/Y874), "NA")</f>
        <v>7.6999999999999984</v>
      </c>
      <c r="AC874" s="4">
        <f>IFERROR(N874*P874,"NA")</f>
        <v>7.7598950734191412</v>
      </c>
      <c r="AD874" s="4">
        <f>IFERROR(AB874*T874*AI874, "NA")</f>
        <v>15.399999999999997</v>
      </c>
      <c r="AE874" s="3">
        <f>IFERROR(((L874^2)*N874*O874*AK874*10^-6*Q874*T874*AI874), "NA")</f>
        <v>171.43280000000001</v>
      </c>
      <c r="AF874">
        <v>154</v>
      </c>
      <c r="AG874" s="4">
        <f>IFERROR((N874*O874*P874), "NA")</f>
        <v>77.598950734191419</v>
      </c>
      <c r="AH874" s="4">
        <f>IFERROR((AG874*T874*AI874), "NA")</f>
        <v>155.19790146838284</v>
      </c>
      <c r="AI874" s="11">
        <v>1</v>
      </c>
      <c r="AJ874" t="s">
        <v>31</v>
      </c>
      <c r="AK874">
        <v>2300</v>
      </c>
      <c r="AL874" t="s">
        <v>805</v>
      </c>
      <c r="AM874" t="s">
        <v>515</v>
      </c>
      <c r="AN874" t="s">
        <v>205</v>
      </c>
      <c r="AO874" t="s">
        <v>788</v>
      </c>
      <c r="AP874">
        <v>3.68</v>
      </c>
      <c r="AQ874" t="s">
        <v>33</v>
      </c>
      <c r="AR874" t="s">
        <v>33</v>
      </c>
      <c r="AS874">
        <f>LOG(10^8)</f>
        <v>8</v>
      </c>
      <c r="AT874" s="3">
        <f>IFERROR(AS874-AU874,"NA")</f>
        <v>5.09</v>
      </c>
      <c r="AU874" s="6">
        <v>2.91</v>
      </c>
      <c r="AV874" t="b">
        <v>1</v>
      </c>
      <c r="AW874" t="s">
        <v>123</v>
      </c>
      <c r="AX874" t="s">
        <v>393</v>
      </c>
      <c r="AY874" t="s">
        <v>521</v>
      </c>
      <c r="AZ874" t="s">
        <v>33</v>
      </c>
      <c r="BA874" s="18" t="s">
        <v>579</v>
      </c>
      <c r="BB874" t="b">
        <v>1</v>
      </c>
      <c r="BC874" t="s">
        <v>81</v>
      </c>
      <c r="BD874" t="s">
        <v>33</v>
      </c>
      <c r="BE874" t="s">
        <v>80</v>
      </c>
      <c r="BF874" t="s">
        <v>33</v>
      </c>
      <c r="BG874" t="s">
        <v>395</v>
      </c>
      <c r="BH874" t="s">
        <v>31</v>
      </c>
      <c r="BI874" t="s">
        <v>31</v>
      </c>
      <c r="BJ874" s="3">
        <f t="shared" si="438"/>
        <v>2.91</v>
      </c>
      <c r="BK874" s="3">
        <f t="shared" si="411"/>
        <v>0.46389298898590731</v>
      </c>
      <c r="BL874">
        <v>2</v>
      </c>
      <c r="BM874" s="3">
        <f t="shared" si="432"/>
        <v>1.7702009295125611</v>
      </c>
      <c r="BN874" t="s">
        <v>33</v>
      </c>
      <c r="BO874" s="3">
        <f t="shared" si="419"/>
        <v>58.911615120274917</v>
      </c>
      <c r="BP874" t="s">
        <v>33</v>
      </c>
      <c r="BQ874" t="s">
        <v>33</v>
      </c>
      <c r="BR874" t="s">
        <v>33</v>
      </c>
      <c r="BS874" t="s">
        <v>33</v>
      </c>
      <c r="BT874" t="s">
        <v>32</v>
      </c>
      <c r="BU874" t="s">
        <v>484</v>
      </c>
      <c r="BV874">
        <v>2015</v>
      </c>
      <c r="BW874" t="s">
        <v>485</v>
      </c>
      <c r="BX874" t="s">
        <v>78</v>
      </c>
      <c r="BY874" t="s">
        <v>486</v>
      </c>
      <c r="BZ874" t="s">
        <v>780</v>
      </c>
      <c r="CA874" t="str">
        <f t="shared" si="420"/>
        <v>high acid</v>
      </c>
    </row>
    <row r="875" spans="1:79">
      <c r="A875" t="s">
        <v>600</v>
      </c>
      <c r="B875" t="s">
        <v>566</v>
      </c>
      <c r="C875" t="s">
        <v>563</v>
      </c>
      <c r="D875" t="s">
        <v>33</v>
      </c>
      <c r="E875" t="s">
        <v>77</v>
      </c>
      <c r="F875" t="s">
        <v>33</v>
      </c>
      <c r="G875" t="s">
        <v>33</v>
      </c>
      <c r="H875">
        <v>35</v>
      </c>
      <c r="I875" t="b">
        <v>0</v>
      </c>
      <c r="J875" t="s">
        <v>33</v>
      </c>
      <c r="K875" t="s">
        <v>33</v>
      </c>
      <c r="L875">
        <v>28</v>
      </c>
      <c r="M875" s="4">
        <v>1</v>
      </c>
      <c r="N875" t="e">
        <f>(#REF!*Y875)/(T875*X875*O875)</f>
        <v>#REF!</v>
      </c>
      <c r="O875">
        <v>2</v>
      </c>
      <c r="P875" t="s">
        <v>33</v>
      </c>
      <c r="Q875" s="1">
        <f t="shared" si="439"/>
        <v>50.000000000000007</v>
      </c>
      <c r="R875" t="s">
        <v>183</v>
      </c>
      <c r="S875" t="s">
        <v>33</v>
      </c>
      <c r="T875">
        <v>1</v>
      </c>
      <c r="U875">
        <v>2.5</v>
      </c>
      <c r="V875" t="s">
        <v>33</v>
      </c>
      <c r="W875">
        <v>0.50249999999999995</v>
      </c>
      <c r="X875">
        <f>W875</f>
        <v>0.50249999999999995</v>
      </c>
      <c r="Y875" t="s">
        <v>33</v>
      </c>
      <c r="Z875" s="3">
        <f t="shared" ref="Z875:Z890" si="444">IFERROR(X875*M875*O875*T875*AI875/AF875, "NA")</f>
        <v>1.0049999999999998E-2</v>
      </c>
      <c r="AA875" t="s">
        <v>33</v>
      </c>
      <c r="AB875">
        <f t="shared" ref="AB875:AB881" si="445">IFERROR(((X875*M875)/Z875), "NA")</f>
        <v>50.000000000000007</v>
      </c>
      <c r="AC875" s="1" t="str">
        <f t="shared" ref="AC875:AC890" si="446">IFERROR(M875*P875,"NA")</f>
        <v>NA</v>
      </c>
      <c r="AE875" s="3">
        <f t="shared" ref="AE875:AE890" si="447">IFERROR(((L875^2)*M875*O875*AK875*10^-6*Q875*T875*AI875), "NA")</f>
        <v>156.80000000000001</v>
      </c>
      <c r="AF875">
        <v>100</v>
      </c>
      <c r="AG875" s="1" t="str">
        <f>IFERROR((N875*P875*Q875), "NA")</f>
        <v>NA</v>
      </c>
      <c r="AH875" s="1" t="str">
        <f>IFERROR((AG875*U875*AI875), "NA")</f>
        <v>NA</v>
      </c>
      <c r="AI875" s="1">
        <v>1</v>
      </c>
      <c r="AJ875" s="11" t="s">
        <v>31</v>
      </c>
      <c r="AK875">
        <v>2000</v>
      </c>
      <c r="AL875" t="s">
        <v>784</v>
      </c>
      <c r="AM875" s="3" t="s">
        <v>103</v>
      </c>
      <c r="AN875" t="s">
        <v>130</v>
      </c>
      <c r="AO875" t="s">
        <v>795</v>
      </c>
      <c r="AP875">
        <v>7</v>
      </c>
      <c r="AQ875" t="s">
        <v>33</v>
      </c>
      <c r="AR875" t="s">
        <v>33</v>
      </c>
      <c r="AS875">
        <v>8</v>
      </c>
      <c r="AT875">
        <f>AS875-AU875</f>
        <v>5.09</v>
      </c>
      <c r="AU875" s="6">
        <v>2.91</v>
      </c>
      <c r="AV875" t="b">
        <v>1</v>
      </c>
      <c r="AW875" t="s">
        <v>626</v>
      </c>
      <c r="AX875" t="s">
        <v>627</v>
      </c>
      <c r="AY875" t="s">
        <v>640</v>
      </c>
      <c r="AZ875" t="s">
        <v>33</v>
      </c>
      <c r="BA875" s="18" t="s">
        <v>800</v>
      </c>
      <c r="BB875" s="3" t="b">
        <v>0</v>
      </c>
      <c r="BC875" t="s">
        <v>81</v>
      </c>
      <c r="BD875">
        <f>AVERAGE(24,30)</f>
        <v>27</v>
      </c>
      <c r="BE875" t="s">
        <v>80</v>
      </c>
      <c r="BF875">
        <v>24</v>
      </c>
      <c r="BG875" t="s">
        <v>568</v>
      </c>
      <c r="BH875" t="s">
        <v>31</v>
      </c>
      <c r="BI875" t="s">
        <v>31</v>
      </c>
      <c r="BJ875" s="3">
        <f t="shared" si="438"/>
        <v>2.91</v>
      </c>
      <c r="BK875" s="3">
        <f t="shared" si="411"/>
        <v>0.46389298898590731</v>
      </c>
      <c r="BL875">
        <v>2</v>
      </c>
      <c r="BM875" s="3">
        <f t="shared" si="432"/>
        <v>1.7314530693625123</v>
      </c>
      <c r="BN875" t="s">
        <v>33</v>
      </c>
      <c r="BO875" s="3">
        <f t="shared" si="419"/>
        <v>53.883161512027492</v>
      </c>
      <c r="BP875" t="s">
        <v>33</v>
      </c>
      <c r="BQ875" t="s">
        <v>33</v>
      </c>
      <c r="BR875" t="s">
        <v>33</v>
      </c>
      <c r="BS875" t="s">
        <v>33</v>
      </c>
      <c r="BT875" t="s">
        <v>31</v>
      </c>
      <c r="BU875" t="s">
        <v>666</v>
      </c>
      <c r="BV875" s="14">
        <v>2006</v>
      </c>
      <c r="BW875" t="s">
        <v>667</v>
      </c>
      <c r="BX875" t="s">
        <v>78</v>
      </c>
      <c r="BY875" s="13" t="s">
        <v>688</v>
      </c>
      <c r="CA875" t="str">
        <f t="shared" si="420"/>
        <v>low acid</v>
      </c>
    </row>
    <row r="876" spans="1:79">
      <c r="A876" t="s">
        <v>223</v>
      </c>
      <c r="B876" t="s">
        <v>565</v>
      </c>
      <c r="C876" t="s">
        <v>563</v>
      </c>
      <c r="D876" t="s">
        <v>118</v>
      </c>
      <c r="E876" t="s">
        <v>77</v>
      </c>
      <c r="F876" t="s">
        <v>32</v>
      </c>
      <c r="G876">
        <v>5</v>
      </c>
      <c r="H876">
        <v>39.1</v>
      </c>
      <c r="I876" t="b">
        <v>0</v>
      </c>
      <c r="J876" t="s">
        <v>33</v>
      </c>
      <c r="K876" t="s">
        <v>33</v>
      </c>
      <c r="L876">
        <v>35</v>
      </c>
      <c r="M876" s="4">
        <v>250</v>
      </c>
      <c r="N876" s="3">
        <f>IFERROR(AF876/((T876*X876/Y876)*O876*AI876),"NA")</f>
        <v>2146.5468453538301</v>
      </c>
      <c r="O876">
        <v>4</v>
      </c>
      <c r="P876" t="s">
        <v>33</v>
      </c>
      <c r="Q876">
        <f t="shared" si="439"/>
        <v>6.25E-2</v>
      </c>
      <c r="R876" t="s">
        <v>183</v>
      </c>
      <c r="S876" t="s">
        <v>613</v>
      </c>
      <c r="T876" s="11">
        <v>8</v>
      </c>
      <c r="U876">
        <v>2.92</v>
      </c>
      <c r="V876">
        <v>2.2999999999999998</v>
      </c>
      <c r="W876">
        <v>1.21E-2</v>
      </c>
      <c r="X876" s="8">
        <f t="shared" ref="X876:X883" si="448">IFERROR(((PI())*(((V876*10^-1)/2)^2)*(U876*10^-1)), "NA")</f>
        <v>1.2131888350367701E-2</v>
      </c>
      <c r="Y876" s="6">
        <f>100/60</f>
        <v>1.6666666666666667</v>
      </c>
      <c r="Z876" s="3">
        <f t="shared" si="444"/>
        <v>0.19411021360588321</v>
      </c>
      <c r="AA876" t="s">
        <v>33</v>
      </c>
      <c r="AB876" s="6">
        <f t="shared" si="445"/>
        <v>15.625</v>
      </c>
      <c r="AC876" t="str">
        <f t="shared" si="446"/>
        <v>NA</v>
      </c>
      <c r="AD876" s="4">
        <f>AB876*T876*AI876</f>
        <v>125</v>
      </c>
      <c r="AE876" s="3">
        <f t="shared" si="447"/>
        <v>3203.375</v>
      </c>
      <c r="AF876">
        <v>500</v>
      </c>
      <c r="AG876" t="str">
        <f>IFERROR((M876*O876*P876), "NA")</f>
        <v>NA</v>
      </c>
      <c r="AH876" t="str">
        <f>IFERROR((AG876*T876*AI876), "NA")</f>
        <v>NA</v>
      </c>
      <c r="AI876">
        <v>1</v>
      </c>
      <c r="AJ876" t="s">
        <v>31</v>
      </c>
      <c r="AK876">
        <v>5230</v>
      </c>
      <c r="AL876" t="s">
        <v>542</v>
      </c>
      <c r="AM876" t="s">
        <v>86</v>
      </c>
      <c r="AN876" t="s">
        <v>186</v>
      </c>
      <c r="AO876" t="s">
        <v>794</v>
      </c>
      <c r="AP876">
        <v>5.82</v>
      </c>
      <c r="AQ876" t="s">
        <v>33</v>
      </c>
      <c r="AR876" t="s">
        <v>33</v>
      </c>
      <c r="AS876" s="6">
        <f>LOG((10^7+10^8)/2)</f>
        <v>7.7403626894942441</v>
      </c>
      <c r="AT876" s="3">
        <f>IFERROR(AS876-AU876,"NA")</f>
        <v>5.0973626894942443</v>
      </c>
      <c r="AU876" s="6">
        <v>2.6429999999999998</v>
      </c>
      <c r="AV876" t="b">
        <v>1</v>
      </c>
      <c r="AW876" t="s">
        <v>92</v>
      </c>
      <c r="AX876" t="s">
        <v>93</v>
      </c>
      <c r="AY876" s="10">
        <v>1131</v>
      </c>
      <c r="AZ876" t="s">
        <v>33</v>
      </c>
      <c r="BA876" s="18" t="s">
        <v>801</v>
      </c>
      <c r="BB876" t="b">
        <v>0</v>
      </c>
      <c r="BC876" t="s">
        <v>81</v>
      </c>
      <c r="BD876">
        <f>(16+14)/2</f>
        <v>15</v>
      </c>
      <c r="BE876" t="s">
        <v>80</v>
      </c>
      <c r="BF876" t="s">
        <v>33</v>
      </c>
      <c r="BG876" t="s">
        <v>573</v>
      </c>
      <c r="BH876" t="s">
        <v>31</v>
      </c>
      <c r="BI876" t="s">
        <v>31</v>
      </c>
      <c r="BJ876" s="3">
        <f t="shared" si="438"/>
        <v>2.6429999999999998</v>
      </c>
      <c r="BK876" s="3">
        <f t="shared" si="411"/>
        <v>0.42209716313171031</v>
      </c>
      <c r="BL876">
        <v>2</v>
      </c>
      <c r="BM876" s="3">
        <f t="shared" si="432"/>
        <v>3.0835106187721339</v>
      </c>
      <c r="BN876" t="s">
        <v>33</v>
      </c>
      <c r="BO876" s="3">
        <f t="shared" si="419"/>
        <v>1212.0223231176694</v>
      </c>
      <c r="BP876" t="s">
        <v>33</v>
      </c>
      <c r="BQ876" t="s">
        <v>33</v>
      </c>
      <c r="BR876" t="s">
        <v>33</v>
      </c>
      <c r="BS876" t="s">
        <v>33</v>
      </c>
      <c r="BT876" t="s">
        <v>31</v>
      </c>
      <c r="BU876" t="s">
        <v>219</v>
      </c>
      <c r="BV876">
        <v>2007</v>
      </c>
      <c r="BW876" t="s">
        <v>218</v>
      </c>
      <c r="BX876" t="s">
        <v>78</v>
      </c>
      <c r="BY876" t="s">
        <v>33</v>
      </c>
      <c r="BZ876" t="s">
        <v>33</v>
      </c>
      <c r="CA876" t="str">
        <f t="shared" si="420"/>
        <v>low acid</v>
      </c>
    </row>
    <row r="877" spans="1:79">
      <c r="A877" t="s">
        <v>223</v>
      </c>
      <c r="B877" t="s">
        <v>565</v>
      </c>
      <c r="C877" t="s">
        <v>563</v>
      </c>
      <c r="D877" t="s">
        <v>118</v>
      </c>
      <c r="E877" t="s">
        <v>77</v>
      </c>
      <c r="F877" t="s">
        <v>32</v>
      </c>
      <c r="G877">
        <v>5</v>
      </c>
      <c r="H877">
        <v>39.1</v>
      </c>
      <c r="I877" t="b">
        <v>0</v>
      </c>
      <c r="J877" t="s">
        <v>33</v>
      </c>
      <c r="K877" t="s">
        <v>33</v>
      </c>
      <c r="L877">
        <v>35</v>
      </c>
      <c r="M877" s="4">
        <v>100</v>
      </c>
      <c r="N877" s="3">
        <f>IFERROR(AF877/((T877*X877/Y877)*O877*AI877),"NA")</f>
        <v>2146.5468453538301</v>
      </c>
      <c r="O877">
        <v>4</v>
      </c>
      <c r="P877" t="s">
        <v>33</v>
      </c>
      <c r="Q877">
        <f t="shared" si="439"/>
        <v>0.15625</v>
      </c>
      <c r="R877" t="s">
        <v>183</v>
      </c>
      <c r="S877" t="s">
        <v>613</v>
      </c>
      <c r="T877" s="11">
        <v>8</v>
      </c>
      <c r="U877">
        <v>2.92</v>
      </c>
      <c r="V877">
        <v>2.2999999999999998</v>
      </c>
      <c r="W877">
        <v>1.21E-2</v>
      </c>
      <c r="X877" s="8">
        <f t="shared" si="448"/>
        <v>1.2131888350367701E-2</v>
      </c>
      <c r="Y877" s="6">
        <f>100/60</f>
        <v>1.6666666666666667</v>
      </c>
      <c r="Z877" s="3">
        <f t="shared" si="444"/>
        <v>7.7644085442353281E-2</v>
      </c>
      <c r="AA877" t="s">
        <v>33</v>
      </c>
      <c r="AB877" s="6">
        <f t="shared" si="445"/>
        <v>15.625000000000002</v>
      </c>
      <c r="AC877" t="str">
        <f t="shared" si="446"/>
        <v>NA</v>
      </c>
      <c r="AD877" s="4">
        <f>AB877*T877*AI877</f>
        <v>125.00000000000001</v>
      </c>
      <c r="AE877" s="3">
        <f t="shared" si="447"/>
        <v>3203.375</v>
      </c>
      <c r="AF877">
        <v>500</v>
      </c>
      <c r="AG877" t="str">
        <f>IFERROR((M877*O877*P877), "NA")</f>
        <v>NA</v>
      </c>
      <c r="AH877" t="str">
        <f>IFERROR((AG877*T877*AI877), "NA")</f>
        <v>NA</v>
      </c>
      <c r="AI877">
        <v>1</v>
      </c>
      <c r="AJ877" t="s">
        <v>31</v>
      </c>
      <c r="AK877">
        <v>5230</v>
      </c>
      <c r="AL877" t="s">
        <v>542</v>
      </c>
      <c r="AM877" t="s">
        <v>86</v>
      </c>
      <c r="AN877" t="s">
        <v>186</v>
      </c>
      <c r="AO877" t="s">
        <v>794</v>
      </c>
      <c r="AP877">
        <v>5.82</v>
      </c>
      <c r="AQ877" t="s">
        <v>33</v>
      </c>
      <c r="AR877" t="s">
        <v>33</v>
      </c>
      <c r="AS877" s="6">
        <f>LOG((10^7+10^8)/2)</f>
        <v>7.7403626894942441</v>
      </c>
      <c r="AT877" s="3">
        <f>IFERROR(AS877-AU877,"NA")</f>
        <v>5.0973626894942443</v>
      </c>
      <c r="AU877" s="6">
        <v>2.6429999999999998</v>
      </c>
      <c r="AV877" t="b">
        <v>1</v>
      </c>
      <c r="AW877" t="s">
        <v>92</v>
      </c>
      <c r="AX877" t="s">
        <v>93</v>
      </c>
      <c r="AY877" s="10">
        <v>1131</v>
      </c>
      <c r="AZ877" t="s">
        <v>33</v>
      </c>
      <c r="BA877" s="18" t="s">
        <v>801</v>
      </c>
      <c r="BB877" t="b">
        <v>0</v>
      </c>
      <c r="BC877" t="s">
        <v>81</v>
      </c>
      <c r="BD877">
        <v>15</v>
      </c>
      <c r="BE877" t="s">
        <v>80</v>
      </c>
      <c r="BF877" t="s">
        <v>33</v>
      </c>
      <c r="BG877" t="s">
        <v>573</v>
      </c>
      <c r="BH877" t="s">
        <v>31</v>
      </c>
      <c r="BI877" t="s">
        <v>31</v>
      </c>
      <c r="BJ877" s="3">
        <f t="shared" si="438"/>
        <v>2.6429999999999998</v>
      </c>
      <c r="BK877" s="3">
        <f t="shared" si="411"/>
        <v>0.42209716313171031</v>
      </c>
      <c r="BL877">
        <v>2</v>
      </c>
      <c r="BM877" s="3">
        <f t="shared" si="432"/>
        <v>3.0835106187721339</v>
      </c>
      <c r="BN877" t="s">
        <v>33</v>
      </c>
      <c r="BO877" s="3">
        <f t="shared" si="419"/>
        <v>1212.0223231176694</v>
      </c>
      <c r="BP877" t="s">
        <v>33</v>
      </c>
      <c r="BQ877" t="s">
        <v>33</v>
      </c>
      <c r="BR877" t="s">
        <v>33</v>
      </c>
      <c r="BS877" t="s">
        <v>33</v>
      </c>
      <c r="BT877" t="s">
        <v>31</v>
      </c>
      <c r="BU877" t="s">
        <v>219</v>
      </c>
      <c r="BV877">
        <v>2007</v>
      </c>
      <c r="BW877" t="s">
        <v>218</v>
      </c>
      <c r="BX877" t="s">
        <v>78</v>
      </c>
      <c r="BY877" t="s">
        <v>33</v>
      </c>
      <c r="BZ877" t="s">
        <v>33</v>
      </c>
      <c r="CA877" t="str">
        <f t="shared" si="420"/>
        <v>low acid</v>
      </c>
    </row>
    <row r="878" spans="1:79">
      <c r="A878" t="s">
        <v>585</v>
      </c>
      <c r="B878" t="s">
        <v>565</v>
      </c>
      <c r="C878" t="s">
        <v>563</v>
      </c>
      <c r="D878" t="s">
        <v>608</v>
      </c>
      <c r="E878" t="s">
        <v>77</v>
      </c>
      <c r="F878" t="s">
        <v>32</v>
      </c>
      <c r="G878" t="s">
        <v>33</v>
      </c>
      <c r="H878" t="s">
        <v>33</v>
      </c>
      <c r="I878" t="b">
        <v>0</v>
      </c>
      <c r="J878" t="s">
        <v>33</v>
      </c>
      <c r="K878">
        <v>13.5</v>
      </c>
      <c r="L878">
        <v>25</v>
      </c>
      <c r="M878" s="4">
        <v>200</v>
      </c>
      <c r="N878" t="e">
        <f>(#REF!*Y878)/(T878*X878*O878)</f>
        <v>#REF!</v>
      </c>
      <c r="O878">
        <v>2.12</v>
      </c>
      <c r="P878" t="s">
        <v>33</v>
      </c>
      <c r="Q878" s="1">
        <f t="shared" si="439"/>
        <v>0.14740566037735847</v>
      </c>
      <c r="R878" t="s">
        <v>183</v>
      </c>
      <c r="S878" t="s">
        <v>613</v>
      </c>
      <c r="T878">
        <v>4</v>
      </c>
      <c r="U878">
        <v>1.9</v>
      </c>
      <c r="V878">
        <v>2.2999999999999998</v>
      </c>
      <c r="W878" t="s">
        <v>33</v>
      </c>
      <c r="X878">
        <f t="shared" si="448"/>
        <v>7.8940369403077502E-3</v>
      </c>
      <c r="Y878">
        <v>1.2</v>
      </c>
      <c r="Z878" s="3">
        <f t="shared" si="444"/>
        <v>5.3553146603047781E-2</v>
      </c>
      <c r="AA878" t="s">
        <v>33</v>
      </c>
      <c r="AB878">
        <f t="shared" si="445"/>
        <v>29.481132075471695</v>
      </c>
      <c r="AC878" s="1" t="str">
        <f t="shared" si="446"/>
        <v>NA</v>
      </c>
      <c r="AE878" s="3">
        <f t="shared" si="447"/>
        <v>1012.4999999999998</v>
      </c>
      <c r="AF878">
        <v>250</v>
      </c>
      <c r="AG878" s="1" t="str">
        <f>IFERROR((N878*P878*Q878), "NA")</f>
        <v>NA</v>
      </c>
      <c r="AH878" s="1" t="str">
        <f>IFERROR((AG878*U878*AI878), "NA")</f>
        <v>NA</v>
      </c>
      <c r="AI878" s="1">
        <v>1</v>
      </c>
      <c r="AJ878" s="11" t="s">
        <v>31</v>
      </c>
      <c r="AK878">
        <v>6480</v>
      </c>
      <c r="AL878" t="s">
        <v>562</v>
      </c>
      <c r="AM878" s="3" t="s">
        <v>786</v>
      </c>
      <c r="AN878" t="s">
        <v>186</v>
      </c>
      <c r="AO878" t="s">
        <v>793</v>
      </c>
      <c r="AP878">
        <v>7.67</v>
      </c>
      <c r="AQ878" t="s">
        <v>33</v>
      </c>
      <c r="AR878" t="s">
        <v>33</v>
      </c>
      <c r="AS878">
        <v>5.73</v>
      </c>
      <c r="AT878">
        <v>5.0999999999999996</v>
      </c>
      <c r="AU878" s="6">
        <f>AS878-AT878</f>
        <v>0.63000000000000078</v>
      </c>
      <c r="AV878" t="b">
        <v>1</v>
      </c>
      <c r="AW878" t="s">
        <v>617</v>
      </c>
      <c r="AX878" t="s">
        <v>33</v>
      </c>
      <c r="AY878" t="s">
        <v>622</v>
      </c>
      <c r="AZ878" t="s">
        <v>619</v>
      </c>
      <c r="BA878" s="18" t="s">
        <v>802</v>
      </c>
      <c r="BB878" s="3" t="b">
        <v>0</v>
      </c>
      <c r="BC878" t="s">
        <v>81</v>
      </c>
      <c r="BD878">
        <v>48</v>
      </c>
      <c r="BE878" t="s">
        <v>80</v>
      </c>
      <c r="BF878">
        <v>48</v>
      </c>
      <c r="BG878" t="s">
        <v>569</v>
      </c>
      <c r="BH878" t="s">
        <v>31</v>
      </c>
      <c r="BI878" t="s">
        <v>31</v>
      </c>
      <c r="BJ878">
        <f t="shared" si="438"/>
        <v>0.63000000000000078</v>
      </c>
      <c r="BK878" s="3">
        <f t="shared" si="411"/>
        <v>-0.20065945054641776</v>
      </c>
      <c r="BL878">
        <v>2</v>
      </c>
      <c r="BM878" s="3">
        <f t="shared" si="432"/>
        <v>3.2060544824331236</v>
      </c>
      <c r="BN878" t="s">
        <v>33</v>
      </c>
      <c r="BO878" s="3">
        <f t="shared" si="419"/>
        <v>1607.1428571428548</v>
      </c>
      <c r="BP878" t="s">
        <v>33</v>
      </c>
      <c r="BQ878" t="s">
        <v>33</v>
      </c>
      <c r="BR878" t="s">
        <v>33</v>
      </c>
      <c r="BS878" t="s">
        <v>33</v>
      </c>
      <c r="BT878" t="s">
        <v>31</v>
      </c>
      <c r="BU878" t="s">
        <v>652</v>
      </c>
      <c r="BV878">
        <v>2004</v>
      </c>
      <c r="BW878" t="s">
        <v>653</v>
      </c>
      <c r="BX878" t="s">
        <v>78</v>
      </c>
      <c r="BY878" s="13" t="s">
        <v>675</v>
      </c>
      <c r="CA878" t="str">
        <f t="shared" si="420"/>
        <v>low acid</v>
      </c>
    </row>
    <row r="879" spans="1:79">
      <c r="A879" t="s">
        <v>231</v>
      </c>
      <c r="B879" t="s">
        <v>565</v>
      </c>
      <c r="C879" t="s">
        <v>563</v>
      </c>
      <c r="D879" t="s">
        <v>33</v>
      </c>
      <c r="E879" t="s">
        <v>77</v>
      </c>
      <c r="F879" t="s">
        <v>32</v>
      </c>
      <c r="G879">
        <v>30</v>
      </c>
      <c r="H879">
        <v>61</v>
      </c>
      <c r="I879" t="b">
        <v>1</v>
      </c>
      <c r="J879" t="s">
        <v>33</v>
      </c>
      <c r="K879" t="s">
        <v>33</v>
      </c>
      <c r="L879">
        <v>25</v>
      </c>
      <c r="M879" s="4">
        <v>250</v>
      </c>
      <c r="N879" s="3">
        <f t="shared" ref="N879:N884" si="449">IFERROR(AF879/((T879*X879/Y879)*O879*AI879),"NA")</f>
        <v>260.5243209473274</v>
      </c>
      <c r="O879">
        <v>2</v>
      </c>
      <c r="P879" t="s">
        <v>33</v>
      </c>
      <c r="Q879" s="9">
        <f t="shared" si="439"/>
        <v>1.3333333333333332E-2</v>
      </c>
      <c r="R879" t="s">
        <v>183</v>
      </c>
      <c r="S879" t="s">
        <v>613</v>
      </c>
      <c r="T879" s="11">
        <v>6</v>
      </c>
      <c r="U879">
        <v>2.2999999999999998</v>
      </c>
      <c r="V879">
        <v>2.2000000000000002</v>
      </c>
      <c r="W879" t="s">
        <v>33</v>
      </c>
      <c r="X879" s="8">
        <f t="shared" si="448"/>
        <v>8.7430523549403959E-3</v>
      </c>
      <c r="Y879" s="6">
        <f>41/60</f>
        <v>0.68333333333333335</v>
      </c>
      <c r="Z879" s="3">
        <f t="shared" si="444"/>
        <v>0.65572892662052973</v>
      </c>
      <c r="AA879" s="3">
        <f>20/6</f>
        <v>3.3333333333333335</v>
      </c>
      <c r="AB879" s="6">
        <f t="shared" si="445"/>
        <v>3.333333333333333</v>
      </c>
      <c r="AC879" t="str">
        <f t="shared" si="446"/>
        <v>NA</v>
      </c>
      <c r="AD879" s="4">
        <f>IFERROR(AB879*T879*AI879, "NA")</f>
        <v>20</v>
      </c>
      <c r="AE879" s="3">
        <f t="shared" si="447"/>
        <v>99.999999999999986</v>
      </c>
      <c r="AF879">
        <v>40</v>
      </c>
      <c r="AG879" t="str">
        <f t="shared" ref="AG879:AG884" si="450">IFERROR((M879*O879*P879), "NA")</f>
        <v>NA</v>
      </c>
      <c r="AH879" t="str">
        <f t="shared" ref="AH879:AH884" si="451">IFERROR((AG879*T879*AI879), "NA")</f>
        <v>NA</v>
      </c>
      <c r="AI879" s="11">
        <v>1</v>
      </c>
      <c r="AJ879" t="s">
        <v>31</v>
      </c>
      <c r="AK879">
        <v>4000</v>
      </c>
      <c r="AL879" t="s">
        <v>546</v>
      </c>
      <c r="AM879" t="s">
        <v>103</v>
      </c>
      <c r="AN879" t="s">
        <v>130</v>
      </c>
      <c r="AO879" t="s">
        <v>795</v>
      </c>
      <c r="AP879">
        <v>5</v>
      </c>
      <c r="AQ879" t="s">
        <v>33</v>
      </c>
      <c r="AR879" t="s">
        <v>33</v>
      </c>
      <c r="AS879" s="6">
        <v>6.6</v>
      </c>
      <c r="AT879" s="3">
        <f t="shared" ref="AT879:AT884" si="452">IFERROR(AS879-AU879,"NA")</f>
        <v>5.0999999999999996</v>
      </c>
      <c r="AU879" s="6">
        <v>1.5</v>
      </c>
      <c r="AV879" t="b">
        <v>1</v>
      </c>
      <c r="AW879" t="s">
        <v>172</v>
      </c>
      <c r="AX879" t="s">
        <v>173</v>
      </c>
      <c r="AY879" t="s">
        <v>236</v>
      </c>
      <c r="AZ879" t="s">
        <v>33</v>
      </c>
      <c r="BA879" s="18" t="s">
        <v>799</v>
      </c>
      <c r="BB879" t="b">
        <v>0</v>
      </c>
      <c r="BC879" t="s">
        <v>81</v>
      </c>
      <c r="BD879">
        <v>24</v>
      </c>
      <c r="BE879" t="s">
        <v>80</v>
      </c>
      <c r="BF879" s="11">
        <v>120</v>
      </c>
      <c r="BG879" t="s">
        <v>522</v>
      </c>
      <c r="BH879" t="s">
        <v>31</v>
      </c>
      <c r="BI879" t="s">
        <v>31</v>
      </c>
      <c r="BJ879" s="3">
        <f t="shared" si="438"/>
        <v>1.5</v>
      </c>
      <c r="BK879" s="3">
        <f t="shared" si="411"/>
        <v>0.17609125905568124</v>
      </c>
      <c r="BL879">
        <v>2</v>
      </c>
      <c r="BM879" s="3">
        <f t="shared" si="432"/>
        <v>1.8239087409443187</v>
      </c>
      <c r="BN879" t="s">
        <v>33</v>
      </c>
      <c r="BO879" s="3">
        <f t="shared" si="419"/>
        <v>66.666666666666657</v>
      </c>
      <c r="BP879" t="s">
        <v>33</v>
      </c>
      <c r="BQ879" t="s">
        <v>33</v>
      </c>
      <c r="BR879" t="s">
        <v>33</v>
      </c>
      <c r="BS879" t="s">
        <v>33</v>
      </c>
      <c r="BT879" t="s">
        <v>31</v>
      </c>
      <c r="BU879" t="s">
        <v>227</v>
      </c>
      <c r="BV879">
        <v>2001</v>
      </c>
      <c r="BW879" t="s">
        <v>228</v>
      </c>
      <c r="BX879" t="s">
        <v>78</v>
      </c>
      <c r="BY879" t="s">
        <v>33</v>
      </c>
      <c r="BZ879" t="s">
        <v>33</v>
      </c>
      <c r="CA879" t="str">
        <f t="shared" si="420"/>
        <v>low acid</v>
      </c>
    </row>
    <row r="880" spans="1:79">
      <c r="A880" t="s">
        <v>79</v>
      </c>
      <c r="B880" t="s">
        <v>565</v>
      </c>
      <c r="C880" t="s">
        <v>563</v>
      </c>
      <c r="D880" t="s">
        <v>76</v>
      </c>
      <c r="E880" t="s">
        <v>77</v>
      </c>
      <c r="F880" t="s">
        <v>32</v>
      </c>
      <c r="G880">
        <v>4</v>
      </c>
      <c r="H880">
        <f>30</f>
        <v>30</v>
      </c>
      <c r="I880" t="b">
        <v>0</v>
      </c>
      <c r="J880" t="s">
        <v>33</v>
      </c>
      <c r="K880" t="s">
        <v>33</v>
      </c>
      <c r="L880">
        <v>35</v>
      </c>
      <c r="M880" s="4">
        <v>1000</v>
      </c>
      <c r="N880" s="3">
        <f t="shared" si="449"/>
        <v>575.8971743084935</v>
      </c>
      <c r="O880">
        <v>8</v>
      </c>
      <c r="P880" t="s">
        <v>33</v>
      </c>
      <c r="Q880" s="8">
        <f t="shared" si="439"/>
        <v>6.249999999999999E-4</v>
      </c>
      <c r="R880" t="s">
        <v>183</v>
      </c>
      <c r="S880" t="s">
        <v>612</v>
      </c>
      <c r="T880" s="11">
        <v>1</v>
      </c>
      <c r="U880">
        <f>4.7</f>
        <v>4.7</v>
      </c>
      <c r="V880">
        <v>3.5</v>
      </c>
      <c r="W880" t="s">
        <v>33</v>
      </c>
      <c r="X880" s="8">
        <f t="shared" si="448"/>
        <v>4.5219299257608099E-2</v>
      </c>
      <c r="Y880" s="6">
        <f>2.5*1000/60</f>
        <v>41.666666666666664</v>
      </c>
      <c r="Z880" s="3">
        <f t="shared" si="444"/>
        <v>72.350878812172965</v>
      </c>
      <c r="AA880" t="s">
        <v>33</v>
      </c>
      <c r="AB880" s="6">
        <f t="shared" si="445"/>
        <v>0.625</v>
      </c>
      <c r="AC880" t="str">
        <f t="shared" si="446"/>
        <v>NA</v>
      </c>
      <c r="AD880" s="4">
        <f>IFERROR(AB880*T880*AI880, "NA")</f>
        <v>0.625</v>
      </c>
      <c r="AE880" s="3">
        <f t="shared" si="447"/>
        <v>33.687499999999993</v>
      </c>
      <c r="AF880">
        <v>5</v>
      </c>
      <c r="AG880" t="str">
        <f t="shared" si="450"/>
        <v>NA</v>
      </c>
      <c r="AH880" t="str">
        <f t="shared" si="451"/>
        <v>NA</v>
      </c>
      <c r="AI880" s="11">
        <v>1</v>
      </c>
      <c r="AJ880" t="s">
        <v>31</v>
      </c>
      <c r="AK880">
        <v>5500</v>
      </c>
      <c r="AL880" t="s">
        <v>540</v>
      </c>
      <c r="AM880" t="s">
        <v>157</v>
      </c>
      <c r="AN880" t="s">
        <v>186</v>
      </c>
      <c r="AO880" t="s">
        <v>792</v>
      </c>
      <c r="AP880" s="3">
        <f>(6.53+6.6)/2</f>
        <v>6.5649999999999995</v>
      </c>
      <c r="AQ880" t="s">
        <v>33</v>
      </c>
      <c r="AR880" t="s">
        <v>33</v>
      </c>
      <c r="AS880">
        <v>8</v>
      </c>
      <c r="AT880" s="3">
        <f t="shared" si="452"/>
        <v>5.1099999999999994</v>
      </c>
      <c r="AU880" s="6">
        <v>2.89</v>
      </c>
      <c r="AV880" t="b">
        <v>1</v>
      </c>
      <c r="AW880" t="s">
        <v>29</v>
      </c>
      <c r="AX880" t="s">
        <v>30</v>
      </c>
      <c r="AY880" t="s">
        <v>216</v>
      </c>
      <c r="AZ880" t="s">
        <v>33</v>
      </c>
      <c r="BA880" s="18" t="s">
        <v>798</v>
      </c>
      <c r="BB880" t="b">
        <v>0</v>
      </c>
      <c r="BC880" t="s">
        <v>81</v>
      </c>
      <c r="BD880">
        <v>24</v>
      </c>
      <c r="BE880" t="s">
        <v>80</v>
      </c>
      <c r="BF880" s="11">
        <v>24</v>
      </c>
      <c r="BG880" t="s">
        <v>572</v>
      </c>
      <c r="BH880" t="s">
        <v>31</v>
      </c>
      <c r="BI880" t="s">
        <v>31</v>
      </c>
      <c r="BJ880" s="3">
        <f t="shared" si="438"/>
        <v>2.89</v>
      </c>
      <c r="BK880" s="3">
        <f t="shared" si="411"/>
        <v>0.46089784275654788</v>
      </c>
      <c r="BL880">
        <v>2</v>
      </c>
      <c r="BM880" s="3">
        <f t="shared" si="432"/>
        <v>1.066570939774266</v>
      </c>
      <c r="BN880" t="s">
        <v>33</v>
      </c>
      <c r="BO880" s="3">
        <f t="shared" si="419"/>
        <v>11.656574394463664</v>
      </c>
      <c r="BP880" t="s">
        <v>33</v>
      </c>
      <c r="BQ880" t="s">
        <v>33</v>
      </c>
      <c r="BR880" t="s">
        <v>33</v>
      </c>
      <c r="BS880" t="s">
        <v>33</v>
      </c>
      <c r="BT880" t="s">
        <v>32</v>
      </c>
      <c r="BU880" t="s">
        <v>117</v>
      </c>
      <c r="BV880">
        <v>2021</v>
      </c>
      <c r="BW880" s="2" t="s">
        <v>82</v>
      </c>
      <c r="BX880" t="s">
        <v>78</v>
      </c>
      <c r="BY880" t="s">
        <v>90</v>
      </c>
      <c r="CA880" t="str">
        <f t="shared" si="420"/>
        <v>low acid</v>
      </c>
    </row>
    <row r="881" spans="1:79">
      <c r="A881" t="s">
        <v>534</v>
      </c>
      <c r="B881" t="s">
        <v>565</v>
      </c>
      <c r="C881" t="s">
        <v>564</v>
      </c>
      <c r="D881" t="s">
        <v>243</v>
      </c>
      <c r="E881" t="s">
        <v>77</v>
      </c>
      <c r="F881" t="s">
        <v>32</v>
      </c>
      <c r="G881">
        <v>40</v>
      </c>
      <c r="H881">
        <v>50.2</v>
      </c>
      <c r="I881" t="b">
        <v>0</v>
      </c>
      <c r="J881" t="s">
        <v>33</v>
      </c>
      <c r="K881" t="s">
        <v>33</v>
      </c>
      <c r="L881">
        <v>27</v>
      </c>
      <c r="M881" s="4">
        <v>120</v>
      </c>
      <c r="N881" s="3">
        <f t="shared" si="449"/>
        <v>119.89811897400615</v>
      </c>
      <c r="O881">
        <v>3</v>
      </c>
      <c r="P881" t="s">
        <v>33</v>
      </c>
      <c r="Q881" s="8">
        <f t="shared" si="439"/>
        <v>3.8194444444444441E-2</v>
      </c>
      <c r="R881" t="s">
        <v>183</v>
      </c>
      <c r="S881" t="s">
        <v>612</v>
      </c>
      <c r="T881" s="11">
        <v>4</v>
      </c>
      <c r="U881">
        <v>3</v>
      </c>
      <c r="V881">
        <v>2.6</v>
      </c>
      <c r="W881">
        <v>1.5900000000000001E-2</v>
      </c>
      <c r="X881" s="8">
        <f t="shared" si="448"/>
        <v>1.5927874753700257E-2</v>
      </c>
      <c r="Y881" s="6">
        <f>25/60</f>
        <v>0.41666666666666669</v>
      </c>
      <c r="Z881" s="3">
        <f t="shared" si="444"/>
        <v>0.4170207208241522</v>
      </c>
      <c r="AA881" t="s">
        <v>33</v>
      </c>
      <c r="AB881" s="6">
        <f t="shared" si="445"/>
        <v>4.583333333333333</v>
      </c>
      <c r="AC881" t="str">
        <f t="shared" si="446"/>
        <v>NA</v>
      </c>
      <c r="AD881" s="4">
        <f>IFERROR(AB881*T881*AI881, "NA")</f>
        <v>18.333333333333332</v>
      </c>
      <c r="AE881" s="3">
        <f t="shared" si="447"/>
        <v>36.887399999999992</v>
      </c>
      <c r="AF881">
        <v>55</v>
      </c>
      <c r="AG881" t="str">
        <f t="shared" si="450"/>
        <v>NA</v>
      </c>
      <c r="AH881" t="str">
        <f t="shared" si="451"/>
        <v>NA</v>
      </c>
      <c r="AI881" s="11">
        <v>1</v>
      </c>
      <c r="AJ881" t="s">
        <v>31</v>
      </c>
      <c r="AK881">
        <v>920</v>
      </c>
      <c r="AL881" t="s">
        <v>551</v>
      </c>
      <c r="AM881" t="s">
        <v>86</v>
      </c>
      <c r="AN881" t="s">
        <v>186</v>
      </c>
      <c r="AO881" t="s">
        <v>794</v>
      </c>
      <c r="AP881">
        <v>5.92</v>
      </c>
      <c r="AQ881" t="s">
        <v>33</v>
      </c>
      <c r="AR881" t="s">
        <v>33</v>
      </c>
      <c r="AS881" s="6">
        <f>LOG(1.4*10^6)</f>
        <v>6.1461280356782382</v>
      </c>
      <c r="AT881" s="3">
        <f t="shared" si="452"/>
        <v>5.1141280356782381</v>
      </c>
      <c r="AU881" s="6">
        <v>1.032</v>
      </c>
      <c r="AV881" t="b">
        <v>1</v>
      </c>
      <c r="AW881" t="s">
        <v>29</v>
      </c>
      <c r="AX881" t="s">
        <v>30</v>
      </c>
      <c r="AY881" t="s">
        <v>244</v>
      </c>
      <c r="AZ881" t="s">
        <v>33</v>
      </c>
      <c r="BA881" s="18" t="s">
        <v>798</v>
      </c>
      <c r="BB881" t="b">
        <v>0</v>
      </c>
      <c r="BC881" t="s">
        <v>81</v>
      </c>
      <c r="BD881">
        <v>20</v>
      </c>
      <c r="BE881" t="s">
        <v>80</v>
      </c>
      <c r="BF881" s="11">
        <v>20</v>
      </c>
      <c r="BG881" t="s">
        <v>245</v>
      </c>
      <c r="BH881" t="s">
        <v>31</v>
      </c>
      <c r="BI881" t="s">
        <v>31</v>
      </c>
      <c r="BJ881" s="3">
        <f t="shared" si="438"/>
        <v>1.032</v>
      </c>
      <c r="BK881" s="3">
        <f t="shared" si="411"/>
        <v>1.3679697291192561E-2</v>
      </c>
      <c r="BL881">
        <v>2</v>
      </c>
      <c r="BM881" s="3">
        <f t="shared" si="432"/>
        <v>1.5531983478665812</v>
      </c>
      <c r="BN881" t="s">
        <v>33</v>
      </c>
      <c r="BO881" s="3">
        <f t="shared" si="419"/>
        <v>35.743604651162784</v>
      </c>
      <c r="BP881" t="s">
        <v>33</v>
      </c>
      <c r="BQ881" t="s">
        <v>33</v>
      </c>
      <c r="BR881" t="s">
        <v>33</v>
      </c>
      <c r="BS881" t="s">
        <v>33</v>
      </c>
      <c r="BT881" t="s">
        <v>32</v>
      </c>
      <c r="BU881" t="s">
        <v>207</v>
      </c>
      <c r="BV881">
        <v>2014</v>
      </c>
      <c r="BW881" s="2" t="s">
        <v>242</v>
      </c>
      <c r="BX881" t="s">
        <v>78</v>
      </c>
      <c r="BY881" t="s">
        <v>33</v>
      </c>
      <c r="BZ881" t="s">
        <v>33</v>
      </c>
      <c r="CA881" t="str">
        <f t="shared" si="420"/>
        <v>low acid</v>
      </c>
    </row>
    <row r="882" spans="1:79">
      <c r="A882" t="s">
        <v>758</v>
      </c>
      <c r="B882" t="s">
        <v>565</v>
      </c>
      <c r="C882" t="s">
        <v>563</v>
      </c>
      <c r="D882" t="s">
        <v>759</v>
      </c>
      <c r="E882" t="s">
        <v>77</v>
      </c>
      <c r="F882" t="s">
        <v>32</v>
      </c>
      <c r="G882">
        <v>30</v>
      </c>
      <c r="H882" t="s">
        <v>33</v>
      </c>
      <c r="I882" t="b">
        <v>0</v>
      </c>
      <c r="J882" t="s">
        <v>33</v>
      </c>
      <c r="K882" t="s">
        <v>33</v>
      </c>
      <c r="L882">
        <v>24.4</v>
      </c>
      <c r="M882" s="4">
        <v>120</v>
      </c>
      <c r="N882" s="3" t="str">
        <f t="shared" si="449"/>
        <v>NA</v>
      </c>
      <c r="O882">
        <v>20</v>
      </c>
      <c r="P882">
        <v>9.4E-2</v>
      </c>
      <c r="Q882" s="8">
        <f>IFERROR(X882/Y882, "NA")</f>
        <v>4.7123889803846894E-2</v>
      </c>
      <c r="R882" t="s">
        <v>183</v>
      </c>
      <c r="S882" t="s">
        <v>612</v>
      </c>
      <c r="T882" s="11">
        <v>2</v>
      </c>
      <c r="U882">
        <v>10</v>
      </c>
      <c r="V882">
        <v>10</v>
      </c>
      <c r="W882">
        <f>1.57/2</f>
        <v>0.78500000000000003</v>
      </c>
      <c r="X882">
        <f t="shared" si="448"/>
        <v>0.78539816339744828</v>
      </c>
      <c r="Y882" s="6">
        <f>60000/3600</f>
        <v>16.666666666666668</v>
      </c>
      <c r="Z882" s="3" t="str">
        <f t="shared" si="444"/>
        <v>NA</v>
      </c>
      <c r="AA882" t="s">
        <v>33</v>
      </c>
      <c r="AB882" s="4">
        <f>IFERROR(((X882*M882)/Y882), "NA")</f>
        <v>5.6548667764616267</v>
      </c>
      <c r="AC882" s="4">
        <f t="shared" si="446"/>
        <v>11.28</v>
      </c>
      <c r="AD882" s="4">
        <f>AB882*T882*AI882</f>
        <v>11.309733552923253</v>
      </c>
      <c r="AE882" s="3">
        <f t="shared" si="447"/>
        <v>217.08362209052476</v>
      </c>
      <c r="AF882" t="s">
        <v>33</v>
      </c>
      <c r="AG882" s="4">
        <f t="shared" si="450"/>
        <v>225.6</v>
      </c>
      <c r="AH882" s="4">
        <f t="shared" si="451"/>
        <v>451.2</v>
      </c>
      <c r="AI882">
        <v>1</v>
      </c>
      <c r="AJ882" s="11" t="s">
        <v>31</v>
      </c>
      <c r="AK882">
        <v>1612</v>
      </c>
      <c r="AL882" t="s">
        <v>760</v>
      </c>
      <c r="AM882" t="s">
        <v>103</v>
      </c>
      <c r="AN882" t="s">
        <v>130</v>
      </c>
      <c r="AO882" t="s">
        <v>795</v>
      </c>
      <c r="AP882">
        <v>6.5</v>
      </c>
      <c r="AQ882" t="s">
        <v>33</v>
      </c>
      <c r="AR882" t="s">
        <v>33</v>
      </c>
      <c r="AS882">
        <v>6</v>
      </c>
      <c r="AT882" s="3">
        <f t="shared" si="452"/>
        <v>5.117</v>
      </c>
      <c r="AU882" s="6">
        <v>0.88300000000000001</v>
      </c>
      <c r="AV882" t="b">
        <v>1</v>
      </c>
      <c r="AW882" t="s">
        <v>470</v>
      </c>
      <c r="AX882" t="s">
        <v>464</v>
      </c>
      <c r="AY882" t="s">
        <v>33</v>
      </c>
      <c r="AZ882" t="s">
        <v>33</v>
      </c>
      <c r="BA882" s="18" t="s">
        <v>579</v>
      </c>
      <c r="BB882" s="3" t="b">
        <v>1</v>
      </c>
      <c r="BC882" t="s">
        <v>81</v>
      </c>
      <c r="BD882">
        <v>24</v>
      </c>
      <c r="BE882" t="s">
        <v>80</v>
      </c>
      <c r="BF882">
        <v>24</v>
      </c>
      <c r="BG882" t="s">
        <v>139</v>
      </c>
      <c r="BH882" t="s">
        <v>31</v>
      </c>
      <c r="BI882" t="s">
        <v>31</v>
      </c>
      <c r="BJ882" s="3">
        <f t="shared" si="438"/>
        <v>0.88300000000000001</v>
      </c>
      <c r="BK882" s="3">
        <f t="shared" ref="BK882:BK944" si="453">LOG10(BJ882)</f>
        <v>-5.403929642243141E-2</v>
      </c>
      <c r="BL882">
        <v>2</v>
      </c>
      <c r="BM882" s="3">
        <f t="shared" si="432"/>
        <v>2.3906663556943641</v>
      </c>
      <c r="BN882" t="s">
        <v>33</v>
      </c>
      <c r="BO882" s="3">
        <f t="shared" si="419"/>
        <v>245.84781663706087</v>
      </c>
      <c r="BP882" t="s">
        <v>33</v>
      </c>
      <c r="BQ882" t="s">
        <v>33</v>
      </c>
      <c r="BR882" t="s">
        <v>33</v>
      </c>
      <c r="BS882" t="s">
        <v>33</v>
      </c>
      <c r="BT882" t="s">
        <v>32</v>
      </c>
      <c r="BU882" t="s">
        <v>761</v>
      </c>
      <c r="BV882">
        <v>2024</v>
      </c>
      <c r="BW882" t="s">
        <v>762</v>
      </c>
      <c r="BX882" t="s">
        <v>78</v>
      </c>
      <c r="BY882" t="s">
        <v>763</v>
      </c>
      <c r="CA882" t="str">
        <f t="shared" si="420"/>
        <v>low acid</v>
      </c>
    </row>
    <row r="883" spans="1:79">
      <c r="A883" t="s">
        <v>325</v>
      </c>
      <c r="B883" t="s">
        <v>565</v>
      </c>
      <c r="C883" t="s">
        <v>563</v>
      </c>
      <c r="D883" t="s">
        <v>304</v>
      </c>
      <c r="E883" t="s">
        <v>77</v>
      </c>
      <c r="F883" t="s">
        <v>32</v>
      </c>
      <c r="G883">
        <v>30</v>
      </c>
      <c r="H883">
        <v>31.9</v>
      </c>
      <c r="I883" t="b">
        <v>1</v>
      </c>
      <c r="J883">
        <v>12600</v>
      </c>
      <c r="K883">
        <v>50.4</v>
      </c>
      <c r="L883">
        <v>29.2</v>
      </c>
      <c r="M883" s="4">
        <v>248</v>
      </c>
      <c r="N883" s="3">
        <f t="shared" si="449"/>
        <v>249.65481269316908</v>
      </c>
      <c r="O883">
        <v>2</v>
      </c>
      <c r="P883">
        <v>2.4E-2</v>
      </c>
      <c r="Q883" s="8">
        <f>IFERROR(X883/Z883, "NA")</f>
        <v>2.4193548387096774E-2</v>
      </c>
      <c r="R883" t="s">
        <v>183</v>
      </c>
      <c r="S883" t="s">
        <v>612</v>
      </c>
      <c r="T883" s="11">
        <v>1</v>
      </c>
      <c r="U883">
        <v>3.4</v>
      </c>
      <c r="V883">
        <v>3</v>
      </c>
      <c r="W883">
        <v>2.4E-2</v>
      </c>
      <c r="X883" s="8">
        <f t="shared" si="448"/>
        <v>2.4033183799961926E-2</v>
      </c>
      <c r="Y883" s="6">
        <f>1</f>
        <v>1</v>
      </c>
      <c r="Z883" s="3">
        <f t="shared" si="444"/>
        <v>0.99337159706509304</v>
      </c>
      <c r="AA883">
        <v>6</v>
      </c>
      <c r="AB883" s="6">
        <f>IFERROR(((X883*M883)/Z883), "NA")</f>
        <v>6</v>
      </c>
      <c r="AC883">
        <f t="shared" si="446"/>
        <v>5.952</v>
      </c>
      <c r="AD883" s="4">
        <f>IFERROR(AB883*T883*AI883, "NA")</f>
        <v>6</v>
      </c>
      <c r="AE883" s="3">
        <f t="shared" si="447"/>
        <v>10.231679999999999</v>
      </c>
      <c r="AF883">
        <v>12</v>
      </c>
      <c r="AG883">
        <f t="shared" si="450"/>
        <v>11.904</v>
      </c>
      <c r="AH883">
        <f t="shared" si="451"/>
        <v>11.904</v>
      </c>
      <c r="AI883" s="11">
        <v>1</v>
      </c>
      <c r="AJ883" t="s">
        <v>31</v>
      </c>
      <c r="AK883">
        <v>1000</v>
      </c>
      <c r="AL883" t="s">
        <v>169</v>
      </c>
      <c r="AM883" t="s">
        <v>103</v>
      </c>
      <c r="AN883" t="s">
        <v>305</v>
      </c>
      <c r="AO883" t="s">
        <v>790</v>
      </c>
      <c r="AP883">
        <v>4.5</v>
      </c>
      <c r="AQ883" t="s">
        <v>33</v>
      </c>
      <c r="AR883" t="s">
        <v>33</v>
      </c>
      <c r="AS883" s="6">
        <f>LOG(3*10^7)</f>
        <v>7.4771212547196626</v>
      </c>
      <c r="AT883" s="3">
        <f t="shared" si="452"/>
        <v>5.1171212547196632</v>
      </c>
      <c r="AU883" s="6">
        <v>2.36</v>
      </c>
      <c r="AV883" t="b">
        <v>1</v>
      </c>
      <c r="AW883" t="s">
        <v>123</v>
      </c>
      <c r="AX883" t="s">
        <v>88</v>
      </c>
      <c r="AY883" t="s">
        <v>306</v>
      </c>
      <c r="AZ883" t="s">
        <v>33</v>
      </c>
      <c r="BA883" s="18" t="s">
        <v>579</v>
      </c>
      <c r="BB883" t="b">
        <v>1</v>
      </c>
      <c r="BC883" t="s">
        <v>81</v>
      </c>
      <c r="BD883">
        <v>48</v>
      </c>
      <c r="BE883" t="s">
        <v>80</v>
      </c>
      <c r="BF883" s="11">
        <v>120</v>
      </c>
      <c r="BG883" t="s">
        <v>395</v>
      </c>
      <c r="BH883" t="s">
        <v>31</v>
      </c>
      <c r="BI883" t="s">
        <v>31</v>
      </c>
      <c r="BJ883" s="3">
        <f t="shared" si="438"/>
        <v>2.36</v>
      </c>
      <c r="BK883" s="3">
        <f t="shared" si="453"/>
        <v>0.37291200297010657</v>
      </c>
      <c r="BL883">
        <v>2</v>
      </c>
      <c r="BM883" s="3">
        <f t="shared" si="432"/>
        <v>0.63703494597435484</v>
      </c>
      <c r="BN883" t="s">
        <v>33</v>
      </c>
      <c r="BO883" s="3">
        <f t="shared" si="419"/>
        <v>4.335457627118644</v>
      </c>
      <c r="BP883" t="s">
        <v>33</v>
      </c>
      <c r="BQ883" t="s">
        <v>33</v>
      </c>
      <c r="BR883" t="s">
        <v>33</v>
      </c>
      <c r="BS883" t="s">
        <v>33</v>
      </c>
      <c r="BT883" t="s">
        <v>32</v>
      </c>
      <c r="BU883" t="s">
        <v>323</v>
      </c>
      <c r="BV883">
        <v>2003</v>
      </c>
      <c r="BW883" s="2" t="s">
        <v>322</v>
      </c>
      <c r="BX883" t="s">
        <v>78</v>
      </c>
      <c r="BY883" t="s">
        <v>33</v>
      </c>
      <c r="BZ883" t="s">
        <v>33</v>
      </c>
      <c r="CA883" t="str">
        <f t="shared" si="420"/>
        <v>high acid</v>
      </c>
    </row>
    <row r="884" spans="1:79">
      <c r="A884" t="s">
        <v>722</v>
      </c>
      <c r="B884" t="s">
        <v>566</v>
      </c>
      <c r="C884" t="s">
        <v>563</v>
      </c>
      <c r="D884" t="s">
        <v>699</v>
      </c>
      <c r="E884" t="s">
        <v>77</v>
      </c>
      <c r="F884" t="s">
        <v>32</v>
      </c>
      <c r="G884">
        <v>20</v>
      </c>
      <c r="H884">
        <v>42.5</v>
      </c>
      <c r="I884" t="b">
        <v>1</v>
      </c>
      <c r="J884" t="s">
        <v>33</v>
      </c>
      <c r="K884" t="s">
        <v>33</v>
      </c>
      <c r="L884">
        <v>20</v>
      </c>
      <c r="M884" s="4">
        <v>47</v>
      </c>
      <c r="N884" s="3">
        <f t="shared" si="449"/>
        <v>46.759259259259245</v>
      </c>
      <c r="O884">
        <v>5</v>
      </c>
      <c r="P884">
        <v>0.43</v>
      </c>
      <c r="Q884" s="8">
        <f>IFERROR(X884/Y884, "NA")</f>
        <v>0.43200000000000011</v>
      </c>
      <c r="R884" t="s">
        <v>183</v>
      </c>
      <c r="S884" t="s">
        <v>612</v>
      </c>
      <c r="T884" s="11">
        <v>1</v>
      </c>
      <c r="U884">
        <v>4</v>
      </c>
      <c r="V884" t="s">
        <v>33</v>
      </c>
      <c r="W884">
        <f>0.4*3*0.5</f>
        <v>0.60000000000000009</v>
      </c>
      <c r="X884" s="9">
        <f>W884</f>
        <v>0.60000000000000009</v>
      </c>
      <c r="Y884" s="6">
        <f>5000/3600</f>
        <v>1.3888888888888888</v>
      </c>
      <c r="Z884" s="3">
        <f t="shared" si="444"/>
        <v>1.3960396039603959</v>
      </c>
      <c r="AA884" t="s">
        <v>33</v>
      </c>
      <c r="AB884" s="4">
        <f>IFERROR(((X884*M884)/Y884), "NA")</f>
        <v>20.304000000000002</v>
      </c>
      <c r="AC884" s="4">
        <f t="shared" si="446"/>
        <v>20.21</v>
      </c>
      <c r="AD884" s="4">
        <f>AB884*T884*AI884</f>
        <v>20.304000000000002</v>
      </c>
      <c r="AE884" s="3">
        <f t="shared" si="447"/>
        <v>81.216000000000022</v>
      </c>
      <c r="AF884">
        <v>101</v>
      </c>
      <c r="AG884" s="4">
        <f t="shared" si="450"/>
        <v>101.05</v>
      </c>
      <c r="AH884" s="4">
        <f t="shared" si="451"/>
        <v>101.05</v>
      </c>
      <c r="AI884">
        <v>1</v>
      </c>
      <c r="AJ884" s="11" t="s">
        <v>31</v>
      </c>
      <c r="AK884">
        <v>2000</v>
      </c>
      <c r="AL884" t="s">
        <v>784</v>
      </c>
      <c r="AM884" t="s">
        <v>103</v>
      </c>
      <c r="AN884" t="s">
        <v>130</v>
      </c>
      <c r="AO884" t="s">
        <v>795</v>
      </c>
      <c r="AP884">
        <v>7</v>
      </c>
      <c r="AQ884" t="s">
        <v>33</v>
      </c>
      <c r="AR884" t="s">
        <v>33</v>
      </c>
      <c r="AS884" s="6">
        <f>LOG(AVERAGE(10^8, 10^9))</f>
        <v>8.7403626894942441</v>
      </c>
      <c r="AT884" s="3">
        <f t="shared" si="452"/>
        <v>5.1173626894942439</v>
      </c>
      <c r="AU884" s="6">
        <v>3.6230000000000002</v>
      </c>
      <c r="AV884" t="b">
        <v>1</v>
      </c>
      <c r="AW884" t="s">
        <v>123</v>
      </c>
      <c r="AX884" t="s">
        <v>88</v>
      </c>
      <c r="AY884" t="s">
        <v>730</v>
      </c>
      <c r="AZ884" t="s">
        <v>33</v>
      </c>
      <c r="BA884" s="18" t="s">
        <v>579</v>
      </c>
      <c r="BB884" s="3" t="b">
        <v>1</v>
      </c>
      <c r="BC884" t="s">
        <v>81</v>
      </c>
      <c r="BD884">
        <v>24</v>
      </c>
      <c r="BE884" t="s">
        <v>80</v>
      </c>
      <c r="BF884">
        <v>48</v>
      </c>
      <c r="BG884" t="s">
        <v>395</v>
      </c>
      <c r="BH884" t="s">
        <v>31</v>
      </c>
      <c r="BI884" t="s">
        <v>31</v>
      </c>
      <c r="BJ884" s="3">
        <f t="shared" si="438"/>
        <v>3.6230000000000002</v>
      </c>
      <c r="BK884" s="3">
        <f t="shared" si="453"/>
        <v>0.55906833403453682</v>
      </c>
      <c r="BL884">
        <v>2</v>
      </c>
      <c r="BM884" s="3">
        <f t="shared" si="432"/>
        <v>1.3505732620440551</v>
      </c>
      <c r="BN884" t="s">
        <v>33</v>
      </c>
      <c r="BO884" s="3">
        <f t="shared" si="419"/>
        <v>22.416781672646984</v>
      </c>
      <c r="BP884" t="s">
        <v>33</v>
      </c>
      <c r="BQ884" t="s">
        <v>33</v>
      </c>
      <c r="BR884" t="s">
        <v>33</v>
      </c>
      <c r="BS884" t="s">
        <v>33</v>
      </c>
      <c r="BT884" t="s">
        <v>32</v>
      </c>
      <c r="BU884" t="s">
        <v>709</v>
      </c>
      <c r="BV884">
        <v>2024</v>
      </c>
      <c r="BW884" t="s">
        <v>710</v>
      </c>
      <c r="BX884" t="s">
        <v>78</v>
      </c>
      <c r="BY884" t="s">
        <v>711</v>
      </c>
      <c r="CA884" t="str">
        <f t="shared" si="420"/>
        <v>low acid</v>
      </c>
    </row>
    <row r="885" spans="1:79">
      <c r="A885" t="s">
        <v>585</v>
      </c>
      <c r="B885" t="s">
        <v>565</v>
      </c>
      <c r="C885" t="s">
        <v>563</v>
      </c>
      <c r="D885" t="s">
        <v>608</v>
      </c>
      <c r="E885" t="s">
        <v>77</v>
      </c>
      <c r="F885" t="s">
        <v>32</v>
      </c>
      <c r="G885" t="s">
        <v>33</v>
      </c>
      <c r="H885" t="s">
        <v>33</v>
      </c>
      <c r="I885" t="b">
        <v>0</v>
      </c>
      <c r="J885" t="s">
        <v>33</v>
      </c>
      <c r="K885">
        <v>13.5</v>
      </c>
      <c r="L885">
        <v>25</v>
      </c>
      <c r="M885" s="4">
        <v>200</v>
      </c>
      <c r="N885" t="e">
        <f>(#REF!*Y885)/(T885*X885*O885)</f>
        <v>#REF!</v>
      </c>
      <c r="O885">
        <v>2.12</v>
      </c>
      <c r="P885" t="s">
        <v>33</v>
      </c>
      <c r="Q885" s="1">
        <f t="shared" ref="Q885:Q904" si="454">IFERROR(X885/Z885, "NA")</f>
        <v>0.14740566037735847</v>
      </c>
      <c r="R885" t="s">
        <v>183</v>
      </c>
      <c r="S885" t="s">
        <v>613</v>
      </c>
      <c r="T885">
        <v>4</v>
      </c>
      <c r="U885">
        <v>1.9</v>
      </c>
      <c r="V885">
        <v>2.2999999999999998</v>
      </c>
      <c r="W885" t="s">
        <v>33</v>
      </c>
      <c r="X885">
        <f t="shared" ref="X885:X893" si="455">IFERROR(((PI())*(((V885*10^-1)/2)^2)*(U885*10^-1)), "NA")</f>
        <v>7.8940369403077502E-3</v>
      </c>
      <c r="Y885">
        <v>1.2</v>
      </c>
      <c r="Z885" s="3">
        <f t="shared" si="444"/>
        <v>5.3553146603047781E-2</v>
      </c>
      <c r="AA885" t="s">
        <v>33</v>
      </c>
      <c r="AB885">
        <f>IFERROR(((X885*M885)/Z885), "NA")</f>
        <v>29.481132075471695</v>
      </c>
      <c r="AC885" s="1" t="str">
        <f t="shared" si="446"/>
        <v>NA</v>
      </c>
      <c r="AE885" s="3">
        <f t="shared" si="447"/>
        <v>1012.4999999999998</v>
      </c>
      <c r="AF885">
        <v>250</v>
      </c>
      <c r="AG885" s="1" t="str">
        <f>IFERROR((N885*P885*Q885), "NA")</f>
        <v>NA</v>
      </c>
      <c r="AH885" s="1" t="str">
        <f>IFERROR((AG885*U885*AI885), "NA")</f>
        <v>NA</v>
      </c>
      <c r="AI885" s="1">
        <v>1</v>
      </c>
      <c r="AJ885" s="11" t="s">
        <v>31</v>
      </c>
      <c r="AK885">
        <v>6480</v>
      </c>
      <c r="AL885" t="s">
        <v>562</v>
      </c>
      <c r="AM885" s="3" t="s">
        <v>786</v>
      </c>
      <c r="AN885" t="s">
        <v>186</v>
      </c>
      <c r="AO885" t="s">
        <v>793</v>
      </c>
      <c r="AP885">
        <v>7.67</v>
      </c>
      <c r="AQ885" t="s">
        <v>33</v>
      </c>
      <c r="AR885" t="s">
        <v>33</v>
      </c>
      <c r="AS885">
        <v>5.73</v>
      </c>
      <c r="AT885">
        <v>5.13</v>
      </c>
      <c r="AU885" s="6">
        <f>AS885-AT885</f>
        <v>0.60000000000000053</v>
      </c>
      <c r="AV885" t="b">
        <v>1</v>
      </c>
      <c r="AW885" t="s">
        <v>617</v>
      </c>
      <c r="AX885" t="s">
        <v>33</v>
      </c>
      <c r="AY885" t="s">
        <v>622</v>
      </c>
      <c r="AZ885" t="s">
        <v>619</v>
      </c>
      <c r="BA885" s="18" t="s">
        <v>802</v>
      </c>
      <c r="BB885" s="3" t="b">
        <v>0</v>
      </c>
      <c r="BC885" t="s">
        <v>81</v>
      </c>
      <c r="BD885">
        <v>48</v>
      </c>
      <c r="BE885" t="s">
        <v>80</v>
      </c>
      <c r="BF885">
        <v>48</v>
      </c>
      <c r="BG885" t="s">
        <v>569</v>
      </c>
      <c r="BH885" t="s">
        <v>31</v>
      </c>
      <c r="BI885" t="s">
        <v>31</v>
      </c>
      <c r="BJ885">
        <f t="shared" si="438"/>
        <v>0.60000000000000053</v>
      </c>
      <c r="BK885" s="3">
        <f t="shared" si="453"/>
        <v>-0.22184874961635598</v>
      </c>
      <c r="BL885">
        <v>2</v>
      </c>
      <c r="BM885" s="3">
        <f t="shared" ref="BM885:BM910" si="456">IFERROR(LOG(BO885),"NA")</f>
        <v>3.2272437815030619</v>
      </c>
      <c r="BN885" t="s">
        <v>33</v>
      </c>
      <c r="BO885" s="3">
        <f t="shared" si="419"/>
        <v>1687.4999999999982</v>
      </c>
      <c r="BP885" t="s">
        <v>33</v>
      </c>
      <c r="BQ885" t="s">
        <v>33</v>
      </c>
      <c r="BR885" t="s">
        <v>33</v>
      </c>
      <c r="BS885" t="s">
        <v>33</v>
      </c>
      <c r="BT885" t="s">
        <v>31</v>
      </c>
      <c r="BU885" t="s">
        <v>652</v>
      </c>
      <c r="BV885">
        <v>2004</v>
      </c>
      <c r="BW885" t="s">
        <v>653</v>
      </c>
      <c r="BX885" t="s">
        <v>78</v>
      </c>
      <c r="BY885" s="13" t="s">
        <v>675</v>
      </c>
      <c r="CA885" t="str">
        <f t="shared" si="420"/>
        <v>low acid</v>
      </c>
    </row>
    <row r="886" spans="1:79">
      <c r="A886" t="s">
        <v>221</v>
      </c>
      <c r="B886" t="s">
        <v>565</v>
      </c>
      <c r="C886" t="s">
        <v>563</v>
      </c>
      <c r="D886" t="s">
        <v>118</v>
      </c>
      <c r="E886" t="s">
        <v>77</v>
      </c>
      <c r="F886" t="s">
        <v>32</v>
      </c>
      <c r="G886">
        <v>5</v>
      </c>
      <c r="H886">
        <v>30.3</v>
      </c>
      <c r="I886" t="b">
        <v>0</v>
      </c>
      <c r="J886" t="s">
        <v>33</v>
      </c>
      <c r="K886" t="s">
        <v>33</v>
      </c>
      <c r="L886">
        <v>35</v>
      </c>
      <c r="M886" s="4">
        <v>175</v>
      </c>
      <c r="N886" s="3">
        <f>IFERROR(AF886/((T886*X886/Y886)*O886*AI886),"NA")</f>
        <v>2146.5468453538301</v>
      </c>
      <c r="O886">
        <v>4</v>
      </c>
      <c r="P886" t="s">
        <v>33</v>
      </c>
      <c r="Q886" s="8">
        <f t="shared" si="454"/>
        <v>8.9285714285714288E-2</v>
      </c>
      <c r="R886" t="s">
        <v>183</v>
      </c>
      <c r="S886" t="s">
        <v>613</v>
      </c>
      <c r="T886" s="11">
        <v>8</v>
      </c>
      <c r="U886">
        <v>2.92</v>
      </c>
      <c r="V886">
        <v>2.2999999999999998</v>
      </c>
      <c r="W886">
        <v>1.21E-2</v>
      </c>
      <c r="X886" s="8">
        <f t="shared" si="455"/>
        <v>1.2131888350367701E-2</v>
      </c>
      <c r="Y886" s="6">
        <f>100/60</f>
        <v>1.6666666666666667</v>
      </c>
      <c r="Z886" s="3">
        <f t="shared" si="444"/>
        <v>0.13587714952411825</v>
      </c>
      <c r="AA886" t="s">
        <v>33</v>
      </c>
      <c r="AB886" s="6">
        <f>IFERROR(((X886*M886)/Z886), "NA")</f>
        <v>15.624999999999998</v>
      </c>
      <c r="AC886" t="str">
        <f t="shared" si="446"/>
        <v>NA</v>
      </c>
      <c r="AD886" s="4">
        <f>AB886*T886*AI886</f>
        <v>124.99999999999999</v>
      </c>
      <c r="AE886" s="3">
        <f t="shared" si="447"/>
        <v>2241.75</v>
      </c>
      <c r="AF886">
        <v>500</v>
      </c>
      <c r="AG886" t="str">
        <f>IFERROR((M886*O886*P886), "NA")</f>
        <v>NA</v>
      </c>
      <c r="AH886" t="str">
        <f>IFERROR((AG886*T886*AI886), "NA")</f>
        <v>NA</v>
      </c>
      <c r="AI886">
        <v>1</v>
      </c>
      <c r="AJ886" t="s">
        <v>31</v>
      </c>
      <c r="AK886">
        <v>3660</v>
      </c>
      <c r="AL886" t="s">
        <v>541</v>
      </c>
      <c r="AM886" t="s">
        <v>86</v>
      </c>
      <c r="AN886" t="s">
        <v>186</v>
      </c>
      <c r="AO886" t="s">
        <v>794</v>
      </c>
      <c r="AP886">
        <v>5.46</v>
      </c>
      <c r="AQ886" t="s">
        <v>33</v>
      </c>
      <c r="AR886" t="s">
        <v>33</v>
      </c>
      <c r="AS886" s="6">
        <f>LOG((10^7+10^8)/2)</f>
        <v>7.7403626894942441</v>
      </c>
      <c r="AT886" s="3">
        <f>IFERROR(AS886-AU886,"NA")</f>
        <v>5.1303626894942447</v>
      </c>
      <c r="AU886" s="6">
        <v>2.61</v>
      </c>
      <c r="AV886" t="b">
        <v>1</v>
      </c>
      <c r="AW886" t="s">
        <v>29</v>
      </c>
      <c r="AX886" t="s">
        <v>30</v>
      </c>
      <c r="AY886" s="10">
        <v>1107</v>
      </c>
      <c r="AZ886" t="s">
        <v>33</v>
      </c>
      <c r="BA886" s="18" t="s">
        <v>798</v>
      </c>
      <c r="BB886" t="b">
        <v>0</v>
      </c>
      <c r="BC886" t="s">
        <v>81</v>
      </c>
      <c r="BD886">
        <f>(16+14)/2</f>
        <v>15</v>
      </c>
      <c r="BE886" t="s">
        <v>80</v>
      </c>
      <c r="BF886" t="s">
        <v>33</v>
      </c>
      <c r="BG886" t="s">
        <v>222</v>
      </c>
      <c r="BH886" t="s">
        <v>31</v>
      </c>
      <c r="BI886" t="s">
        <v>31</v>
      </c>
      <c r="BJ886" s="3">
        <f t="shared" si="438"/>
        <v>2.61</v>
      </c>
      <c r="BK886" s="3">
        <f t="shared" si="453"/>
        <v>0.41664050733828095</v>
      </c>
      <c r="BL886">
        <v>2</v>
      </c>
      <c r="BM886" s="3">
        <f t="shared" si="456"/>
        <v>2.9339466710926998</v>
      </c>
      <c r="BN886" t="s">
        <v>33</v>
      </c>
      <c r="BO886" s="3">
        <f t="shared" si="419"/>
        <v>858.90804597701151</v>
      </c>
      <c r="BP886" t="s">
        <v>33</v>
      </c>
      <c r="BQ886" t="s">
        <v>33</v>
      </c>
      <c r="BR886" t="s">
        <v>33</v>
      </c>
      <c r="BS886" t="s">
        <v>33</v>
      </c>
      <c r="BT886" t="s">
        <v>31</v>
      </c>
      <c r="BU886" t="s">
        <v>219</v>
      </c>
      <c r="BV886">
        <v>2007</v>
      </c>
      <c r="BW886" t="s">
        <v>218</v>
      </c>
      <c r="BX886" t="s">
        <v>78</v>
      </c>
      <c r="BY886" t="s">
        <v>33</v>
      </c>
      <c r="BZ886" t="s">
        <v>33</v>
      </c>
      <c r="CA886" t="str">
        <f t="shared" si="420"/>
        <v>low acid</v>
      </c>
    </row>
    <row r="887" spans="1:79">
      <c r="A887" t="s">
        <v>534</v>
      </c>
      <c r="B887" t="s">
        <v>565</v>
      </c>
      <c r="C887" t="s">
        <v>564</v>
      </c>
      <c r="D887" t="s">
        <v>243</v>
      </c>
      <c r="E887" t="s">
        <v>77</v>
      </c>
      <c r="F887" t="s">
        <v>32</v>
      </c>
      <c r="G887">
        <v>40</v>
      </c>
      <c r="H887">
        <v>50.2</v>
      </c>
      <c r="I887" t="b">
        <v>0</v>
      </c>
      <c r="J887" t="s">
        <v>33</v>
      </c>
      <c r="K887" t="s">
        <v>33</v>
      </c>
      <c r="L887">
        <v>24</v>
      </c>
      <c r="M887" s="4">
        <v>120</v>
      </c>
      <c r="N887" s="3">
        <f>IFERROR(AF887/((T887*X887/Y887)*O887*AI887),"NA")</f>
        <v>150.41764016738955</v>
      </c>
      <c r="O887">
        <v>3</v>
      </c>
      <c r="P887" t="s">
        <v>33</v>
      </c>
      <c r="Q887" s="8">
        <f t="shared" si="454"/>
        <v>4.7916666666666663E-2</v>
      </c>
      <c r="R887" t="s">
        <v>183</v>
      </c>
      <c r="S887" t="s">
        <v>612</v>
      </c>
      <c r="T887" s="11">
        <v>4</v>
      </c>
      <c r="U887">
        <v>3</v>
      </c>
      <c r="V887">
        <v>2.6</v>
      </c>
      <c r="W887">
        <v>1.5900000000000001E-2</v>
      </c>
      <c r="X887" s="8">
        <f t="shared" si="455"/>
        <v>1.5927874753700257E-2</v>
      </c>
      <c r="Y887" s="6">
        <f>25/60</f>
        <v>0.41666666666666669</v>
      </c>
      <c r="Z887" s="3">
        <f t="shared" si="444"/>
        <v>0.332407820946788</v>
      </c>
      <c r="AA887" t="s">
        <v>33</v>
      </c>
      <c r="AB887" s="6">
        <f>IFERROR(((X887*M887)/Z887), "NA")</f>
        <v>5.7499999999999991</v>
      </c>
      <c r="AC887" t="str">
        <f t="shared" si="446"/>
        <v>NA</v>
      </c>
      <c r="AD887" s="4">
        <f>IFERROR(AB887*T887*AI887, "NA")</f>
        <v>22.999999999999996</v>
      </c>
      <c r="AE887" s="3">
        <f t="shared" si="447"/>
        <v>36.564479999999996</v>
      </c>
      <c r="AF887">
        <v>69</v>
      </c>
      <c r="AG887" t="str">
        <f>IFERROR((M887*O887*P887), "NA")</f>
        <v>NA</v>
      </c>
      <c r="AH887" t="str">
        <f>IFERROR((AG887*T887*AI887), "NA")</f>
        <v>NA</v>
      </c>
      <c r="AI887" s="11">
        <v>1</v>
      </c>
      <c r="AJ887" t="s">
        <v>31</v>
      </c>
      <c r="AK887">
        <v>920</v>
      </c>
      <c r="AL887" t="s">
        <v>551</v>
      </c>
      <c r="AM887" t="s">
        <v>86</v>
      </c>
      <c r="AN887" t="s">
        <v>186</v>
      </c>
      <c r="AO887" t="s">
        <v>794</v>
      </c>
      <c r="AP887">
        <v>5.92</v>
      </c>
      <c r="AQ887" t="s">
        <v>33</v>
      </c>
      <c r="AR887" t="s">
        <v>33</v>
      </c>
      <c r="AS887" s="6">
        <f>LOG(1.4*10^6)</f>
        <v>6.1461280356782382</v>
      </c>
      <c r="AT887" s="3">
        <f>IFERROR(AS887-AU887,"NA")</f>
        <v>5.1331280356782383</v>
      </c>
      <c r="AU887" s="6">
        <v>1.0129999999999999</v>
      </c>
      <c r="AV887" t="b">
        <v>1</v>
      </c>
      <c r="AW887" t="s">
        <v>29</v>
      </c>
      <c r="AX887" t="s">
        <v>30</v>
      </c>
      <c r="AY887" t="s">
        <v>244</v>
      </c>
      <c r="AZ887" t="s">
        <v>33</v>
      </c>
      <c r="BA887" s="18" t="s">
        <v>798</v>
      </c>
      <c r="BB887" t="b">
        <v>0</v>
      </c>
      <c r="BC887" t="s">
        <v>81</v>
      </c>
      <c r="BD887">
        <v>20</v>
      </c>
      <c r="BE887" t="s">
        <v>80</v>
      </c>
      <c r="BF887" s="11">
        <v>20</v>
      </c>
      <c r="BG887" t="s">
        <v>245</v>
      </c>
      <c r="BH887" t="s">
        <v>31</v>
      </c>
      <c r="BI887" t="s">
        <v>31</v>
      </c>
      <c r="BJ887" s="3">
        <f t="shared" si="438"/>
        <v>1.0129999999999999</v>
      </c>
      <c r="BK887" s="3">
        <f t="shared" si="453"/>
        <v>5.6094453602803856E-3</v>
      </c>
      <c r="BL887">
        <v>2</v>
      </c>
      <c r="BM887" s="3">
        <f t="shared" si="456"/>
        <v>1.5574499561457422</v>
      </c>
      <c r="BN887" t="s">
        <v>33</v>
      </c>
      <c r="BO887" s="3">
        <f t="shared" si="419"/>
        <v>36.095241855873645</v>
      </c>
      <c r="BP887" t="s">
        <v>33</v>
      </c>
      <c r="BQ887" t="s">
        <v>33</v>
      </c>
      <c r="BR887" t="s">
        <v>33</v>
      </c>
      <c r="BS887" t="s">
        <v>33</v>
      </c>
      <c r="BT887" t="s">
        <v>32</v>
      </c>
      <c r="BU887" t="s">
        <v>207</v>
      </c>
      <c r="BV887">
        <v>2014</v>
      </c>
      <c r="BW887" s="2" t="s">
        <v>242</v>
      </c>
      <c r="BX887" t="s">
        <v>78</v>
      </c>
      <c r="BY887" t="s">
        <v>33</v>
      </c>
      <c r="BZ887" t="s">
        <v>33</v>
      </c>
      <c r="CA887" t="str">
        <f t="shared" si="420"/>
        <v>low acid</v>
      </c>
    </row>
    <row r="888" spans="1:79">
      <c r="A888" t="s">
        <v>771</v>
      </c>
      <c r="B888" t="s">
        <v>565</v>
      </c>
      <c r="C888" t="s">
        <v>563</v>
      </c>
      <c r="D888" t="s">
        <v>118</v>
      </c>
      <c r="E888" t="s">
        <v>77</v>
      </c>
      <c r="F888" t="s">
        <v>32</v>
      </c>
      <c r="G888">
        <v>20</v>
      </c>
      <c r="H888" t="s">
        <v>33</v>
      </c>
      <c r="I888" t="b">
        <v>0</v>
      </c>
      <c r="J888" t="s">
        <v>33</v>
      </c>
      <c r="K888" t="s">
        <v>33</v>
      </c>
      <c r="L888">
        <v>30</v>
      </c>
      <c r="M888" s="4">
        <v>500</v>
      </c>
      <c r="N888" s="3">
        <f>IFERROR(AF888/((T888*X888/Y888)*O888*AI888),"NA")</f>
        <v>1198.5554367799659</v>
      </c>
      <c r="O888">
        <v>3</v>
      </c>
      <c r="P888" s="8">
        <f>Q888</f>
        <v>3.3555555555555554E-2</v>
      </c>
      <c r="Q888" s="8">
        <f t="shared" si="454"/>
        <v>3.3555555555555554E-2</v>
      </c>
      <c r="R888" t="s">
        <v>183</v>
      </c>
      <c r="S888" t="s">
        <v>613</v>
      </c>
      <c r="T888" s="11">
        <v>6</v>
      </c>
      <c r="U888">
        <v>2.92</v>
      </c>
      <c r="V888">
        <v>2.2999999999999998</v>
      </c>
      <c r="W888" s="16">
        <f>X888</f>
        <v>1.2131888350367701E-2</v>
      </c>
      <c r="X888" s="16">
        <f t="shared" si="455"/>
        <v>1.2131888350367701E-2</v>
      </c>
      <c r="Y888" s="6">
        <f>52/60</f>
        <v>0.8666666666666667</v>
      </c>
      <c r="Z888" s="3">
        <f t="shared" si="444"/>
        <v>0.36154634156724935</v>
      </c>
      <c r="AA888" t="s">
        <v>33</v>
      </c>
      <c r="AB888" s="4">
        <f>IFERROR(((X888*M888)/Y888), "NA")</f>
        <v>6.9991663559813659</v>
      </c>
      <c r="AC888" s="4">
        <f t="shared" si="446"/>
        <v>16.777777777777779</v>
      </c>
      <c r="AD888" s="4">
        <f>AB888*T888*AI888</f>
        <v>41.994998135888196</v>
      </c>
      <c r="AE888" s="3">
        <f t="shared" si="447"/>
        <v>747.44999999999993</v>
      </c>
      <c r="AF888">
        <v>302</v>
      </c>
      <c r="AG888" s="4">
        <f>IFERROR((M888*O888*P888), "NA")</f>
        <v>50.333333333333329</v>
      </c>
      <c r="AH888" s="4">
        <f>IFERROR((AG888*T888*AI888), "NA")</f>
        <v>302</v>
      </c>
      <c r="AI888">
        <v>1</v>
      </c>
      <c r="AJ888" s="11" t="s">
        <v>31</v>
      </c>
      <c r="AK888">
        <v>2750</v>
      </c>
      <c r="AL888" t="s">
        <v>149</v>
      </c>
      <c r="AM888" t="s">
        <v>86</v>
      </c>
      <c r="AN888" t="s">
        <v>205</v>
      </c>
      <c r="AO888" t="s">
        <v>789</v>
      </c>
      <c r="AP888">
        <v>3.67</v>
      </c>
      <c r="AQ888" t="s">
        <v>33</v>
      </c>
      <c r="AR888" t="s">
        <v>33</v>
      </c>
      <c r="AS888">
        <v>5.8979999999999997</v>
      </c>
      <c r="AT888" s="3">
        <f>IFERROR(AS888-AU888,"NA")</f>
        <v>5.1349999999999998</v>
      </c>
      <c r="AU888" s="6">
        <f>AS888-5.135</f>
        <v>0.7629999999999999</v>
      </c>
      <c r="AV888" t="b">
        <v>1</v>
      </c>
      <c r="AW888" t="s">
        <v>92</v>
      </c>
      <c r="AX888" t="s">
        <v>93</v>
      </c>
      <c r="AY888" t="s">
        <v>137</v>
      </c>
      <c r="AZ888" t="s">
        <v>33</v>
      </c>
      <c r="BA888" s="18" t="s">
        <v>801</v>
      </c>
      <c r="BB888" s="3" t="b">
        <v>0</v>
      </c>
      <c r="BC888" t="s">
        <v>81</v>
      </c>
      <c r="BD888">
        <v>36</v>
      </c>
      <c r="BE888" t="s">
        <v>80</v>
      </c>
      <c r="BF888">
        <v>36</v>
      </c>
      <c r="BG888" t="s">
        <v>775</v>
      </c>
      <c r="BH888" t="s">
        <v>32</v>
      </c>
      <c r="BI888" t="s">
        <v>31</v>
      </c>
      <c r="BJ888" s="3">
        <f t="shared" si="438"/>
        <v>0.7629999999999999</v>
      </c>
      <c r="BK888" s="3">
        <f t="shared" si="453"/>
        <v>-0.11747546204511959</v>
      </c>
      <c r="BL888">
        <v>2</v>
      </c>
      <c r="BM888" s="3">
        <f t="shared" si="456"/>
        <v>2.9910576082718578</v>
      </c>
      <c r="BN888" t="s">
        <v>33</v>
      </c>
      <c r="BO888" s="3">
        <f t="shared" si="419"/>
        <v>979.6199213630407</v>
      </c>
      <c r="BP888" t="s">
        <v>33</v>
      </c>
      <c r="BQ888" t="s">
        <v>33</v>
      </c>
      <c r="BR888" t="s">
        <v>33</v>
      </c>
      <c r="BS888" t="s">
        <v>33</v>
      </c>
      <c r="BT888" t="s">
        <v>31</v>
      </c>
      <c r="BU888" t="s">
        <v>163</v>
      </c>
      <c r="BV888">
        <v>2023</v>
      </c>
      <c r="BW888" t="s">
        <v>776</v>
      </c>
      <c r="BX888" t="s">
        <v>78</v>
      </c>
      <c r="BY888" t="s">
        <v>772</v>
      </c>
      <c r="CA888" t="str">
        <f t="shared" si="420"/>
        <v>high acid</v>
      </c>
    </row>
    <row r="889" spans="1:79">
      <c r="A889" t="s">
        <v>220</v>
      </c>
      <c r="B889" t="s">
        <v>565</v>
      </c>
      <c r="C889" t="s">
        <v>563</v>
      </c>
      <c r="D889" t="s">
        <v>118</v>
      </c>
      <c r="E889" t="s">
        <v>77</v>
      </c>
      <c r="F889" t="s">
        <v>32</v>
      </c>
      <c r="G889">
        <v>5</v>
      </c>
      <c r="H889">
        <v>39.1</v>
      </c>
      <c r="I889" t="b">
        <v>0</v>
      </c>
      <c r="J889" t="s">
        <v>33</v>
      </c>
      <c r="K889" t="s">
        <v>33</v>
      </c>
      <c r="L889">
        <v>35</v>
      </c>
      <c r="M889" s="4">
        <v>100</v>
      </c>
      <c r="N889" s="3">
        <f>IFERROR(AF889/((T889*X889/Y889)*O889*AI889),"NA")</f>
        <v>2146.5468453538301</v>
      </c>
      <c r="O889">
        <v>4</v>
      </c>
      <c r="P889" t="s">
        <v>33</v>
      </c>
      <c r="Q889">
        <f t="shared" si="454"/>
        <v>0.15625</v>
      </c>
      <c r="R889" t="s">
        <v>183</v>
      </c>
      <c r="S889" t="s">
        <v>613</v>
      </c>
      <c r="T889" s="11">
        <v>8</v>
      </c>
      <c r="U889">
        <v>2.92</v>
      </c>
      <c r="V889">
        <v>2.2999999999999998</v>
      </c>
      <c r="W889">
        <v>1.21E-2</v>
      </c>
      <c r="X889" s="8">
        <f t="shared" si="455"/>
        <v>1.2131888350367701E-2</v>
      </c>
      <c r="Y889" s="6">
        <f>100/60</f>
        <v>1.6666666666666667</v>
      </c>
      <c r="Z889" s="3">
        <f t="shared" si="444"/>
        <v>7.7644085442353281E-2</v>
      </c>
      <c r="AA889" t="s">
        <v>33</v>
      </c>
      <c r="AB889" s="6">
        <f>IFERROR(((X889*M889)/Z889), "NA")</f>
        <v>15.625000000000002</v>
      </c>
      <c r="AC889" t="str">
        <f t="shared" si="446"/>
        <v>NA</v>
      </c>
      <c r="AD889" s="4">
        <f>AB889*T889*AI889</f>
        <v>125.00000000000001</v>
      </c>
      <c r="AE889" s="3">
        <f t="shared" si="447"/>
        <v>3203.375</v>
      </c>
      <c r="AF889">
        <v>500</v>
      </c>
      <c r="AG889" t="str">
        <f>IFERROR((M889*O889*P889), "NA")</f>
        <v>NA</v>
      </c>
      <c r="AH889" t="str">
        <f>IFERROR((AG889*T889*AI889), "NA")</f>
        <v>NA</v>
      </c>
      <c r="AI889">
        <v>1</v>
      </c>
      <c r="AJ889" t="s">
        <v>31</v>
      </c>
      <c r="AK889">
        <v>5230</v>
      </c>
      <c r="AL889" t="s">
        <v>542</v>
      </c>
      <c r="AM889" t="s">
        <v>86</v>
      </c>
      <c r="AN889" t="s">
        <v>186</v>
      </c>
      <c r="AO889" t="s">
        <v>794</v>
      </c>
      <c r="AP889">
        <v>5.82</v>
      </c>
      <c r="AQ889" t="s">
        <v>33</v>
      </c>
      <c r="AR889" t="s">
        <v>33</v>
      </c>
      <c r="AS889" s="6">
        <f>LOG((10^7+10^8)/2)</f>
        <v>7.7403626894942441</v>
      </c>
      <c r="AT889" s="3">
        <f>IFERROR(AS889-AU889,"NA")</f>
        <v>5.1353626894942437</v>
      </c>
      <c r="AU889" s="6">
        <v>2.605</v>
      </c>
      <c r="AV889" t="b">
        <v>1</v>
      </c>
      <c r="AW889" t="s">
        <v>29</v>
      </c>
      <c r="AX889" t="s">
        <v>30</v>
      </c>
      <c r="AY889" s="10">
        <v>1107</v>
      </c>
      <c r="AZ889" t="s">
        <v>33</v>
      </c>
      <c r="BA889" s="18" t="s">
        <v>798</v>
      </c>
      <c r="BB889" t="b">
        <v>0</v>
      </c>
      <c r="BC889" t="s">
        <v>81</v>
      </c>
      <c r="BD889">
        <v>15</v>
      </c>
      <c r="BE889" t="s">
        <v>80</v>
      </c>
      <c r="BF889" t="s">
        <v>33</v>
      </c>
      <c r="BG889" t="s">
        <v>222</v>
      </c>
      <c r="BH889" t="s">
        <v>31</v>
      </c>
      <c r="BI889" t="s">
        <v>31</v>
      </c>
      <c r="BJ889" s="3">
        <f t="shared" si="438"/>
        <v>2.605</v>
      </c>
      <c r="BK889" s="3">
        <f t="shared" si="453"/>
        <v>0.4158077276355433</v>
      </c>
      <c r="BL889">
        <v>2</v>
      </c>
      <c r="BM889" s="3">
        <f t="shared" si="456"/>
        <v>3.0898000542683013</v>
      </c>
      <c r="BN889" t="s">
        <v>33</v>
      </c>
      <c r="BO889" s="3">
        <f t="shared" si="419"/>
        <v>1229.7024952015356</v>
      </c>
      <c r="BP889" t="s">
        <v>33</v>
      </c>
      <c r="BQ889" t="s">
        <v>33</v>
      </c>
      <c r="BR889" t="s">
        <v>33</v>
      </c>
      <c r="BS889" t="s">
        <v>33</v>
      </c>
      <c r="BT889" t="s">
        <v>31</v>
      </c>
      <c r="BU889" t="s">
        <v>219</v>
      </c>
      <c r="BV889">
        <v>2007</v>
      </c>
      <c r="BW889" t="s">
        <v>218</v>
      </c>
      <c r="BX889" t="s">
        <v>78</v>
      </c>
      <c r="BY889" t="s">
        <v>33</v>
      </c>
      <c r="BZ889" t="s">
        <v>33</v>
      </c>
      <c r="CA889" t="str">
        <f t="shared" si="420"/>
        <v>low acid</v>
      </c>
    </row>
    <row r="890" spans="1:79">
      <c r="A890" t="s">
        <v>593</v>
      </c>
      <c r="B890" t="s">
        <v>565</v>
      </c>
      <c r="C890" t="s">
        <v>563</v>
      </c>
      <c r="D890" t="s">
        <v>118</v>
      </c>
      <c r="E890" t="s">
        <v>77</v>
      </c>
      <c r="F890" t="s">
        <v>32</v>
      </c>
      <c r="G890" t="s">
        <v>33</v>
      </c>
      <c r="H890">
        <v>35</v>
      </c>
      <c r="I890" t="b">
        <v>0</v>
      </c>
      <c r="J890" t="s">
        <v>33</v>
      </c>
      <c r="K890" t="s">
        <v>33</v>
      </c>
      <c r="L890">
        <v>20</v>
      </c>
      <c r="M890" s="4">
        <v>400</v>
      </c>
      <c r="N890" t="e">
        <f>(#REF!*Y890)/(T890*X890*O890)</f>
        <v>#REF!</v>
      </c>
      <c r="O890">
        <v>2</v>
      </c>
      <c r="P890" t="s">
        <v>33</v>
      </c>
      <c r="Q890" s="1">
        <f t="shared" si="454"/>
        <v>0.06</v>
      </c>
      <c r="R890" t="s">
        <v>183</v>
      </c>
      <c r="S890" t="s">
        <v>613</v>
      </c>
      <c r="T890">
        <v>6</v>
      </c>
      <c r="U890">
        <v>2.92</v>
      </c>
      <c r="V890">
        <v>2.2999999999999998</v>
      </c>
      <c r="W890" t="s">
        <v>33</v>
      </c>
      <c r="X890">
        <f t="shared" si="455"/>
        <v>1.2131888350367701E-2</v>
      </c>
      <c r="Y890">
        <v>1</v>
      </c>
      <c r="Z890" s="3">
        <f t="shared" si="444"/>
        <v>0.20219813917279503</v>
      </c>
      <c r="AA890" t="s">
        <v>33</v>
      </c>
      <c r="AB890">
        <f>IFERROR(((X890*M890)/Z890), "NA")</f>
        <v>24</v>
      </c>
      <c r="AC890" s="1" t="str">
        <f t="shared" si="446"/>
        <v>NA</v>
      </c>
      <c r="AE890" s="3">
        <f t="shared" si="447"/>
        <v>253.43999999999997</v>
      </c>
      <c r="AF890">
        <v>288</v>
      </c>
      <c r="AG890" s="1" t="str">
        <f>IFERROR((N890*P890*Q890), "NA")</f>
        <v>NA</v>
      </c>
      <c r="AH890" s="1" t="str">
        <f>IFERROR((AG890*U890*AI890), "NA")</f>
        <v>NA</v>
      </c>
      <c r="AI890">
        <v>1</v>
      </c>
      <c r="AJ890" s="11" t="s">
        <v>31</v>
      </c>
      <c r="AK890">
        <v>2200</v>
      </c>
      <c r="AL890" t="s">
        <v>693</v>
      </c>
      <c r="AM890" t="s">
        <v>530</v>
      </c>
      <c r="AN890" t="s">
        <v>186</v>
      </c>
      <c r="AO890" t="s">
        <v>796</v>
      </c>
      <c r="AP890">
        <v>7.19</v>
      </c>
      <c r="AQ890" t="s">
        <v>33</v>
      </c>
      <c r="AR890" t="s">
        <v>33</v>
      </c>
      <c r="AS890">
        <v>6.5</v>
      </c>
      <c r="AT890">
        <f>AS890-AU890</f>
        <v>5.14</v>
      </c>
      <c r="AU890" s="6">
        <v>1.36</v>
      </c>
      <c r="AV890" t="b">
        <v>1</v>
      </c>
      <c r="AW890" t="s">
        <v>626</v>
      </c>
      <c r="AX890" t="s">
        <v>627</v>
      </c>
      <c r="AY890" t="s">
        <v>625</v>
      </c>
      <c r="AZ890" t="s">
        <v>33</v>
      </c>
      <c r="BA890" s="18" t="s">
        <v>800</v>
      </c>
      <c r="BB890" s="3" t="b">
        <v>0</v>
      </c>
      <c r="BC890" t="s">
        <v>81</v>
      </c>
      <c r="BD890">
        <f>AVERAGE(14, 16)</f>
        <v>15</v>
      </c>
      <c r="BE890" t="s">
        <v>80</v>
      </c>
      <c r="BF890">
        <v>48</v>
      </c>
      <c r="BG890" t="s">
        <v>568</v>
      </c>
      <c r="BH890" t="s">
        <v>31</v>
      </c>
      <c r="BI890" t="s">
        <v>31</v>
      </c>
      <c r="BJ890">
        <f t="shared" si="438"/>
        <v>1.36</v>
      </c>
      <c r="BK890" s="3">
        <f t="shared" si="453"/>
        <v>0.13353890837021754</v>
      </c>
      <c r="BL890">
        <v>2</v>
      </c>
      <c r="BM890" s="3">
        <f t="shared" si="456"/>
        <v>2.2703362515391818</v>
      </c>
      <c r="BN890" t="s">
        <v>33</v>
      </c>
      <c r="BO890" s="3">
        <f t="shared" si="419"/>
        <v>186.35294117647055</v>
      </c>
      <c r="BP890" t="s">
        <v>33</v>
      </c>
      <c r="BQ890" t="s">
        <v>33</v>
      </c>
      <c r="BR890" t="s">
        <v>33</v>
      </c>
      <c r="BS890" t="s">
        <v>33</v>
      </c>
      <c r="BT890" t="s">
        <v>31</v>
      </c>
      <c r="BU890" s="15" t="s">
        <v>217</v>
      </c>
      <c r="BV890">
        <v>2012</v>
      </c>
      <c r="BW890" t="s">
        <v>660</v>
      </c>
      <c r="BX890" t="s">
        <v>78</v>
      </c>
      <c r="BY890" s="13" t="s">
        <v>681</v>
      </c>
      <c r="CA890" t="str">
        <f t="shared" si="420"/>
        <v>low acid</v>
      </c>
    </row>
    <row r="891" spans="1:79">
      <c r="A891" t="s">
        <v>455</v>
      </c>
      <c r="B891" t="s">
        <v>565</v>
      </c>
      <c r="C891" t="s">
        <v>563</v>
      </c>
      <c r="D891" t="s">
        <v>182</v>
      </c>
      <c r="E891" t="s">
        <v>77</v>
      </c>
      <c r="F891" t="s">
        <v>32</v>
      </c>
      <c r="G891">
        <v>18</v>
      </c>
      <c r="H891">
        <v>48</v>
      </c>
      <c r="I891" t="b">
        <v>1</v>
      </c>
      <c r="J891" t="s">
        <v>33</v>
      </c>
      <c r="K891" t="s">
        <v>33</v>
      </c>
      <c r="L891">
        <v>22</v>
      </c>
      <c r="M891" s="4" t="s">
        <v>33</v>
      </c>
      <c r="N891" s="3">
        <f>IFERROR(AF891/((T891*X891/Y891)*O891*AI891),"NA")</f>
        <v>330.20830099655922</v>
      </c>
      <c r="O891">
        <v>10</v>
      </c>
      <c r="P891">
        <f>0.047/2</f>
        <v>2.35E-2</v>
      </c>
      <c r="Q891" s="8">
        <f t="shared" si="454"/>
        <v>2.3318614270936316E-2</v>
      </c>
      <c r="R891" t="s">
        <v>183</v>
      </c>
      <c r="S891" t="s">
        <v>613</v>
      </c>
      <c r="T891" s="11">
        <v>2</v>
      </c>
      <c r="U891">
        <v>5.6</v>
      </c>
      <c r="V891">
        <v>4.5</v>
      </c>
      <c r="W891" t="s">
        <v>33</v>
      </c>
      <c r="X891" s="9">
        <f t="shared" si="455"/>
        <v>8.9064151729270638E-2</v>
      </c>
      <c r="Y891" s="6">
        <f>13750/3600</f>
        <v>3.8194444444444446</v>
      </c>
      <c r="Z891" s="3">
        <f>IFERROR(X891*N891*O891*T891*AI891/AF891, "NA")</f>
        <v>3.8194444444444438</v>
      </c>
      <c r="AA891" t="s">
        <v>33</v>
      </c>
      <c r="AB891" s="4">
        <f>IFERROR(((X891*N891)/Y891), "NA")</f>
        <v>7.6999999999999984</v>
      </c>
      <c r="AC891" s="4">
        <f>IFERROR(N891*P891,"NA")</f>
        <v>7.7598950734191412</v>
      </c>
      <c r="AD891" s="4">
        <f>IFERROR(AB891*T891*AI891, "NA")</f>
        <v>15.399999999999997</v>
      </c>
      <c r="AE891" s="3">
        <f>IFERROR(((L891^2)*N891*O891*AK891*10^-6*Q891*T891*AI891), "NA")</f>
        <v>171.43280000000001</v>
      </c>
      <c r="AF891">
        <v>154</v>
      </c>
      <c r="AG891" s="4">
        <f>IFERROR((N891*O891*P891), "NA")</f>
        <v>77.598950734191419</v>
      </c>
      <c r="AH891" s="4">
        <f>IFERROR((AG891*T891*AI891), "NA")</f>
        <v>155.19790146838284</v>
      </c>
      <c r="AI891" s="11">
        <v>1</v>
      </c>
      <c r="AJ891" t="s">
        <v>31</v>
      </c>
      <c r="AK891">
        <v>2300</v>
      </c>
      <c r="AL891" t="s">
        <v>805</v>
      </c>
      <c r="AM891" t="s">
        <v>515</v>
      </c>
      <c r="AN891" t="s">
        <v>205</v>
      </c>
      <c r="AO891" t="s">
        <v>788</v>
      </c>
      <c r="AP891">
        <v>3.68</v>
      </c>
      <c r="AQ891" t="s">
        <v>33</v>
      </c>
      <c r="AR891" t="s">
        <v>33</v>
      </c>
      <c r="AS891">
        <f>LOG(10^8)</f>
        <v>8</v>
      </c>
      <c r="AT891" s="3">
        <f>IFERROR(AS891-AU891,"NA")</f>
        <v>5.1400000000000006</v>
      </c>
      <c r="AU891" s="6">
        <v>2.86</v>
      </c>
      <c r="AV891" t="b">
        <v>1</v>
      </c>
      <c r="AW891" t="s">
        <v>233</v>
      </c>
      <c r="AX891" t="s">
        <v>234</v>
      </c>
      <c r="AY891" t="s">
        <v>473</v>
      </c>
      <c r="AZ891" t="s">
        <v>33</v>
      </c>
      <c r="BA891" s="18" t="s">
        <v>579</v>
      </c>
      <c r="BB891" t="b">
        <v>1</v>
      </c>
      <c r="BC891" t="s">
        <v>81</v>
      </c>
      <c r="BD891" t="s">
        <v>33</v>
      </c>
      <c r="BE891" t="s">
        <v>80</v>
      </c>
      <c r="BF891" t="s">
        <v>33</v>
      </c>
      <c r="BG891" t="s">
        <v>395</v>
      </c>
      <c r="BH891" t="s">
        <v>31</v>
      </c>
      <c r="BI891" t="s">
        <v>31</v>
      </c>
      <c r="BJ891" s="3">
        <f t="shared" si="438"/>
        <v>2.86</v>
      </c>
      <c r="BK891" s="3">
        <f t="shared" si="453"/>
        <v>0.456366033129043</v>
      </c>
      <c r="BL891">
        <v>2</v>
      </c>
      <c r="BM891" s="3">
        <f t="shared" si="456"/>
        <v>1.7777278853694254</v>
      </c>
      <c r="BN891" t="s">
        <v>33</v>
      </c>
      <c r="BO891" s="3">
        <f t="shared" si="419"/>
        <v>59.941538461538471</v>
      </c>
      <c r="BP891" t="s">
        <v>33</v>
      </c>
      <c r="BQ891" t="s">
        <v>33</v>
      </c>
      <c r="BR891" t="s">
        <v>33</v>
      </c>
      <c r="BS891" t="s">
        <v>33</v>
      </c>
      <c r="BT891" t="s">
        <v>32</v>
      </c>
      <c r="BU891" t="s">
        <v>484</v>
      </c>
      <c r="BV891">
        <v>2015</v>
      </c>
      <c r="BW891" t="s">
        <v>485</v>
      </c>
      <c r="BX891" t="s">
        <v>78</v>
      </c>
      <c r="BY891" t="s">
        <v>486</v>
      </c>
      <c r="BZ891" t="s">
        <v>780</v>
      </c>
      <c r="CA891" t="str">
        <f t="shared" si="420"/>
        <v>high acid</v>
      </c>
    </row>
    <row r="892" spans="1:79">
      <c r="A892" t="s">
        <v>580</v>
      </c>
      <c r="B892" t="s">
        <v>565</v>
      </c>
      <c r="C892" t="s">
        <v>563</v>
      </c>
      <c r="D892" t="s">
        <v>118</v>
      </c>
      <c r="E892" t="s">
        <v>77</v>
      </c>
      <c r="F892" t="s">
        <v>32</v>
      </c>
      <c r="G892">
        <v>22</v>
      </c>
      <c r="H892">
        <v>40</v>
      </c>
      <c r="I892" t="b">
        <v>0</v>
      </c>
      <c r="J892">
        <v>10220</v>
      </c>
      <c r="K892">
        <v>25.36</v>
      </c>
      <c r="L892">
        <v>35</v>
      </c>
      <c r="M892" s="4">
        <v>250</v>
      </c>
      <c r="N892" t="e">
        <f>(#REF!*Y892)/(T892*X892*O892)</f>
        <v>#REF!</v>
      </c>
      <c r="O892">
        <v>4</v>
      </c>
      <c r="P892">
        <f>AVERAGE(0.0066, 0.0091)</f>
        <v>7.8499999999999993E-3</v>
      </c>
      <c r="Q892" s="1">
        <f t="shared" si="454"/>
        <v>6.25E-2</v>
      </c>
      <c r="R892" t="s">
        <v>183</v>
      </c>
      <c r="S892" t="s">
        <v>613</v>
      </c>
      <c r="T892">
        <v>8</v>
      </c>
      <c r="U892">
        <v>2.92</v>
      </c>
      <c r="V892">
        <v>2.2999999999999998</v>
      </c>
      <c r="W892">
        <v>1.21E-2</v>
      </c>
      <c r="X892">
        <f t="shared" si="455"/>
        <v>1.2131888350367701E-2</v>
      </c>
      <c r="Y892">
        <v>1.5</v>
      </c>
      <c r="Z892" s="3">
        <f t="shared" ref="Z892:Z897" si="457">IFERROR(X892*M892*O892*T892*AI892/AF892, "NA")</f>
        <v>0.19411021360588321</v>
      </c>
      <c r="AA892" t="s">
        <v>33</v>
      </c>
      <c r="AB892">
        <f t="shared" ref="AB892:AB897" si="458">IFERROR(((X892*M892)/Z892), "NA")</f>
        <v>15.625</v>
      </c>
      <c r="AC892" s="1">
        <f t="shared" ref="AC892:AC897" si="459">IFERROR(M892*P892,"NA")</f>
        <v>1.9624999999999999</v>
      </c>
      <c r="AE892" s="3">
        <f t="shared" ref="AE892:AE897" si="460">IFERROR(((L892^2)*M892*O892*AK892*10^-6*Q892*T892*AI892), "NA")</f>
        <v>1335.25</v>
      </c>
      <c r="AF892">
        <v>500</v>
      </c>
      <c r="AG892" s="1" t="str">
        <f>IFERROR((N892*P892*Q892), "NA")</f>
        <v>NA</v>
      </c>
      <c r="AH892" s="1" t="str">
        <f>IFERROR((AG892*U892*AI892), "NA")</f>
        <v>NA</v>
      </c>
      <c r="AI892" s="1">
        <v>1</v>
      </c>
      <c r="AJ892" s="11" t="s">
        <v>31</v>
      </c>
      <c r="AK892">
        <v>2180</v>
      </c>
      <c r="AL892" t="s">
        <v>149</v>
      </c>
      <c r="AM892" t="s">
        <v>86</v>
      </c>
      <c r="AN892" t="s">
        <v>205</v>
      </c>
      <c r="AO892" t="s">
        <v>789</v>
      </c>
      <c r="AP892">
        <v>4.46</v>
      </c>
      <c r="AQ892" t="s">
        <v>33</v>
      </c>
      <c r="AR892" t="s">
        <v>33</v>
      </c>
      <c r="AS892">
        <v>7.5</v>
      </c>
      <c r="AT892">
        <f>AS892-AU892</f>
        <v>5.1400000000000006</v>
      </c>
      <c r="AU892" s="6">
        <v>2.36</v>
      </c>
      <c r="AV892" t="b">
        <v>1</v>
      </c>
      <c r="AW892" t="s">
        <v>617</v>
      </c>
      <c r="AX892" t="s">
        <v>33</v>
      </c>
      <c r="AY892" t="s">
        <v>33</v>
      </c>
      <c r="AZ892" t="s">
        <v>619</v>
      </c>
      <c r="BA892" s="18" t="s">
        <v>802</v>
      </c>
      <c r="BB892" s="3" t="b">
        <v>0</v>
      </c>
      <c r="BC892" t="s">
        <v>81</v>
      </c>
      <c r="BD892">
        <v>15</v>
      </c>
      <c r="BE892" t="s">
        <v>80</v>
      </c>
      <c r="BF892">
        <v>24</v>
      </c>
      <c r="BG892" t="s">
        <v>697</v>
      </c>
      <c r="BH892" t="s">
        <v>32</v>
      </c>
      <c r="BI892" t="s">
        <v>31</v>
      </c>
      <c r="BJ892">
        <f t="shared" si="438"/>
        <v>2.36</v>
      </c>
      <c r="BK892" s="3">
        <f t="shared" si="453"/>
        <v>0.37291200297010657</v>
      </c>
      <c r="BL892">
        <v>2</v>
      </c>
      <c r="BM892" s="3">
        <f t="shared" si="456"/>
        <v>2.7526505836710684</v>
      </c>
      <c r="BN892" t="s">
        <v>33</v>
      </c>
      <c r="BO892" s="3">
        <f t="shared" si="419"/>
        <v>565.78389830508479</v>
      </c>
      <c r="BP892" t="s">
        <v>33</v>
      </c>
      <c r="BQ892" t="s">
        <v>33</v>
      </c>
      <c r="BR892" t="s">
        <v>33</v>
      </c>
      <c r="BS892" t="s">
        <v>33</v>
      </c>
      <c r="BT892" t="s">
        <v>31</v>
      </c>
      <c r="BU892" t="s">
        <v>219</v>
      </c>
      <c r="BV892" s="14">
        <v>2008</v>
      </c>
      <c r="BW892" t="s">
        <v>257</v>
      </c>
      <c r="BX892" t="s">
        <v>78</v>
      </c>
      <c r="BY892" s="13" t="s">
        <v>670</v>
      </c>
      <c r="CA892" t="str">
        <f t="shared" si="420"/>
        <v>high acid</v>
      </c>
    </row>
    <row r="893" spans="1:79">
      <c r="A893" t="s">
        <v>153</v>
      </c>
      <c r="B893" t="s">
        <v>565</v>
      </c>
      <c r="C893" t="s">
        <v>563</v>
      </c>
      <c r="D893" t="s">
        <v>118</v>
      </c>
      <c r="E893" t="s">
        <v>77</v>
      </c>
      <c r="F893" t="s">
        <v>32</v>
      </c>
      <c r="G893">
        <v>5</v>
      </c>
      <c r="H893">
        <v>50</v>
      </c>
      <c r="I893" t="b">
        <v>0</v>
      </c>
      <c r="J893" t="s">
        <v>33</v>
      </c>
      <c r="K893" t="s">
        <v>33</v>
      </c>
      <c r="L893">
        <v>34</v>
      </c>
      <c r="M893" s="4">
        <v>750</v>
      </c>
      <c r="N893" s="3">
        <f>IFERROR(AF893/((T893*X893/Y893)*O893*AI893),"NA")</f>
        <v>746.96277313189933</v>
      </c>
      <c r="O893">
        <v>2</v>
      </c>
      <c r="P893" t="s">
        <v>33</v>
      </c>
      <c r="Q893">
        <f t="shared" si="454"/>
        <v>1.2E-2</v>
      </c>
      <c r="R893" t="s">
        <v>183</v>
      </c>
      <c r="S893" t="s">
        <v>613</v>
      </c>
      <c r="T893" s="11">
        <v>6</v>
      </c>
      <c r="U893">
        <v>2.9</v>
      </c>
      <c r="V893">
        <v>2.2999999999999998</v>
      </c>
      <c r="W893" t="s">
        <v>33</v>
      </c>
      <c r="X893" s="8">
        <f t="shared" si="455"/>
        <v>1.204879322468025E-2</v>
      </c>
      <c r="Y893" s="6">
        <f>60/60</f>
        <v>1</v>
      </c>
      <c r="Z893" s="3">
        <f t="shared" si="457"/>
        <v>1.0040661020566874</v>
      </c>
      <c r="AA893" t="s">
        <v>33</v>
      </c>
      <c r="AB893" s="6">
        <f t="shared" si="458"/>
        <v>9</v>
      </c>
      <c r="AC893" t="str">
        <f t="shared" si="459"/>
        <v>NA</v>
      </c>
      <c r="AD893" s="4">
        <f>AB893*T893*AI893</f>
        <v>54</v>
      </c>
      <c r="AE893" s="3">
        <f t="shared" si="460"/>
        <v>200.755584</v>
      </c>
      <c r="AF893">
        <v>108</v>
      </c>
      <c r="AG893" t="str">
        <f>IFERROR((M893*O893*P893), "NA")</f>
        <v>NA</v>
      </c>
      <c r="AH893" t="str">
        <f>IFERROR((AG893*T893*AI893), "NA")</f>
        <v>NA</v>
      </c>
      <c r="AI893">
        <v>1</v>
      </c>
      <c r="AJ893" t="s">
        <v>31</v>
      </c>
      <c r="AK893">
        <v>1608</v>
      </c>
      <c r="AL893" t="s">
        <v>149</v>
      </c>
      <c r="AM893" t="s">
        <v>86</v>
      </c>
      <c r="AN893" t="s">
        <v>205</v>
      </c>
      <c r="AO893" t="s">
        <v>789</v>
      </c>
      <c r="AP893">
        <v>3.41</v>
      </c>
      <c r="AQ893" t="s">
        <v>33</v>
      </c>
      <c r="AR893" t="s">
        <v>33</v>
      </c>
      <c r="AS893" s="3">
        <v>9</v>
      </c>
      <c r="AT893" s="3">
        <f>IFERROR(AS893-AU893,"NA")</f>
        <v>5.1400000000000006</v>
      </c>
      <c r="AU893" s="6">
        <v>3.86</v>
      </c>
      <c r="AV893" t="b">
        <v>1</v>
      </c>
      <c r="AW893" t="s">
        <v>29</v>
      </c>
      <c r="AX893" t="s">
        <v>30</v>
      </c>
      <c r="AY893" t="s">
        <v>33</v>
      </c>
      <c r="AZ893" t="s">
        <v>134</v>
      </c>
      <c r="BA893" s="18" t="s">
        <v>798</v>
      </c>
      <c r="BB893" t="b">
        <v>0</v>
      </c>
      <c r="BC893" t="s">
        <v>81</v>
      </c>
      <c r="BD893">
        <f>18</f>
        <v>18</v>
      </c>
      <c r="BE893" t="s">
        <v>80</v>
      </c>
      <c r="BF893" s="11">
        <v>24</v>
      </c>
      <c r="BG893" t="s">
        <v>262</v>
      </c>
      <c r="BH893" t="s">
        <v>31</v>
      </c>
      <c r="BI893" t="s">
        <v>31</v>
      </c>
      <c r="BJ893" s="3">
        <f t="shared" si="438"/>
        <v>3.86</v>
      </c>
      <c r="BK893" s="3">
        <f t="shared" si="453"/>
        <v>0.58658730467175491</v>
      </c>
      <c r="BL893">
        <v>2</v>
      </c>
      <c r="BM893" s="3">
        <f t="shared" si="456"/>
        <v>1.7160803293121374</v>
      </c>
      <c r="BN893" t="s">
        <v>33</v>
      </c>
      <c r="BO893" s="3">
        <f t="shared" si="419"/>
        <v>52.009218652849739</v>
      </c>
      <c r="BP893" t="s">
        <v>33</v>
      </c>
      <c r="BQ893" t="s">
        <v>33</v>
      </c>
      <c r="BR893" t="s">
        <v>33</v>
      </c>
      <c r="BS893" t="s">
        <v>33</v>
      </c>
      <c r="BT893" t="s">
        <v>31</v>
      </c>
      <c r="BU893" t="s">
        <v>190</v>
      </c>
      <c r="BV893">
        <v>2021</v>
      </c>
      <c r="BW893" s="5" t="s">
        <v>191</v>
      </c>
      <c r="BX893" t="s">
        <v>78</v>
      </c>
      <c r="BY893" t="s">
        <v>33</v>
      </c>
      <c r="BZ893" t="s">
        <v>150</v>
      </c>
      <c r="CA893" t="str">
        <f t="shared" si="420"/>
        <v>high acid</v>
      </c>
    </row>
    <row r="894" spans="1:79">
      <c r="A894" t="s">
        <v>600</v>
      </c>
      <c r="B894" t="s">
        <v>566</v>
      </c>
      <c r="C894" t="s">
        <v>563</v>
      </c>
      <c r="D894" t="s">
        <v>33</v>
      </c>
      <c r="E894" t="s">
        <v>77</v>
      </c>
      <c r="F894" t="s">
        <v>33</v>
      </c>
      <c r="G894" t="s">
        <v>33</v>
      </c>
      <c r="H894">
        <v>35</v>
      </c>
      <c r="I894" t="b">
        <v>0</v>
      </c>
      <c r="J894" t="s">
        <v>33</v>
      </c>
      <c r="K894" t="s">
        <v>33</v>
      </c>
      <c r="L894">
        <v>25</v>
      </c>
      <c r="M894" s="4">
        <v>1</v>
      </c>
      <c r="N894" t="e">
        <f>(#REF!*Y894)/(T894*X894*O894)</f>
        <v>#REF!</v>
      </c>
      <c r="O894">
        <v>2</v>
      </c>
      <c r="P894" t="s">
        <v>33</v>
      </c>
      <c r="Q894" s="1">
        <f t="shared" si="454"/>
        <v>100.00000000000001</v>
      </c>
      <c r="R894" t="s">
        <v>183</v>
      </c>
      <c r="S894" t="s">
        <v>33</v>
      </c>
      <c r="T894">
        <v>1</v>
      </c>
      <c r="U894">
        <v>2.5</v>
      </c>
      <c r="V894" t="s">
        <v>33</v>
      </c>
      <c r="W894">
        <v>0.50249999999999995</v>
      </c>
      <c r="X894">
        <f>W894</f>
        <v>0.50249999999999995</v>
      </c>
      <c r="Y894" t="s">
        <v>33</v>
      </c>
      <c r="Z894" s="3">
        <f t="shared" si="457"/>
        <v>5.0249999999999991E-3</v>
      </c>
      <c r="AA894" t="s">
        <v>33</v>
      </c>
      <c r="AB894">
        <f t="shared" si="458"/>
        <v>100.00000000000001</v>
      </c>
      <c r="AC894" s="1" t="str">
        <f t="shared" si="459"/>
        <v>NA</v>
      </c>
      <c r="AE894" s="3">
        <f t="shared" si="460"/>
        <v>250.00000000000003</v>
      </c>
      <c r="AF894">
        <v>200</v>
      </c>
      <c r="AG894" s="1" t="str">
        <f>IFERROR((N894*P894*Q894), "NA")</f>
        <v>NA</v>
      </c>
      <c r="AH894" s="1" t="str">
        <f>IFERROR((AG894*U894*AI894), "NA")</f>
        <v>NA</v>
      </c>
      <c r="AI894" s="1">
        <v>1</v>
      </c>
      <c r="AJ894" s="11" t="s">
        <v>31</v>
      </c>
      <c r="AK894">
        <v>2000</v>
      </c>
      <c r="AL894" t="s">
        <v>784</v>
      </c>
      <c r="AM894" s="3" t="s">
        <v>103</v>
      </c>
      <c r="AN894" t="s">
        <v>130</v>
      </c>
      <c r="AO894" t="s">
        <v>795</v>
      </c>
      <c r="AP894">
        <v>7</v>
      </c>
      <c r="AQ894" t="s">
        <v>33</v>
      </c>
      <c r="AR894" t="s">
        <v>33</v>
      </c>
      <c r="AS894">
        <v>8</v>
      </c>
      <c r="AT894">
        <f>AS894-AU894</f>
        <v>5.1400000000000006</v>
      </c>
      <c r="AU894" s="6">
        <v>2.86</v>
      </c>
      <c r="AV894" t="b">
        <v>1</v>
      </c>
      <c r="AW894" t="s">
        <v>626</v>
      </c>
      <c r="AX894" t="s">
        <v>627</v>
      </c>
      <c r="AY894" t="s">
        <v>640</v>
      </c>
      <c r="AZ894" t="s">
        <v>33</v>
      </c>
      <c r="BA894" s="18" t="s">
        <v>800</v>
      </c>
      <c r="BB894" s="3" t="b">
        <v>0</v>
      </c>
      <c r="BC894" t="s">
        <v>81</v>
      </c>
      <c r="BD894">
        <f>AVERAGE(24,30)</f>
        <v>27</v>
      </c>
      <c r="BE894" t="s">
        <v>80</v>
      </c>
      <c r="BF894">
        <v>24</v>
      </c>
      <c r="BG894" t="s">
        <v>568</v>
      </c>
      <c r="BH894" t="s">
        <v>31</v>
      </c>
      <c r="BI894" t="s">
        <v>31</v>
      </c>
      <c r="BJ894" s="3">
        <f t="shared" si="438"/>
        <v>2.86</v>
      </c>
      <c r="BK894" s="3">
        <f t="shared" si="453"/>
        <v>0.456366033129043</v>
      </c>
      <c r="BL894">
        <v>2</v>
      </c>
      <c r="BM894" s="3">
        <f t="shared" si="456"/>
        <v>1.9415739755429946</v>
      </c>
      <c r="BN894" t="s">
        <v>33</v>
      </c>
      <c r="BO894" s="3">
        <f t="shared" si="419"/>
        <v>87.412587412587428</v>
      </c>
      <c r="BP894" t="s">
        <v>33</v>
      </c>
      <c r="BQ894" t="s">
        <v>33</v>
      </c>
      <c r="BR894" t="s">
        <v>33</v>
      </c>
      <c r="BS894" t="s">
        <v>33</v>
      </c>
      <c r="BT894" t="s">
        <v>31</v>
      </c>
      <c r="BU894" t="s">
        <v>666</v>
      </c>
      <c r="BV894" s="14">
        <v>2006</v>
      </c>
      <c r="BW894" t="s">
        <v>667</v>
      </c>
      <c r="BX894" t="s">
        <v>78</v>
      </c>
      <c r="BY894" s="13" t="s">
        <v>688</v>
      </c>
      <c r="CA894" t="str">
        <f t="shared" si="420"/>
        <v>low acid</v>
      </c>
    </row>
    <row r="895" spans="1:79">
      <c r="A895" t="s">
        <v>586</v>
      </c>
      <c r="B895" t="s">
        <v>565</v>
      </c>
      <c r="C895" t="s">
        <v>563</v>
      </c>
      <c r="D895" t="s">
        <v>118</v>
      </c>
      <c r="E895" t="s">
        <v>77</v>
      </c>
      <c r="F895" t="s">
        <v>32</v>
      </c>
      <c r="G895">
        <v>40</v>
      </c>
      <c r="H895">
        <v>40</v>
      </c>
      <c r="I895" t="b">
        <v>1</v>
      </c>
      <c r="J895" t="s">
        <v>33</v>
      </c>
      <c r="K895" t="s">
        <v>33</v>
      </c>
      <c r="L895">
        <v>30</v>
      </c>
      <c r="M895" s="4">
        <v>100</v>
      </c>
      <c r="N895" t="e">
        <f>(#REF!*Y895)/(T895*X895*O895)</f>
        <v>#REF!</v>
      </c>
      <c r="O895">
        <v>2</v>
      </c>
      <c r="P895" t="s">
        <v>33</v>
      </c>
      <c r="Q895" s="1">
        <f t="shared" si="454"/>
        <v>0.33333333333333331</v>
      </c>
      <c r="R895" t="s">
        <v>183</v>
      </c>
      <c r="S895" t="s">
        <v>613</v>
      </c>
      <c r="T895">
        <v>6</v>
      </c>
      <c r="U895">
        <v>2.92</v>
      </c>
      <c r="V895">
        <v>2.2999999999999998</v>
      </c>
      <c r="W895" t="s">
        <v>33</v>
      </c>
      <c r="X895">
        <f t="shared" ref="X895:X903" si="461">IFERROR(((PI())*(((V895*10^-1)/2)^2)*(U895*10^-1)), "NA")</f>
        <v>1.2131888350367701E-2</v>
      </c>
      <c r="Y895">
        <v>1.4</v>
      </c>
      <c r="Z895" s="3">
        <f t="shared" si="457"/>
        <v>3.6395665051103102E-2</v>
      </c>
      <c r="AA895" t="s">
        <v>33</v>
      </c>
      <c r="AB895">
        <f t="shared" si="458"/>
        <v>33.333333333333336</v>
      </c>
      <c r="AC895" s="1" t="str">
        <f t="shared" si="459"/>
        <v>NA</v>
      </c>
      <c r="AE895" s="3">
        <f t="shared" si="460"/>
        <v>2232</v>
      </c>
      <c r="AF895">
        <v>400</v>
      </c>
      <c r="AG895" s="1" t="str">
        <f>IFERROR((N895*P895*Q895), "NA")</f>
        <v>NA</v>
      </c>
      <c r="AH895" s="1" t="str">
        <f>IFERROR((AG895*U895*AI895), "NA")</f>
        <v>NA</v>
      </c>
      <c r="AI895" s="1">
        <v>1</v>
      </c>
      <c r="AJ895" s="11" t="s">
        <v>31</v>
      </c>
      <c r="AK895">
        <v>6200</v>
      </c>
      <c r="AL895" t="s">
        <v>561</v>
      </c>
      <c r="AM895" s="3" t="s">
        <v>786</v>
      </c>
      <c r="AN895" t="s">
        <v>186</v>
      </c>
      <c r="AO895" t="s">
        <v>793</v>
      </c>
      <c r="AP895">
        <v>7.6</v>
      </c>
      <c r="AQ895" t="s">
        <v>33</v>
      </c>
      <c r="AR895" t="s">
        <v>33</v>
      </c>
      <c r="AS895">
        <v>8</v>
      </c>
      <c r="AT895">
        <f>AS895-AU895</f>
        <v>5.1400000000000006</v>
      </c>
      <c r="AU895" s="6">
        <v>2.86</v>
      </c>
      <c r="AV895" t="b">
        <v>1</v>
      </c>
      <c r="AW895" t="s">
        <v>617</v>
      </c>
      <c r="AX895" t="s">
        <v>624</v>
      </c>
      <c r="AY895" t="s">
        <v>625</v>
      </c>
      <c r="AZ895" t="s">
        <v>33</v>
      </c>
      <c r="BA895" s="18" t="s">
        <v>802</v>
      </c>
      <c r="BB895" s="3" t="b">
        <v>0</v>
      </c>
      <c r="BC895" t="s">
        <v>81</v>
      </c>
      <c r="BD895">
        <v>13</v>
      </c>
      <c r="BE895" t="s">
        <v>80</v>
      </c>
      <c r="BF895">
        <v>48</v>
      </c>
      <c r="BG895" t="s">
        <v>568</v>
      </c>
      <c r="BH895" t="s">
        <v>31</v>
      </c>
      <c r="BI895" t="s">
        <v>31</v>
      </c>
      <c r="BJ895">
        <f t="shared" si="438"/>
        <v>2.86</v>
      </c>
      <c r="BK895" s="3">
        <f t="shared" si="453"/>
        <v>0.456366033129043</v>
      </c>
      <c r="BL895">
        <v>2</v>
      </c>
      <c r="BM895" s="3">
        <f t="shared" si="456"/>
        <v>2.892328157136498</v>
      </c>
      <c r="BN895" t="s">
        <v>33</v>
      </c>
      <c r="BO895" s="3">
        <f t="shared" si="419"/>
        <v>780.41958041958048</v>
      </c>
      <c r="BP895" t="s">
        <v>33</v>
      </c>
      <c r="BQ895" t="s">
        <v>33</v>
      </c>
      <c r="BR895" t="s">
        <v>33</v>
      </c>
      <c r="BS895" t="s">
        <v>33</v>
      </c>
      <c r="BT895" t="s">
        <v>31</v>
      </c>
      <c r="BU895" t="s">
        <v>344</v>
      </c>
      <c r="BV895">
        <v>2007</v>
      </c>
      <c r="BW895" t="s">
        <v>345</v>
      </c>
      <c r="BX895" t="s">
        <v>78</v>
      </c>
      <c r="BY895" s="13" t="s">
        <v>676</v>
      </c>
      <c r="CA895" t="str">
        <f t="shared" si="420"/>
        <v>low acid</v>
      </c>
    </row>
    <row r="896" spans="1:79">
      <c r="A896" t="s">
        <v>535</v>
      </c>
      <c r="B896" t="s">
        <v>565</v>
      </c>
      <c r="C896" t="s">
        <v>564</v>
      </c>
      <c r="D896" t="s">
        <v>243</v>
      </c>
      <c r="E896" t="s">
        <v>77</v>
      </c>
      <c r="F896" t="s">
        <v>32</v>
      </c>
      <c r="G896">
        <v>40</v>
      </c>
      <c r="H896">
        <v>43</v>
      </c>
      <c r="I896" t="b">
        <v>0</v>
      </c>
      <c r="J896" t="s">
        <v>33</v>
      </c>
      <c r="K896" t="s">
        <v>33</v>
      </c>
      <c r="L896">
        <v>18</v>
      </c>
      <c r="M896" s="4">
        <v>120</v>
      </c>
      <c r="N896" s="3">
        <f>IFERROR(AF896/((T896*X896/Y896)*O896*AI896),"NA")</f>
        <v>74.118837183931078</v>
      </c>
      <c r="O896">
        <v>3</v>
      </c>
      <c r="P896" t="s">
        <v>33</v>
      </c>
      <c r="Q896" s="9">
        <f t="shared" si="454"/>
        <v>2.361111111111111E-2</v>
      </c>
      <c r="R896" t="s">
        <v>183</v>
      </c>
      <c r="S896" t="s">
        <v>612</v>
      </c>
      <c r="T896" s="11">
        <v>4</v>
      </c>
      <c r="U896">
        <v>3</v>
      </c>
      <c r="V896">
        <v>2.6</v>
      </c>
      <c r="W896">
        <v>1.5900000000000001E-2</v>
      </c>
      <c r="X896" s="8">
        <f t="shared" si="461"/>
        <v>1.5927874753700257E-2</v>
      </c>
      <c r="Y896" s="6">
        <f>25/60</f>
        <v>0.41666666666666669</v>
      </c>
      <c r="Z896" s="3">
        <f t="shared" si="457"/>
        <v>0.67459234250965794</v>
      </c>
      <c r="AA896" t="s">
        <v>33</v>
      </c>
      <c r="AB896" s="6">
        <f t="shared" si="458"/>
        <v>2.8333333333333335</v>
      </c>
      <c r="AC896" t="str">
        <f t="shared" si="459"/>
        <v>NA</v>
      </c>
      <c r="AD896" s="4">
        <f>IFERROR(AB896*T896*AI896, "NA")</f>
        <v>11.333333333333334</v>
      </c>
      <c r="AE896" s="3">
        <f t="shared" si="460"/>
        <v>10.13472</v>
      </c>
      <c r="AF896">
        <v>34</v>
      </c>
      <c r="AG896" t="str">
        <f>IFERROR((M896*O896*P896), "NA")</f>
        <v>NA</v>
      </c>
      <c r="AH896" t="str">
        <f>IFERROR((AG896*T896*AI896), "NA")</f>
        <v>NA</v>
      </c>
      <c r="AI896" s="11">
        <v>1</v>
      </c>
      <c r="AJ896" t="s">
        <v>31</v>
      </c>
      <c r="AK896">
        <v>920</v>
      </c>
      <c r="AL896" t="s">
        <v>551</v>
      </c>
      <c r="AM896" t="s">
        <v>86</v>
      </c>
      <c r="AN896" t="s">
        <v>186</v>
      </c>
      <c r="AO896" t="s">
        <v>794</v>
      </c>
      <c r="AP896">
        <v>5.92</v>
      </c>
      <c r="AQ896" t="s">
        <v>33</v>
      </c>
      <c r="AR896" t="s">
        <v>33</v>
      </c>
      <c r="AS896" s="6">
        <f>LOG(1.1*10^7)</f>
        <v>7.0413926851582254</v>
      </c>
      <c r="AT896" s="3">
        <f>IFERROR(AS896-AU896,"NA")</f>
        <v>5.1433926851582257</v>
      </c>
      <c r="AU896" s="6">
        <v>1.8979999999999999</v>
      </c>
      <c r="AV896" t="b">
        <v>1</v>
      </c>
      <c r="AW896" t="s">
        <v>172</v>
      </c>
      <c r="AX896" t="s">
        <v>173</v>
      </c>
      <c r="AY896" t="s">
        <v>246</v>
      </c>
      <c r="AZ896" t="s">
        <v>33</v>
      </c>
      <c r="BA896" s="18" t="s">
        <v>799</v>
      </c>
      <c r="BB896" t="b">
        <v>0</v>
      </c>
      <c r="BC896" t="s">
        <v>81</v>
      </c>
      <c r="BD896">
        <v>72</v>
      </c>
      <c r="BE896" t="s">
        <v>80</v>
      </c>
      <c r="BF896" s="11">
        <v>72</v>
      </c>
      <c r="BG896" t="s">
        <v>522</v>
      </c>
      <c r="BH896" t="s">
        <v>31</v>
      </c>
      <c r="BI896" t="s">
        <v>31</v>
      </c>
      <c r="BJ896" s="3">
        <f t="shared" si="438"/>
        <v>1.8979999999999999</v>
      </c>
      <c r="BK896" s="3">
        <f t="shared" si="453"/>
        <v>0.27829620809127387</v>
      </c>
      <c r="BL896">
        <v>2</v>
      </c>
      <c r="BM896" s="3">
        <f t="shared" si="456"/>
        <v>0.72751554650314865</v>
      </c>
      <c r="BN896" t="s">
        <v>33</v>
      </c>
      <c r="BO896" s="3">
        <f t="shared" si="419"/>
        <v>5.3396838777660696</v>
      </c>
      <c r="BP896" t="s">
        <v>33</v>
      </c>
      <c r="BQ896" t="s">
        <v>33</v>
      </c>
      <c r="BR896" t="s">
        <v>33</v>
      </c>
      <c r="BS896" t="s">
        <v>33</v>
      </c>
      <c r="BT896" t="s">
        <v>32</v>
      </c>
      <c r="BU896" t="s">
        <v>207</v>
      </c>
      <c r="BV896">
        <v>2014</v>
      </c>
      <c r="BW896" s="2" t="s">
        <v>242</v>
      </c>
      <c r="BX896" t="s">
        <v>78</v>
      </c>
      <c r="BY896" t="s">
        <v>33</v>
      </c>
      <c r="BZ896" t="s">
        <v>33</v>
      </c>
      <c r="CA896" t="str">
        <f t="shared" si="420"/>
        <v>low acid</v>
      </c>
    </row>
    <row r="897" spans="1:79">
      <c r="A897" t="s">
        <v>534</v>
      </c>
      <c r="B897" t="s">
        <v>565</v>
      </c>
      <c r="C897" t="s">
        <v>564</v>
      </c>
      <c r="D897" t="s">
        <v>243</v>
      </c>
      <c r="E897" t="s">
        <v>77</v>
      </c>
      <c r="F897" t="s">
        <v>32</v>
      </c>
      <c r="G897">
        <v>40</v>
      </c>
      <c r="H897">
        <v>50.2</v>
      </c>
      <c r="I897" t="b">
        <v>0</v>
      </c>
      <c r="J897" t="s">
        <v>33</v>
      </c>
      <c r="K897" t="s">
        <v>33</v>
      </c>
      <c r="L897">
        <v>21</v>
      </c>
      <c r="M897" s="4">
        <v>120</v>
      </c>
      <c r="N897" s="3">
        <f>IFERROR(AF897/((T897*X897/Y897)*O897*AI897),"NA")</f>
        <v>200.55685355651937</v>
      </c>
      <c r="O897">
        <v>3</v>
      </c>
      <c r="P897" t="s">
        <v>33</v>
      </c>
      <c r="Q897" s="8">
        <f t="shared" si="454"/>
        <v>6.3888888888888884E-2</v>
      </c>
      <c r="R897" t="s">
        <v>183</v>
      </c>
      <c r="S897" t="s">
        <v>612</v>
      </c>
      <c r="T897" s="11">
        <v>4</v>
      </c>
      <c r="U897">
        <v>3</v>
      </c>
      <c r="V897">
        <v>2.6</v>
      </c>
      <c r="W897">
        <v>1.5900000000000001E-2</v>
      </c>
      <c r="X897" s="8">
        <f t="shared" si="461"/>
        <v>1.5927874753700257E-2</v>
      </c>
      <c r="Y897" s="6">
        <f>25/60</f>
        <v>0.41666666666666669</v>
      </c>
      <c r="Z897" s="3">
        <f t="shared" si="457"/>
        <v>0.249305865710091</v>
      </c>
      <c r="AA897" t="s">
        <v>33</v>
      </c>
      <c r="AB897" s="6">
        <f t="shared" si="458"/>
        <v>7.6666666666666661</v>
      </c>
      <c r="AC897" t="str">
        <f t="shared" si="459"/>
        <v>NA</v>
      </c>
      <c r="AD897" s="4">
        <f>IFERROR(AB897*T897*AI897, "NA")</f>
        <v>30.666666666666664</v>
      </c>
      <c r="AE897" s="3">
        <f t="shared" si="460"/>
        <v>37.326239999999999</v>
      </c>
      <c r="AF897">
        <v>92</v>
      </c>
      <c r="AG897" t="str">
        <f>IFERROR((M897*O897*P897), "NA")</f>
        <v>NA</v>
      </c>
      <c r="AH897" t="str">
        <f>IFERROR((AG897*T897*AI897), "NA")</f>
        <v>NA</v>
      </c>
      <c r="AI897" s="11">
        <v>1</v>
      </c>
      <c r="AJ897" t="s">
        <v>31</v>
      </c>
      <c r="AK897">
        <v>920</v>
      </c>
      <c r="AL897" t="s">
        <v>551</v>
      </c>
      <c r="AM897" t="s">
        <v>86</v>
      </c>
      <c r="AN897" t="s">
        <v>186</v>
      </c>
      <c r="AO897" t="s">
        <v>794</v>
      </c>
      <c r="AP897">
        <v>5.92</v>
      </c>
      <c r="AQ897" t="s">
        <v>33</v>
      </c>
      <c r="AR897" t="s">
        <v>33</v>
      </c>
      <c r="AS897" s="6">
        <f>LOG(1.4*10^6)</f>
        <v>6.1461280356782382</v>
      </c>
      <c r="AT897" s="3">
        <f>IFERROR(AS897-AU897,"NA")</f>
        <v>5.1471280356782385</v>
      </c>
      <c r="AU897" s="6">
        <v>0.999</v>
      </c>
      <c r="AV897" t="b">
        <v>1</v>
      </c>
      <c r="AW897" t="s">
        <v>29</v>
      </c>
      <c r="AX897" t="s">
        <v>30</v>
      </c>
      <c r="AY897" t="s">
        <v>244</v>
      </c>
      <c r="AZ897" t="s">
        <v>33</v>
      </c>
      <c r="BA897" s="18" t="s">
        <v>798</v>
      </c>
      <c r="BB897" t="b">
        <v>0</v>
      </c>
      <c r="BC897" t="s">
        <v>81</v>
      </c>
      <c r="BD897">
        <v>20</v>
      </c>
      <c r="BE897" t="s">
        <v>80</v>
      </c>
      <c r="BF897" s="11">
        <v>20</v>
      </c>
      <c r="BG897" t="s">
        <v>245</v>
      </c>
      <c r="BH897" t="s">
        <v>31</v>
      </c>
      <c r="BI897" t="s">
        <v>31</v>
      </c>
      <c r="BJ897" s="3">
        <f t="shared" si="438"/>
        <v>0.999</v>
      </c>
      <c r="BK897" s="3">
        <f t="shared" si="453"/>
        <v>-4.3451177401769168E-4</v>
      </c>
      <c r="BL897">
        <v>2</v>
      </c>
      <c r="BM897" s="3">
        <f t="shared" si="456"/>
        <v>1.5724487559329667</v>
      </c>
      <c r="BN897" t="s">
        <v>33</v>
      </c>
      <c r="BO897" s="3">
        <f t="shared" si="419"/>
        <v>37.3636036036036</v>
      </c>
      <c r="BP897" t="s">
        <v>33</v>
      </c>
      <c r="BQ897" t="s">
        <v>33</v>
      </c>
      <c r="BR897" t="s">
        <v>33</v>
      </c>
      <c r="BS897" t="s">
        <v>33</v>
      </c>
      <c r="BT897" t="s">
        <v>32</v>
      </c>
      <c r="BU897" t="s">
        <v>207</v>
      </c>
      <c r="BV897">
        <v>2014</v>
      </c>
      <c r="BW897" s="2" t="s">
        <v>242</v>
      </c>
      <c r="BX897" t="s">
        <v>78</v>
      </c>
      <c r="BY897" t="s">
        <v>33</v>
      </c>
      <c r="BZ897" t="s">
        <v>33</v>
      </c>
      <c r="CA897" t="str">
        <f t="shared" si="420"/>
        <v>low acid</v>
      </c>
    </row>
    <row r="898" spans="1:79">
      <c r="A898" t="s">
        <v>457</v>
      </c>
      <c r="B898" t="s">
        <v>565</v>
      </c>
      <c r="C898" t="s">
        <v>563</v>
      </c>
      <c r="D898" t="s">
        <v>182</v>
      </c>
      <c r="E898" t="s">
        <v>77</v>
      </c>
      <c r="F898" t="s">
        <v>32</v>
      </c>
      <c r="G898">
        <v>18</v>
      </c>
      <c r="H898">
        <v>48</v>
      </c>
      <c r="I898" t="b">
        <v>1</v>
      </c>
      <c r="J898" t="s">
        <v>33</v>
      </c>
      <c r="K898" t="s">
        <v>33</v>
      </c>
      <c r="L898">
        <v>22</v>
      </c>
      <c r="M898" s="4" t="s">
        <v>33</v>
      </c>
      <c r="N898" s="3">
        <f>IFERROR(AF898/((T898*X898/Y898)*O898*AI898),"NA")</f>
        <v>330.20830099655922</v>
      </c>
      <c r="O898">
        <v>10</v>
      </c>
      <c r="P898">
        <f>0.047/2</f>
        <v>2.35E-2</v>
      </c>
      <c r="Q898" s="8">
        <f t="shared" si="454"/>
        <v>2.3318614270936316E-2</v>
      </c>
      <c r="R898" t="s">
        <v>183</v>
      </c>
      <c r="S898" t="s">
        <v>613</v>
      </c>
      <c r="T898" s="11">
        <v>2</v>
      </c>
      <c r="U898">
        <v>5.6</v>
      </c>
      <c r="V898">
        <v>4.5</v>
      </c>
      <c r="W898" t="s">
        <v>33</v>
      </c>
      <c r="X898" s="9">
        <f t="shared" si="461"/>
        <v>8.9064151729270638E-2</v>
      </c>
      <c r="Y898" s="6">
        <f>13750/3600</f>
        <v>3.8194444444444446</v>
      </c>
      <c r="Z898" s="3">
        <f>IFERROR(X898*N898*O898*T898*AI898/AF898, "NA")</f>
        <v>3.8194444444444438</v>
      </c>
      <c r="AA898" t="s">
        <v>33</v>
      </c>
      <c r="AB898" s="4">
        <f>IFERROR(((X898*N898)/Y898), "NA")</f>
        <v>7.6999999999999984</v>
      </c>
      <c r="AC898" s="4">
        <f>IFERROR(N898*P898,"NA")</f>
        <v>7.7598950734191412</v>
      </c>
      <c r="AD898" s="4">
        <f>IFERROR(AB898*T898*AI898, "NA")</f>
        <v>15.399999999999997</v>
      </c>
      <c r="AE898" s="3">
        <f>IFERROR(((L898^2)*N898*O898*AK898*10^-6*Q898*T898*AI898), "NA")</f>
        <v>171.43280000000001</v>
      </c>
      <c r="AF898">
        <v>154</v>
      </c>
      <c r="AG898" s="4">
        <f>IFERROR((N898*O898*P898), "NA")</f>
        <v>77.598950734191419</v>
      </c>
      <c r="AH898" s="4">
        <f>IFERROR((AG898*T898*AI898), "NA")</f>
        <v>155.19790146838284</v>
      </c>
      <c r="AI898" s="11">
        <v>1</v>
      </c>
      <c r="AJ898" t="s">
        <v>31</v>
      </c>
      <c r="AK898">
        <v>2300</v>
      </c>
      <c r="AL898" t="s">
        <v>805</v>
      </c>
      <c r="AM898" t="s">
        <v>515</v>
      </c>
      <c r="AN898" t="s">
        <v>205</v>
      </c>
      <c r="AO898" t="s">
        <v>788</v>
      </c>
      <c r="AP898">
        <v>3.68</v>
      </c>
      <c r="AQ898" t="s">
        <v>33</v>
      </c>
      <c r="AR898" t="s">
        <v>33</v>
      </c>
      <c r="AS898">
        <f>LOG(10^8)</f>
        <v>8</v>
      </c>
      <c r="AT898" s="3">
        <f>IFERROR(AS898-AU898,"NA")</f>
        <v>5.15</v>
      </c>
      <c r="AU898" s="6">
        <v>2.85</v>
      </c>
      <c r="AV898" t="b">
        <v>1</v>
      </c>
      <c r="AW898" t="s">
        <v>477</v>
      </c>
      <c r="AX898" t="s">
        <v>471</v>
      </c>
      <c r="AY898" t="s">
        <v>474</v>
      </c>
      <c r="AZ898" t="s">
        <v>33</v>
      </c>
      <c r="BA898" s="18" t="s">
        <v>579</v>
      </c>
      <c r="BB898" t="b">
        <v>1</v>
      </c>
      <c r="BC898" t="s">
        <v>81</v>
      </c>
      <c r="BD898" t="s">
        <v>33</v>
      </c>
      <c r="BE898" t="s">
        <v>80</v>
      </c>
      <c r="BF898" t="s">
        <v>33</v>
      </c>
      <c r="BG898" t="s">
        <v>483</v>
      </c>
      <c r="BH898" t="s">
        <v>31</v>
      </c>
      <c r="BI898" t="s">
        <v>31</v>
      </c>
      <c r="BJ898" s="3">
        <f t="shared" si="438"/>
        <v>2.85</v>
      </c>
      <c r="BK898" s="3">
        <f t="shared" si="453"/>
        <v>0.45484486000851021</v>
      </c>
      <c r="BL898">
        <v>2</v>
      </c>
      <c r="BM898" s="3">
        <f t="shared" si="456"/>
        <v>1.7792490584899583</v>
      </c>
      <c r="BN898" t="s">
        <v>33</v>
      </c>
      <c r="BO898" s="3">
        <f t="shared" ref="BO898:BO961" si="462">IFERROR((AE898/BJ898),"NA")</f>
        <v>60.151859649122812</v>
      </c>
      <c r="BP898" t="s">
        <v>33</v>
      </c>
      <c r="BQ898" t="s">
        <v>33</v>
      </c>
      <c r="BR898" t="s">
        <v>33</v>
      </c>
      <c r="BS898" t="s">
        <v>33</v>
      </c>
      <c r="BT898" t="s">
        <v>32</v>
      </c>
      <c r="BU898" t="s">
        <v>484</v>
      </c>
      <c r="BV898">
        <v>2015</v>
      </c>
      <c r="BW898" t="s">
        <v>485</v>
      </c>
      <c r="BX898" t="s">
        <v>78</v>
      </c>
      <c r="BY898" t="s">
        <v>486</v>
      </c>
      <c r="BZ898" t="s">
        <v>780</v>
      </c>
      <c r="CA898" t="str">
        <f t="shared" si="420"/>
        <v>high acid</v>
      </c>
    </row>
    <row r="899" spans="1:79">
      <c r="A899" t="s">
        <v>591</v>
      </c>
      <c r="B899" t="s">
        <v>565</v>
      </c>
      <c r="C899" t="s">
        <v>563</v>
      </c>
      <c r="D899" t="s">
        <v>118</v>
      </c>
      <c r="E899" t="s">
        <v>77</v>
      </c>
      <c r="F899" t="s">
        <v>32</v>
      </c>
      <c r="G899">
        <f>AVERAGE(8.5,12.5)</f>
        <v>10.5</v>
      </c>
      <c r="H899">
        <v>15</v>
      </c>
      <c r="I899" t="b">
        <v>1</v>
      </c>
      <c r="J899" t="s">
        <v>33</v>
      </c>
      <c r="K899" t="s">
        <v>33</v>
      </c>
      <c r="L899">
        <v>37</v>
      </c>
      <c r="M899" s="4">
        <v>200</v>
      </c>
      <c r="N899" t="e">
        <f>(#REF!*Y899)/(T899*X899*O899)</f>
        <v>#REF!</v>
      </c>
      <c r="O899">
        <v>2</v>
      </c>
      <c r="P899" t="s">
        <v>33</v>
      </c>
      <c r="Q899" s="1">
        <f t="shared" si="454"/>
        <v>1.2250000000000002E-2</v>
      </c>
      <c r="R899" t="s">
        <v>183</v>
      </c>
      <c r="S899" t="s">
        <v>612</v>
      </c>
      <c r="T899">
        <v>4</v>
      </c>
      <c r="U899">
        <v>2.9</v>
      </c>
      <c r="V899">
        <v>2.2999999999999998</v>
      </c>
      <c r="W899">
        <v>1.21E-2</v>
      </c>
      <c r="X899">
        <f t="shared" si="461"/>
        <v>1.204879322468025E-2</v>
      </c>
      <c r="Y899">
        <v>1</v>
      </c>
      <c r="Z899" s="3">
        <f>IFERROR(X899*M899*O899*T899*AI899/AF899, "NA")</f>
        <v>0.98357495711675502</v>
      </c>
      <c r="AA899" t="s">
        <v>33</v>
      </c>
      <c r="AB899">
        <f>IFERROR(((X899*M899)/Z899), "NA")</f>
        <v>2.4500000000000002</v>
      </c>
      <c r="AC899" s="1" t="str">
        <f t="shared" ref="AC899:AC905" si="463">IFERROR(M899*P899,"NA")</f>
        <v>NA</v>
      </c>
      <c r="AE899" s="3">
        <f>IFERROR(((L899^2)*M899*O899*AK899*10^-6*Q899*T899*AI899), "NA")</f>
        <v>119.12780628000003</v>
      </c>
      <c r="AF899">
        <v>19.600000000000001</v>
      </c>
      <c r="AG899" s="1" t="str">
        <f>IFERROR((N899*P899*Q899), "NA")</f>
        <v>NA</v>
      </c>
      <c r="AH899" s="1" t="str">
        <f>IFERROR((AG899*U899*AI899), "NA")</f>
        <v>NA</v>
      </c>
      <c r="AI899" s="1">
        <v>1</v>
      </c>
      <c r="AJ899" s="11" t="s">
        <v>31</v>
      </c>
      <c r="AK899">
        <v>4439.7</v>
      </c>
      <c r="AL899" t="s">
        <v>156</v>
      </c>
      <c r="AM899" t="s">
        <v>157</v>
      </c>
      <c r="AN899" t="s">
        <v>186</v>
      </c>
      <c r="AO899" t="s">
        <v>792</v>
      </c>
      <c r="AP899">
        <v>6.66</v>
      </c>
      <c r="AQ899" t="s">
        <v>33</v>
      </c>
      <c r="AR899" t="s">
        <v>33</v>
      </c>
      <c r="AS899">
        <v>6</v>
      </c>
      <c r="AT899">
        <v>5.15</v>
      </c>
      <c r="AU899" s="6">
        <f>AS899-AT899</f>
        <v>0.84999999999999964</v>
      </c>
      <c r="AV899" t="b">
        <v>1</v>
      </c>
      <c r="AW899" t="s">
        <v>632</v>
      </c>
      <c r="AX899" t="s">
        <v>33</v>
      </c>
      <c r="AY899" t="s">
        <v>33</v>
      </c>
      <c r="AZ899" t="s">
        <v>33</v>
      </c>
      <c r="BA899" s="18" t="s">
        <v>803</v>
      </c>
      <c r="BB899" s="3" t="b">
        <v>0</v>
      </c>
      <c r="BC899" t="s">
        <v>81</v>
      </c>
      <c r="BD899">
        <v>48</v>
      </c>
      <c r="BE899" t="s">
        <v>80</v>
      </c>
      <c r="BF899">
        <v>48</v>
      </c>
      <c r="BG899" t="s">
        <v>645</v>
      </c>
      <c r="BH899" t="s">
        <v>31</v>
      </c>
      <c r="BI899" t="s">
        <v>32</v>
      </c>
      <c r="BJ899">
        <f t="shared" si="438"/>
        <v>0.84999999999999964</v>
      </c>
      <c r="BK899" s="3">
        <f t="shared" si="453"/>
        <v>-7.0581074285707451E-2</v>
      </c>
      <c r="BL899">
        <v>2</v>
      </c>
      <c r="BM899" s="3">
        <f t="shared" si="456"/>
        <v>2.1465942186776399</v>
      </c>
      <c r="BN899" t="s">
        <v>33</v>
      </c>
      <c r="BO899" s="3">
        <f t="shared" si="462"/>
        <v>140.15036032941185</v>
      </c>
      <c r="BP899" t="s">
        <v>33</v>
      </c>
      <c r="BQ899" t="s">
        <v>33</v>
      </c>
      <c r="BR899" t="s">
        <v>33</v>
      </c>
      <c r="BS899" t="s">
        <v>33</v>
      </c>
      <c r="BT899" t="s">
        <v>32</v>
      </c>
      <c r="BU899" s="15" t="s">
        <v>657</v>
      </c>
      <c r="BV899">
        <v>2008</v>
      </c>
      <c r="BW899" t="s">
        <v>658</v>
      </c>
      <c r="BX899" t="s">
        <v>78</v>
      </c>
      <c r="BY899" s="13" t="s">
        <v>679</v>
      </c>
      <c r="CA899" t="str">
        <f t="shared" ref="CA899:CA962" si="464">IF(OR(AN899="low acidic liquid medium", AN899="low acidic food product"), "low acid",
    IF(OR(AN899="high acidic food product", AN899="high acidic liquid medium"), "high acid", "NA"))</f>
        <v>low acid</v>
      </c>
    </row>
    <row r="900" spans="1:79">
      <c r="A900" t="s">
        <v>590</v>
      </c>
      <c r="B900" t="s">
        <v>565</v>
      </c>
      <c r="C900" t="s">
        <v>564</v>
      </c>
      <c r="D900" t="s">
        <v>609</v>
      </c>
      <c r="E900" t="s">
        <v>77</v>
      </c>
      <c r="F900" t="s">
        <v>32</v>
      </c>
      <c r="G900">
        <v>40</v>
      </c>
      <c r="H900">
        <v>49</v>
      </c>
      <c r="I900" t="b">
        <v>0</v>
      </c>
      <c r="J900" t="s">
        <v>33</v>
      </c>
      <c r="K900" t="s">
        <v>33</v>
      </c>
      <c r="L900">
        <v>18</v>
      </c>
      <c r="M900" s="4">
        <v>120</v>
      </c>
      <c r="N900" t="e">
        <f>(#REF!*Y900)/(T900*X900*O900)</f>
        <v>#REF!</v>
      </c>
      <c r="O900">
        <v>3</v>
      </c>
      <c r="P900" t="s">
        <v>33</v>
      </c>
      <c r="Q900" s="1">
        <f t="shared" si="454"/>
        <v>3.770833333333333E-2</v>
      </c>
      <c r="R900" t="s">
        <v>183</v>
      </c>
      <c r="S900" t="s">
        <v>612</v>
      </c>
      <c r="T900">
        <v>4</v>
      </c>
      <c r="U900">
        <v>3</v>
      </c>
      <c r="V900">
        <v>2.6</v>
      </c>
      <c r="W900">
        <v>1.5900000000000001E-2</v>
      </c>
      <c r="X900">
        <f t="shared" si="461"/>
        <v>1.5927874753700257E-2</v>
      </c>
      <c r="Y900">
        <v>8.3333299999999999E-2</v>
      </c>
      <c r="Z900" s="3">
        <f>IFERROR(X900*M900*O900*T900*AI900/AF900, "NA")</f>
        <v>0.42239667855116708</v>
      </c>
      <c r="AA900" t="s">
        <v>33</v>
      </c>
      <c r="AB900">
        <f>IFERROR(((X900*M900)/Z900), "NA")</f>
        <v>4.5249999999999995</v>
      </c>
      <c r="AC900" s="1" t="str">
        <f t="shared" si="463"/>
        <v>NA</v>
      </c>
      <c r="AE900" s="3">
        <f>IFERROR(((L900^2)*M900*O900*AK900*10^-6*Q900*T900*AI900), "NA")</f>
        <v>20.232179999999996</v>
      </c>
      <c r="AF900">
        <v>54.3</v>
      </c>
      <c r="AG900" s="1" t="str">
        <f>IFERROR((N900*P900*Q900), "NA")</f>
        <v>NA</v>
      </c>
      <c r="AH900" s="1" t="str">
        <f>IFERROR((AG900*U900*AI900), "NA")</f>
        <v>NA</v>
      </c>
      <c r="AI900" s="1">
        <v>1</v>
      </c>
      <c r="AJ900" s="11" t="s">
        <v>31</v>
      </c>
      <c r="AK900">
        <v>1150</v>
      </c>
      <c r="AL900" t="s">
        <v>551</v>
      </c>
      <c r="AM900" t="s">
        <v>86</v>
      </c>
      <c r="AN900" t="s">
        <v>186</v>
      </c>
      <c r="AO900" t="s">
        <v>794</v>
      </c>
      <c r="AP900">
        <v>5.92</v>
      </c>
      <c r="AQ900" t="s">
        <v>33</v>
      </c>
      <c r="AR900" t="s">
        <v>33</v>
      </c>
      <c r="AS900">
        <v>6</v>
      </c>
      <c r="AT900">
        <f>AS900-AU900</f>
        <v>5.15</v>
      </c>
      <c r="AU900" s="6">
        <v>0.85</v>
      </c>
      <c r="AV900" t="b">
        <v>1</v>
      </c>
      <c r="AW900" t="s">
        <v>626</v>
      </c>
      <c r="AX900" t="s">
        <v>627</v>
      </c>
      <c r="AY900" t="s">
        <v>631</v>
      </c>
      <c r="AZ900" t="s">
        <v>33</v>
      </c>
      <c r="BA900" s="18" t="s">
        <v>800</v>
      </c>
      <c r="BB900" s="3" t="b">
        <v>0</v>
      </c>
      <c r="BC900" t="s">
        <v>81</v>
      </c>
      <c r="BD900">
        <v>20</v>
      </c>
      <c r="BE900" t="s">
        <v>80</v>
      </c>
      <c r="BF900">
        <v>20</v>
      </c>
      <c r="BG900" t="s">
        <v>695</v>
      </c>
      <c r="BH900" t="s">
        <v>32</v>
      </c>
      <c r="BI900" t="s">
        <v>31</v>
      </c>
      <c r="BJ900">
        <f t="shared" si="438"/>
        <v>0.85</v>
      </c>
      <c r="BK900" s="3">
        <f t="shared" si="453"/>
        <v>-7.0581074285707285E-2</v>
      </c>
      <c r="BL900">
        <v>2</v>
      </c>
      <c r="BM900" s="3">
        <f t="shared" si="456"/>
        <v>1.3766237544347779</v>
      </c>
      <c r="BN900" t="s">
        <v>33</v>
      </c>
      <c r="BO900" s="3">
        <f t="shared" si="462"/>
        <v>23.80256470588235</v>
      </c>
      <c r="BP900" t="s">
        <v>33</v>
      </c>
      <c r="BQ900" t="s">
        <v>33</v>
      </c>
      <c r="BR900" t="s">
        <v>33</v>
      </c>
      <c r="BS900" t="s">
        <v>33</v>
      </c>
      <c r="BT900" t="s">
        <v>32</v>
      </c>
      <c r="BU900" s="15" t="s">
        <v>207</v>
      </c>
      <c r="BV900">
        <v>2014</v>
      </c>
      <c r="BW900" t="s">
        <v>242</v>
      </c>
      <c r="BX900" t="s">
        <v>78</v>
      </c>
      <c r="BY900" s="13" t="s">
        <v>678</v>
      </c>
      <c r="CA900" t="str">
        <f t="shared" si="464"/>
        <v>low acid</v>
      </c>
    </row>
    <row r="901" spans="1:79">
      <c r="A901" t="s">
        <v>604</v>
      </c>
      <c r="B901" t="s">
        <v>565</v>
      </c>
      <c r="C901" t="s">
        <v>563</v>
      </c>
      <c r="D901" t="s">
        <v>118</v>
      </c>
      <c r="E901" t="s">
        <v>77</v>
      </c>
      <c r="F901" t="s">
        <v>33</v>
      </c>
      <c r="G901">
        <v>20</v>
      </c>
      <c r="H901">
        <v>25</v>
      </c>
      <c r="I901" t="b">
        <v>0</v>
      </c>
      <c r="J901" t="s">
        <v>33</v>
      </c>
      <c r="K901" t="s">
        <v>33</v>
      </c>
      <c r="L901">
        <v>27.4</v>
      </c>
      <c r="M901" s="4">
        <v>667</v>
      </c>
      <c r="N901" t="e">
        <f>(#REF!*Y901)/(T901*X901*O901)</f>
        <v>#REF!</v>
      </c>
      <c r="O901">
        <v>2</v>
      </c>
      <c r="P901" t="s">
        <v>33</v>
      </c>
      <c r="Q901" s="1">
        <f t="shared" si="454"/>
        <v>9.9950024987506252E-3</v>
      </c>
      <c r="R901" t="s">
        <v>183</v>
      </c>
      <c r="S901" t="s">
        <v>613</v>
      </c>
      <c r="T901">
        <v>6</v>
      </c>
      <c r="U901">
        <v>2.92</v>
      </c>
      <c r="V901">
        <v>2.2999999999999998</v>
      </c>
      <c r="W901" t="s">
        <v>33</v>
      </c>
      <c r="X901">
        <f t="shared" si="461"/>
        <v>1.2131888350367701E-2</v>
      </c>
      <c r="Y901" t="s">
        <v>33</v>
      </c>
      <c r="Z901" s="3">
        <f>IFERROR(X901*M901*O901*T901*AI901/AF901, "NA")</f>
        <v>1.2137954294542883</v>
      </c>
      <c r="AA901" t="s">
        <v>33</v>
      </c>
      <c r="AB901">
        <f>IFERROR(((X901*M901)/Z901), "NA")</f>
        <v>6.666666666666667</v>
      </c>
      <c r="AC901" s="1" t="str">
        <f t="shared" si="463"/>
        <v>NA</v>
      </c>
      <c r="AE901" s="3">
        <f>IFERROR(((L901^2)*M901*O901*AK901*10^-6*Q901*T901*AI901), "NA")</f>
        <v>60.060799999999993</v>
      </c>
      <c r="AF901">
        <v>80</v>
      </c>
      <c r="AG901" s="1" t="str">
        <f>IFERROR((N901*P901*Q901), "NA")</f>
        <v>NA</v>
      </c>
      <c r="AH901" s="1" t="str">
        <f>IFERROR((O901*Q901*R901), "NA")</f>
        <v>NA</v>
      </c>
      <c r="AI901" s="1">
        <v>1</v>
      </c>
      <c r="AJ901" s="11" t="s">
        <v>31</v>
      </c>
      <c r="AK901">
        <v>1000</v>
      </c>
      <c r="AL901" t="s">
        <v>430</v>
      </c>
      <c r="AM901" t="s">
        <v>530</v>
      </c>
      <c r="AN901" t="s">
        <v>186</v>
      </c>
      <c r="AO901" t="s">
        <v>796</v>
      </c>
      <c r="AP901">
        <v>6</v>
      </c>
      <c r="AQ901" t="s">
        <v>33</v>
      </c>
      <c r="AR901" t="s">
        <v>33</v>
      </c>
      <c r="AS901">
        <v>6.5</v>
      </c>
      <c r="AT901">
        <f>AS901-AU901</f>
        <v>5.15</v>
      </c>
      <c r="AU901" s="6">
        <v>1.35</v>
      </c>
      <c r="AV901" t="b">
        <v>1</v>
      </c>
      <c r="AW901" t="s">
        <v>626</v>
      </c>
      <c r="AX901" t="s">
        <v>627</v>
      </c>
      <c r="AY901" t="s">
        <v>625</v>
      </c>
      <c r="AZ901" t="s">
        <v>33</v>
      </c>
      <c r="BA901" s="18" t="s">
        <v>800</v>
      </c>
      <c r="BB901" s="3" t="b">
        <v>0</v>
      </c>
      <c r="BC901" t="s">
        <v>81</v>
      </c>
      <c r="BD901">
        <v>15</v>
      </c>
      <c r="BE901" t="s">
        <v>80</v>
      </c>
      <c r="BF901">
        <v>48</v>
      </c>
      <c r="BG901" t="s">
        <v>568</v>
      </c>
      <c r="BH901" t="s">
        <v>31</v>
      </c>
      <c r="BI901" t="s">
        <v>31</v>
      </c>
      <c r="BJ901">
        <f t="shared" si="438"/>
        <v>1.35</v>
      </c>
      <c r="BK901" s="3">
        <f t="shared" si="453"/>
        <v>0.13033376849500614</v>
      </c>
      <c r="BL901">
        <v>2</v>
      </c>
      <c r="BM901" s="3">
        <f t="shared" si="456"/>
        <v>1.6482573441377133</v>
      </c>
      <c r="BN901" t="s">
        <v>33</v>
      </c>
      <c r="BO901" s="3">
        <f t="shared" si="462"/>
        <v>44.489481481481477</v>
      </c>
      <c r="BP901" t="s">
        <v>33</v>
      </c>
      <c r="BQ901" t="s">
        <v>33</v>
      </c>
      <c r="BR901" t="s">
        <v>33</v>
      </c>
      <c r="BS901" t="s">
        <v>33</v>
      </c>
      <c r="BT901" t="s">
        <v>32</v>
      </c>
      <c r="BU901" s="15" t="s">
        <v>344</v>
      </c>
      <c r="BV901" s="14">
        <v>2008</v>
      </c>
      <c r="BW901" t="s">
        <v>432</v>
      </c>
      <c r="BX901" t="s">
        <v>78</v>
      </c>
      <c r="BY901" s="13" t="s">
        <v>691</v>
      </c>
      <c r="BZ901" s="13" t="s">
        <v>781</v>
      </c>
      <c r="CA901" t="str">
        <f t="shared" si="464"/>
        <v>low acid</v>
      </c>
    </row>
    <row r="902" spans="1:79">
      <c r="A902" t="s">
        <v>590</v>
      </c>
      <c r="B902" t="s">
        <v>565</v>
      </c>
      <c r="C902" t="s">
        <v>564</v>
      </c>
      <c r="D902" t="s">
        <v>609</v>
      </c>
      <c r="E902" t="s">
        <v>77</v>
      </c>
      <c r="F902" t="s">
        <v>32</v>
      </c>
      <c r="G902">
        <v>40</v>
      </c>
      <c r="H902">
        <v>49</v>
      </c>
      <c r="I902" t="b">
        <v>0</v>
      </c>
      <c r="J902" t="s">
        <v>33</v>
      </c>
      <c r="K902" t="s">
        <v>33</v>
      </c>
      <c r="L902">
        <v>18</v>
      </c>
      <c r="M902" s="4">
        <v>120</v>
      </c>
      <c r="N902" t="e">
        <f>(#REF!*Y902)/(T902*X902*O902)</f>
        <v>#REF!</v>
      </c>
      <c r="O902">
        <v>3</v>
      </c>
      <c r="P902" t="s">
        <v>33</v>
      </c>
      <c r="Q902" s="1">
        <f t="shared" si="454"/>
        <v>4.715277777777778E-2</v>
      </c>
      <c r="R902" t="s">
        <v>183</v>
      </c>
      <c r="S902" t="s">
        <v>612</v>
      </c>
      <c r="T902">
        <v>4</v>
      </c>
      <c r="U902">
        <v>3</v>
      </c>
      <c r="V902">
        <v>2.6</v>
      </c>
      <c r="W902">
        <v>1.5900000000000001E-2</v>
      </c>
      <c r="X902">
        <f t="shared" si="461"/>
        <v>1.5927874753700257E-2</v>
      </c>
      <c r="Y902">
        <v>8.3333299999999999E-2</v>
      </c>
      <c r="Z902" s="3">
        <f>IFERROR(X902*M902*O902*T902*AI902/AF902, "NA")</f>
        <v>0.33779292555711882</v>
      </c>
      <c r="AA902" t="s">
        <v>33</v>
      </c>
      <c r="AB902">
        <f>IFERROR(((X902*M902)/Z902), "NA")</f>
        <v>5.6583333333333341</v>
      </c>
      <c r="AC902" s="1" t="str">
        <f t="shared" si="463"/>
        <v>NA</v>
      </c>
      <c r="AE902" s="3">
        <f>IFERROR(((L902^2)*M902*O902*AK902*10^-6*Q902*T902*AI902), "NA")</f>
        <v>25.29954</v>
      </c>
      <c r="AF902">
        <v>67.900000000000006</v>
      </c>
      <c r="AG902" s="1" t="str">
        <f>IFERROR((N902*P902*Q902), "NA")</f>
        <v>NA</v>
      </c>
      <c r="AH902" s="1" t="str">
        <f>IFERROR((AG902*U902*AI902), "NA")</f>
        <v>NA</v>
      </c>
      <c r="AI902" s="1">
        <v>1</v>
      </c>
      <c r="AJ902" s="11" t="s">
        <v>31</v>
      </c>
      <c r="AK902">
        <v>1150</v>
      </c>
      <c r="AL902" t="s">
        <v>551</v>
      </c>
      <c r="AM902" t="s">
        <v>86</v>
      </c>
      <c r="AN902" t="s">
        <v>186</v>
      </c>
      <c r="AO902" t="s">
        <v>794</v>
      </c>
      <c r="AP902">
        <v>5.92</v>
      </c>
      <c r="AQ902" t="s">
        <v>33</v>
      </c>
      <c r="AR902" t="s">
        <v>33</v>
      </c>
      <c r="AS902">
        <v>6</v>
      </c>
      <c r="AT902">
        <f>AS902-AU902</f>
        <v>5.16</v>
      </c>
      <c r="AU902" s="6">
        <v>0.84</v>
      </c>
      <c r="AV902" t="b">
        <v>1</v>
      </c>
      <c r="AW902" t="s">
        <v>626</v>
      </c>
      <c r="AX902" t="s">
        <v>627</v>
      </c>
      <c r="AY902" t="s">
        <v>631</v>
      </c>
      <c r="AZ902" t="s">
        <v>33</v>
      </c>
      <c r="BA902" s="18" t="s">
        <v>800</v>
      </c>
      <c r="BB902" s="3" t="b">
        <v>0</v>
      </c>
      <c r="BC902" t="s">
        <v>81</v>
      </c>
      <c r="BD902">
        <v>20</v>
      </c>
      <c r="BE902" t="s">
        <v>80</v>
      </c>
      <c r="BF902">
        <v>20</v>
      </c>
      <c r="BG902" t="s">
        <v>695</v>
      </c>
      <c r="BH902" t="s">
        <v>32</v>
      </c>
      <c r="BI902" t="s">
        <v>31</v>
      </c>
      <c r="BJ902">
        <f t="shared" si="438"/>
        <v>0.84</v>
      </c>
      <c r="BK902" s="3">
        <f t="shared" si="453"/>
        <v>-7.5720713938118356E-2</v>
      </c>
      <c r="BL902">
        <v>2</v>
      </c>
      <c r="BM902" s="3">
        <f t="shared" si="456"/>
        <v>1.4788333387788439</v>
      </c>
      <c r="BN902" t="s">
        <v>33</v>
      </c>
      <c r="BO902" s="3">
        <f t="shared" si="462"/>
        <v>30.118500000000001</v>
      </c>
      <c r="BP902" t="s">
        <v>33</v>
      </c>
      <c r="BQ902" t="s">
        <v>33</v>
      </c>
      <c r="BR902" t="s">
        <v>33</v>
      </c>
      <c r="BS902" t="s">
        <v>33</v>
      </c>
      <c r="BT902" t="s">
        <v>32</v>
      </c>
      <c r="BU902" s="15" t="s">
        <v>207</v>
      </c>
      <c r="BV902">
        <v>2014</v>
      </c>
      <c r="BW902" t="s">
        <v>242</v>
      </c>
      <c r="BX902" t="s">
        <v>78</v>
      </c>
      <c r="BY902" s="13" t="s">
        <v>678</v>
      </c>
      <c r="CA902" t="str">
        <f t="shared" si="464"/>
        <v>low acid</v>
      </c>
    </row>
    <row r="903" spans="1:79">
      <c r="A903" t="s">
        <v>367</v>
      </c>
      <c r="B903" t="s">
        <v>565</v>
      </c>
      <c r="C903" t="s">
        <v>563</v>
      </c>
      <c r="D903" t="s">
        <v>118</v>
      </c>
      <c r="E903" t="s">
        <v>77</v>
      </c>
      <c r="F903" t="s">
        <v>32</v>
      </c>
      <c r="G903">
        <v>20</v>
      </c>
      <c r="H903">
        <v>30</v>
      </c>
      <c r="I903" t="b">
        <v>0</v>
      </c>
      <c r="J903" t="s">
        <v>33</v>
      </c>
      <c r="K903" t="s">
        <v>33</v>
      </c>
      <c r="L903">
        <v>15</v>
      </c>
      <c r="M903" s="4" t="s">
        <v>33</v>
      </c>
      <c r="N903" s="3">
        <f>IFERROR(AF903/((T903*X903/Y903)*O903*AI903),"NA")</f>
        <v>160.73532266282723</v>
      </c>
      <c r="O903">
        <v>2</v>
      </c>
      <c r="P903" t="s">
        <v>33</v>
      </c>
      <c r="Q903" s="8">
        <f t="shared" si="454"/>
        <v>8.6062808747716102E-3</v>
      </c>
      <c r="R903" t="s">
        <v>183</v>
      </c>
      <c r="S903" t="s">
        <v>613</v>
      </c>
      <c r="T903" s="11">
        <v>6</v>
      </c>
      <c r="U903">
        <v>2.9</v>
      </c>
      <c r="V903">
        <v>2.2999999999999998</v>
      </c>
      <c r="W903" t="s">
        <v>33</v>
      </c>
      <c r="X903" s="8">
        <f t="shared" si="461"/>
        <v>1.204879322468025E-2</v>
      </c>
      <c r="Y903">
        <f>84/60</f>
        <v>1.4</v>
      </c>
      <c r="Z903" s="3">
        <f>IFERROR(X903*N903*O903*T903*AI903/AF903, "NA")</f>
        <v>1.3999999999999997</v>
      </c>
      <c r="AA903">
        <f>8.3/6</f>
        <v>1.3833333333333335</v>
      </c>
      <c r="AB903" s="6" t="str">
        <f>IFERROR(((X903*M903)/Z903), "NA")</f>
        <v>NA</v>
      </c>
      <c r="AC903" t="str">
        <f t="shared" si="463"/>
        <v>NA</v>
      </c>
      <c r="AD903" s="4" t="str">
        <f>IFERROR(AB903*T903*AI903, "NA")</f>
        <v>NA</v>
      </c>
      <c r="AE903" s="3">
        <f>IFERROR(((L903^2)*N903*O903*AK903*10^-6*Q903*T903*AI903), "NA")</f>
        <v>6.9097500000000025</v>
      </c>
      <c r="AF903" s="3">
        <f>AA903*O903*T903</f>
        <v>16.600000000000001</v>
      </c>
      <c r="AG903" t="str">
        <f>IFERROR((M903*O903*P903), "NA")</f>
        <v>NA</v>
      </c>
      <c r="AH903" t="str">
        <f>IFERROR((AG903*T903*AI903), "NA")</f>
        <v>NA</v>
      </c>
      <c r="AI903" s="11">
        <v>1</v>
      </c>
      <c r="AJ903" t="s">
        <v>31</v>
      </c>
      <c r="AK903">
        <v>1850</v>
      </c>
      <c r="AL903" t="s">
        <v>149</v>
      </c>
      <c r="AM903" t="s">
        <v>86</v>
      </c>
      <c r="AN903" t="s">
        <v>205</v>
      </c>
      <c r="AO903" t="s">
        <v>789</v>
      </c>
      <c r="AP903" t="s">
        <v>33</v>
      </c>
      <c r="AQ903" t="s">
        <v>33</v>
      </c>
      <c r="AR903" t="s">
        <v>33</v>
      </c>
      <c r="AS903" s="6">
        <f>LOG(4*10^6)</f>
        <v>6.6020599913279625</v>
      </c>
      <c r="AT903" s="3">
        <f>IFERROR(AS903-AU903,"NA")</f>
        <v>5.1650599913279622</v>
      </c>
      <c r="AU903" s="6">
        <v>1.4370000000000001</v>
      </c>
      <c r="AV903" t="b">
        <v>1</v>
      </c>
      <c r="AW903" t="s">
        <v>172</v>
      </c>
      <c r="AX903" t="s">
        <v>173</v>
      </c>
      <c r="AY903" t="s">
        <v>363</v>
      </c>
      <c r="AZ903" t="s">
        <v>33</v>
      </c>
      <c r="BA903" s="18" t="s">
        <v>799</v>
      </c>
      <c r="BB903" t="b">
        <v>0</v>
      </c>
      <c r="BC903" t="s">
        <v>81</v>
      </c>
      <c r="BD903">
        <v>48</v>
      </c>
      <c r="BE903" t="s">
        <v>80</v>
      </c>
      <c r="BF903" s="11">
        <v>120</v>
      </c>
      <c r="BG903" t="s">
        <v>364</v>
      </c>
      <c r="BH903" t="s">
        <v>31</v>
      </c>
      <c r="BI903" t="s">
        <v>31</v>
      </c>
      <c r="BJ903" s="3">
        <f t="shared" si="438"/>
        <v>1.4370000000000001</v>
      </c>
      <c r="BK903" s="3">
        <f t="shared" si="453"/>
        <v>0.15745676813422568</v>
      </c>
      <c r="BL903">
        <v>2</v>
      </c>
      <c r="BM903" s="3">
        <f t="shared" si="456"/>
        <v>0.68200556642020582</v>
      </c>
      <c r="BN903" t="s">
        <v>33</v>
      </c>
      <c r="BO903" s="3">
        <f t="shared" si="462"/>
        <v>4.8084551148225483</v>
      </c>
      <c r="BP903" t="s">
        <v>33</v>
      </c>
      <c r="BQ903" t="s">
        <v>33</v>
      </c>
      <c r="BR903" t="s">
        <v>33</v>
      </c>
      <c r="BS903" t="s">
        <v>33</v>
      </c>
      <c r="BT903" t="s">
        <v>32</v>
      </c>
      <c r="BU903" t="s">
        <v>365</v>
      </c>
      <c r="BV903">
        <v>2002</v>
      </c>
      <c r="BW903" t="s">
        <v>366</v>
      </c>
      <c r="BX903" t="s">
        <v>78</v>
      </c>
      <c r="BY903" t="s">
        <v>33</v>
      </c>
      <c r="BZ903" t="s">
        <v>33</v>
      </c>
      <c r="CA903" t="str">
        <f t="shared" si="464"/>
        <v>high acid</v>
      </c>
    </row>
    <row r="904" spans="1:79">
      <c r="A904" t="s">
        <v>311</v>
      </c>
      <c r="B904" t="s">
        <v>565</v>
      </c>
      <c r="C904" t="s">
        <v>563</v>
      </c>
      <c r="D904" t="s">
        <v>33</v>
      </c>
      <c r="E904" t="s">
        <v>77</v>
      </c>
      <c r="F904" t="s">
        <v>32</v>
      </c>
      <c r="G904">
        <v>5</v>
      </c>
      <c r="H904">
        <v>52</v>
      </c>
      <c r="I904" t="b">
        <v>0</v>
      </c>
      <c r="J904" t="s">
        <v>33</v>
      </c>
      <c r="K904" t="s">
        <v>33</v>
      </c>
      <c r="L904">
        <v>40</v>
      </c>
      <c r="M904" s="4">
        <v>60</v>
      </c>
      <c r="N904" s="3">
        <f>IFERROR(AF904/((T904*X904/Y904)*O904*AI904),"NA")</f>
        <v>59.523809523809526</v>
      </c>
      <c r="O904">
        <v>3.5</v>
      </c>
      <c r="P904" t="s">
        <v>33</v>
      </c>
      <c r="Q904">
        <f t="shared" si="454"/>
        <v>3.7500000000000006E-2</v>
      </c>
      <c r="R904" t="s">
        <v>278</v>
      </c>
      <c r="S904" t="s">
        <v>613</v>
      </c>
      <c r="T904" s="11">
        <v>2</v>
      </c>
      <c r="U904" t="s">
        <v>33</v>
      </c>
      <c r="V904" t="s">
        <v>33</v>
      </c>
      <c r="W904">
        <v>1.26E-2</v>
      </c>
      <c r="X904" s="8">
        <f>W904</f>
        <v>1.26E-2</v>
      </c>
      <c r="Y904" s="6">
        <f>20/60</f>
        <v>0.33333333333333331</v>
      </c>
      <c r="Z904" s="3">
        <f>IFERROR(X904*M904*O904*T904*AI904/AF904, "NA")</f>
        <v>0.33599999999999997</v>
      </c>
      <c r="AA904">
        <f>4.5/2</f>
        <v>2.25</v>
      </c>
      <c r="AB904" s="6">
        <f>IFERROR(((X904*M904)/Y904), "NA")</f>
        <v>2.2680000000000002</v>
      </c>
      <c r="AC904" t="str">
        <f t="shared" si="463"/>
        <v>NA</v>
      </c>
      <c r="AD904" s="4">
        <f>IFERROR(AB904*T904*AI904, "NA")</f>
        <v>4.5360000000000005</v>
      </c>
      <c r="AE904" s="3">
        <f>IFERROR(((L904^2)*M904*O904*AK904*10^-6*Q904*T904*AI904), "NA")</f>
        <v>59.472000000000001</v>
      </c>
      <c r="AF904">
        <f>AA904*O904*T904</f>
        <v>15.75</v>
      </c>
      <c r="AG904" t="str">
        <f>IFERROR((M904*O904*P904), "NA")</f>
        <v>NA</v>
      </c>
      <c r="AH904" t="str">
        <f>IFERROR((AG904*T904*AI904), "NA")</f>
        <v>NA</v>
      </c>
      <c r="AI904">
        <v>1</v>
      </c>
      <c r="AJ904" t="s">
        <v>31</v>
      </c>
      <c r="AK904">
        <v>2360</v>
      </c>
      <c r="AL904" t="s">
        <v>149</v>
      </c>
      <c r="AM904" t="s">
        <v>86</v>
      </c>
      <c r="AN904" t="s">
        <v>205</v>
      </c>
      <c r="AO904" t="s">
        <v>789</v>
      </c>
      <c r="AP904">
        <v>3.8</v>
      </c>
      <c r="AQ904" t="s">
        <v>33</v>
      </c>
      <c r="AR904" t="s">
        <v>33</v>
      </c>
      <c r="AS904" s="3">
        <f>LOG(10^6)</f>
        <v>6</v>
      </c>
      <c r="AT904" s="3">
        <f>IFERROR(AS904-AU904,"NA")</f>
        <v>5.1680000000000001</v>
      </c>
      <c r="AU904" s="6">
        <v>0.83199999999999996</v>
      </c>
      <c r="AV904" t="b">
        <v>1</v>
      </c>
      <c r="AW904" t="s">
        <v>29</v>
      </c>
      <c r="AX904" t="s">
        <v>30</v>
      </c>
      <c r="AY904" t="s">
        <v>307</v>
      </c>
      <c r="AZ904" t="s">
        <v>33</v>
      </c>
      <c r="BA904" s="18" t="s">
        <v>798</v>
      </c>
      <c r="BB904" t="b">
        <v>0</v>
      </c>
      <c r="BC904" t="s">
        <v>81</v>
      </c>
      <c r="BD904">
        <v>18</v>
      </c>
      <c r="BE904" t="s">
        <v>80</v>
      </c>
      <c r="BF904" s="11">
        <v>48</v>
      </c>
      <c r="BG904" t="s">
        <v>308</v>
      </c>
      <c r="BH904" t="s">
        <v>31</v>
      </c>
      <c r="BI904" t="s">
        <v>31</v>
      </c>
      <c r="BJ904" s="3">
        <f t="shared" si="438"/>
        <v>0.83199999999999996</v>
      </c>
      <c r="BK904" s="3">
        <f t="shared" si="453"/>
        <v>-7.9876673709276078E-2</v>
      </c>
      <c r="BL904">
        <v>2</v>
      </c>
      <c r="BM904" s="3">
        <f t="shared" si="456"/>
        <v>1.8541892174609267</v>
      </c>
      <c r="BN904" t="s">
        <v>33</v>
      </c>
      <c r="BO904" s="3">
        <f t="shared" si="462"/>
        <v>71.480769230769241</v>
      </c>
      <c r="BP904" t="s">
        <v>33</v>
      </c>
      <c r="BQ904" t="s">
        <v>33</v>
      </c>
      <c r="BR904" t="s">
        <v>33</v>
      </c>
      <c r="BS904" t="s">
        <v>33</v>
      </c>
      <c r="BT904" t="s">
        <v>31</v>
      </c>
      <c r="BU904" t="s">
        <v>309</v>
      </c>
      <c r="BV904">
        <v>2011</v>
      </c>
      <c r="BW904" s="2" t="s">
        <v>312</v>
      </c>
      <c r="BX904" t="s">
        <v>78</v>
      </c>
      <c r="BY904" t="s">
        <v>310</v>
      </c>
      <c r="BZ904" t="s">
        <v>33</v>
      </c>
      <c r="CA904" t="str">
        <f t="shared" si="464"/>
        <v>high acid</v>
      </c>
    </row>
    <row r="905" spans="1:79">
      <c r="A905" t="s">
        <v>764</v>
      </c>
      <c r="B905" t="s">
        <v>565</v>
      </c>
      <c r="C905" t="s">
        <v>563</v>
      </c>
      <c r="D905" t="s">
        <v>765</v>
      </c>
      <c r="E905" t="s">
        <v>77</v>
      </c>
      <c r="F905" t="s">
        <v>31</v>
      </c>
      <c r="G905">
        <v>22</v>
      </c>
      <c r="H905">
        <v>58</v>
      </c>
      <c r="I905" t="b">
        <v>0</v>
      </c>
      <c r="J905" t="s">
        <v>33</v>
      </c>
      <c r="K905" t="s">
        <v>33</v>
      </c>
      <c r="L905">
        <v>16</v>
      </c>
      <c r="M905" s="4">
        <f>N905</f>
        <v>231.15680374456701</v>
      </c>
      <c r="N905" s="3">
        <f>IFERROR(AF905/((T905*X905/Y905)*O905*AI905),"NA")</f>
        <v>231.15680374456701</v>
      </c>
      <c r="O905">
        <v>3</v>
      </c>
      <c r="P905">
        <v>7.1800000000000003E-2</v>
      </c>
      <c r="Q905" s="8">
        <f>IFERROR(X905/Y905, "NA")</f>
        <v>7.1812725090036014E-2</v>
      </c>
      <c r="R905" t="s">
        <v>183</v>
      </c>
      <c r="S905" t="s">
        <v>33</v>
      </c>
      <c r="T905" s="11">
        <v>1</v>
      </c>
      <c r="U905" t="s">
        <v>33</v>
      </c>
      <c r="V905" t="s">
        <v>33</v>
      </c>
      <c r="W905">
        <v>9.9699999999999997E-2</v>
      </c>
      <c r="X905">
        <f>W905</f>
        <v>9.9699999999999997E-2</v>
      </c>
      <c r="Y905" s="6">
        <f>83.3/60</f>
        <v>1.3883333333333332</v>
      </c>
      <c r="Z905" s="6">
        <f>Y905</f>
        <v>1.3883333333333332</v>
      </c>
      <c r="AA905" t="s">
        <v>33</v>
      </c>
      <c r="AB905" s="4">
        <f>IFERROR(((X905*M905)/Y905), "NA")</f>
        <v>16.599999999999998</v>
      </c>
      <c r="AC905" s="4">
        <f t="shared" si="463"/>
        <v>16.597058508859913</v>
      </c>
      <c r="AD905" s="4">
        <f>AB905*T905*AI905</f>
        <v>16.599999999999998</v>
      </c>
      <c r="AE905" s="3">
        <f>IFERROR(((L905^2)*M905*O905*AK905*10^-6*Q905*T905*AI905), "NA")</f>
        <v>38.246399999999994</v>
      </c>
      <c r="AF905">
        <v>49.8</v>
      </c>
      <c r="AG905" s="4">
        <f>IFERROR((M905*O905*P905), "NA")</f>
        <v>49.791175526579735</v>
      </c>
      <c r="AH905" s="4">
        <f>IFERROR((AG905*T905*AI905), "NA")</f>
        <v>49.791175526579735</v>
      </c>
      <c r="AI905">
        <v>1</v>
      </c>
      <c r="AJ905" s="11" t="s">
        <v>31</v>
      </c>
      <c r="AK905">
        <v>3000</v>
      </c>
      <c r="AL905" t="s">
        <v>169</v>
      </c>
      <c r="AM905" t="s">
        <v>103</v>
      </c>
      <c r="AN905" t="s">
        <v>130</v>
      </c>
      <c r="AO905" t="s">
        <v>795</v>
      </c>
      <c r="AP905">
        <v>7.3</v>
      </c>
      <c r="AQ905" t="s">
        <v>33</v>
      </c>
      <c r="AR905" t="s">
        <v>33</v>
      </c>
      <c r="AS905">
        <v>7</v>
      </c>
      <c r="AT905" s="3">
        <f>IFERROR(AS905-AU905,"NA")</f>
        <v>5.1690000000000005</v>
      </c>
      <c r="AU905" s="6">
        <v>1.831</v>
      </c>
      <c r="AV905" t="b">
        <v>1</v>
      </c>
      <c r="AW905" t="s">
        <v>29</v>
      </c>
      <c r="AX905" t="s">
        <v>30</v>
      </c>
      <c r="AY905" t="s">
        <v>766</v>
      </c>
      <c r="AZ905" t="s">
        <v>33</v>
      </c>
      <c r="BA905" s="18" t="s">
        <v>798</v>
      </c>
      <c r="BB905" s="3" t="b">
        <v>0</v>
      </c>
      <c r="BC905" t="s">
        <v>81</v>
      </c>
      <c r="BD905">
        <v>16</v>
      </c>
      <c r="BE905" t="s">
        <v>80</v>
      </c>
      <c r="BF905">
        <v>24</v>
      </c>
      <c r="BG905" t="s">
        <v>569</v>
      </c>
      <c r="BH905" t="s">
        <v>31</v>
      </c>
      <c r="BI905" t="s">
        <v>31</v>
      </c>
      <c r="BJ905" s="3">
        <f t="shared" si="438"/>
        <v>1.831</v>
      </c>
      <c r="BK905" s="3">
        <f t="shared" si="453"/>
        <v>0.26268834430169646</v>
      </c>
      <c r="BL905">
        <v>2</v>
      </c>
      <c r="BM905" s="3">
        <f t="shared" si="456"/>
        <v>1.319902218489533</v>
      </c>
      <c r="BN905" t="s">
        <v>33</v>
      </c>
      <c r="BO905" s="3">
        <f t="shared" si="462"/>
        <v>20.88825778263244</v>
      </c>
      <c r="BP905" t="s">
        <v>33</v>
      </c>
      <c r="BQ905" t="s">
        <v>33</v>
      </c>
      <c r="BR905" t="s">
        <v>33</v>
      </c>
      <c r="BS905" t="s">
        <v>33</v>
      </c>
      <c r="BT905" t="s">
        <v>31</v>
      </c>
      <c r="BU905" t="s">
        <v>767</v>
      </c>
      <c r="BV905">
        <v>2021</v>
      </c>
      <c r="BW905" t="s">
        <v>768</v>
      </c>
      <c r="BX905" t="s">
        <v>78</v>
      </c>
      <c r="BY905" t="s">
        <v>769</v>
      </c>
      <c r="CA905" t="str">
        <f t="shared" si="464"/>
        <v>low acid</v>
      </c>
    </row>
    <row r="906" spans="1:79">
      <c r="A906" t="s">
        <v>451</v>
      </c>
      <c r="B906" t="s">
        <v>565</v>
      </c>
      <c r="C906" t="s">
        <v>563</v>
      </c>
      <c r="D906" t="s">
        <v>182</v>
      </c>
      <c r="E906" t="s">
        <v>77</v>
      </c>
      <c r="F906" t="s">
        <v>32</v>
      </c>
      <c r="G906">
        <v>18</v>
      </c>
      <c r="H906">
        <v>47</v>
      </c>
      <c r="I906" t="b">
        <v>1</v>
      </c>
      <c r="J906" t="s">
        <v>33</v>
      </c>
      <c r="K906" t="s">
        <v>33</v>
      </c>
      <c r="L906">
        <v>27</v>
      </c>
      <c r="M906" s="4" t="s">
        <v>33</v>
      </c>
      <c r="N906" s="3">
        <f>IFERROR(AF906/((T906*X906/Y906)*O906*AI906),"NA")</f>
        <v>220.85360391328314</v>
      </c>
      <c r="O906">
        <v>10</v>
      </c>
      <c r="P906">
        <f>0.047/2</f>
        <v>2.35E-2</v>
      </c>
      <c r="Q906" s="8">
        <f t="shared" ref="Q906:Q911" si="465">IFERROR(X906/Z906, "NA")</f>
        <v>2.3318614270936313E-2</v>
      </c>
      <c r="R906" t="s">
        <v>183</v>
      </c>
      <c r="S906" t="s">
        <v>613</v>
      </c>
      <c r="T906" s="11">
        <v>2</v>
      </c>
      <c r="U906">
        <v>5.6</v>
      </c>
      <c r="V906">
        <v>4.5</v>
      </c>
      <c r="W906" t="s">
        <v>33</v>
      </c>
      <c r="X906" s="9">
        <f>IFERROR(((PI())*(((V906*10^-1)/2)^2)*(U906*10^-1)), "NA")</f>
        <v>8.9064151729270638E-2</v>
      </c>
      <c r="Y906" s="6">
        <f>13750/3600</f>
        <v>3.8194444444444446</v>
      </c>
      <c r="Z906" s="3">
        <f>IFERROR(X906*N906*O906*T906*AI906/AF906, "NA")</f>
        <v>3.8194444444444442</v>
      </c>
      <c r="AA906" t="s">
        <v>33</v>
      </c>
      <c r="AB906" s="4">
        <f>IFERROR(((X906*N906)/Y906), "NA")</f>
        <v>5.1499999999999995</v>
      </c>
      <c r="AC906" s="4">
        <f>IFERROR(N906*P906,"NA")</f>
        <v>5.190059691962154</v>
      </c>
      <c r="AD906" s="4">
        <f>IFERROR(AB906*T906*AI906, "NA")</f>
        <v>10.299999999999999</v>
      </c>
      <c r="AE906" s="3">
        <f>IFERROR(((L906^2)*N906*O906*AK906*10^-6*Q906*T906*AI906), "NA")</f>
        <v>172.70010000000002</v>
      </c>
      <c r="AF906">
        <v>103</v>
      </c>
      <c r="AG906" s="4">
        <f>IFERROR((N906*O906*P906), "NA")</f>
        <v>51.900596919621535</v>
      </c>
      <c r="AH906" s="4">
        <f>IFERROR((AG906*T906*AI906), "NA")</f>
        <v>103.80119383924307</v>
      </c>
      <c r="AI906" s="11">
        <v>1</v>
      </c>
      <c r="AJ906" t="s">
        <v>31</v>
      </c>
      <c r="AK906">
        <v>2300</v>
      </c>
      <c r="AL906" t="s">
        <v>805</v>
      </c>
      <c r="AM906" t="s">
        <v>515</v>
      </c>
      <c r="AN906" t="s">
        <v>205</v>
      </c>
      <c r="AO906" t="s">
        <v>788</v>
      </c>
      <c r="AP906">
        <v>3.68</v>
      </c>
      <c r="AQ906" t="s">
        <v>33</v>
      </c>
      <c r="AR906" t="s">
        <v>33</v>
      </c>
      <c r="AS906">
        <f>LOG(10^8)</f>
        <v>8</v>
      </c>
      <c r="AT906" s="3">
        <f>IFERROR(AS906-AU906,"NA")</f>
        <v>5.17</v>
      </c>
      <c r="AU906" s="6">
        <v>2.83</v>
      </c>
      <c r="AV906" t="b">
        <v>1</v>
      </c>
      <c r="AW906" t="s">
        <v>123</v>
      </c>
      <c r="AX906" t="s">
        <v>462</v>
      </c>
      <c r="AY906" t="s">
        <v>520</v>
      </c>
      <c r="AZ906" t="s">
        <v>33</v>
      </c>
      <c r="BA906" s="18" t="s">
        <v>579</v>
      </c>
      <c r="BB906" t="b">
        <v>1</v>
      </c>
      <c r="BC906" t="s">
        <v>81</v>
      </c>
      <c r="BD906" t="s">
        <v>33</v>
      </c>
      <c r="BE906" t="s">
        <v>80</v>
      </c>
      <c r="BF906" t="s">
        <v>33</v>
      </c>
      <c r="BG906" t="s">
        <v>395</v>
      </c>
      <c r="BH906" t="s">
        <v>31</v>
      </c>
      <c r="BI906" t="s">
        <v>31</v>
      </c>
      <c r="BJ906" s="3">
        <f t="shared" si="438"/>
        <v>2.83</v>
      </c>
      <c r="BK906" s="3">
        <f t="shared" si="453"/>
        <v>0.45178643552429026</v>
      </c>
      <c r="BL906">
        <v>2</v>
      </c>
      <c r="BM906" s="3">
        <f t="shared" si="456"/>
        <v>1.7855061535164496</v>
      </c>
      <c r="BN906" t="s">
        <v>33</v>
      </c>
      <c r="BO906" s="3">
        <f t="shared" si="462"/>
        <v>61.024770318021204</v>
      </c>
      <c r="BP906" t="s">
        <v>33</v>
      </c>
      <c r="BQ906" t="s">
        <v>33</v>
      </c>
      <c r="BR906" t="s">
        <v>33</v>
      </c>
      <c r="BS906" t="s">
        <v>33</v>
      </c>
      <c r="BT906" t="s">
        <v>32</v>
      </c>
      <c r="BU906" t="s">
        <v>484</v>
      </c>
      <c r="BV906">
        <v>2015</v>
      </c>
      <c r="BW906" t="s">
        <v>485</v>
      </c>
      <c r="BX906" t="s">
        <v>78</v>
      </c>
      <c r="BY906" t="s">
        <v>486</v>
      </c>
      <c r="CA906" t="str">
        <f t="shared" si="464"/>
        <v>high acid</v>
      </c>
    </row>
    <row r="907" spans="1:79">
      <c r="A907" t="s">
        <v>595</v>
      </c>
      <c r="B907" t="s">
        <v>565</v>
      </c>
      <c r="C907" t="s">
        <v>564</v>
      </c>
      <c r="D907" t="s">
        <v>609</v>
      </c>
      <c r="E907" t="s">
        <v>77</v>
      </c>
      <c r="F907" t="s">
        <v>32</v>
      </c>
      <c r="G907">
        <v>30</v>
      </c>
      <c r="H907">
        <v>38.200000000000003</v>
      </c>
      <c r="I907" t="b">
        <v>0</v>
      </c>
      <c r="J907" t="s">
        <v>33</v>
      </c>
      <c r="K907" t="s">
        <v>33</v>
      </c>
      <c r="L907">
        <v>12</v>
      </c>
      <c r="M907" s="4">
        <v>120</v>
      </c>
      <c r="N907" t="e">
        <f>(#REF!*Y907)/(T907*X907*O907)</f>
        <v>#REF!</v>
      </c>
      <c r="O907">
        <v>3</v>
      </c>
      <c r="P907" t="s">
        <v>33</v>
      </c>
      <c r="Q907" s="1">
        <f t="shared" si="465"/>
        <v>0.125</v>
      </c>
      <c r="R907" t="s">
        <v>183</v>
      </c>
      <c r="S907" t="s">
        <v>612</v>
      </c>
      <c r="T907">
        <v>4</v>
      </c>
      <c r="U907">
        <v>3</v>
      </c>
      <c r="V907">
        <v>2.6</v>
      </c>
      <c r="W907" t="s">
        <v>33</v>
      </c>
      <c r="X907">
        <f>IFERROR(((PI())*(((V907*10^-1)/2)^2)*(U907*10^-1)), "NA")</f>
        <v>1.5927874753700257E-2</v>
      </c>
      <c r="Y907">
        <v>0.126667</v>
      </c>
      <c r="Z907" s="3">
        <f>IFERROR(X907*M907*O907*T907*AI907/AF907, "NA")</f>
        <v>0.12742299802960205</v>
      </c>
      <c r="AA907" t="s">
        <v>33</v>
      </c>
      <c r="AB907">
        <f>IFERROR(((X907*M907)/Z907), "NA")</f>
        <v>15</v>
      </c>
      <c r="AC907" s="1" t="str">
        <f t="shared" ref="AC907:AC937" si="466">IFERROR(M907*P907,"NA")</f>
        <v>NA</v>
      </c>
      <c r="AE907" s="3">
        <f>IFERROR(((L907^2)*M907*O907*AK907*10^-6*Q907*T907*AI907), "NA")</f>
        <v>25.401599999999998</v>
      </c>
      <c r="AF907">
        <v>180</v>
      </c>
      <c r="AG907" s="1" t="str">
        <f>IFERROR((N907*P907*Q907), "NA")</f>
        <v>NA</v>
      </c>
      <c r="AH907" s="1" t="str">
        <f>IFERROR((AG907*U907*AI907), "NA")</f>
        <v>NA</v>
      </c>
      <c r="AI907" s="1">
        <v>1</v>
      </c>
      <c r="AJ907" s="11" t="s">
        <v>31</v>
      </c>
      <c r="AK907">
        <v>980</v>
      </c>
      <c r="AL907" t="s">
        <v>551</v>
      </c>
      <c r="AM907" t="s">
        <v>86</v>
      </c>
      <c r="AN907" t="s">
        <v>186</v>
      </c>
      <c r="AO907" t="s">
        <v>794</v>
      </c>
      <c r="AP907">
        <v>5.98</v>
      </c>
      <c r="AQ907" t="s">
        <v>33</v>
      </c>
      <c r="AR907" t="s">
        <v>33</v>
      </c>
      <c r="AS907">
        <v>6</v>
      </c>
      <c r="AT907">
        <f>AS907-AU907</f>
        <v>5.17</v>
      </c>
      <c r="AU907" s="6">
        <v>0.83</v>
      </c>
      <c r="AV907" t="b">
        <v>1</v>
      </c>
      <c r="AW907" t="s">
        <v>626</v>
      </c>
      <c r="AX907" t="s">
        <v>627</v>
      </c>
      <c r="AY907" t="s">
        <v>631</v>
      </c>
      <c r="AZ907" t="s">
        <v>33</v>
      </c>
      <c r="BA907" s="18" t="s">
        <v>800</v>
      </c>
      <c r="BB907" s="3" t="b">
        <v>0</v>
      </c>
      <c r="BC907" t="s">
        <v>81</v>
      </c>
      <c r="BD907">
        <v>20</v>
      </c>
      <c r="BE907" t="s">
        <v>80</v>
      </c>
      <c r="BF907">
        <v>20</v>
      </c>
      <c r="BG907" t="s">
        <v>695</v>
      </c>
      <c r="BH907" t="s">
        <v>32</v>
      </c>
      <c r="BI907" t="s">
        <v>31</v>
      </c>
      <c r="BJ907">
        <f t="shared" si="438"/>
        <v>0.83</v>
      </c>
      <c r="BK907" s="3">
        <f t="shared" si="453"/>
        <v>-8.092190762392612E-2</v>
      </c>
      <c r="BL907">
        <v>2</v>
      </c>
      <c r="BM907" s="3">
        <f t="shared" si="456"/>
        <v>1.4857829805149767</v>
      </c>
      <c r="BN907" t="s">
        <v>33</v>
      </c>
      <c r="BO907" s="3">
        <f t="shared" si="462"/>
        <v>30.604337349397589</v>
      </c>
      <c r="BP907" t="s">
        <v>33</v>
      </c>
      <c r="BQ907" t="s">
        <v>33</v>
      </c>
      <c r="BR907" t="s">
        <v>33</v>
      </c>
      <c r="BS907" t="s">
        <v>33</v>
      </c>
      <c r="BT907" t="s">
        <v>32</v>
      </c>
      <c r="BU907" t="s">
        <v>207</v>
      </c>
      <c r="BV907">
        <v>2014</v>
      </c>
      <c r="BW907" t="s">
        <v>208</v>
      </c>
      <c r="BX907" t="s">
        <v>78</v>
      </c>
      <c r="BY907" s="13" t="s">
        <v>683</v>
      </c>
      <c r="CA907" t="str">
        <f t="shared" si="464"/>
        <v>low acid</v>
      </c>
    </row>
    <row r="908" spans="1:79">
      <c r="A908" t="s">
        <v>584</v>
      </c>
      <c r="B908" t="s">
        <v>566</v>
      </c>
      <c r="C908" t="s">
        <v>563</v>
      </c>
      <c r="D908" t="s">
        <v>607</v>
      </c>
      <c r="E908" t="s">
        <v>77</v>
      </c>
      <c r="F908" t="s">
        <v>33</v>
      </c>
      <c r="G908">
        <v>20</v>
      </c>
      <c r="H908">
        <v>35</v>
      </c>
      <c r="I908" t="b">
        <v>0</v>
      </c>
      <c r="J908">
        <v>1000</v>
      </c>
      <c r="K908">
        <v>200</v>
      </c>
      <c r="L908">
        <v>25</v>
      </c>
      <c r="M908" s="4">
        <v>1</v>
      </c>
      <c r="N908" t="e">
        <f>(#REF!*Y908)/(T908*X908*O908)</f>
        <v>#REF!</v>
      </c>
      <c r="O908">
        <v>3</v>
      </c>
      <c r="P908" t="s">
        <v>33</v>
      </c>
      <c r="Q908" s="1">
        <f t="shared" si="465"/>
        <v>9</v>
      </c>
      <c r="R908" t="s">
        <v>183</v>
      </c>
      <c r="S908" t="s">
        <v>33</v>
      </c>
      <c r="T908">
        <v>1</v>
      </c>
      <c r="U908">
        <v>2.5</v>
      </c>
      <c r="V908" t="s">
        <v>33</v>
      </c>
      <c r="W908">
        <v>0.50249999999999995</v>
      </c>
      <c r="X908">
        <f>W908</f>
        <v>0.50249999999999995</v>
      </c>
      <c r="Y908" t="s">
        <v>33</v>
      </c>
      <c r="Z908" s="3">
        <f>IFERROR(X908*M908*O908*T908*AI908/AF908, "NA")</f>
        <v>5.5833333333333325E-2</v>
      </c>
      <c r="AA908" t="s">
        <v>33</v>
      </c>
      <c r="AB908">
        <f>IFERROR(((X908*M908)/Z908), "NA")</f>
        <v>9</v>
      </c>
      <c r="AC908" s="1" t="str">
        <f t="shared" si="466"/>
        <v>NA</v>
      </c>
      <c r="AE908" s="3">
        <f>IFERROR(((L908^2)*M908*O908*AK908*10^-6*Q908*T908*AI908), "NA")</f>
        <v>16.875</v>
      </c>
      <c r="AF908">
        <v>27</v>
      </c>
      <c r="AG908" s="1" t="str">
        <f>IFERROR((N908*P908*Q908), "NA")</f>
        <v>NA</v>
      </c>
      <c r="AH908" s="1" t="str">
        <f>IFERROR((AG908*U908*AI908), "NA")</f>
        <v>NA</v>
      </c>
      <c r="AI908" s="1">
        <v>1</v>
      </c>
      <c r="AJ908" s="11" t="s">
        <v>31</v>
      </c>
      <c r="AK908">
        <v>1000</v>
      </c>
      <c r="AL908" t="s">
        <v>614</v>
      </c>
      <c r="AM908" s="3" t="s">
        <v>103</v>
      </c>
      <c r="AN908" t="s">
        <v>130</v>
      </c>
      <c r="AO908" t="s">
        <v>795</v>
      </c>
      <c r="AP908">
        <v>5.5</v>
      </c>
      <c r="AQ908" t="s">
        <v>33</v>
      </c>
      <c r="AR908" t="s">
        <v>33</v>
      </c>
      <c r="AS908">
        <v>8</v>
      </c>
      <c r="AT908">
        <f>AS908-AU908</f>
        <v>5.17</v>
      </c>
      <c r="AU908" s="6">
        <v>2.83</v>
      </c>
      <c r="AV908" t="b">
        <v>1</v>
      </c>
      <c r="AW908" t="s">
        <v>617</v>
      </c>
      <c r="AX908" t="s">
        <v>33</v>
      </c>
      <c r="AY908" t="s">
        <v>623</v>
      </c>
      <c r="AZ908" t="s">
        <v>621</v>
      </c>
      <c r="BA908" s="18" t="s">
        <v>802</v>
      </c>
      <c r="BB908" s="3" t="b">
        <v>0</v>
      </c>
      <c r="BC908" t="s">
        <v>81</v>
      </c>
      <c r="BD908">
        <v>18</v>
      </c>
      <c r="BE908" t="s">
        <v>80</v>
      </c>
      <c r="BF908">
        <v>24</v>
      </c>
      <c r="BG908" t="s">
        <v>569</v>
      </c>
      <c r="BH908" t="s">
        <v>31</v>
      </c>
      <c r="BI908" t="s">
        <v>31</v>
      </c>
      <c r="BJ908">
        <f t="shared" si="438"/>
        <v>2.83</v>
      </c>
      <c r="BK908" s="3">
        <f t="shared" si="453"/>
        <v>0.45178643552429026</v>
      </c>
      <c r="BL908">
        <v>2</v>
      </c>
      <c r="BM908" s="3">
        <f t="shared" si="456"/>
        <v>0.77545734597877225</v>
      </c>
      <c r="BN908" t="s">
        <v>33</v>
      </c>
      <c r="BO908" s="3">
        <f t="shared" si="462"/>
        <v>5.9628975265017665</v>
      </c>
      <c r="BP908" t="s">
        <v>33</v>
      </c>
      <c r="BQ908" t="s">
        <v>33</v>
      </c>
      <c r="BR908" t="s">
        <v>33</v>
      </c>
      <c r="BS908" t="s">
        <v>33</v>
      </c>
      <c r="BT908" t="s">
        <v>31</v>
      </c>
      <c r="BU908" t="s">
        <v>255</v>
      </c>
      <c r="BV908">
        <v>2010</v>
      </c>
      <c r="BW908" t="s">
        <v>651</v>
      </c>
      <c r="BX908" t="s">
        <v>78</v>
      </c>
      <c r="BY908" s="13" t="s">
        <v>674</v>
      </c>
      <c r="CA908" t="str">
        <f t="shared" si="464"/>
        <v>low acid</v>
      </c>
    </row>
    <row r="909" spans="1:79">
      <c r="A909" t="s">
        <v>367</v>
      </c>
      <c r="B909" t="s">
        <v>565</v>
      </c>
      <c r="C909" t="s">
        <v>563</v>
      </c>
      <c r="D909" t="s">
        <v>118</v>
      </c>
      <c r="E909" t="s">
        <v>77</v>
      </c>
      <c r="F909" t="s">
        <v>32</v>
      </c>
      <c r="G909">
        <v>20</v>
      </c>
      <c r="H909">
        <v>30</v>
      </c>
      <c r="I909" t="b">
        <v>0</v>
      </c>
      <c r="J909" t="s">
        <v>33</v>
      </c>
      <c r="K909" t="s">
        <v>33</v>
      </c>
      <c r="L909">
        <v>20</v>
      </c>
      <c r="M909" s="4" t="s">
        <v>33</v>
      </c>
      <c r="N909" s="3">
        <f t="shared" ref="N909:N914" si="467">IFERROR(AF909/((T909*X909/Y909)*O909*AI909),"NA")</f>
        <v>122.00391961154357</v>
      </c>
      <c r="O909">
        <v>2</v>
      </c>
      <c r="P909" t="s">
        <v>33</v>
      </c>
      <c r="Q909" s="8">
        <f t="shared" si="465"/>
        <v>8.6062808747716085E-3</v>
      </c>
      <c r="R909" t="s">
        <v>183</v>
      </c>
      <c r="S909" t="s">
        <v>613</v>
      </c>
      <c r="T909" s="11">
        <v>6</v>
      </c>
      <c r="U909">
        <v>2.9</v>
      </c>
      <c r="V909">
        <v>2.2999999999999998</v>
      </c>
      <c r="W909" t="s">
        <v>33</v>
      </c>
      <c r="X909" s="8">
        <f>IFERROR(((PI())*(((V909*10^-1)/2)^2)*(U909*10^-1)), "NA")</f>
        <v>1.204879322468025E-2</v>
      </c>
      <c r="Y909">
        <f>84/60</f>
        <v>1.4</v>
      </c>
      <c r="Z909" s="3">
        <f>IFERROR(X909*N909*O909*T909*AI909/AF909, "NA")</f>
        <v>1.4</v>
      </c>
      <c r="AA909">
        <f>6.3/6</f>
        <v>1.05</v>
      </c>
      <c r="AB909" s="6" t="str">
        <f>IFERROR(((X909*M909)/Z909), "NA")</f>
        <v>NA</v>
      </c>
      <c r="AC909" t="str">
        <f t="shared" si="466"/>
        <v>NA</v>
      </c>
      <c r="AD909" s="4" t="str">
        <f>IFERROR(AB909*T909*AI909, "NA")</f>
        <v>NA</v>
      </c>
      <c r="AE909" s="3">
        <f>IFERROR(((L909^2)*N909*O909*AK909*10^-6*Q909*T909*AI909), "NA")</f>
        <v>9.3240000000000016</v>
      </c>
      <c r="AF909" s="3">
        <f>AA909*O909*T909</f>
        <v>12.600000000000001</v>
      </c>
      <c r="AG909" t="str">
        <f t="shared" ref="AG909:AG914" si="468">IFERROR((M909*O909*P909), "NA")</f>
        <v>NA</v>
      </c>
      <c r="AH909" t="str">
        <f t="shared" ref="AH909:AH914" si="469">IFERROR((AG909*T909*AI909), "NA")</f>
        <v>NA</v>
      </c>
      <c r="AI909" s="11">
        <v>1</v>
      </c>
      <c r="AJ909" t="s">
        <v>31</v>
      </c>
      <c r="AK909">
        <v>1850</v>
      </c>
      <c r="AL909" t="s">
        <v>149</v>
      </c>
      <c r="AM909" t="s">
        <v>86</v>
      </c>
      <c r="AN909" t="s">
        <v>205</v>
      </c>
      <c r="AO909" t="s">
        <v>789</v>
      </c>
      <c r="AP909" t="s">
        <v>33</v>
      </c>
      <c r="AQ909" t="s">
        <v>33</v>
      </c>
      <c r="AR909" t="s">
        <v>33</v>
      </c>
      <c r="AS909" s="6">
        <f>LOG(4*10^6)</f>
        <v>6.6020599913279625</v>
      </c>
      <c r="AT909" s="3">
        <f t="shared" ref="AT909:AT914" si="470">IFERROR(AS909-AU909,"NA")</f>
        <v>5.1700599913279621</v>
      </c>
      <c r="AU909" s="6">
        <v>1.4319999999999999</v>
      </c>
      <c r="AV909" t="b">
        <v>1</v>
      </c>
      <c r="AW909" t="s">
        <v>172</v>
      </c>
      <c r="AX909" t="s">
        <v>173</v>
      </c>
      <c r="AY909" t="s">
        <v>363</v>
      </c>
      <c r="AZ909" t="s">
        <v>33</v>
      </c>
      <c r="BA909" s="18" t="s">
        <v>799</v>
      </c>
      <c r="BB909" t="b">
        <v>0</v>
      </c>
      <c r="BC909" t="s">
        <v>81</v>
      </c>
      <c r="BD909">
        <v>48</v>
      </c>
      <c r="BE909" t="s">
        <v>80</v>
      </c>
      <c r="BF909" s="11">
        <v>120</v>
      </c>
      <c r="BG909" t="s">
        <v>364</v>
      </c>
      <c r="BH909" t="s">
        <v>31</v>
      </c>
      <c r="BI909" t="s">
        <v>31</v>
      </c>
      <c r="BJ909" s="3">
        <f t="shared" si="438"/>
        <v>1.4319999999999999</v>
      </c>
      <c r="BK909" s="3">
        <f t="shared" si="453"/>
        <v>0.15594301797183674</v>
      </c>
      <c r="BL909">
        <v>2</v>
      </c>
      <c r="BM909" s="3">
        <f t="shared" si="456"/>
        <v>0.81365924687670244</v>
      </c>
      <c r="BN909" t="s">
        <v>33</v>
      </c>
      <c r="BO909" s="3">
        <f t="shared" si="462"/>
        <v>6.5111731843575429</v>
      </c>
      <c r="BP909" t="s">
        <v>33</v>
      </c>
      <c r="BQ909" t="s">
        <v>33</v>
      </c>
      <c r="BR909" t="s">
        <v>33</v>
      </c>
      <c r="BS909" t="s">
        <v>33</v>
      </c>
      <c r="BT909" t="s">
        <v>32</v>
      </c>
      <c r="BU909" t="s">
        <v>365</v>
      </c>
      <c r="BV909">
        <v>2002</v>
      </c>
      <c r="BW909" t="s">
        <v>366</v>
      </c>
      <c r="BX909" t="s">
        <v>78</v>
      </c>
      <c r="BY909" t="s">
        <v>33</v>
      </c>
      <c r="BZ909" t="s">
        <v>33</v>
      </c>
      <c r="CA909" t="str">
        <f t="shared" si="464"/>
        <v>high acid</v>
      </c>
    </row>
    <row r="910" spans="1:79">
      <c r="A910" t="s">
        <v>367</v>
      </c>
      <c r="B910" t="s">
        <v>565</v>
      </c>
      <c r="C910" t="s">
        <v>563</v>
      </c>
      <c r="D910" t="s">
        <v>118</v>
      </c>
      <c r="E910" t="s">
        <v>77</v>
      </c>
      <c r="F910" t="s">
        <v>32</v>
      </c>
      <c r="G910">
        <v>20</v>
      </c>
      <c r="H910">
        <v>30</v>
      </c>
      <c r="I910" t="b">
        <v>0</v>
      </c>
      <c r="J910" t="s">
        <v>33</v>
      </c>
      <c r="K910" t="s">
        <v>33</v>
      </c>
      <c r="L910">
        <v>20</v>
      </c>
      <c r="M910" s="4" t="s">
        <v>33</v>
      </c>
      <c r="N910" s="3">
        <f t="shared" si="467"/>
        <v>81.335946407695701</v>
      </c>
      <c r="O910">
        <v>2</v>
      </c>
      <c r="P910" t="s">
        <v>33</v>
      </c>
      <c r="Q910" s="8">
        <f t="shared" si="465"/>
        <v>8.6062808747716102E-3</v>
      </c>
      <c r="R910" t="s">
        <v>183</v>
      </c>
      <c r="S910" t="s">
        <v>613</v>
      </c>
      <c r="T910" s="11">
        <v>6</v>
      </c>
      <c r="U910">
        <v>2.9</v>
      </c>
      <c r="V910">
        <v>2.2999999999999998</v>
      </c>
      <c r="W910" t="s">
        <v>33</v>
      </c>
      <c r="X910" s="8">
        <f>IFERROR(((PI())*(((V910*10^-1)/2)^2)*(U910*10^-1)), "NA")</f>
        <v>1.204879322468025E-2</v>
      </c>
      <c r="Y910">
        <f>84/60</f>
        <v>1.4</v>
      </c>
      <c r="Z910" s="3">
        <f>IFERROR(X910*N910*O910*T910*AI910/AF910, "NA")</f>
        <v>1.3999999999999997</v>
      </c>
      <c r="AA910">
        <f>4.2/6</f>
        <v>0.70000000000000007</v>
      </c>
      <c r="AB910" s="6" t="str">
        <f>IFERROR(((X910*M910)/Z910), "NA")</f>
        <v>NA</v>
      </c>
      <c r="AC910" t="str">
        <f t="shared" si="466"/>
        <v>NA</v>
      </c>
      <c r="AD910" s="4" t="str">
        <f>IFERROR(AB910*T910*AI910, "NA")</f>
        <v>NA</v>
      </c>
      <c r="AE910" s="3">
        <f>IFERROR(((L910^2)*N910*O910*AK910*10^-6*Q910*T910*AI910), "NA")</f>
        <v>6.2160000000000011</v>
      </c>
      <c r="AF910" s="3">
        <f>AA910*O910*T910</f>
        <v>8.4</v>
      </c>
      <c r="AG910" t="str">
        <f t="shared" si="468"/>
        <v>NA</v>
      </c>
      <c r="AH910" t="str">
        <f t="shared" si="469"/>
        <v>NA</v>
      </c>
      <c r="AI910" s="11">
        <v>1</v>
      </c>
      <c r="AJ910" t="s">
        <v>31</v>
      </c>
      <c r="AK910">
        <v>1850</v>
      </c>
      <c r="AL910" t="s">
        <v>149</v>
      </c>
      <c r="AM910" t="s">
        <v>86</v>
      </c>
      <c r="AN910" t="s">
        <v>205</v>
      </c>
      <c r="AO910" t="s">
        <v>789</v>
      </c>
      <c r="AP910" t="s">
        <v>33</v>
      </c>
      <c r="AQ910" t="s">
        <v>33</v>
      </c>
      <c r="AR910" t="s">
        <v>33</v>
      </c>
      <c r="AS910" s="6">
        <f>LOG(4*10^6)</f>
        <v>6.6020599913279625</v>
      </c>
      <c r="AT910" s="3">
        <f t="shared" si="470"/>
        <v>5.1700599913279621</v>
      </c>
      <c r="AU910" s="6">
        <v>1.4319999999999999</v>
      </c>
      <c r="AV910" t="b">
        <v>1</v>
      </c>
      <c r="AW910" t="s">
        <v>172</v>
      </c>
      <c r="AX910" t="s">
        <v>173</v>
      </c>
      <c r="AY910" t="s">
        <v>363</v>
      </c>
      <c r="AZ910" t="s">
        <v>33</v>
      </c>
      <c r="BA910" s="18" t="s">
        <v>799</v>
      </c>
      <c r="BB910" t="b">
        <v>0</v>
      </c>
      <c r="BC910" t="s">
        <v>81</v>
      </c>
      <c r="BD910">
        <v>48</v>
      </c>
      <c r="BE910" t="s">
        <v>80</v>
      </c>
      <c r="BF910" s="11">
        <v>120</v>
      </c>
      <c r="BG910" t="s">
        <v>364</v>
      </c>
      <c r="BH910" t="s">
        <v>31</v>
      </c>
      <c r="BI910" t="s">
        <v>31</v>
      </c>
      <c r="BJ910" s="3">
        <f t="shared" si="438"/>
        <v>1.4319999999999999</v>
      </c>
      <c r="BK910" s="3">
        <f t="shared" si="453"/>
        <v>0.15594301797183674</v>
      </c>
      <c r="BL910">
        <v>2</v>
      </c>
      <c r="BM910" s="3">
        <f t="shared" si="456"/>
        <v>0.6375679878210212</v>
      </c>
      <c r="BN910" t="s">
        <v>33</v>
      </c>
      <c r="BO910" s="3">
        <f t="shared" si="462"/>
        <v>4.3407821229050292</v>
      </c>
      <c r="BP910" t="s">
        <v>33</v>
      </c>
      <c r="BQ910" t="s">
        <v>33</v>
      </c>
      <c r="BR910" t="s">
        <v>33</v>
      </c>
      <c r="BS910" t="s">
        <v>33</v>
      </c>
      <c r="BT910" t="s">
        <v>32</v>
      </c>
      <c r="BU910" t="s">
        <v>365</v>
      </c>
      <c r="BV910">
        <v>2002</v>
      </c>
      <c r="BW910" t="s">
        <v>366</v>
      </c>
      <c r="BX910" t="s">
        <v>78</v>
      </c>
      <c r="BY910" t="s">
        <v>33</v>
      </c>
      <c r="BZ910" t="s">
        <v>33</v>
      </c>
      <c r="CA910" t="str">
        <f t="shared" si="464"/>
        <v>high acid</v>
      </c>
    </row>
    <row r="911" spans="1:79">
      <c r="A911" t="s">
        <v>142</v>
      </c>
      <c r="B911" t="s">
        <v>565</v>
      </c>
      <c r="C911" t="s">
        <v>563</v>
      </c>
      <c r="D911" t="s">
        <v>118</v>
      </c>
      <c r="E911" t="s">
        <v>77</v>
      </c>
      <c r="F911" t="s">
        <v>32</v>
      </c>
      <c r="G911">
        <v>20</v>
      </c>
      <c r="H911" t="s">
        <v>33</v>
      </c>
      <c r="I911" t="b">
        <v>0</v>
      </c>
      <c r="J911" t="s">
        <v>33</v>
      </c>
      <c r="K911" t="s">
        <v>33</v>
      </c>
      <c r="L911">
        <v>17</v>
      </c>
      <c r="M911" s="4">
        <v>500</v>
      </c>
      <c r="N911" s="3">
        <f t="shared" si="467"/>
        <v>503.35454362283343</v>
      </c>
      <c r="O911">
        <v>3</v>
      </c>
      <c r="P911" t="s">
        <v>33</v>
      </c>
      <c r="Q911" s="8">
        <f t="shared" si="465"/>
        <v>1.4555555555555556E-2</v>
      </c>
      <c r="R911" t="s">
        <v>183</v>
      </c>
      <c r="S911" t="s">
        <v>613</v>
      </c>
      <c r="T911" s="11">
        <v>6</v>
      </c>
      <c r="U911">
        <v>2.9</v>
      </c>
      <c r="V911">
        <v>2.2999999999999998</v>
      </c>
      <c r="W911" t="s">
        <v>33</v>
      </c>
      <c r="X911">
        <f>IFERROR(((PI())*(((V911*10^-1)/2)^2)*(U911*10^-1)), "NA")</f>
        <v>1.204879322468025E-2</v>
      </c>
      <c r="Y911" s="8">
        <f>50/60</f>
        <v>0.83333333333333337</v>
      </c>
      <c r="Z911" s="9">
        <f>IFERROR(X911*M911*O911*T911*AI911/AF911, "NA")</f>
        <v>0.82777968719177286</v>
      </c>
      <c r="AA911" t="s">
        <v>33</v>
      </c>
      <c r="AB911" s="6">
        <f>IFERROR(((X911*M911)/Z911), "NA")</f>
        <v>7.2777777777777786</v>
      </c>
      <c r="AC911" t="str">
        <f t="shared" si="466"/>
        <v>NA</v>
      </c>
      <c r="AD911" s="4">
        <f>IFERROR(AB911*T911*AI911, "NA")</f>
        <v>43.666666666666671</v>
      </c>
      <c r="AE911" s="3">
        <f t="shared" ref="AE911:AE928" si="471">IFERROR(((L911^2)*M911*O911*AK911*10^-6*Q911*T911*AI911), "NA")</f>
        <v>44.295029999999997</v>
      </c>
      <c r="AF911">
        <v>131</v>
      </c>
      <c r="AG911" t="str">
        <f t="shared" si="468"/>
        <v>NA</v>
      </c>
      <c r="AH911" t="str">
        <f t="shared" si="469"/>
        <v>NA</v>
      </c>
      <c r="AI911" s="11">
        <v>1</v>
      </c>
      <c r="AJ911" t="s">
        <v>31</v>
      </c>
      <c r="AK911">
        <v>1170</v>
      </c>
      <c r="AL911" t="s">
        <v>138</v>
      </c>
      <c r="AM911" t="s">
        <v>86</v>
      </c>
      <c r="AN911" t="s">
        <v>205</v>
      </c>
      <c r="AO911" t="s">
        <v>789</v>
      </c>
      <c r="AP911">
        <v>3.9</v>
      </c>
      <c r="AQ911" t="s">
        <v>33</v>
      </c>
      <c r="AR911" t="s">
        <v>33</v>
      </c>
      <c r="AS911" s="3">
        <v>7.3810000000000002</v>
      </c>
      <c r="AT911" s="3">
        <f t="shared" si="470"/>
        <v>5.1710000000000003</v>
      </c>
      <c r="AU911" s="6">
        <v>2.21</v>
      </c>
      <c r="AV911" t="b">
        <v>1</v>
      </c>
      <c r="AW911" t="s">
        <v>92</v>
      </c>
      <c r="AX911" t="s">
        <v>93</v>
      </c>
      <c r="AY911" t="s">
        <v>137</v>
      </c>
      <c r="AZ911" t="s">
        <v>33</v>
      </c>
      <c r="BA911" s="18" t="s">
        <v>801</v>
      </c>
      <c r="BB911" t="b">
        <v>0</v>
      </c>
      <c r="BC911" t="s">
        <v>81</v>
      </c>
      <c r="BD911">
        <f>(48+24)/2</f>
        <v>36</v>
      </c>
      <c r="BE911" t="s">
        <v>80</v>
      </c>
      <c r="BF911" s="11">
        <f>(48+24)/2</f>
        <v>36</v>
      </c>
      <c r="BG911" t="s">
        <v>139</v>
      </c>
      <c r="BH911" t="s">
        <v>31</v>
      </c>
      <c r="BI911" t="s">
        <v>31</v>
      </c>
      <c r="BJ911">
        <f t="shared" si="438"/>
        <v>2.21</v>
      </c>
      <c r="BK911" s="3">
        <f t="shared" si="453"/>
        <v>0.34439227368511072</v>
      </c>
      <c r="BL911">
        <v>2</v>
      </c>
      <c r="BM911" s="3">
        <f>LOG(BO911)</f>
        <v>1.3019627264733631</v>
      </c>
      <c r="BN911" t="s">
        <v>33</v>
      </c>
      <c r="BO911" s="3">
        <f t="shared" si="462"/>
        <v>20.042999999999999</v>
      </c>
      <c r="BP911" t="s">
        <v>33</v>
      </c>
      <c r="BQ911" t="s">
        <v>33</v>
      </c>
      <c r="BR911" t="s">
        <v>33</v>
      </c>
      <c r="BS911" t="s">
        <v>33</v>
      </c>
      <c r="BT911" t="s">
        <v>31</v>
      </c>
      <c r="BU911" t="s">
        <v>135</v>
      </c>
      <c r="BV911">
        <v>2011</v>
      </c>
      <c r="BW911" s="2" t="s">
        <v>136</v>
      </c>
      <c r="BX911" t="s">
        <v>78</v>
      </c>
      <c r="BY911" t="s">
        <v>33</v>
      </c>
      <c r="BZ911" t="s">
        <v>33</v>
      </c>
      <c r="CA911" t="str">
        <f t="shared" si="464"/>
        <v>high acid</v>
      </c>
    </row>
    <row r="912" spans="1:79">
      <c r="A912" t="s">
        <v>764</v>
      </c>
      <c r="B912" t="s">
        <v>566</v>
      </c>
      <c r="C912" t="s">
        <v>563</v>
      </c>
      <c r="D912" t="s">
        <v>765</v>
      </c>
      <c r="E912" t="s">
        <v>77</v>
      </c>
      <c r="F912" t="s">
        <v>31</v>
      </c>
      <c r="G912">
        <v>20</v>
      </c>
      <c r="H912">
        <v>42</v>
      </c>
      <c r="I912" t="b">
        <v>0</v>
      </c>
      <c r="J912" t="s">
        <v>33</v>
      </c>
      <c r="K912" t="s">
        <v>33</v>
      </c>
      <c r="L912">
        <v>16</v>
      </c>
      <c r="M912" s="4">
        <f>N912</f>
        <v>819.3364197530866</v>
      </c>
      <c r="N912" s="3">
        <f t="shared" si="467"/>
        <v>819.3364197530866</v>
      </c>
      <c r="O912">
        <v>3</v>
      </c>
      <c r="P912">
        <v>4.3</v>
      </c>
      <c r="Q912" s="8">
        <f>IFERROR(X912/Y912, "NA")</f>
        <v>4.3199999999999994</v>
      </c>
      <c r="R912" t="s">
        <v>183</v>
      </c>
      <c r="S912" t="s">
        <v>33</v>
      </c>
      <c r="T912" s="11">
        <v>1</v>
      </c>
      <c r="U912">
        <v>8.1000000000000003E-2</v>
      </c>
      <c r="V912" t="s">
        <v>33</v>
      </c>
      <c r="W912">
        <v>7.1999999999999998E-3</v>
      </c>
      <c r="X912">
        <f>W912</f>
        <v>7.1999999999999998E-3</v>
      </c>
      <c r="Y912" s="6">
        <f>0.1/60</f>
        <v>1.6666666666666668E-3</v>
      </c>
      <c r="Z912" s="6">
        <f>Y912</f>
        <v>1.6666666666666668E-3</v>
      </c>
      <c r="AA912" t="s">
        <v>33</v>
      </c>
      <c r="AB912" s="4">
        <f>IFERROR(((X912*M912)/Y912), "NA")</f>
        <v>3539.5333333333342</v>
      </c>
      <c r="AC912" s="4">
        <f t="shared" si="466"/>
        <v>3523.146604938272</v>
      </c>
      <c r="AD912" s="4">
        <f>AB912*T912*AI912</f>
        <v>3539.5333333333342</v>
      </c>
      <c r="AE912" s="3">
        <f t="shared" si="471"/>
        <v>271.83616000000006</v>
      </c>
      <c r="AF912">
        <v>10618.6</v>
      </c>
      <c r="AG912" s="4">
        <f t="shared" si="468"/>
        <v>10569.439814814818</v>
      </c>
      <c r="AH912" s="4">
        <f t="shared" si="469"/>
        <v>10569.439814814818</v>
      </c>
      <c r="AI912">
        <v>1</v>
      </c>
      <c r="AJ912" s="11" t="s">
        <v>31</v>
      </c>
      <c r="AK912">
        <v>100</v>
      </c>
      <c r="AL912" t="s">
        <v>169</v>
      </c>
      <c r="AM912" t="s">
        <v>103</v>
      </c>
      <c r="AN912" t="s">
        <v>130</v>
      </c>
      <c r="AO912" t="s">
        <v>795</v>
      </c>
      <c r="AP912">
        <v>7</v>
      </c>
      <c r="AQ912" t="s">
        <v>33</v>
      </c>
      <c r="AR912" t="s">
        <v>33</v>
      </c>
      <c r="AS912">
        <v>7</v>
      </c>
      <c r="AT912" s="3">
        <f t="shared" si="470"/>
        <v>5.1710000000000003</v>
      </c>
      <c r="AU912" s="6">
        <v>1.829</v>
      </c>
      <c r="AV912" t="b">
        <v>1</v>
      </c>
      <c r="AW912" t="s">
        <v>29</v>
      </c>
      <c r="AX912" t="s">
        <v>30</v>
      </c>
      <c r="AY912" t="s">
        <v>766</v>
      </c>
      <c r="AZ912" t="s">
        <v>33</v>
      </c>
      <c r="BA912" s="18" t="s">
        <v>798</v>
      </c>
      <c r="BB912" s="3" t="b">
        <v>0</v>
      </c>
      <c r="BC912" t="s">
        <v>81</v>
      </c>
      <c r="BD912">
        <v>16</v>
      </c>
      <c r="BE912" t="s">
        <v>80</v>
      </c>
      <c r="BF912">
        <v>24</v>
      </c>
      <c r="BG912" t="s">
        <v>569</v>
      </c>
      <c r="BH912" t="s">
        <v>31</v>
      </c>
      <c r="BI912" t="s">
        <v>31</v>
      </c>
      <c r="BJ912" s="3">
        <f t="shared" si="438"/>
        <v>1.829</v>
      </c>
      <c r="BK912" s="3">
        <f t="shared" si="453"/>
        <v>0.26221370547641687</v>
      </c>
      <c r="BL912">
        <v>2</v>
      </c>
      <c r="BM912" s="3">
        <f t="shared" ref="BM912:BM942" si="472">IFERROR(LOG(BO912),"NA")</f>
        <v>2.1720935211802872</v>
      </c>
      <c r="BN912" t="s">
        <v>33</v>
      </c>
      <c r="BO912" s="3">
        <f t="shared" si="462"/>
        <v>148.6255658829962</v>
      </c>
      <c r="BP912" t="s">
        <v>33</v>
      </c>
      <c r="BQ912" t="s">
        <v>33</v>
      </c>
      <c r="BR912" t="s">
        <v>33</v>
      </c>
      <c r="BS912" t="s">
        <v>33</v>
      </c>
      <c r="BT912" t="s">
        <v>31</v>
      </c>
      <c r="BU912" t="s">
        <v>767</v>
      </c>
      <c r="BV912">
        <v>2021</v>
      </c>
      <c r="BW912" t="s">
        <v>768</v>
      </c>
      <c r="BX912" t="s">
        <v>78</v>
      </c>
      <c r="BY912" t="s">
        <v>769</v>
      </c>
      <c r="CA912" t="str">
        <f t="shared" si="464"/>
        <v>low acid</v>
      </c>
    </row>
    <row r="913" spans="1:79">
      <c r="A913" t="s">
        <v>431</v>
      </c>
      <c r="B913" t="s">
        <v>565</v>
      </c>
      <c r="C913" t="s">
        <v>563</v>
      </c>
      <c r="D913" t="s">
        <v>118</v>
      </c>
      <c r="E913" t="s">
        <v>77</v>
      </c>
      <c r="F913" t="s">
        <v>32</v>
      </c>
      <c r="G913">
        <v>20</v>
      </c>
      <c r="H913">
        <v>25</v>
      </c>
      <c r="I913" t="b">
        <v>0</v>
      </c>
      <c r="J913" t="s">
        <v>33</v>
      </c>
      <c r="K913" t="s">
        <v>33</v>
      </c>
      <c r="L913">
        <v>18.100000000000001</v>
      </c>
      <c r="M913" s="4">
        <v>667</v>
      </c>
      <c r="N913" s="3" t="str">
        <f t="shared" si="467"/>
        <v>NA</v>
      </c>
      <c r="O913">
        <v>2</v>
      </c>
      <c r="P913" t="s">
        <v>33</v>
      </c>
      <c r="Q913" s="8">
        <f>IFERROR(X913/Z913, "NA")</f>
        <v>9.9950024987506252E-3</v>
      </c>
      <c r="R913" t="s">
        <v>183</v>
      </c>
      <c r="S913" t="s">
        <v>613</v>
      </c>
      <c r="T913" s="11">
        <v>6</v>
      </c>
      <c r="U913">
        <v>2.92</v>
      </c>
      <c r="V913">
        <v>2.2999999999999998</v>
      </c>
      <c r="W913" t="s">
        <v>33</v>
      </c>
      <c r="X913" s="9">
        <f>IFERROR(((PI())*(((V913*10^-1)/2)^2)*(U913*10^-1)), "NA")</f>
        <v>1.2131888350367701E-2</v>
      </c>
      <c r="Y913" s="6" t="s">
        <v>33</v>
      </c>
      <c r="Z913" s="3">
        <f t="shared" ref="Z913:Z928" si="473">IFERROR(X913*M913*O913*T913*AI913/AF913, "NA")</f>
        <v>1.2137954294542883</v>
      </c>
      <c r="AA913" t="s">
        <v>33</v>
      </c>
      <c r="AB913" s="6" t="str">
        <f>IFERROR(((X913*M913)/Y913), "NA")</f>
        <v>NA</v>
      </c>
      <c r="AC913" t="str">
        <f t="shared" si="466"/>
        <v>NA</v>
      </c>
      <c r="AD913" s="4" t="str">
        <f>IFERROR(AB913*T913*AI913, "NA")</f>
        <v>NA</v>
      </c>
      <c r="AE913" s="3">
        <f t="shared" si="471"/>
        <v>26.208800000000007</v>
      </c>
      <c r="AF913">
        <v>80</v>
      </c>
      <c r="AG913" t="str">
        <f t="shared" si="468"/>
        <v>NA</v>
      </c>
      <c r="AH913" t="str">
        <f t="shared" si="469"/>
        <v>NA</v>
      </c>
      <c r="AI913" s="11">
        <v>1</v>
      </c>
      <c r="AJ913" t="s">
        <v>31</v>
      </c>
      <c r="AK913">
        <v>1000</v>
      </c>
      <c r="AL913" t="s">
        <v>430</v>
      </c>
      <c r="AM913" t="s">
        <v>530</v>
      </c>
      <c r="AN913" t="s">
        <v>186</v>
      </c>
      <c r="AO913" t="s">
        <v>796</v>
      </c>
      <c r="AP913" s="4">
        <v>6</v>
      </c>
      <c r="AQ913" t="s">
        <v>33</v>
      </c>
      <c r="AR913" t="s">
        <v>33</v>
      </c>
      <c r="AS913" s="3">
        <f>LOG((10^6+10^7)/2)</f>
        <v>6.7403626894942441</v>
      </c>
      <c r="AT913" s="3">
        <f t="shared" si="470"/>
        <v>5.1743626894942443</v>
      </c>
      <c r="AU913" s="6">
        <v>1.5660000000000001</v>
      </c>
      <c r="AV913" t="b">
        <v>1</v>
      </c>
      <c r="AW913" t="s">
        <v>29</v>
      </c>
      <c r="AX913" t="s">
        <v>30</v>
      </c>
      <c r="AY913" t="s">
        <v>216</v>
      </c>
      <c r="AZ913" t="s">
        <v>33</v>
      </c>
      <c r="BA913" s="18" t="s">
        <v>798</v>
      </c>
      <c r="BB913" s="3" t="b">
        <v>0</v>
      </c>
      <c r="BC913" t="s">
        <v>81</v>
      </c>
      <c r="BD913">
        <v>15</v>
      </c>
      <c r="BE913" t="s">
        <v>80</v>
      </c>
      <c r="BF913" s="11">
        <v>240</v>
      </c>
      <c r="BG913" t="s">
        <v>139</v>
      </c>
      <c r="BH913" t="s">
        <v>31</v>
      </c>
      <c r="BI913" t="s">
        <v>31</v>
      </c>
      <c r="BJ913" s="3">
        <f t="shared" si="438"/>
        <v>1.5660000000000001</v>
      </c>
      <c r="BK913" s="3">
        <f t="shared" si="453"/>
        <v>0.19479175772192461</v>
      </c>
      <c r="BL913">
        <v>2</v>
      </c>
      <c r="BM913" s="3">
        <f t="shared" si="472"/>
        <v>1.2236553790083882</v>
      </c>
      <c r="BN913" t="s">
        <v>33</v>
      </c>
      <c r="BO913" s="3">
        <f t="shared" si="462"/>
        <v>16.736143039591319</v>
      </c>
      <c r="BP913" t="s">
        <v>33</v>
      </c>
      <c r="BQ913" t="s">
        <v>33</v>
      </c>
      <c r="BR913" t="s">
        <v>33</v>
      </c>
      <c r="BS913" t="s">
        <v>33</v>
      </c>
      <c r="BT913" t="s">
        <v>32</v>
      </c>
      <c r="BU913" t="s">
        <v>344</v>
      </c>
      <c r="BV913">
        <v>2008</v>
      </c>
      <c r="BW913" t="s">
        <v>432</v>
      </c>
      <c r="BX913" t="s">
        <v>78</v>
      </c>
      <c r="BY913" t="s">
        <v>33</v>
      </c>
      <c r="BZ913" t="s">
        <v>33</v>
      </c>
      <c r="CA913" t="str">
        <f t="shared" si="464"/>
        <v>low acid</v>
      </c>
    </row>
    <row r="914" spans="1:79">
      <c r="A914" t="s">
        <v>391</v>
      </c>
      <c r="B914" t="s">
        <v>565</v>
      </c>
      <c r="C914" t="s">
        <v>563</v>
      </c>
      <c r="D914" t="s">
        <v>118</v>
      </c>
      <c r="E914" t="s">
        <v>77</v>
      </c>
      <c r="F914" t="s">
        <v>32</v>
      </c>
      <c r="G914">
        <v>25</v>
      </c>
      <c r="H914">
        <v>36</v>
      </c>
      <c r="I914" t="b">
        <v>0</v>
      </c>
      <c r="J914" t="s">
        <v>33</v>
      </c>
      <c r="K914" t="s">
        <v>33</v>
      </c>
      <c r="L914">
        <v>25</v>
      </c>
      <c r="M914" s="4">
        <v>200</v>
      </c>
      <c r="N914" s="3" t="str">
        <f t="shared" si="467"/>
        <v>NA</v>
      </c>
      <c r="O914">
        <v>4</v>
      </c>
      <c r="P914" t="s">
        <v>33</v>
      </c>
      <c r="Q914" s="8">
        <f>IFERROR(X914/Z914, "NA")</f>
        <v>4.6875000000000007E-2</v>
      </c>
      <c r="R914" t="s">
        <v>183</v>
      </c>
      <c r="S914" t="s">
        <v>612</v>
      </c>
      <c r="T914" s="11">
        <v>8</v>
      </c>
      <c r="U914">
        <v>2.9</v>
      </c>
      <c r="V914">
        <v>2.2999999999999998</v>
      </c>
      <c r="W914">
        <v>1.2E-2</v>
      </c>
      <c r="X914" s="8">
        <f>IFERROR(((PI())*(((V914*10^-1)/2)^2)*(U914*10^-1)), "NA")</f>
        <v>1.204879322468025E-2</v>
      </c>
      <c r="Y914" t="s">
        <v>33</v>
      </c>
      <c r="Z914" s="3">
        <f t="shared" si="473"/>
        <v>0.25704092212651197</v>
      </c>
      <c r="AA914" t="s">
        <v>33</v>
      </c>
      <c r="AB914" s="6">
        <f>IFERROR(((X914*M914)/Z914), "NA")</f>
        <v>9.375</v>
      </c>
      <c r="AC914" t="str">
        <f t="shared" si="466"/>
        <v>NA</v>
      </c>
      <c r="AD914" s="4">
        <f>AB914*T914*AI914</f>
        <v>75</v>
      </c>
      <c r="AE914" s="3">
        <f t="shared" si="471"/>
        <v>795.00000000000011</v>
      </c>
      <c r="AF914">
        <v>300</v>
      </c>
      <c r="AG914" t="str">
        <f t="shared" si="468"/>
        <v>NA</v>
      </c>
      <c r="AH914" t="str">
        <f t="shared" si="469"/>
        <v>NA</v>
      </c>
      <c r="AI914">
        <v>1</v>
      </c>
      <c r="AJ914" t="s">
        <v>31</v>
      </c>
      <c r="AK914">
        <v>4240</v>
      </c>
      <c r="AL914" t="s">
        <v>238</v>
      </c>
      <c r="AM914" t="s">
        <v>86</v>
      </c>
      <c r="AN914" t="s">
        <v>205</v>
      </c>
      <c r="AO914" t="s">
        <v>789</v>
      </c>
      <c r="AP914">
        <v>3.56</v>
      </c>
      <c r="AQ914" t="s">
        <v>33</v>
      </c>
      <c r="AR914" t="s">
        <v>33</v>
      </c>
      <c r="AS914" s="6">
        <f>LOG(10^8)</f>
        <v>8</v>
      </c>
      <c r="AT914" s="3">
        <f t="shared" si="470"/>
        <v>5.1749999999999998</v>
      </c>
      <c r="AU914" s="6">
        <v>2.8250000000000002</v>
      </c>
      <c r="AV914" t="b">
        <v>1</v>
      </c>
      <c r="AW914" t="s">
        <v>123</v>
      </c>
      <c r="AX914" t="s">
        <v>393</v>
      </c>
      <c r="AY914" t="s">
        <v>394</v>
      </c>
      <c r="AZ914" t="s">
        <v>33</v>
      </c>
      <c r="BA914" s="18" t="s">
        <v>579</v>
      </c>
      <c r="BB914" t="b">
        <v>1</v>
      </c>
      <c r="BC914" t="s">
        <v>81</v>
      </c>
      <c r="BD914">
        <v>72</v>
      </c>
      <c r="BE914" t="s">
        <v>80</v>
      </c>
      <c r="BF914" s="11">
        <v>72</v>
      </c>
      <c r="BG914" t="s">
        <v>395</v>
      </c>
      <c r="BH914" t="s">
        <v>31</v>
      </c>
      <c r="BI914" t="s">
        <v>31</v>
      </c>
      <c r="BJ914" s="3">
        <f t="shared" si="438"/>
        <v>2.8250000000000002</v>
      </c>
      <c r="BK914" s="3">
        <f t="shared" si="453"/>
        <v>0.45101845215545738</v>
      </c>
      <c r="BL914">
        <v>2</v>
      </c>
      <c r="BM914" s="3">
        <f t="shared" si="472"/>
        <v>2.4493486765010131</v>
      </c>
      <c r="BN914" t="s">
        <v>33</v>
      </c>
      <c r="BO914" s="3">
        <f t="shared" si="462"/>
        <v>281.41592920353986</v>
      </c>
      <c r="BP914" t="s">
        <v>33</v>
      </c>
      <c r="BQ914" t="s">
        <v>33</v>
      </c>
      <c r="BR914" t="s">
        <v>33</v>
      </c>
      <c r="BS914" t="s">
        <v>33</v>
      </c>
      <c r="BT914" t="s">
        <v>31</v>
      </c>
      <c r="BU914" t="s">
        <v>240</v>
      </c>
      <c r="BV914">
        <v>2005</v>
      </c>
      <c r="BW914" t="s">
        <v>396</v>
      </c>
      <c r="BX914" t="s">
        <v>78</v>
      </c>
      <c r="BY914" t="s">
        <v>33</v>
      </c>
      <c r="BZ914" t="s">
        <v>33</v>
      </c>
      <c r="CA914" t="str">
        <f t="shared" si="464"/>
        <v>high acid</v>
      </c>
    </row>
    <row r="915" spans="1:79">
      <c r="A915" t="s">
        <v>590</v>
      </c>
      <c r="B915" t="s">
        <v>565</v>
      </c>
      <c r="C915" t="s">
        <v>564</v>
      </c>
      <c r="D915" t="s">
        <v>609</v>
      </c>
      <c r="E915" t="s">
        <v>77</v>
      </c>
      <c r="F915" t="s">
        <v>32</v>
      </c>
      <c r="G915">
        <v>40</v>
      </c>
      <c r="H915">
        <v>49</v>
      </c>
      <c r="I915" t="b">
        <v>0</v>
      </c>
      <c r="J915" t="s">
        <v>33</v>
      </c>
      <c r="K915" t="s">
        <v>33</v>
      </c>
      <c r="L915">
        <v>15</v>
      </c>
      <c r="M915" s="4">
        <v>120</v>
      </c>
      <c r="N915" t="e">
        <f>(#REF!*Y915)/(T915*X915*O915)</f>
        <v>#REF!</v>
      </c>
      <c r="O915">
        <v>3</v>
      </c>
      <c r="P915" t="s">
        <v>33</v>
      </c>
      <c r="Q915" s="1">
        <f>IFERROR(X915/Z915, "NA")</f>
        <v>6.3333333333333325E-2</v>
      </c>
      <c r="R915" t="s">
        <v>183</v>
      </c>
      <c r="S915" t="s">
        <v>612</v>
      </c>
      <c r="T915">
        <v>4</v>
      </c>
      <c r="U915">
        <v>3</v>
      </c>
      <c r="V915">
        <v>2.6</v>
      </c>
      <c r="W915">
        <v>1.5900000000000001E-2</v>
      </c>
      <c r="X915">
        <f>IFERROR(((PI())*(((V915*10^-1)/2)^2)*(U915*10^-1)), "NA")</f>
        <v>1.5927874753700257E-2</v>
      </c>
      <c r="Y915">
        <v>8.3333299999999999E-2</v>
      </c>
      <c r="Z915" s="3">
        <f t="shared" si="473"/>
        <v>0.25149275926895143</v>
      </c>
      <c r="AA915" t="s">
        <v>33</v>
      </c>
      <c r="AB915">
        <f>IFERROR(((X915*M915)/Z915), "NA")</f>
        <v>7.6</v>
      </c>
      <c r="AC915" s="1" t="str">
        <f t="shared" si="466"/>
        <v>NA</v>
      </c>
      <c r="AE915" s="3">
        <f t="shared" si="471"/>
        <v>23.597999999999995</v>
      </c>
      <c r="AF915">
        <v>91.2</v>
      </c>
      <c r="AG915" s="1" t="str">
        <f>IFERROR((N915*P915*Q915), "NA")</f>
        <v>NA</v>
      </c>
      <c r="AH915" s="1" t="str">
        <f>IFERROR((AG915*U915*AI915), "NA")</f>
        <v>NA</v>
      </c>
      <c r="AI915" s="1">
        <v>1</v>
      </c>
      <c r="AJ915" s="11" t="s">
        <v>31</v>
      </c>
      <c r="AK915">
        <v>1150</v>
      </c>
      <c r="AL915" t="s">
        <v>551</v>
      </c>
      <c r="AM915" t="s">
        <v>86</v>
      </c>
      <c r="AN915" t="s">
        <v>186</v>
      </c>
      <c r="AO915" t="s">
        <v>794</v>
      </c>
      <c r="AP915">
        <v>5.92</v>
      </c>
      <c r="AQ915" t="s">
        <v>33</v>
      </c>
      <c r="AR915" t="s">
        <v>33</v>
      </c>
      <c r="AS915">
        <v>6</v>
      </c>
      <c r="AT915">
        <f>AS915-AU915</f>
        <v>5.18</v>
      </c>
      <c r="AU915" s="6">
        <v>0.82</v>
      </c>
      <c r="AV915" t="b">
        <v>1</v>
      </c>
      <c r="AW915" t="s">
        <v>626</v>
      </c>
      <c r="AX915" t="s">
        <v>627</v>
      </c>
      <c r="AY915" t="s">
        <v>631</v>
      </c>
      <c r="AZ915" t="s">
        <v>33</v>
      </c>
      <c r="BA915" s="18" t="s">
        <v>800</v>
      </c>
      <c r="BB915" s="3" t="b">
        <v>0</v>
      </c>
      <c r="BC915" t="s">
        <v>81</v>
      </c>
      <c r="BD915">
        <v>20</v>
      </c>
      <c r="BE915" t="s">
        <v>80</v>
      </c>
      <c r="BF915">
        <v>20</v>
      </c>
      <c r="BG915" t="s">
        <v>695</v>
      </c>
      <c r="BH915" t="s">
        <v>32</v>
      </c>
      <c r="BI915" t="s">
        <v>31</v>
      </c>
      <c r="BJ915">
        <f t="shared" si="438"/>
        <v>0.82</v>
      </c>
      <c r="BK915" s="3">
        <f t="shared" si="453"/>
        <v>-8.6186147616283335E-2</v>
      </c>
      <c r="BL915">
        <v>2</v>
      </c>
      <c r="BM915" s="3">
        <f t="shared" si="472"/>
        <v>1.4590613444096736</v>
      </c>
      <c r="BN915" t="s">
        <v>33</v>
      </c>
      <c r="BO915" s="3">
        <f t="shared" si="462"/>
        <v>28.778048780487801</v>
      </c>
      <c r="BP915" t="s">
        <v>33</v>
      </c>
      <c r="BQ915" t="s">
        <v>33</v>
      </c>
      <c r="BR915" t="s">
        <v>33</v>
      </c>
      <c r="BS915" t="s">
        <v>33</v>
      </c>
      <c r="BT915" t="s">
        <v>32</v>
      </c>
      <c r="BU915" s="15" t="s">
        <v>207</v>
      </c>
      <c r="BV915">
        <v>2014</v>
      </c>
      <c r="BW915" t="s">
        <v>242</v>
      </c>
      <c r="BX915" t="s">
        <v>78</v>
      </c>
      <c r="BY915" s="13" t="s">
        <v>678</v>
      </c>
      <c r="CA915" t="str">
        <f t="shared" si="464"/>
        <v>low acid</v>
      </c>
    </row>
    <row r="916" spans="1:79">
      <c r="A916" t="s">
        <v>599</v>
      </c>
      <c r="B916" t="s">
        <v>565</v>
      </c>
      <c r="C916" t="s">
        <v>563</v>
      </c>
      <c r="D916" t="s">
        <v>118</v>
      </c>
      <c r="E916" t="s">
        <v>77</v>
      </c>
      <c r="F916" t="s">
        <v>32</v>
      </c>
      <c r="G916" t="s">
        <v>33</v>
      </c>
      <c r="H916" t="s">
        <v>33</v>
      </c>
      <c r="I916" t="b">
        <v>0</v>
      </c>
      <c r="J916" t="s">
        <v>33</v>
      </c>
      <c r="K916" t="s">
        <v>33</v>
      </c>
      <c r="L916">
        <v>20</v>
      </c>
      <c r="M916" s="4">
        <v>500</v>
      </c>
      <c r="N916" t="e">
        <f>(#REF!*Y916)/(T916*X916*O916)</f>
        <v>#REF!</v>
      </c>
      <c r="O916">
        <v>3</v>
      </c>
      <c r="P916" t="s">
        <v>33</v>
      </c>
      <c r="Q916" s="1">
        <f>IFERROR(X916/Z916, "NA")</f>
        <v>1.4555555555555554E-2</v>
      </c>
      <c r="R916" t="s">
        <v>183</v>
      </c>
      <c r="S916" t="s">
        <v>613</v>
      </c>
      <c r="T916">
        <v>6</v>
      </c>
      <c r="U916">
        <v>2.2999999999999998</v>
      </c>
      <c r="V916">
        <v>2.9</v>
      </c>
      <c r="W916">
        <v>0.36420000000000002</v>
      </c>
      <c r="X916">
        <f>IFERROR(((PI())*(((V916*10^-1)/2)^2)*(U916*10^-1)), "NA")</f>
        <v>1.519195667459684E-2</v>
      </c>
      <c r="Y916">
        <v>0.83333299999999999</v>
      </c>
      <c r="Z916" s="3">
        <f t="shared" si="473"/>
        <v>1.0437222142852791</v>
      </c>
      <c r="AA916" t="s">
        <v>33</v>
      </c>
      <c r="AB916">
        <f>IFERROR(((X916*M916)/Z916), "NA")</f>
        <v>7.2777777777777777</v>
      </c>
      <c r="AC916" s="1" t="str">
        <f t="shared" si="466"/>
        <v>NA</v>
      </c>
      <c r="AE916" s="3">
        <f t="shared" si="471"/>
        <v>190.73599999999999</v>
      </c>
      <c r="AF916">
        <v>131</v>
      </c>
      <c r="AG916" s="1" t="str">
        <f>IFERROR((N916*P916*Q916), "NA")</f>
        <v>NA</v>
      </c>
      <c r="AH916" s="1" t="str">
        <f>IFERROR((AG916*U916*AI916), "NA")</f>
        <v>NA</v>
      </c>
      <c r="AI916" s="1">
        <v>1</v>
      </c>
      <c r="AJ916" s="11" t="s">
        <v>31</v>
      </c>
      <c r="AK916">
        <f>3.64*10^3</f>
        <v>3640</v>
      </c>
      <c r="AL916" t="s">
        <v>145</v>
      </c>
      <c r="AM916" t="s">
        <v>86</v>
      </c>
      <c r="AN916" t="s">
        <v>205</v>
      </c>
      <c r="AO916" t="s">
        <v>789</v>
      </c>
      <c r="AP916">
        <v>3.19</v>
      </c>
      <c r="AQ916" t="s">
        <v>33</v>
      </c>
      <c r="AR916" t="s">
        <v>33</v>
      </c>
      <c r="AS916">
        <v>7.13</v>
      </c>
      <c r="AT916">
        <v>5.18</v>
      </c>
      <c r="AU916" s="6">
        <f>AS916-AT916</f>
        <v>1.9500000000000002</v>
      </c>
      <c r="AV916" t="b">
        <v>1</v>
      </c>
      <c r="AW916" t="s">
        <v>632</v>
      </c>
      <c r="AX916" t="s">
        <v>639</v>
      </c>
      <c r="AY916" t="s">
        <v>33</v>
      </c>
      <c r="AZ916" t="s">
        <v>33</v>
      </c>
      <c r="BA916" s="18" t="s">
        <v>803</v>
      </c>
      <c r="BB916" s="3" t="b">
        <v>0</v>
      </c>
      <c r="BC916" t="s">
        <v>81</v>
      </c>
      <c r="BD916">
        <f>AVERAGE(24, 48)</f>
        <v>36</v>
      </c>
      <c r="BE916" t="s">
        <v>80</v>
      </c>
      <c r="BF916">
        <v>48</v>
      </c>
      <c r="BG916" t="s">
        <v>647</v>
      </c>
      <c r="BH916" t="s">
        <v>31</v>
      </c>
      <c r="BI916" t="s">
        <v>31</v>
      </c>
      <c r="BJ916" s="3">
        <f t="shared" si="438"/>
        <v>1.9500000000000002</v>
      </c>
      <c r="BK916" s="3">
        <f t="shared" si="453"/>
        <v>0.29003461136251807</v>
      </c>
      <c r="BL916">
        <v>2</v>
      </c>
      <c r="BM916" s="3">
        <f t="shared" si="472"/>
        <v>1.9903980592702646</v>
      </c>
      <c r="BN916" t="s">
        <v>33</v>
      </c>
      <c r="BO916" s="3">
        <f t="shared" si="462"/>
        <v>97.813333333333318</v>
      </c>
      <c r="BP916" t="s">
        <v>33</v>
      </c>
      <c r="BQ916" t="s">
        <v>33</v>
      </c>
      <c r="BR916" t="s">
        <v>33</v>
      </c>
      <c r="BS916" t="s">
        <v>33</v>
      </c>
      <c r="BT916" t="s">
        <v>31</v>
      </c>
      <c r="BU916" s="13" t="s">
        <v>135</v>
      </c>
      <c r="BV916" s="14">
        <v>2010</v>
      </c>
      <c r="BW916" s="13" t="s">
        <v>140</v>
      </c>
      <c r="BX916" t="s">
        <v>78</v>
      </c>
      <c r="BY916" s="13" t="s">
        <v>687</v>
      </c>
      <c r="CA916" t="str">
        <f t="shared" si="464"/>
        <v>high acid</v>
      </c>
    </row>
    <row r="917" spans="1:79">
      <c r="A917" t="s">
        <v>383</v>
      </c>
      <c r="B917" t="s">
        <v>565</v>
      </c>
      <c r="C917" t="s">
        <v>563</v>
      </c>
      <c r="D917" t="s">
        <v>378</v>
      </c>
      <c r="E917" t="s">
        <v>77</v>
      </c>
      <c r="F917" t="s">
        <v>32</v>
      </c>
      <c r="G917">
        <v>30</v>
      </c>
      <c r="H917">
        <v>38</v>
      </c>
      <c r="I917" t="b">
        <v>1</v>
      </c>
      <c r="J917">
        <v>8063</v>
      </c>
      <c r="K917">
        <v>23.8</v>
      </c>
      <c r="L917">
        <v>30</v>
      </c>
      <c r="M917" s="4">
        <v>250</v>
      </c>
      <c r="N917" s="3">
        <f>IFERROR(AF917/((T917*X917/Y917)*O917*AI917),"NA")</f>
        <v>251.11113243387931</v>
      </c>
      <c r="O917">
        <v>2</v>
      </c>
      <c r="P917" t="s">
        <v>33</v>
      </c>
      <c r="Q917" s="8">
        <f>IFERROR(X917/Z917, "NA")</f>
        <v>1.4200000000000001E-2</v>
      </c>
      <c r="R917" t="s">
        <v>183</v>
      </c>
      <c r="S917" t="s">
        <v>612</v>
      </c>
      <c r="T917" s="11">
        <v>6</v>
      </c>
      <c r="U917">
        <v>2.7</v>
      </c>
      <c r="V917">
        <v>2</v>
      </c>
      <c r="W917">
        <v>8.5000000000000006E-3</v>
      </c>
      <c r="X917" s="8">
        <f>IFERROR(((PI())*(((V917*10^-1)/2)^2)*(U917*10^-1)), "NA")</f>
        <v>8.4823001646924419E-3</v>
      </c>
      <c r="Y917">
        <f>36/60</f>
        <v>0.6</v>
      </c>
      <c r="Z917" s="3">
        <f t="shared" si="473"/>
        <v>0.59734508202059444</v>
      </c>
      <c r="AA917">
        <f>21.3/6</f>
        <v>3.5500000000000003</v>
      </c>
      <c r="AB917" s="6">
        <f>IFERROR(((X917*M917)/Z917), "NA")</f>
        <v>3.5500000000000003</v>
      </c>
      <c r="AC917" t="str">
        <f t="shared" si="466"/>
        <v>NA</v>
      </c>
      <c r="AD917" s="4">
        <f>IFERROR(AB917*T917*AI917, "NA")</f>
        <v>21.3</v>
      </c>
      <c r="AE917" s="3">
        <f t="shared" si="471"/>
        <v>153.36000000000001</v>
      </c>
      <c r="AF917">
        <f>AA917*O917*T917*AI917</f>
        <v>42.6</v>
      </c>
      <c r="AG917" t="str">
        <f>IFERROR((M917*O917*P917), "NA")</f>
        <v>NA</v>
      </c>
      <c r="AH917" t="str">
        <f>IFERROR((AG917*T917*AI917), "NA")</f>
        <v>NA</v>
      </c>
      <c r="AI917" s="1">
        <v>1</v>
      </c>
      <c r="AJ917" t="s">
        <v>31</v>
      </c>
      <c r="AK917">
        <v>4000</v>
      </c>
      <c r="AL917" t="s">
        <v>545</v>
      </c>
      <c r="AM917" t="s">
        <v>103</v>
      </c>
      <c r="AN917" t="s">
        <v>130</v>
      </c>
      <c r="AO917" t="s">
        <v>795</v>
      </c>
      <c r="AP917">
        <v>7</v>
      </c>
      <c r="AQ917" t="s">
        <v>33</v>
      </c>
      <c r="AR917" t="s">
        <v>33</v>
      </c>
      <c r="AS917" s="6">
        <f>LOG(10^8)</f>
        <v>8</v>
      </c>
      <c r="AT917" s="3">
        <f>IFERROR(AS917-AU917,"NA")</f>
        <v>5.181</v>
      </c>
      <c r="AU917" s="6">
        <v>2.819</v>
      </c>
      <c r="AV917" t="b">
        <v>1</v>
      </c>
      <c r="AW917" t="s">
        <v>29</v>
      </c>
      <c r="AX917" t="s">
        <v>30</v>
      </c>
      <c r="AY917" t="s">
        <v>226</v>
      </c>
      <c r="AZ917" t="s">
        <v>33</v>
      </c>
      <c r="BA917" s="18" t="s">
        <v>798</v>
      </c>
      <c r="BB917" t="b">
        <v>0</v>
      </c>
      <c r="BC917" t="s">
        <v>81</v>
      </c>
      <c r="BD917">
        <v>14</v>
      </c>
      <c r="BE917" t="s">
        <v>80</v>
      </c>
      <c r="BF917" s="11">
        <v>48</v>
      </c>
      <c r="BG917" t="s">
        <v>139</v>
      </c>
      <c r="BH917" t="s">
        <v>31</v>
      </c>
      <c r="BI917" t="s">
        <v>31</v>
      </c>
      <c r="BJ917" s="3">
        <f t="shared" si="438"/>
        <v>2.819</v>
      </c>
      <c r="BK917" s="3">
        <f t="shared" si="453"/>
        <v>0.4500950758716023</v>
      </c>
      <c r="BL917">
        <v>2</v>
      </c>
      <c r="BM917" s="3">
        <f t="shared" si="472"/>
        <v>1.7356170239984039</v>
      </c>
      <c r="BN917" t="s">
        <v>33</v>
      </c>
      <c r="BO917" s="3">
        <f t="shared" si="462"/>
        <v>54.402270308620082</v>
      </c>
      <c r="BP917" t="s">
        <v>33</v>
      </c>
      <c r="BQ917" t="s">
        <v>33</v>
      </c>
      <c r="BR917" t="s">
        <v>33</v>
      </c>
      <c r="BS917" t="s">
        <v>33</v>
      </c>
      <c r="BT917" t="s">
        <v>31</v>
      </c>
      <c r="BU917" t="s">
        <v>227</v>
      </c>
      <c r="BV917">
        <v>2004</v>
      </c>
      <c r="BW917" t="s">
        <v>381</v>
      </c>
      <c r="BX917" t="s">
        <v>78</v>
      </c>
      <c r="BY917" t="s">
        <v>33</v>
      </c>
      <c r="BZ917" t="s">
        <v>33</v>
      </c>
      <c r="CA917" t="str">
        <f t="shared" si="464"/>
        <v>low acid</v>
      </c>
    </row>
    <row r="918" spans="1:79">
      <c r="A918" t="s">
        <v>733</v>
      </c>
      <c r="B918" t="s">
        <v>566</v>
      </c>
      <c r="C918" t="s">
        <v>563</v>
      </c>
      <c r="D918" t="s">
        <v>699</v>
      </c>
      <c r="E918" t="s">
        <v>77</v>
      </c>
      <c r="F918" t="s">
        <v>32</v>
      </c>
      <c r="G918">
        <v>20</v>
      </c>
      <c r="H918">
        <v>42.5</v>
      </c>
      <c r="I918" t="b">
        <v>1</v>
      </c>
      <c r="J918" t="s">
        <v>33</v>
      </c>
      <c r="K918" t="s">
        <v>33</v>
      </c>
      <c r="L918">
        <v>20</v>
      </c>
      <c r="M918" s="4">
        <v>47</v>
      </c>
      <c r="N918" s="3">
        <f>IFERROR(AF918/((T918*X918/Y918)*O918*AI918),"NA")</f>
        <v>46.759259259259245</v>
      </c>
      <c r="O918">
        <v>5</v>
      </c>
      <c r="P918">
        <v>0.43</v>
      </c>
      <c r="Q918" s="8">
        <f>IFERROR(X918/Y918, "NA")</f>
        <v>0.43200000000000011</v>
      </c>
      <c r="R918" t="s">
        <v>183</v>
      </c>
      <c r="S918" t="s">
        <v>612</v>
      </c>
      <c r="T918" s="11">
        <v>1</v>
      </c>
      <c r="U918">
        <v>4</v>
      </c>
      <c r="V918" t="s">
        <v>33</v>
      </c>
      <c r="W918">
        <f>0.4*3*0.5</f>
        <v>0.60000000000000009</v>
      </c>
      <c r="X918" s="9">
        <f>W918</f>
        <v>0.60000000000000009</v>
      </c>
      <c r="Y918" s="6">
        <f>5000/3600</f>
        <v>1.3888888888888888</v>
      </c>
      <c r="Z918" s="3">
        <f t="shared" si="473"/>
        <v>1.3960396039603959</v>
      </c>
      <c r="AA918" t="s">
        <v>33</v>
      </c>
      <c r="AB918" s="4">
        <f>IFERROR(((X918*M918)/Y918), "NA")</f>
        <v>20.304000000000002</v>
      </c>
      <c r="AC918" s="4">
        <f t="shared" si="466"/>
        <v>20.21</v>
      </c>
      <c r="AD918" s="4">
        <f>AB918*T918*AI918</f>
        <v>20.304000000000002</v>
      </c>
      <c r="AE918" s="3">
        <f t="shared" si="471"/>
        <v>81.216000000000022</v>
      </c>
      <c r="AF918">
        <v>101</v>
      </c>
      <c r="AG918" s="4">
        <f>IFERROR((M918*O918*P918), "NA")</f>
        <v>101.05</v>
      </c>
      <c r="AH918" s="4">
        <f>IFERROR((AG918*T918*AI918), "NA")</f>
        <v>101.05</v>
      </c>
      <c r="AI918">
        <v>1</v>
      </c>
      <c r="AJ918" s="11" t="s">
        <v>31</v>
      </c>
      <c r="AK918">
        <v>2000</v>
      </c>
      <c r="AL918" t="s">
        <v>784</v>
      </c>
      <c r="AM918" t="s">
        <v>103</v>
      </c>
      <c r="AN918" t="s">
        <v>130</v>
      </c>
      <c r="AO918" t="s">
        <v>795</v>
      </c>
      <c r="AP918">
        <v>7</v>
      </c>
      <c r="AQ918" t="s">
        <v>33</v>
      </c>
      <c r="AR918" t="s">
        <v>33</v>
      </c>
      <c r="AS918" s="6">
        <f>LOG(AVERAGE(10^8, 10^9))</f>
        <v>8.7403626894942441</v>
      </c>
      <c r="AT918" s="3">
        <f>IFERROR(AS918-AU918,"NA")</f>
        <v>5.1853626894942444</v>
      </c>
      <c r="AU918" s="6">
        <v>3.5550000000000002</v>
      </c>
      <c r="AV918" t="b">
        <v>1</v>
      </c>
      <c r="AW918" t="s">
        <v>172</v>
      </c>
      <c r="AX918" t="s">
        <v>173</v>
      </c>
      <c r="AY918">
        <v>28.040400000000002</v>
      </c>
      <c r="AZ918" t="s">
        <v>33</v>
      </c>
      <c r="BA918" s="18" t="s">
        <v>799</v>
      </c>
      <c r="BB918" s="3" t="b">
        <v>0</v>
      </c>
      <c r="BC918" t="s">
        <v>81</v>
      </c>
      <c r="BD918">
        <v>24</v>
      </c>
      <c r="BE918" t="s">
        <v>80</v>
      </c>
      <c r="BF918">
        <v>48</v>
      </c>
      <c r="BG918" t="s">
        <v>734</v>
      </c>
      <c r="BH918" t="s">
        <v>31</v>
      </c>
      <c r="BI918" t="s">
        <v>31</v>
      </c>
      <c r="BJ918" s="3">
        <f t="shared" si="438"/>
        <v>3.5550000000000002</v>
      </c>
      <c r="BK918" s="3">
        <f t="shared" si="453"/>
        <v>0.55083960506578511</v>
      </c>
      <c r="BL918">
        <v>2</v>
      </c>
      <c r="BM918" s="3">
        <f t="shared" si="472"/>
        <v>1.3588019910128069</v>
      </c>
      <c r="BN918" t="s">
        <v>33</v>
      </c>
      <c r="BO918" s="3">
        <f t="shared" si="462"/>
        <v>22.845569620253169</v>
      </c>
      <c r="BP918" t="s">
        <v>33</v>
      </c>
      <c r="BQ918" t="s">
        <v>33</v>
      </c>
      <c r="BR918" t="s">
        <v>33</v>
      </c>
      <c r="BS918" t="s">
        <v>33</v>
      </c>
      <c r="BT918" t="s">
        <v>32</v>
      </c>
      <c r="BU918" t="s">
        <v>709</v>
      </c>
      <c r="BV918">
        <v>2024</v>
      </c>
      <c r="BW918" t="s">
        <v>710</v>
      </c>
      <c r="BX918" t="s">
        <v>78</v>
      </c>
      <c r="BY918" t="s">
        <v>711</v>
      </c>
      <c r="CA918" t="str">
        <f t="shared" si="464"/>
        <v>low acid</v>
      </c>
    </row>
    <row r="919" spans="1:79">
      <c r="A919" t="s">
        <v>589</v>
      </c>
      <c r="B919" t="s">
        <v>566</v>
      </c>
      <c r="C919" t="s">
        <v>563</v>
      </c>
      <c r="D919" t="s">
        <v>33</v>
      </c>
      <c r="E919" t="s">
        <v>77</v>
      </c>
      <c r="F919" t="s">
        <v>33</v>
      </c>
      <c r="G919" t="s">
        <v>33</v>
      </c>
      <c r="H919">
        <v>35</v>
      </c>
      <c r="I919" t="b">
        <v>0</v>
      </c>
      <c r="J919" t="s">
        <v>33</v>
      </c>
      <c r="K919" t="s">
        <v>33</v>
      </c>
      <c r="L919">
        <v>12</v>
      </c>
      <c r="M919" s="4">
        <v>1</v>
      </c>
      <c r="N919" t="e">
        <f>(#REF!*Y919)/(T919*X919*O919)</f>
        <v>#REF!</v>
      </c>
      <c r="O919">
        <v>2</v>
      </c>
      <c r="P919" t="s">
        <v>33</v>
      </c>
      <c r="Q919" s="1">
        <f t="shared" ref="Q919:Q932" si="474">IFERROR(X919/Z919, "NA")</f>
        <v>703.5</v>
      </c>
      <c r="R919" t="s">
        <v>183</v>
      </c>
      <c r="S919" t="s">
        <v>613</v>
      </c>
      <c r="T919">
        <v>1</v>
      </c>
      <c r="U919">
        <v>2.5</v>
      </c>
      <c r="V919" t="s">
        <v>33</v>
      </c>
      <c r="W919">
        <v>0.50249999999999995</v>
      </c>
      <c r="X919">
        <f>W919</f>
        <v>0.50249999999999995</v>
      </c>
      <c r="Y919" t="s">
        <v>33</v>
      </c>
      <c r="Z919" s="3">
        <f t="shared" si="473"/>
        <v>7.1428571428571418E-4</v>
      </c>
      <c r="AA919" t="s">
        <v>33</v>
      </c>
      <c r="AB919">
        <f>IFERROR(((X919*M919)/Z919), "NA")</f>
        <v>703.5</v>
      </c>
      <c r="AC919" s="1" t="str">
        <f t="shared" si="466"/>
        <v>NA</v>
      </c>
      <c r="AE919" s="3">
        <f t="shared" si="471"/>
        <v>405.21599999999995</v>
      </c>
      <c r="AF919">
        <v>1407</v>
      </c>
      <c r="AG919" s="1" t="str">
        <f>IFERROR((N919*P919*Q919), "NA")</f>
        <v>NA</v>
      </c>
      <c r="AH919" s="1" t="str">
        <f>IFERROR((AG919*U919*AI919), "NA")</f>
        <v>NA</v>
      </c>
      <c r="AI919" s="1">
        <v>1</v>
      </c>
      <c r="AJ919" s="11" t="s">
        <v>31</v>
      </c>
      <c r="AK919">
        <v>2000</v>
      </c>
      <c r="AL919" t="s">
        <v>616</v>
      </c>
      <c r="AM919" s="3" t="s">
        <v>103</v>
      </c>
      <c r="AN919" t="s">
        <v>130</v>
      </c>
      <c r="AO919" t="s">
        <v>795</v>
      </c>
      <c r="AP919">
        <v>7</v>
      </c>
      <c r="AQ919" t="s">
        <v>33</v>
      </c>
      <c r="AR919" t="s">
        <v>33</v>
      </c>
      <c r="AS919">
        <v>9</v>
      </c>
      <c r="AT919">
        <f>AS919-AU919</f>
        <v>5.1899999999999995</v>
      </c>
      <c r="AU919" s="6">
        <v>3.81</v>
      </c>
      <c r="AV919" t="b">
        <v>1</v>
      </c>
      <c r="AW919" t="s">
        <v>617</v>
      </c>
      <c r="AX919" t="s">
        <v>33</v>
      </c>
      <c r="AY919" t="s">
        <v>629</v>
      </c>
      <c r="AZ919" t="s">
        <v>630</v>
      </c>
      <c r="BA919" s="18" t="s">
        <v>802</v>
      </c>
      <c r="BB919" s="3" t="b">
        <v>0</v>
      </c>
      <c r="BC919" t="s">
        <v>81</v>
      </c>
      <c r="BD919">
        <v>24</v>
      </c>
      <c r="BE919" t="s">
        <v>80</v>
      </c>
      <c r="BF919">
        <v>24</v>
      </c>
      <c r="BG919" t="s">
        <v>644</v>
      </c>
      <c r="BH919" t="s">
        <v>31</v>
      </c>
      <c r="BI919" t="s">
        <v>31</v>
      </c>
      <c r="BJ919">
        <f t="shared" si="438"/>
        <v>3.81</v>
      </c>
      <c r="BK919" s="3">
        <f t="shared" si="453"/>
        <v>0.58092497567561929</v>
      </c>
      <c r="BL919">
        <v>2</v>
      </c>
      <c r="BM919" s="3">
        <f t="shared" si="472"/>
        <v>2.0267616095183572</v>
      </c>
      <c r="BN919" t="s">
        <v>33</v>
      </c>
      <c r="BO919" s="3">
        <f t="shared" si="462"/>
        <v>106.355905511811</v>
      </c>
      <c r="BP919" t="s">
        <v>33</v>
      </c>
      <c r="BQ919" t="s">
        <v>33</v>
      </c>
      <c r="BR919" t="s">
        <v>33</v>
      </c>
      <c r="BS919" t="s">
        <v>33</v>
      </c>
      <c r="BT919" t="s">
        <v>31</v>
      </c>
      <c r="BU919" s="15" t="s">
        <v>655</v>
      </c>
      <c r="BV919">
        <v>2003</v>
      </c>
      <c r="BW919" t="s">
        <v>656</v>
      </c>
      <c r="BX919" t="s">
        <v>78</v>
      </c>
      <c r="BY919" s="13" t="s">
        <v>677</v>
      </c>
      <c r="CA919" t="str">
        <f t="shared" si="464"/>
        <v>low acid</v>
      </c>
    </row>
    <row r="920" spans="1:79">
      <c r="A920" t="s">
        <v>588</v>
      </c>
      <c r="B920" t="s">
        <v>565</v>
      </c>
      <c r="C920" t="s">
        <v>563</v>
      </c>
      <c r="D920" t="s">
        <v>608</v>
      </c>
      <c r="E920" t="s">
        <v>77</v>
      </c>
      <c r="F920" t="s">
        <v>32</v>
      </c>
      <c r="G920" t="s">
        <v>33</v>
      </c>
      <c r="H920">
        <v>40</v>
      </c>
      <c r="I920" t="b">
        <v>0</v>
      </c>
      <c r="J920" t="s">
        <v>33</v>
      </c>
      <c r="K920" t="s">
        <v>33</v>
      </c>
      <c r="L920">
        <v>35</v>
      </c>
      <c r="M920" s="4">
        <v>250</v>
      </c>
      <c r="N920" t="e">
        <f>(#REF!*Y920)/(T920*X920*O920)</f>
        <v>#REF!</v>
      </c>
      <c r="O920">
        <v>3.7</v>
      </c>
      <c r="P920" t="s">
        <v>33</v>
      </c>
      <c r="Q920" s="1">
        <f t="shared" si="474"/>
        <v>3.2432432432432427E-2</v>
      </c>
      <c r="R920" t="s">
        <v>183</v>
      </c>
      <c r="S920" t="s">
        <v>613</v>
      </c>
      <c r="T920">
        <v>6</v>
      </c>
      <c r="U920">
        <v>1.9</v>
      </c>
      <c r="V920">
        <v>2.2999999999999998</v>
      </c>
      <c r="W920" t="s">
        <v>33</v>
      </c>
      <c r="X920">
        <f t="shared" ref="X920:X926" si="475">IFERROR(((PI())*(((V920*10^-1)/2)^2)*(U920*10^-1)), "NA")</f>
        <v>7.8940369403077502E-3</v>
      </c>
      <c r="Y920">
        <v>1</v>
      </c>
      <c r="Z920" s="3">
        <f t="shared" si="473"/>
        <v>0.24339947232615566</v>
      </c>
      <c r="AA920" t="s">
        <v>33</v>
      </c>
      <c r="AB920">
        <f>IFERROR(((X920*M920)/Z920), "NA")</f>
        <v>8.108108108108107</v>
      </c>
      <c r="AC920" s="1" t="str">
        <f t="shared" si="466"/>
        <v>NA</v>
      </c>
      <c r="AE920" s="3">
        <f t="shared" si="471"/>
        <v>1058.3999999999999</v>
      </c>
      <c r="AF920">
        <v>180</v>
      </c>
      <c r="AG920" s="1" t="str">
        <f>IFERROR((N920*P920*Q920), "NA")</f>
        <v>NA</v>
      </c>
      <c r="AH920" s="1" t="str">
        <f>IFERROR((AG920*U920*AI920), "NA")</f>
        <v>NA</v>
      </c>
      <c r="AI920" s="1">
        <v>1</v>
      </c>
      <c r="AJ920" s="11" t="s">
        <v>31</v>
      </c>
      <c r="AK920">
        <v>4800</v>
      </c>
      <c r="AL920" t="s">
        <v>156</v>
      </c>
      <c r="AM920" t="s">
        <v>157</v>
      </c>
      <c r="AN920" t="s">
        <v>186</v>
      </c>
      <c r="AO920" t="s">
        <v>792</v>
      </c>
      <c r="AP920">
        <v>6.53</v>
      </c>
      <c r="AQ920" t="s">
        <v>33</v>
      </c>
      <c r="AR920" t="s">
        <v>33</v>
      </c>
      <c r="AS920">
        <v>6.5</v>
      </c>
      <c r="AT920">
        <v>5.19</v>
      </c>
      <c r="AU920" s="6">
        <f>AS920-AT920</f>
        <v>1.3099999999999996</v>
      </c>
      <c r="AV920" t="b">
        <v>1</v>
      </c>
      <c r="AW920" t="s">
        <v>626</v>
      </c>
      <c r="AX920" t="s">
        <v>627</v>
      </c>
      <c r="AY920" t="s">
        <v>625</v>
      </c>
      <c r="AZ920" t="s">
        <v>33</v>
      </c>
      <c r="BA920" s="18" t="s">
        <v>800</v>
      </c>
      <c r="BB920" s="3" t="b">
        <v>0</v>
      </c>
      <c r="BC920" t="s">
        <v>81</v>
      </c>
      <c r="BD920">
        <v>12</v>
      </c>
      <c r="BE920" t="s">
        <v>80</v>
      </c>
      <c r="BF920">
        <v>48</v>
      </c>
      <c r="BG920" t="s">
        <v>568</v>
      </c>
      <c r="BH920" t="s">
        <v>31</v>
      </c>
      <c r="BI920" t="s">
        <v>31</v>
      </c>
      <c r="BJ920">
        <f t="shared" si="438"/>
        <v>1.3099999999999996</v>
      </c>
      <c r="BK920" s="3">
        <f t="shared" si="453"/>
        <v>0.11727129565576414</v>
      </c>
      <c r="BL920">
        <v>2</v>
      </c>
      <c r="BM920" s="3">
        <f t="shared" si="472"/>
        <v>2.9073785355236805</v>
      </c>
      <c r="BN920" t="s">
        <v>33</v>
      </c>
      <c r="BO920" s="3">
        <f t="shared" si="462"/>
        <v>807.93893129771004</v>
      </c>
      <c r="BP920" t="s">
        <v>33</v>
      </c>
      <c r="BQ920" t="s">
        <v>33</v>
      </c>
      <c r="BR920" t="s">
        <v>33</v>
      </c>
      <c r="BS920" t="s">
        <v>33</v>
      </c>
      <c r="BT920" t="s">
        <v>31</v>
      </c>
      <c r="BU920" s="13" t="s">
        <v>163</v>
      </c>
      <c r="BV920">
        <v>2004</v>
      </c>
      <c r="BW920" t="s">
        <v>654</v>
      </c>
      <c r="BX920" t="s">
        <v>78</v>
      </c>
      <c r="BY920" s="13" t="s">
        <v>677</v>
      </c>
      <c r="CA920" t="str">
        <f t="shared" si="464"/>
        <v>low acid</v>
      </c>
    </row>
    <row r="921" spans="1:79">
      <c r="A921" t="s">
        <v>326</v>
      </c>
      <c r="B921" t="s">
        <v>565</v>
      </c>
      <c r="C921" t="s">
        <v>563</v>
      </c>
      <c r="D921" t="s">
        <v>118</v>
      </c>
      <c r="E921" t="s">
        <v>77</v>
      </c>
      <c r="F921" t="s">
        <v>32</v>
      </c>
      <c r="G921">
        <v>15</v>
      </c>
      <c r="H921">
        <v>30.4</v>
      </c>
      <c r="I921" t="b">
        <v>0</v>
      </c>
      <c r="J921" t="s">
        <v>33</v>
      </c>
      <c r="K921" t="s">
        <v>33</v>
      </c>
      <c r="L921">
        <v>27.5</v>
      </c>
      <c r="M921" s="4">
        <v>200</v>
      </c>
      <c r="N921" s="3">
        <f>IFERROR(AF921/((T921*X921/Y921)*O921*AI921),"NA")</f>
        <v>3454.7028257350348</v>
      </c>
      <c r="O921">
        <v>5</v>
      </c>
      <c r="P921" t="s">
        <v>33</v>
      </c>
      <c r="Q921" s="8">
        <f t="shared" si="474"/>
        <v>6.2500000000000014E-2</v>
      </c>
      <c r="R921" t="s">
        <v>183</v>
      </c>
      <c r="S921" t="s">
        <v>613</v>
      </c>
      <c r="T921" s="11">
        <v>8</v>
      </c>
      <c r="U921">
        <v>2.9</v>
      </c>
      <c r="V921">
        <v>2.2999999999999998</v>
      </c>
      <c r="W921">
        <v>1.2E-2</v>
      </c>
      <c r="X921" s="8">
        <f t="shared" si="475"/>
        <v>1.204879322468025E-2</v>
      </c>
      <c r="Y921">
        <v>3.33</v>
      </c>
      <c r="Z921" s="3">
        <f t="shared" si="473"/>
        <v>0.19278069159488398</v>
      </c>
      <c r="AA921" t="s">
        <v>33</v>
      </c>
      <c r="AB921" s="6">
        <f>IFERROR(((X921*M921)/Z921), "NA")</f>
        <v>12.500000000000002</v>
      </c>
      <c r="AC921" t="str">
        <f t="shared" si="466"/>
        <v>NA</v>
      </c>
      <c r="AD921" s="4">
        <f>AB921*T921*AI921</f>
        <v>100.00000000000001</v>
      </c>
      <c r="AE921" s="3">
        <f t="shared" si="471"/>
        <v>794.06250000000023</v>
      </c>
      <c r="AF921">
        <v>500</v>
      </c>
      <c r="AG921" t="str">
        <f>IFERROR((M921*O921*P921), "NA")</f>
        <v>NA</v>
      </c>
      <c r="AH921" t="str">
        <f>IFERROR((AG921*T921*AI921), "NA")</f>
        <v>NA</v>
      </c>
      <c r="AI921">
        <v>1</v>
      </c>
      <c r="AJ921" t="s">
        <v>31</v>
      </c>
      <c r="AK921">
        <v>2100</v>
      </c>
      <c r="AL921" t="s">
        <v>551</v>
      </c>
      <c r="AM921" t="s">
        <v>86</v>
      </c>
      <c r="AN921" t="s">
        <v>205</v>
      </c>
      <c r="AO921" t="s">
        <v>789</v>
      </c>
      <c r="AP921">
        <v>3.79</v>
      </c>
      <c r="AQ921">
        <v>1060</v>
      </c>
      <c r="AR921" t="s">
        <v>33</v>
      </c>
      <c r="AS921" s="6">
        <f>LOG((10^6+10^7)/2)</f>
        <v>6.7403626894942441</v>
      </c>
      <c r="AT921" s="3">
        <f>IFERROR(AS921-AU921,"NA")</f>
        <v>5.1903626894942443</v>
      </c>
      <c r="AU921" s="6">
        <v>1.55</v>
      </c>
      <c r="AV921" t="b">
        <v>1</v>
      </c>
      <c r="AW921" t="s">
        <v>123</v>
      </c>
      <c r="AX921" t="s">
        <v>327</v>
      </c>
      <c r="AY921" t="s">
        <v>328</v>
      </c>
      <c r="AZ921" t="s">
        <v>33</v>
      </c>
      <c r="BA921" s="18" t="s">
        <v>579</v>
      </c>
      <c r="BB921" t="b">
        <v>1</v>
      </c>
      <c r="BC921" t="s">
        <v>81</v>
      </c>
      <c r="BD921">
        <v>144</v>
      </c>
      <c r="BE921" t="s">
        <v>80</v>
      </c>
      <c r="BF921" s="11">
        <v>120</v>
      </c>
      <c r="BG921" t="s">
        <v>329</v>
      </c>
      <c r="BH921" t="s">
        <v>31</v>
      </c>
      <c r="BI921" t="s">
        <v>31</v>
      </c>
      <c r="BJ921" s="3">
        <f t="shared" si="438"/>
        <v>1.55</v>
      </c>
      <c r="BK921" s="3">
        <f t="shared" si="453"/>
        <v>0.1903316981702915</v>
      </c>
      <c r="BL921">
        <v>2</v>
      </c>
      <c r="BM921" s="3">
        <f t="shared" si="472"/>
        <v>2.7095229885601722</v>
      </c>
      <c r="BN921" t="s">
        <v>33</v>
      </c>
      <c r="BO921" s="3">
        <f t="shared" si="462"/>
        <v>512.29838709677438</v>
      </c>
      <c r="BP921" t="s">
        <v>33</v>
      </c>
      <c r="BQ921" t="s">
        <v>33</v>
      </c>
      <c r="BR921" t="s">
        <v>33</v>
      </c>
      <c r="BS921" t="s">
        <v>33</v>
      </c>
      <c r="BT921" t="s">
        <v>31</v>
      </c>
      <c r="BU921" t="s">
        <v>330</v>
      </c>
      <c r="BV921">
        <v>2009</v>
      </c>
      <c r="BW921" t="s">
        <v>331</v>
      </c>
      <c r="BX921" t="s">
        <v>78</v>
      </c>
      <c r="BY921" t="s">
        <v>33</v>
      </c>
      <c r="BZ921" t="s">
        <v>335</v>
      </c>
      <c r="CA921" t="str">
        <f t="shared" si="464"/>
        <v>high acid</v>
      </c>
    </row>
    <row r="922" spans="1:79">
      <c r="A922" t="s">
        <v>591</v>
      </c>
      <c r="B922" t="s">
        <v>565</v>
      </c>
      <c r="C922" t="s">
        <v>563</v>
      </c>
      <c r="D922" t="s">
        <v>118</v>
      </c>
      <c r="E922" t="s">
        <v>77</v>
      </c>
      <c r="F922" t="s">
        <v>32</v>
      </c>
      <c r="G922">
        <f>AVERAGE(8.5,12.5)</f>
        <v>10.5</v>
      </c>
      <c r="H922">
        <v>15</v>
      </c>
      <c r="I922" t="b">
        <v>1</v>
      </c>
      <c r="J922" t="s">
        <v>33</v>
      </c>
      <c r="K922" t="s">
        <v>33</v>
      </c>
      <c r="L922">
        <v>34</v>
      </c>
      <c r="M922" s="4">
        <v>200</v>
      </c>
      <c r="N922" t="e">
        <f>(#REF!*Y922)/(T922*X922*O922)</f>
        <v>#REF!</v>
      </c>
      <c r="O922">
        <v>2</v>
      </c>
      <c r="P922" t="s">
        <v>33</v>
      </c>
      <c r="Q922" s="1">
        <f t="shared" si="474"/>
        <v>1.2250000000000002E-2</v>
      </c>
      <c r="R922" t="s">
        <v>183</v>
      </c>
      <c r="S922" t="s">
        <v>612</v>
      </c>
      <c r="T922">
        <v>4</v>
      </c>
      <c r="U922">
        <v>2.9</v>
      </c>
      <c r="V922">
        <v>2.2999999999999998</v>
      </c>
      <c r="W922">
        <v>1.21E-2</v>
      </c>
      <c r="X922">
        <f t="shared" si="475"/>
        <v>1.204879322468025E-2</v>
      </c>
      <c r="Y922">
        <v>1</v>
      </c>
      <c r="Z922" s="3">
        <f t="shared" si="473"/>
        <v>0.98357495711675502</v>
      </c>
      <c r="AA922" t="s">
        <v>33</v>
      </c>
      <c r="AB922">
        <f>IFERROR(((X922*M922)/Z922), "NA")</f>
        <v>2.4500000000000002</v>
      </c>
      <c r="AC922" s="1" t="str">
        <f t="shared" si="466"/>
        <v>NA</v>
      </c>
      <c r="AE922" s="3">
        <f t="shared" si="471"/>
        <v>100.59294672000003</v>
      </c>
      <c r="AF922">
        <v>19.600000000000001</v>
      </c>
      <c r="AG922" s="1" t="str">
        <f>IFERROR((N922*P922*Q922), "NA")</f>
        <v>NA</v>
      </c>
      <c r="AH922" s="1" t="str">
        <f>IFERROR((AG922*U922*AI922), "NA")</f>
        <v>NA</v>
      </c>
      <c r="AI922" s="1">
        <v>1</v>
      </c>
      <c r="AJ922" s="11" t="s">
        <v>31</v>
      </c>
      <c r="AK922">
        <v>4439.7</v>
      </c>
      <c r="AL922" t="s">
        <v>156</v>
      </c>
      <c r="AM922" t="s">
        <v>157</v>
      </c>
      <c r="AN922" t="s">
        <v>186</v>
      </c>
      <c r="AO922" t="s">
        <v>792</v>
      </c>
      <c r="AP922">
        <v>6.66</v>
      </c>
      <c r="AQ922" t="s">
        <v>33</v>
      </c>
      <c r="AR922" t="s">
        <v>33</v>
      </c>
      <c r="AS922">
        <v>6</v>
      </c>
      <c r="AT922">
        <v>5.2</v>
      </c>
      <c r="AU922" s="6">
        <f>AS922-AT922</f>
        <v>0.79999999999999982</v>
      </c>
      <c r="AV922" t="b">
        <v>1</v>
      </c>
      <c r="AW922" t="s">
        <v>632</v>
      </c>
      <c r="AX922" t="s">
        <v>33</v>
      </c>
      <c r="AY922" t="s">
        <v>33</v>
      </c>
      <c r="AZ922" t="s">
        <v>33</v>
      </c>
      <c r="BA922" s="18" t="s">
        <v>803</v>
      </c>
      <c r="BB922" s="3" t="b">
        <v>0</v>
      </c>
      <c r="BC922" t="s">
        <v>81</v>
      </c>
      <c r="BD922">
        <v>48</v>
      </c>
      <c r="BE922" t="s">
        <v>80</v>
      </c>
      <c r="BF922">
        <v>48</v>
      </c>
      <c r="BG922" t="s">
        <v>645</v>
      </c>
      <c r="BH922" t="s">
        <v>31</v>
      </c>
      <c r="BI922" t="s">
        <v>32</v>
      </c>
      <c r="BJ922">
        <f t="shared" si="438"/>
        <v>0.79999999999999982</v>
      </c>
      <c r="BK922" s="3">
        <f t="shared" si="453"/>
        <v>-9.6910013008056517E-2</v>
      </c>
      <c r="BL922">
        <v>2</v>
      </c>
      <c r="BM922" s="3">
        <f t="shared" si="472"/>
        <v>2.0994775433505088</v>
      </c>
      <c r="BN922" t="s">
        <v>33</v>
      </c>
      <c r="BO922" s="3">
        <f t="shared" si="462"/>
        <v>125.74118340000007</v>
      </c>
      <c r="BP922" t="s">
        <v>33</v>
      </c>
      <c r="BQ922" t="s">
        <v>33</v>
      </c>
      <c r="BR922" t="s">
        <v>33</v>
      </c>
      <c r="BS922" t="s">
        <v>33</v>
      </c>
      <c r="BT922" t="s">
        <v>32</v>
      </c>
      <c r="BU922" s="15" t="s">
        <v>657</v>
      </c>
      <c r="BV922">
        <v>2008</v>
      </c>
      <c r="BW922" t="s">
        <v>658</v>
      </c>
      <c r="BX922" t="s">
        <v>78</v>
      </c>
      <c r="BY922" s="13" t="s">
        <v>679</v>
      </c>
      <c r="CA922" t="str">
        <f t="shared" si="464"/>
        <v>low acid</v>
      </c>
    </row>
    <row r="923" spans="1:79">
      <c r="A923" t="s">
        <v>599</v>
      </c>
      <c r="B923" t="s">
        <v>565</v>
      </c>
      <c r="C923" t="s">
        <v>563</v>
      </c>
      <c r="D923" t="s">
        <v>118</v>
      </c>
      <c r="E923" t="s">
        <v>77</v>
      </c>
      <c r="F923" t="s">
        <v>32</v>
      </c>
      <c r="G923" t="s">
        <v>33</v>
      </c>
      <c r="H923" t="s">
        <v>33</v>
      </c>
      <c r="I923" t="b">
        <v>0</v>
      </c>
      <c r="J923" t="s">
        <v>33</v>
      </c>
      <c r="K923" t="s">
        <v>33</v>
      </c>
      <c r="L923">
        <v>27</v>
      </c>
      <c r="M923" s="4">
        <v>500</v>
      </c>
      <c r="N923" t="e">
        <f>(#REF!*Y923)/(T923*X923*O923)</f>
        <v>#REF!</v>
      </c>
      <c r="O923">
        <v>3</v>
      </c>
      <c r="P923" t="s">
        <v>33</v>
      </c>
      <c r="Q923" s="1">
        <f t="shared" si="474"/>
        <v>1.4555555555555554E-2</v>
      </c>
      <c r="R923" t="s">
        <v>183</v>
      </c>
      <c r="S923" t="s">
        <v>613</v>
      </c>
      <c r="T923">
        <v>6</v>
      </c>
      <c r="U923">
        <v>2.2999999999999998</v>
      </c>
      <c r="V923">
        <v>2.9</v>
      </c>
      <c r="W923">
        <v>0.36420000000000002</v>
      </c>
      <c r="X923">
        <f t="shared" si="475"/>
        <v>1.519195667459684E-2</v>
      </c>
      <c r="Y923">
        <v>0.83333299999999999</v>
      </c>
      <c r="Z923" s="3">
        <f t="shared" si="473"/>
        <v>1.0437222142852791</v>
      </c>
      <c r="AA923" t="s">
        <v>33</v>
      </c>
      <c r="AB923">
        <f>IFERROR(((X923*M923)/Z923), "NA")</f>
        <v>7.2777777777777777</v>
      </c>
      <c r="AC923" s="1" t="str">
        <f t="shared" si="466"/>
        <v>NA</v>
      </c>
      <c r="AE923" s="3">
        <f t="shared" si="471"/>
        <v>347.61635999999993</v>
      </c>
      <c r="AF923">
        <v>131</v>
      </c>
      <c r="AG923" s="1" t="str">
        <f>IFERROR((N923*P923*Q923), "NA")</f>
        <v>NA</v>
      </c>
      <c r="AH923" s="1" t="str">
        <f>IFERROR((AG923*U923*AI923), "NA")</f>
        <v>NA</v>
      </c>
      <c r="AI923" s="1">
        <v>1</v>
      </c>
      <c r="AJ923" s="11" t="s">
        <v>31</v>
      </c>
      <c r="AK923">
        <f>3.64*10^3</f>
        <v>3640</v>
      </c>
      <c r="AL923" t="s">
        <v>145</v>
      </c>
      <c r="AM923" t="s">
        <v>86</v>
      </c>
      <c r="AN923" t="s">
        <v>205</v>
      </c>
      <c r="AO923" t="s">
        <v>789</v>
      </c>
      <c r="AP923">
        <v>3.19</v>
      </c>
      <c r="AQ923" t="s">
        <v>33</v>
      </c>
      <c r="AR923" t="s">
        <v>33</v>
      </c>
      <c r="AS923">
        <v>7.94</v>
      </c>
      <c r="AT923">
        <v>5.2</v>
      </c>
      <c r="AU923" s="6">
        <f>AS923-AT923</f>
        <v>2.74</v>
      </c>
      <c r="AV923" t="b">
        <v>1</v>
      </c>
      <c r="AW923" t="s">
        <v>626</v>
      </c>
      <c r="AX923" t="s">
        <v>627</v>
      </c>
      <c r="AY923">
        <v>95047</v>
      </c>
      <c r="AZ923" t="s">
        <v>33</v>
      </c>
      <c r="BA923" s="18" t="s">
        <v>800</v>
      </c>
      <c r="BB923" s="3" t="b">
        <v>0</v>
      </c>
      <c r="BC923" t="s">
        <v>81</v>
      </c>
      <c r="BD923">
        <f>AVERAGE(24, 48)</f>
        <v>36</v>
      </c>
      <c r="BE923" t="s">
        <v>80</v>
      </c>
      <c r="BF923">
        <v>48</v>
      </c>
      <c r="BG923" t="s">
        <v>647</v>
      </c>
      <c r="BH923" t="s">
        <v>31</v>
      </c>
      <c r="BI923" t="s">
        <v>31</v>
      </c>
      <c r="BJ923" s="3">
        <f t="shared" si="438"/>
        <v>2.74</v>
      </c>
      <c r="BK923" s="3">
        <f t="shared" si="453"/>
        <v>0.43775056282038799</v>
      </c>
      <c r="BL923">
        <v>2</v>
      </c>
      <c r="BM923" s="3">
        <f t="shared" si="472"/>
        <v>2.1033496448024067</v>
      </c>
      <c r="BN923" t="s">
        <v>33</v>
      </c>
      <c r="BO923" s="3">
        <f t="shared" si="462"/>
        <v>126.86728467153281</v>
      </c>
      <c r="BP923" t="s">
        <v>33</v>
      </c>
      <c r="BQ923" t="s">
        <v>33</v>
      </c>
      <c r="BR923" t="s">
        <v>33</v>
      </c>
      <c r="BS923" t="s">
        <v>33</v>
      </c>
      <c r="BT923" t="s">
        <v>31</v>
      </c>
      <c r="BU923" s="13" t="s">
        <v>135</v>
      </c>
      <c r="BV923" s="14">
        <v>2010</v>
      </c>
      <c r="BW923" s="13" t="s">
        <v>140</v>
      </c>
      <c r="BX923" t="s">
        <v>78</v>
      </c>
      <c r="BY923" s="13" t="s">
        <v>687</v>
      </c>
      <c r="CA923" t="str">
        <f t="shared" si="464"/>
        <v>high acid</v>
      </c>
    </row>
    <row r="924" spans="1:79">
      <c r="A924" t="s">
        <v>415</v>
      </c>
      <c r="B924" t="s">
        <v>565</v>
      </c>
      <c r="C924" t="s">
        <v>563</v>
      </c>
      <c r="D924" t="s">
        <v>33</v>
      </c>
      <c r="E924" t="s">
        <v>77</v>
      </c>
      <c r="F924" t="s">
        <v>32</v>
      </c>
      <c r="G924">
        <v>25</v>
      </c>
      <c r="H924">
        <v>36</v>
      </c>
      <c r="I924" t="b">
        <v>0</v>
      </c>
      <c r="J924">
        <v>6188</v>
      </c>
      <c r="K924">
        <v>18.100000000000001</v>
      </c>
      <c r="L924">
        <v>22.5</v>
      </c>
      <c r="M924" s="4">
        <v>250</v>
      </c>
      <c r="N924" s="3">
        <f t="shared" ref="N924:N930" si="476">IFERROR(AF924/((T924*X924/Y924)*O924*AI924),"NA")</f>
        <v>251.11113243387931</v>
      </c>
      <c r="O924">
        <v>4</v>
      </c>
      <c r="P924" t="s">
        <v>33</v>
      </c>
      <c r="Q924" s="8">
        <f t="shared" si="474"/>
        <v>1.4200000000000001E-2</v>
      </c>
      <c r="R924" t="s">
        <v>183</v>
      </c>
      <c r="S924" t="s">
        <v>612</v>
      </c>
      <c r="T924" s="11">
        <v>6</v>
      </c>
      <c r="U924">
        <v>2.7</v>
      </c>
      <c r="V924">
        <v>2</v>
      </c>
      <c r="W924">
        <v>8.5000000000000006E-3</v>
      </c>
      <c r="X924" s="9">
        <f t="shared" si="475"/>
        <v>8.4823001646924419E-3</v>
      </c>
      <c r="Y924" s="6">
        <f>36/60</f>
        <v>0.6</v>
      </c>
      <c r="Z924" s="3">
        <f t="shared" si="473"/>
        <v>0.59734508202059444</v>
      </c>
      <c r="AA924">
        <f>21.3/6</f>
        <v>3.5500000000000003</v>
      </c>
      <c r="AB924" s="6">
        <f>IFERROR(((X924*M924)/Y924), "NA")</f>
        <v>3.5342917352885173</v>
      </c>
      <c r="AC924" t="str">
        <f t="shared" si="466"/>
        <v>NA</v>
      </c>
      <c r="AD924" s="4">
        <f>IFERROR(AB924*T924*AI924, "NA")</f>
        <v>21.205750411731103</v>
      </c>
      <c r="AE924" s="3">
        <f t="shared" si="471"/>
        <v>172.53000000000003</v>
      </c>
      <c r="AF924">
        <f>AI924*T924*O924*AA924</f>
        <v>85.2</v>
      </c>
      <c r="AG924" t="str">
        <f t="shared" ref="AG924:AG930" si="477">IFERROR((M924*O924*P924), "NA")</f>
        <v>NA</v>
      </c>
      <c r="AH924" t="str">
        <f t="shared" ref="AH924:AH930" si="478">IFERROR((AG924*T924*AI924), "NA")</f>
        <v>NA</v>
      </c>
      <c r="AI924" s="1">
        <v>1</v>
      </c>
      <c r="AJ924" t="s">
        <v>31</v>
      </c>
      <c r="AK924">
        <v>4000</v>
      </c>
      <c r="AL924" t="s">
        <v>416</v>
      </c>
      <c r="AM924" t="s">
        <v>103</v>
      </c>
      <c r="AN924" t="s">
        <v>130</v>
      </c>
      <c r="AO924" t="s">
        <v>795</v>
      </c>
      <c r="AP924" s="4">
        <v>6</v>
      </c>
      <c r="AQ924" t="s">
        <v>33</v>
      </c>
      <c r="AR924" t="s">
        <v>33</v>
      </c>
      <c r="AS924" s="3">
        <f>LOG(10^8)</f>
        <v>8</v>
      </c>
      <c r="AT924" s="3">
        <f t="shared" ref="AT924:AT930" si="479">IFERROR(AS924-AU924,"NA")</f>
        <v>5.2</v>
      </c>
      <c r="AU924" s="6">
        <v>2.8</v>
      </c>
      <c r="AV924" t="b">
        <v>1</v>
      </c>
      <c r="AW924" t="s">
        <v>29</v>
      </c>
      <c r="AX924" t="s">
        <v>30</v>
      </c>
      <c r="AY924" t="s">
        <v>226</v>
      </c>
      <c r="AZ924" t="s">
        <v>33</v>
      </c>
      <c r="BA924" s="18" t="s">
        <v>798</v>
      </c>
      <c r="BB924" t="b">
        <v>0</v>
      </c>
      <c r="BC924" t="s">
        <v>81</v>
      </c>
      <c r="BD924">
        <v>14</v>
      </c>
      <c r="BE924" t="s">
        <v>80</v>
      </c>
      <c r="BF924" s="11">
        <v>48</v>
      </c>
      <c r="BG924" t="s">
        <v>139</v>
      </c>
      <c r="BH924" t="s">
        <v>31</v>
      </c>
      <c r="BI924" t="s">
        <v>31</v>
      </c>
      <c r="BJ924" s="3">
        <f t="shared" si="438"/>
        <v>2.8</v>
      </c>
      <c r="BK924" s="3">
        <f t="shared" si="453"/>
        <v>0.44715803134221921</v>
      </c>
      <c r="BL924">
        <v>2</v>
      </c>
      <c r="BM924" s="3">
        <f t="shared" si="472"/>
        <v>1.7897065909751684</v>
      </c>
      <c r="BN924" t="s">
        <v>33</v>
      </c>
      <c r="BO924" s="3">
        <f t="shared" si="462"/>
        <v>61.617857142857154</v>
      </c>
      <c r="BP924" t="s">
        <v>33</v>
      </c>
      <c r="BQ924" t="s">
        <v>33</v>
      </c>
      <c r="BR924" t="s">
        <v>33</v>
      </c>
      <c r="BS924" t="s">
        <v>33</v>
      </c>
      <c r="BT924" t="s">
        <v>31</v>
      </c>
      <c r="BU924" t="s">
        <v>227</v>
      </c>
      <c r="BV924">
        <v>2004</v>
      </c>
      <c r="BW924" t="s">
        <v>417</v>
      </c>
      <c r="BX924" t="s">
        <v>78</v>
      </c>
      <c r="BY924" t="s">
        <v>33</v>
      </c>
      <c r="BZ924" t="s">
        <v>33</v>
      </c>
      <c r="CA924" t="str">
        <f t="shared" si="464"/>
        <v>low acid</v>
      </c>
    </row>
    <row r="925" spans="1:79">
      <c r="A925" t="s">
        <v>229</v>
      </c>
      <c r="B925" t="s">
        <v>565</v>
      </c>
      <c r="C925" t="s">
        <v>563</v>
      </c>
      <c r="D925" t="s">
        <v>33</v>
      </c>
      <c r="E925" t="s">
        <v>77</v>
      </c>
      <c r="F925" t="s">
        <v>32</v>
      </c>
      <c r="G925">
        <v>30</v>
      </c>
      <c r="H925">
        <v>61</v>
      </c>
      <c r="I925" t="b">
        <v>1</v>
      </c>
      <c r="J925" t="s">
        <v>33</v>
      </c>
      <c r="K925" t="s">
        <v>33</v>
      </c>
      <c r="L925">
        <v>35</v>
      </c>
      <c r="M925" s="4">
        <v>250</v>
      </c>
      <c r="N925" s="3">
        <f t="shared" si="476"/>
        <v>260.5243209473274</v>
      </c>
      <c r="O925">
        <v>4</v>
      </c>
      <c r="P925" t="s">
        <v>33</v>
      </c>
      <c r="Q925" s="8">
        <f t="shared" si="474"/>
        <v>1.3333333333333332E-2</v>
      </c>
      <c r="R925" t="s">
        <v>183</v>
      </c>
      <c r="S925" t="s">
        <v>613</v>
      </c>
      <c r="T925" s="11">
        <v>6</v>
      </c>
      <c r="U925">
        <v>2.2999999999999998</v>
      </c>
      <c r="V925">
        <v>2.2000000000000002</v>
      </c>
      <c r="W925" t="s">
        <v>33</v>
      </c>
      <c r="X925" s="8">
        <f t="shared" si="475"/>
        <v>8.7430523549403959E-3</v>
      </c>
      <c r="Y925" s="6">
        <f>41/60</f>
        <v>0.68333333333333335</v>
      </c>
      <c r="Z925" s="3">
        <f t="shared" si="473"/>
        <v>0.65572892662052973</v>
      </c>
      <c r="AA925" s="3">
        <f>20/6</f>
        <v>3.3333333333333335</v>
      </c>
      <c r="AB925" s="6">
        <f>IFERROR(((X925*M925)/Z925), "NA")</f>
        <v>3.333333333333333</v>
      </c>
      <c r="AC925" t="str">
        <f t="shared" si="466"/>
        <v>NA</v>
      </c>
      <c r="AD925" s="4">
        <f>AB925*T925*AI925</f>
        <v>20</v>
      </c>
      <c r="AE925" s="3">
        <f t="shared" si="471"/>
        <v>392</v>
      </c>
      <c r="AF925">
        <v>80</v>
      </c>
      <c r="AG925" t="str">
        <f t="shared" si="477"/>
        <v>NA</v>
      </c>
      <c r="AH925" t="str">
        <f t="shared" si="478"/>
        <v>NA</v>
      </c>
      <c r="AI925">
        <v>1</v>
      </c>
      <c r="AJ925" t="s">
        <v>31</v>
      </c>
      <c r="AK925">
        <v>4000</v>
      </c>
      <c r="AL925" t="s">
        <v>546</v>
      </c>
      <c r="AM925" t="s">
        <v>103</v>
      </c>
      <c r="AN925" t="s">
        <v>130</v>
      </c>
      <c r="AO925" t="s">
        <v>795</v>
      </c>
      <c r="AP925">
        <v>5</v>
      </c>
      <c r="AQ925" t="s">
        <v>33</v>
      </c>
      <c r="AR925" t="s">
        <v>33</v>
      </c>
      <c r="AS925" s="6">
        <v>8.4</v>
      </c>
      <c r="AT925" s="3">
        <f t="shared" si="479"/>
        <v>5.2</v>
      </c>
      <c r="AU925" s="6">
        <v>3.2</v>
      </c>
      <c r="AV925" t="b">
        <v>1</v>
      </c>
      <c r="AW925" t="s">
        <v>92</v>
      </c>
      <c r="AX925" t="s">
        <v>119</v>
      </c>
      <c r="AY925" t="s">
        <v>230</v>
      </c>
      <c r="AZ925" t="s">
        <v>33</v>
      </c>
      <c r="BA925" s="18" t="s">
        <v>801</v>
      </c>
      <c r="BB925" t="b">
        <v>0</v>
      </c>
      <c r="BC925" t="s">
        <v>81</v>
      </c>
      <c r="BD925">
        <v>14</v>
      </c>
      <c r="BE925" t="s">
        <v>80</v>
      </c>
      <c r="BF925" s="11">
        <v>120</v>
      </c>
      <c r="BG925" t="s">
        <v>139</v>
      </c>
      <c r="BH925" t="s">
        <v>31</v>
      </c>
      <c r="BI925" t="s">
        <v>31</v>
      </c>
      <c r="BJ925" s="3">
        <f t="shared" ref="BJ925:BJ986" si="480">AU925</f>
        <v>3.2</v>
      </c>
      <c r="BK925" s="3">
        <f t="shared" si="453"/>
        <v>0.50514997831990605</v>
      </c>
      <c r="BL925">
        <v>2</v>
      </c>
      <c r="BM925" s="3">
        <f t="shared" si="472"/>
        <v>2.0881360887005513</v>
      </c>
      <c r="BN925" t="s">
        <v>33</v>
      </c>
      <c r="BO925" s="3">
        <f t="shared" si="462"/>
        <v>122.5</v>
      </c>
      <c r="BP925" t="s">
        <v>33</v>
      </c>
      <c r="BQ925" t="s">
        <v>33</v>
      </c>
      <c r="BR925" t="s">
        <v>33</v>
      </c>
      <c r="BS925" t="s">
        <v>33</v>
      </c>
      <c r="BT925" t="s">
        <v>31</v>
      </c>
      <c r="BU925" t="s">
        <v>227</v>
      </c>
      <c r="BV925">
        <v>2001</v>
      </c>
      <c r="BW925" t="s">
        <v>228</v>
      </c>
      <c r="BX925" t="s">
        <v>78</v>
      </c>
      <c r="BY925" t="s">
        <v>33</v>
      </c>
      <c r="BZ925" t="s">
        <v>33</v>
      </c>
      <c r="CA925" t="str">
        <f t="shared" si="464"/>
        <v>low acid</v>
      </c>
    </row>
    <row r="926" spans="1:79">
      <c r="A926" t="s">
        <v>533</v>
      </c>
      <c r="B926" t="s">
        <v>565</v>
      </c>
      <c r="C926" t="s">
        <v>564</v>
      </c>
      <c r="D926" t="s">
        <v>209</v>
      </c>
      <c r="E926" t="s">
        <v>77</v>
      </c>
      <c r="F926" t="s">
        <v>32</v>
      </c>
      <c r="G926">
        <v>30</v>
      </c>
      <c r="H926">
        <v>38.200000000000003</v>
      </c>
      <c r="I926" t="b">
        <v>0</v>
      </c>
      <c r="J926" t="s">
        <v>33</v>
      </c>
      <c r="K926" t="s">
        <v>33</v>
      </c>
      <c r="L926">
        <v>24</v>
      </c>
      <c r="M926" s="4">
        <v>120</v>
      </c>
      <c r="N926" s="3">
        <f t="shared" si="476"/>
        <v>39.762576183379494</v>
      </c>
      <c r="O926">
        <v>3</v>
      </c>
      <c r="P926" t="s">
        <v>33</v>
      </c>
      <c r="Q926" s="8">
        <f t="shared" si="474"/>
        <v>4.1666666666666664E-2</v>
      </c>
      <c r="R926" t="s">
        <v>183</v>
      </c>
      <c r="S926" t="s">
        <v>612</v>
      </c>
      <c r="T926" s="11">
        <v>4</v>
      </c>
      <c r="U926">
        <v>3</v>
      </c>
      <c r="V926">
        <v>2.6</v>
      </c>
      <c r="W926" t="s">
        <v>33</v>
      </c>
      <c r="X926" s="8">
        <f t="shared" si="475"/>
        <v>1.5927874753700257E-2</v>
      </c>
      <c r="Y926" s="6">
        <f>7.6/60</f>
        <v>0.12666666666666665</v>
      </c>
      <c r="Z926" s="3">
        <f t="shared" si="473"/>
        <v>0.38226899408880616</v>
      </c>
      <c r="AA926" t="s">
        <v>33</v>
      </c>
      <c r="AB926" s="6">
        <f>IFERROR(((X926*M926)/Z926), "NA")</f>
        <v>5</v>
      </c>
      <c r="AC926" t="str">
        <f t="shared" si="466"/>
        <v>NA</v>
      </c>
      <c r="AD926" s="4">
        <f>IFERROR(AB926*T926*AI926, "NA")</f>
        <v>20</v>
      </c>
      <c r="AE926" s="3">
        <f t="shared" si="471"/>
        <v>33.868799999999993</v>
      </c>
      <c r="AF926">
        <v>60</v>
      </c>
      <c r="AG926" t="str">
        <f t="shared" si="477"/>
        <v>NA</v>
      </c>
      <c r="AH926" t="str">
        <f t="shared" si="478"/>
        <v>NA</v>
      </c>
      <c r="AI926" s="11">
        <v>1</v>
      </c>
      <c r="AJ926" t="s">
        <v>31</v>
      </c>
      <c r="AK926">
        <v>980</v>
      </c>
      <c r="AL926" t="s">
        <v>551</v>
      </c>
      <c r="AM926" t="s">
        <v>86</v>
      </c>
      <c r="AN926" t="s">
        <v>186</v>
      </c>
      <c r="AO926" t="s">
        <v>794</v>
      </c>
      <c r="AP926">
        <v>5.98</v>
      </c>
      <c r="AQ926" t="s">
        <v>33</v>
      </c>
      <c r="AR926" t="s">
        <v>33</v>
      </c>
      <c r="AS926" s="6">
        <v>6.5</v>
      </c>
      <c r="AT926" s="3">
        <f t="shared" si="479"/>
        <v>5.2039999999999997</v>
      </c>
      <c r="AU926" s="6">
        <v>1.296</v>
      </c>
      <c r="AV926" t="b">
        <v>1</v>
      </c>
      <c r="AW926" t="s">
        <v>29</v>
      </c>
      <c r="AX926" t="s">
        <v>30</v>
      </c>
      <c r="AY926" t="s">
        <v>211</v>
      </c>
      <c r="AZ926" t="s">
        <v>33</v>
      </c>
      <c r="BA926" s="18" t="s">
        <v>798</v>
      </c>
      <c r="BB926" t="b">
        <v>0</v>
      </c>
      <c r="BC926" t="s">
        <v>81</v>
      </c>
      <c r="BD926">
        <v>20</v>
      </c>
      <c r="BE926" t="s">
        <v>80</v>
      </c>
      <c r="BF926" s="11">
        <v>20</v>
      </c>
      <c r="BG926" t="s">
        <v>570</v>
      </c>
      <c r="BH926" t="s">
        <v>31</v>
      </c>
      <c r="BI926" t="s">
        <v>31</v>
      </c>
      <c r="BJ926" s="3">
        <f t="shared" si="480"/>
        <v>1.296</v>
      </c>
      <c r="BK926" s="3">
        <f t="shared" si="453"/>
        <v>0.11260500153457455</v>
      </c>
      <c r="BL926">
        <v>2</v>
      </c>
      <c r="BM926" s="3">
        <f t="shared" si="472"/>
        <v>1.4171948079647758</v>
      </c>
      <c r="BN926" t="s">
        <v>33</v>
      </c>
      <c r="BO926" s="3">
        <f t="shared" si="462"/>
        <v>26.133333333333326</v>
      </c>
      <c r="BP926" t="s">
        <v>33</v>
      </c>
      <c r="BQ926" t="s">
        <v>33</v>
      </c>
      <c r="BR926" t="s">
        <v>33</v>
      </c>
      <c r="BS926" t="s">
        <v>33</v>
      </c>
      <c r="BT926" t="s">
        <v>32</v>
      </c>
      <c r="BU926" t="s">
        <v>207</v>
      </c>
      <c r="BV926">
        <v>2014</v>
      </c>
      <c r="BW926" t="s">
        <v>208</v>
      </c>
      <c r="BX926" t="s">
        <v>78</v>
      </c>
      <c r="BY926" t="s">
        <v>33</v>
      </c>
      <c r="BZ926" t="s">
        <v>33</v>
      </c>
      <c r="CA926" t="str">
        <f t="shared" si="464"/>
        <v>low acid</v>
      </c>
    </row>
    <row r="927" spans="1:79">
      <c r="A927" t="s">
        <v>431</v>
      </c>
      <c r="B927" t="s">
        <v>565</v>
      </c>
      <c r="C927" t="s">
        <v>563</v>
      </c>
      <c r="D927" t="s">
        <v>118</v>
      </c>
      <c r="E927" t="s">
        <v>77</v>
      </c>
      <c r="F927" t="s">
        <v>32</v>
      </c>
      <c r="G927">
        <v>20</v>
      </c>
      <c r="H927">
        <v>25</v>
      </c>
      <c r="I927" t="b">
        <v>0</v>
      </c>
      <c r="J927" t="s">
        <v>33</v>
      </c>
      <c r="K927" t="s">
        <v>33</v>
      </c>
      <c r="L927">
        <v>18.100000000000001</v>
      </c>
      <c r="M927" s="4">
        <v>667</v>
      </c>
      <c r="N927" s="3" t="str">
        <f t="shared" si="476"/>
        <v>NA</v>
      </c>
      <c r="O927">
        <v>2</v>
      </c>
      <c r="P927" t="s">
        <v>33</v>
      </c>
      <c r="Q927" s="8">
        <f t="shared" si="474"/>
        <v>1.4992503748125939E-2</v>
      </c>
      <c r="R927" t="s">
        <v>183</v>
      </c>
      <c r="S927" t="s">
        <v>613</v>
      </c>
      <c r="T927" s="11">
        <v>6</v>
      </c>
      <c r="U927">
        <v>2.92</v>
      </c>
      <c r="V927">
        <v>2.2999999999999998</v>
      </c>
      <c r="W927" t="s">
        <v>33</v>
      </c>
      <c r="X927" s="9">
        <f>IFERROR(((PI())*(((V927*10^-1)/2)^2)*(U927*10^-1)), "NA")</f>
        <v>1.2131888350367701E-2</v>
      </c>
      <c r="Y927" s="6" t="s">
        <v>33</v>
      </c>
      <c r="Z927" s="3">
        <f t="shared" si="473"/>
        <v>0.80919695296952554</v>
      </c>
      <c r="AA927" t="s">
        <v>33</v>
      </c>
      <c r="AB927" s="6" t="str">
        <f>IFERROR(((X927*M927)/Y927), "NA")</f>
        <v>NA</v>
      </c>
      <c r="AC927" t="str">
        <f t="shared" si="466"/>
        <v>NA</v>
      </c>
      <c r="AD927" s="4" t="str">
        <f>IFERROR(AB927*T927*AI927, "NA")</f>
        <v>NA</v>
      </c>
      <c r="AE927" s="3">
        <f t="shared" si="471"/>
        <v>39.313200000000016</v>
      </c>
      <c r="AF927">
        <v>120</v>
      </c>
      <c r="AG927" t="str">
        <f t="shared" si="477"/>
        <v>NA</v>
      </c>
      <c r="AH927" t="str">
        <f t="shared" si="478"/>
        <v>NA</v>
      </c>
      <c r="AI927" s="11">
        <v>1</v>
      </c>
      <c r="AJ927" t="s">
        <v>31</v>
      </c>
      <c r="AK927">
        <v>1000</v>
      </c>
      <c r="AL927" t="s">
        <v>430</v>
      </c>
      <c r="AM927" t="s">
        <v>530</v>
      </c>
      <c r="AN927" t="s">
        <v>186</v>
      </c>
      <c r="AO927" t="s">
        <v>796</v>
      </c>
      <c r="AP927" s="4">
        <v>6</v>
      </c>
      <c r="AQ927" t="s">
        <v>33</v>
      </c>
      <c r="AR927" t="s">
        <v>33</v>
      </c>
      <c r="AS927" s="3">
        <f>LOG((10^6+10^7)/2)</f>
        <v>6.7403626894942441</v>
      </c>
      <c r="AT927" s="3">
        <f t="shared" si="479"/>
        <v>5.2103626894942439</v>
      </c>
      <c r="AU927" s="6">
        <v>1.53</v>
      </c>
      <c r="AV927" t="b">
        <v>1</v>
      </c>
      <c r="AW927" t="s">
        <v>29</v>
      </c>
      <c r="AX927" t="s">
        <v>30</v>
      </c>
      <c r="AY927" t="s">
        <v>216</v>
      </c>
      <c r="AZ927" t="s">
        <v>33</v>
      </c>
      <c r="BA927" s="18" t="s">
        <v>798</v>
      </c>
      <c r="BB927" s="3" t="b">
        <v>0</v>
      </c>
      <c r="BC927" t="s">
        <v>81</v>
      </c>
      <c r="BD927">
        <v>15</v>
      </c>
      <c r="BE927" t="s">
        <v>80</v>
      </c>
      <c r="BF927" s="11">
        <v>240</v>
      </c>
      <c r="BG927" t="s">
        <v>139</v>
      </c>
      <c r="BH927" t="s">
        <v>31</v>
      </c>
      <c r="BI927" t="s">
        <v>31</v>
      </c>
      <c r="BJ927" s="3">
        <f t="shared" si="480"/>
        <v>1.53</v>
      </c>
      <c r="BK927" s="3">
        <f t="shared" si="453"/>
        <v>0.18469143081759881</v>
      </c>
      <c r="BL927">
        <v>2</v>
      </c>
      <c r="BM927" s="3">
        <f t="shared" si="472"/>
        <v>1.4098469649683951</v>
      </c>
      <c r="BN927" t="s">
        <v>33</v>
      </c>
      <c r="BO927" s="3">
        <f t="shared" si="462"/>
        <v>25.694901960784325</v>
      </c>
      <c r="BP927" t="s">
        <v>33</v>
      </c>
      <c r="BQ927" t="s">
        <v>33</v>
      </c>
      <c r="BR927" t="s">
        <v>33</v>
      </c>
      <c r="BS927" t="s">
        <v>33</v>
      </c>
      <c r="BT927" t="s">
        <v>32</v>
      </c>
      <c r="BU927" t="s">
        <v>344</v>
      </c>
      <c r="BV927">
        <v>2008</v>
      </c>
      <c r="BW927" t="s">
        <v>432</v>
      </c>
      <c r="BX927" t="s">
        <v>78</v>
      </c>
      <c r="BY927" t="s">
        <v>33</v>
      </c>
      <c r="BZ927" t="s">
        <v>33</v>
      </c>
      <c r="CA927" t="str">
        <f t="shared" si="464"/>
        <v>low acid</v>
      </c>
    </row>
    <row r="928" spans="1:79">
      <c r="A928" t="s">
        <v>397</v>
      </c>
      <c r="B928" t="s">
        <v>565</v>
      </c>
      <c r="C928" t="s">
        <v>563</v>
      </c>
      <c r="D928" t="s">
        <v>118</v>
      </c>
      <c r="E928" t="s">
        <v>77</v>
      </c>
      <c r="F928" t="s">
        <v>32</v>
      </c>
      <c r="G928">
        <v>25</v>
      </c>
      <c r="H928">
        <v>13.2</v>
      </c>
      <c r="I928" t="b">
        <v>1</v>
      </c>
      <c r="J928" t="s">
        <v>33</v>
      </c>
      <c r="K928" t="s">
        <v>33</v>
      </c>
      <c r="L928">
        <v>30</v>
      </c>
      <c r="M928" s="4">
        <v>50</v>
      </c>
      <c r="N928" s="3" t="str">
        <f t="shared" si="476"/>
        <v>NA</v>
      </c>
      <c r="O928">
        <v>4</v>
      </c>
      <c r="P928" t="s">
        <v>33</v>
      </c>
      <c r="Q928" s="8">
        <f t="shared" si="474"/>
        <v>0.18750000000000003</v>
      </c>
      <c r="R928" t="s">
        <v>183</v>
      </c>
      <c r="S928" t="s">
        <v>613</v>
      </c>
      <c r="T928" s="11">
        <v>8</v>
      </c>
      <c r="U928">
        <v>2.9</v>
      </c>
      <c r="V928">
        <v>2.2999999999999998</v>
      </c>
      <c r="W928">
        <v>1.2E-2</v>
      </c>
      <c r="X928" s="8">
        <f>IFERROR(((PI())*(((V928*10^-1)/2)^2)*(U928*10^-1)), "NA")</f>
        <v>1.204879322468025E-2</v>
      </c>
      <c r="Y928" t="s">
        <v>33</v>
      </c>
      <c r="Z928" s="3">
        <f t="shared" si="473"/>
        <v>6.4260230531627993E-2</v>
      </c>
      <c r="AA928" t="s">
        <v>33</v>
      </c>
      <c r="AB928" s="6">
        <f>IFERROR(((X928*M928)/Z928), "NA")</f>
        <v>9.375</v>
      </c>
      <c r="AC928" t="str">
        <f t="shared" si="466"/>
        <v>NA</v>
      </c>
      <c r="AD928" s="4">
        <f>AB928*T928*AI928</f>
        <v>75</v>
      </c>
      <c r="AE928" s="3">
        <f t="shared" si="471"/>
        <v>1144.8</v>
      </c>
      <c r="AF928">
        <v>300</v>
      </c>
      <c r="AG928" t="str">
        <f t="shared" si="477"/>
        <v>NA</v>
      </c>
      <c r="AH928" t="str">
        <f t="shared" si="478"/>
        <v>NA</v>
      </c>
      <c r="AI928">
        <v>1</v>
      </c>
      <c r="AJ928" t="s">
        <v>31</v>
      </c>
      <c r="AK928">
        <v>4240</v>
      </c>
      <c r="AL928" t="s">
        <v>238</v>
      </c>
      <c r="AM928" t="s">
        <v>86</v>
      </c>
      <c r="AN928" t="s">
        <v>205</v>
      </c>
      <c r="AO928" t="s">
        <v>789</v>
      </c>
      <c r="AP928">
        <v>3.56</v>
      </c>
      <c r="AQ928" t="s">
        <v>33</v>
      </c>
      <c r="AR928" t="s">
        <v>33</v>
      </c>
      <c r="AS928" s="6">
        <f>LOG(10^8)</f>
        <v>8</v>
      </c>
      <c r="AT928" s="3">
        <f t="shared" si="479"/>
        <v>5.2130000000000001</v>
      </c>
      <c r="AU928" s="6">
        <v>2.7869999999999999</v>
      </c>
      <c r="AV928" t="b">
        <v>1</v>
      </c>
      <c r="AW928" t="s">
        <v>123</v>
      </c>
      <c r="AX928" t="s">
        <v>393</v>
      </c>
      <c r="AY928" t="s">
        <v>394</v>
      </c>
      <c r="AZ928" t="s">
        <v>33</v>
      </c>
      <c r="BA928" s="18" t="s">
        <v>579</v>
      </c>
      <c r="BB928" t="b">
        <v>1</v>
      </c>
      <c r="BC928" t="s">
        <v>81</v>
      </c>
      <c r="BD928">
        <v>72</v>
      </c>
      <c r="BE928" t="s">
        <v>80</v>
      </c>
      <c r="BF928" s="11">
        <v>72</v>
      </c>
      <c r="BG928" t="s">
        <v>395</v>
      </c>
      <c r="BH928" t="s">
        <v>31</v>
      </c>
      <c r="BI928" t="s">
        <v>31</v>
      </c>
      <c r="BJ928" s="3">
        <f t="shared" si="480"/>
        <v>2.7869999999999999</v>
      </c>
      <c r="BK928" s="3">
        <f t="shared" si="453"/>
        <v>0.44513696871330422</v>
      </c>
      <c r="BL928">
        <v>2</v>
      </c>
      <c r="BM928" s="3">
        <f t="shared" si="472"/>
        <v>2.6135926520384158</v>
      </c>
      <c r="BN928" t="s">
        <v>33</v>
      </c>
      <c r="BO928" s="3">
        <f t="shared" si="462"/>
        <v>410.76426264800858</v>
      </c>
      <c r="BP928" t="s">
        <v>33</v>
      </c>
      <c r="BQ928" t="s">
        <v>33</v>
      </c>
      <c r="BR928" t="s">
        <v>33</v>
      </c>
      <c r="BS928" t="s">
        <v>33</v>
      </c>
      <c r="BT928" t="s">
        <v>31</v>
      </c>
      <c r="BU928" t="s">
        <v>240</v>
      </c>
      <c r="BV928">
        <v>2005</v>
      </c>
      <c r="BW928" t="s">
        <v>396</v>
      </c>
      <c r="BX928" t="s">
        <v>78</v>
      </c>
      <c r="BY928" t="s">
        <v>33</v>
      </c>
      <c r="BZ928" t="s">
        <v>33</v>
      </c>
      <c r="CA928" t="str">
        <f t="shared" si="464"/>
        <v>high acid</v>
      </c>
    </row>
    <row r="929" spans="1:79">
      <c r="A929" t="s">
        <v>418</v>
      </c>
      <c r="B929" t="s">
        <v>566</v>
      </c>
      <c r="C929" t="s">
        <v>564</v>
      </c>
      <c r="D929" t="s">
        <v>33</v>
      </c>
      <c r="E929" t="s">
        <v>77</v>
      </c>
      <c r="F929" t="s">
        <v>32</v>
      </c>
      <c r="G929">
        <v>22.5</v>
      </c>
      <c r="H929">
        <v>33</v>
      </c>
      <c r="I929" t="b">
        <v>0</v>
      </c>
      <c r="J929">
        <v>25000</v>
      </c>
      <c r="K929">
        <v>1600</v>
      </c>
      <c r="L929">
        <v>48</v>
      </c>
      <c r="M929" s="4" t="s">
        <v>33</v>
      </c>
      <c r="N929" s="3">
        <f t="shared" si="476"/>
        <v>77.777777777777786</v>
      </c>
      <c r="O929">
        <v>0.72</v>
      </c>
      <c r="P929" t="s">
        <v>33</v>
      </c>
      <c r="Q929" s="8">
        <f t="shared" si="474"/>
        <v>0.09</v>
      </c>
      <c r="R929" t="s">
        <v>278</v>
      </c>
      <c r="S929" t="s">
        <v>612</v>
      </c>
      <c r="T929" s="11">
        <v>1</v>
      </c>
      <c r="U929">
        <v>0.5</v>
      </c>
      <c r="V929" t="s">
        <v>33</v>
      </c>
      <c r="W929">
        <v>12</v>
      </c>
      <c r="X929" s="9">
        <f>U929*25</f>
        <v>12.5</v>
      </c>
      <c r="Y929" s="3">
        <f>500000/3600</f>
        <v>138.88888888888889</v>
      </c>
      <c r="Z929" s="3">
        <f>Y929</f>
        <v>138.88888888888889</v>
      </c>
      <c r="AA929">
        <v>7</v>
      </c>
      <c r="AB929" s="6" t="str">
        <f>IFERROR(((X929*M929)/Y929), "NA")</f>
        <v>NA</v>
      </c>
      <c r="AC929" t="str">
        <f t="shared" si="466"/>
        <v>NA</v>
      </c>
      <c r="AD929" s="4" t="str">
        <f>IFERROR(AB929*T929*AI929, "NA")</f>
        <v>NA</v>
      </c>
      <c r="AE929" s="3">
        <f>IFERROR(((L929^2)*N929*O929*AK929*10^-6*Q929*T929*AI929), "NA")</f>
        <v>26.707968000000005</v>
      </c>
      <c r="AF929">
        <f>AI929*AA929*T929*O929</f>
        <v>20.16</v>
      </c>
      <c r="AG929" t="str">
        <f t="shared" si="477"/>
        <v>NA</v>
      </c>
      <c r="AH929" t="str">
        <f t="shared" si="478"/>
        <v>NA</v>
      </c>
      <c r="AI929" s="4">
        <f>28/AA929</f>
        <v>4</v>
      </c>
      <c r="AJ929" s="11" t="s">
        <v>32</v>
      </c>
      <c r="AK929" s="11">
        <f>575</f>
        <v>575</v>
      </c>
      <c r="AL929" t="s">
        <v>419</v>
      </c>
      <c r="AM929" t="s">
        <v>103</v>
      </c>
      <c r="AN929" t="s">
        <v>130</v>
      </c>
      <c r="AO929" t="s">
        <v>795</v>
      </c>
      <c r="AP929" s="4">
        <v>7.5</v>
      </c>
      <c r="AQ929" t="s">
        <v>33</v>
      </c>
      <c r="AR929" t="s">
        <v>33</v>
      </c>
      <c r="AS929" s="3">
        <f>LOG(10^7)</f>
        <v>7</v>
      </c>
      <c r="AT929" s="3">
        <f t="shared" si="479"/>
        <v>5.218</v>
      </c>
      <c r="AU929" s="6">
        <v>1.782</v>
      </c>
      <c r="AV929" t="b">
        <v>1</v>
      </c>
      <c r="AW929" t="s">
        <v>172</v>
      </c>
      <c r="AX929" t="s">
        <v>173</v>
      </c>
      <c r="AY929" t="s">
        <v>33</v>
      </c>
      <c r="AZ929" t="s">
        <v>33</v>
      </c>
      <c r="BA929" s="18" t="s">
        <v>799</v>
      </c>
      <c r="BB929" t="b">
        <v>0</v>
      </c>
      <c r="BC929" t="s">
        <v>81</v>
      </c>
      <c r="BD929">
        <v>16</v>
      </c>
      <c r="BE929" t="s">
        <v>80</v>
      </c>
      <c r="BF929" s="11">
        <v>72</v>
      </c>
      <c r="BG929" t="s">
        <v>33</v>
      </c>
      <c r="BH929" t="s">
        <v>31</v>
      </c>
      <c r="BI929" t="s">
        <v>31</v>
      </c>
      <c r="BJ929" s="3">
        <f t="shared" si="480"/>
        <v>1.782</v>
      </c>
      <c r="BK929" s="3">
        <f t="shared" si="453"/>
        <v>0.25090769970085597</v>
      </c>
      <c r="BL929">
        <v>2</v>
      </c>
      <c r="BM929" s="3">
        <f t="shared" si="472"/>
        <v>1.1757331475134367</v>
      </c>
      <c r="BN929" t="s">
        <v>33</v>
      </c>
      <c r="BO929" s="3">
        <f t="shared" si="462"/>
        <v>14.987636363636366</v>
      </c>
      <c r="BP929" t="s">
        <v>33</v>
      </c>
      <c r="BQ929" t="s">
        <v>33</v>
      </c>
      <c r="BR929" t="s">
        <v>33</v>
      </c>
      <c r="BS929" t="s">
        <v>33</v>
      </c>
      <c r="BT929" t="s">
        <v>32</v>
      </c>
      <c r="BU929" t="s">
        <v>423</v>
      </c>
      <c r="BV929" s="11">
        <v>2006</v>
      </c>
      <c r="BW929" t="s">
        <v>422</v>
      </c>
      <c r="BX929" t="s">
        <v>78</v>
      </c>
      <c r="BY929" t="s">
        <v>420</v>
      </c>
      <c r="BZ929" t="s">
        <v>421</v>
      </c>
      <c r="CA929" t="str">
        <f t="shared" si="464"/>
        <v>low acid</v>
      </c>
    </row>
    <row r="930" spans="1:79">
      <c r="A930" t="s">
        <v>534</v>
      </c>
      <c r="B930" t="s">
        <v>565</v>
      </c>
      <c r="C930" t="s">
        <v>564</v>
      </c>
      <c r="D930" t="s">
        <v>243</v>
      </c>
      <c r="E930" t="s">
        <v>77</v>
      </c>
      <c r="F930" t="s">
        <v>32</v>
      </c>
      <c r="G930">
        <v>40</v>
      </c>
      <c r="H930">
        <v>50.2</v>
      </c>
      <c r="I930" t="b">
        <v>0</v>
      </c>
      <c r="J930" t="s">
        <v>33</v>
      </c>
      <c r="K930" t="s">
        <v>33</v>
      </c>
      <c r="L930">
        <v>18</v>
      </c>
      <c r="M930" s="4">
        <v>120</v>
      </c>
      <c r="N930" s="3">
        <f t="shared" si="476"/>
        <v>401.11370711303874</v>
      </c>
      <c r="O930">
        <v>3</v>
      </c>
      <c r="P930" t="s">
        <v>33</v>
      </c>
      <c r="Q930" s="8">
        <f t="shared" si="474"/>
        <v>0.12777777777777777</v>
      </c>
      <c r="R930" t="s">
        <v>183</v>
      </c>
      <c r="S930" t="s">
        <v>612</v>
      </c>
      <c r="T930" s="11">
        <v>4</v>
      </c>
      <c r="U930">
        <v>3</v>
      </c>
      <c r="V930">
        <v>2.6</v>
      </c>
      <c r="W930">
        <v>1.5900000000000001E-2</v>
      </c>
      <c r="X930" s="8">
        <f>IFERROR(((PI())*(((V930*10^-1)/2)^2)*(U930*10^-1)), "NA")</f>
        <v>1.5927874753700257E-2</v>
      </c>
      <c r="Y930" s="6">
        <f>25/60</f>
        <v>0.41666666666666669</v>
      </c>
      <c r="Z930" s="3">
        <f t="shared" ref="Z930:Z957" si="481">IFERROR(X930*M930*O930*T930*AI930/AF930, "NA")</f>
        <v>0.1246529328550455</v>
      </c>
      <c r="AA930" t="s">
        <v>33</v>
      </c>
      <c r="AB930" s="6">
        <f>IFERROR(((X930*M930)/Z930), "NA")</f>
        <v>15.333333333333332</v>
      </c>
      <c r="AC930" t="str">
        <f t="shared" si="466"/>
        <v>NA</v>
      </c>
      <c r="AD930" s="4">
        <f>IFERROR(AB930*T930*AI930, "NA")</f>
        <v>61.333333333333329</v>
      </c>
      <c r="AE930" s="3">
        <f t="shared" ref="AE930:AE957" si="482">IFERROR(((L930^2)*M930*O930*AK930*10^-6*Q930*T930*AI930), "NA")</f>
        <v>54.846719999999991</v>
      </c>
      <c r="AF930">
        <v>184</v>
      </c>
      <c r="AG930" t="str">
        <f t="shared" si="477"/>
        <v>NA</v>
      </c>
      <c r="AH930" t="str">
        <f t="shared" si="478"/>
        <v>NA</v>
      </c>
      <c r="AI930" s="11">
        <v>1</v>
      </c>
      <c r="AJ930" t="s">
        <v>31</v>
      </c>
      <c r="AK930">
        <v>920</v>
      </c>
      <c r="AL930" t="s">
        <v>551</v>
      </c>
      <c r="AM930" t="s">
        <v>86</v>
      </c>
      <c r="AN930" t="s">
        <v>186</v>
      </c>
      <c r="AO930" t="s">
        <v>794</v>
      </c>
      <c r="AP930">
        <v>5.92</v>
      </c>
      <c r="AQ930" t="s">
        <v>33</v>
      </c>
      <c r="AR930" t="s">
        <v>33</v>
      </c>
      <c r="AS930" s="6">
        <f>LOG(1.4*10^6)</f>
        <v>6.1461280356782382</v>
      </c>
      <c r="AT930" s="3">
        <f t="shared" si="479"/>
        <v>5.2181280356782382</v>
      </c>
      <c r="AU930" s="6">
        <v>0.92800000000000005</v>
      </c>
      <c r="AV930" t="b">
        <v>1</v>
      </c>
      <c r="AW930" t="s">
        <v>29</v>
      </c>
      <c r="AX930" t="s">
        <v>30</v>
      </c>
      <c r="AY930" t="s">
        <v>244</v>
      </c>
      <c r="AZ930" t="s">
        <v>33</v>
      </c>
      <c r="BA930" s="18" t="s">
        <v>798</v>
      </c>
      <c r="BB930" t="b">
        <v>0</v>
      </c>
      <c r="BC930" t="s">
        <v>81</v>
      </c>
      <c r="BD930">
        <v>20</v>
      </c>
      <c r="BE930" t="s">
        <v>80</v>
      </c>
      <c r="BF930" s="11">
        <v>20</v>
      </c>
      <c r="BG930" t="s">
        <v>245</v>
      </c>
      <c r="BH930" t="s">
        <v>31</v>
      </c>
      <c r="BI930" t="s">
        <v>31</v>
      </c>
      <c r="BJ930" s="3">
        <f t="shared" si="480"/>
        <v>0.92800000000000005</v>
      </c>
      <c r="BK930" s="3">
        <f t="shared" si="453"/>
        <v>-3.2452023781137915E-2</v>
      </c>
      <c r="BL930">
        <v>2</v>
      </c>
      <c r="BM930" s="3">
        <f t="shared" si="472"/>
        <v>1.7716026843428416</v>
      </c>
      <c r="BN930" t="s">
        <v>33</v>
      </c>
      <c r="BO930" s="3">
        <f t="shared" si="462"/>
        <v>59.102068965517226</v>
      </c>
      <c r="BP930" t="s">
        <v>33</v>
      </c>
      <c r="BQ930" t="s">
        <v>33</v>
      </c>
      <c r="BR930" t="s">
        <v>33</v>
      </c>
      <c r="BS930" t="s">
        <v>33</v>
      </c>
      <c r="BT930" t="s">
        <v>32</v>
      </c>
      <c r="BU930" t="s">
        <v>207</v>
      </c>
      <c r="BV930">
        <v>2014</v>
      </c>
      <c r="BW930" s="2" t="s">
        <v>242</v>
      </c>
      <c r="BX930" t="s">
        <v>78</v>
      </c>
      <c r="BY930" t="s">
        <v>33</v>
      </c>
      <c r="BZ930" t="s">
        <v>33</v>
      </c>
      <c r="CA930" t="str">
        <f t="shared" si="464"/>
        <v>low acid</v>
      </c>
    </row>
    <row r="931" spans="1:79">
      <c r="A931" t="s">
        <v>592</v>
      </c>
      <c r="B931" t="s">
        <v>566</v>
      </c>
      <c r="C931" t="s">
        <v>563</v>
      </c>
      <c r="D931" t="s">
        <v>607</v>
      </c>
      <c r="E931" t="s">
        <v>77</v>
      </c>
      <c r="F931" t="s">
        <v>32</v>
      </c>
      <c r="G931" t="s">
        <v>33</v>
      </c>
      <c r="H931">
        <v>35</v>
      </c>
      <c r="I931" t="b">
        <v>0</v>
      </c>
      <c r="J931">
        <v>30000</v>
      </c>
      <c r="K931">
        <v>200</v>
      </c>
      <c r="L931">
        <v>25</v>
      </c>
      <c r="M931" s="4">
        <v>1</v>
      </c>
      <c r="N931" t="e">
        <f>(#REF!*Y931)/(T931*X931*O931)</f>
        <v>#REF!</v>
      </c>
      <c r="O931">
        <v>3</v>
      </c>
      <c r="P931" t="s">
        <v>33</v>
      </c>
      <c r="Q931" s="1">
        <f t="shared" si="474"/>
        <v>25.933333333333334</v>
      </c>
      <c r="R931" t="s">
        <v>183</v>
      </c>
      <c r="S931" t="s">
        <v>33</v>
      </c>
      <c r="T931">
        <v>1</v>
      </c>
      <c r="U931">
        <v>2.5</v>
      </c>
      <c r="V931" t="s">
        <v>33</v>
      </c>
      <c r="W931">
        <v>0.50249999999999995</v>
      </c>
      <c r="X931">
        <f>W931</f>
        <v>0.50249999999999995</v>
      </c>
      <c r="Y931" t="s">
        <v>33</v>
      </c>
      <c r="Z931" s="3">
        <f t="shared" si="481"/>
        <v>1.9376606683804625E-2</v>
      </c>
      <c r="AA931" t="s">
        <v>33</v>
      </c>
      <c r="AB931">
        <f>IFERROR(((X931*M931)/Z931), "NA")</f>
        <v>25.933333333333334</v>
      </c>
      <c r="AC931" s="1" t="str">
        <f t="shared" si="466"/>
        <v>NA</v>
      </c>
      <c r="AE931" s="3">
        <f t="shared" si="482"/>
        <v>48.625</v>
      </c>
      <c r="AF931">
        <v>77.8</v>
      </c>
      <c r="AG931" s="1" t="str">
        <f>IFERROR((N931*P931*Q931), "NA")</f>
        <v>NA</v>
      </c>
      <c r="AH931" s="1" t="str">
        <f>IFERROR((AG931*U931*AI931), "NA")</f>
        <v>NA</v>
      </c>
      <c r="AI931" s="1">
        <v>1</v>
      </c>
      <c r="AJ931" s="11" t="s">
        <v>31</v>
      </c>
      <c r="AK931">
        <v>1000</v>
      </c>
      <c r="AL931" t="s">
        <v>614</v>
      </c>
      <c r="AM931" s="3" t="s">
        <v>103</v>
      </c>
      <c r="AN931" t="s">
        <v>305</v>
      </c>
      <c r="AO931" t="s">
        <v>790</v>
      </c>
      <c r="AP931">
        <v>3.5</v>
      </c>
      <c r="AQ931" t="s">
        <v>33</v>
      </c>
      <c r="AR931" t="s">
        <v>33</v>
      </c>
      <c r="AS931">
        <v>8</v>
      </c>
      <c r="AT931">
        <f>AS931-AU931</f>
        <v>5.2200000000000006</v>
      </c>
      <c r="AU931" s="6">
        <v>2.78</v>
      </c>
      <c r="AV931" t="b">
        <v>1</v>
      </c>
      <c r="AW931" t="s">
        <v>626</v>
      </c>
      <c r="AX931" t="s">
        <v>627</v>
      </c>
      <c r="AY931" t="s">
        <v>633</v>
      </c>
      <c r="AZ931" t="s">
        <v>33</v>
      </c>
      <c r="BA931" s="18" t="s">
        <v>800</v>
      </c>
      <c r="BB931" s="3" t="b">
        <v>0</v>
      </c>
      <c r="BC931" t="s">
        <v>81</v>
      </c>
      <c r="BD931">
        <v>24</v>
      </c>
      <c r="BE931" t="s">
        <v>80</v>
      </c>
      <c r="BF931">
        <v>48</v>
      </c>
      <c r="BG931" t="s">
        <v>569</v>
      </c>
      <c r="BH931" t="s">
        <v>31</v>
      </c>
      <c r="BI931" t="s">
        <v>31</v>
      </c>
      <c r="BJ931">
        <f t="shared" si="480"/>
        <v>2.78</v>
      </c>
      <c r="BK931" s="3">
        <f t="shared" si="453"/>
        <v>0.44404479591807622</v>
      </c>
      <c r="BL931">
        <v>2</v>
      </c>
      <c r="BM931" s="3">
        <f t="shared" si="472"/>
        <v>1.242814818415688</v>
      </c>
      <c r="BN931" t="s">
        <v>33</v>
      </c>
      <c r="BO931" s="3">
        <f t="shared" si="462"/>
        <v>17.491007194244606</v>
      </c>
      <c r="BP931" t="s">
        <v>33</v>
      </c>
      <c r="BQ931" t="s">
        <v>33</v>
      </c>
      <c r="BR931" t="s">
        <v>33</v>
      </c>
      <c r="BS931" t="s">
        <v>33</v>
      </c>
      <c r="BT931" t="s">
        <v>31</v>
      </c>
      <c r="BU931" s="15" t="s">
        <v>255</v>
      </c>
      <c r="BV931">
        <v>2010</v>
      </c>
      <c r="BW931" t="s">
        <v>659</v>
      </c>
      <c r="BX931" t="s">
        <v>78</v>
      </c>
      <c r="BY931" s="13" t="s">
        <v>680</v>
      </c>
      <c r="CA931" t="str">
        <f t="shared" si="464"/>
        <v>high acid</v>
      </c>
    </row>
    <row r="932" spans="1:79">
      <c r="A932" t="s">
        <v>341</v>
      </c>
      <c r="B932" t="s">
        <v>566</v>
      </c>
      <c r="C932" t="s">
        <v>563</v>
      </c>
      <c r="D932" t="s">
        <v>336</v>
      </c>
      <c r="E932" t="s">
        <v>77</v>
      </c>
      <c r="F932" t="s">
        <v>32</v>
      </c>
      <c r="G932">
        <v>30</v>
      </c>
      <c r="H932">
        <v>33</v>
      </c>
      <c r="I932" t="b">
        <v>0</v>
      </c>
      <c r="J932" t="s">
        <v>33</v>
      </c>
      <c r="K932" t="s">
        <v>33</v>
      </c>
      <c r="L932">
        <v>30</v>
      </c>
      <c r="M932" s="4">
        <v>2</v>
      </c>
      <c r="N932" s="3">
        <f>IFERROR(AF932/((T932*X932/Y932)*O932*AI932),"NA")</f>
        <v>2.1126760563380285</v>
      </c>
      <c r="O932">
        <v>2</v>
      </c>
      <c r="P932" t="s">
        <v>33</v>
      </c>
      <c r="Q932" s="8">
        <f t="shared" si="474"/>
        <v>7.5</v>
      </c>
      <c r="R932" t="s">
        <v>183</v>
      </c>
      <c r="S932" t="s">
        <v>613</v>
      </c>
      <c r="T932" s="11">
        <v>1</v>
      </c>
      <c r="U932">
        <v>5</v>
      </c>
      <c r="V932" t="s">
        <v>33</v>
      </c>
      <c r="W932">
        <v>0.71</v>
      </c>
      <c r="X932" s="8">
        <f>W932</f>
        <v>0.71</v>
      </c>
      <c r="Y932">
        <f>6/60</f>
        <v>0.1</v>
      </c>
      <c r="Z932" s="3">
        <f t="shared" si="481"/>
        <v>9.4666666666666663E-2</v>
      </c>
      <c r="AA932">
        <v>15</v>
      </c>
      <c r="AB932" s="6">
        <f>IFERROR(((X932*M932)/Z932), "NA")</f>
        <v>15</v>
      </c>
      <c r="AC932" t="str">
        <f t="shared" si="466"/>
        <v>NA</v>
      </c>
      <c r="AD932" s="4">
        <f>AB932*T932*AI932</f>
        <v>60</v>
      </c>
      <c r="AE932" s="3">
        <f t="shared" si="482"/>
        <v>831.59999999999991</v>
      </c>
      <c r="AF932">
        <f>AI932*AA932*O932</f>
        <v>120</v>
      </c>
      <c r="AG932" t="str">
        <f>IFERROR((M932*O932*P932), "NA")</f>
        <v>NA</v>
      </c>
      <c r="AH932" t="str">
        <f>IFERROR((AG932*T932*AI932), "NA")</f>
        <v>NA</v>
      </c>
      <c r="AI932">
        <v>4</v>
      </c>
      <c r="AJ932" s="11" t="s">
        <v>32</v>
      </c>
      <c r="AK932">
        <v>7700</v>
      </c>
      <c r="AL932" t="s">
        <v>561</v>
      </c>
      <c r="AM932" s="3" t="s">
        <v>786</v>
      </c>
      <c r="AN932" t="s">
        <v>186</v>
      </c>
      <c r="AO932" t="s">
        <v>793</v>
      </c>
      <c r="AP932" t="s">
        <v>33</v>
      </c>
      <c r="AQ932" t="s">
        <v>33</v>
      </c>
      <c r="AR932" t="s">
        <v>33</v>
      </c>
      <c r="AS932" s="6">
        <f>LOG(10^8)</f>
        <v>8</v>
      </c>
      <c r="AT932" s="3">
        <f>IFERROR(AS932-AU932,"NA")</f>
        <v>5.2229999999999999</v>
      </c>
      <c r="AU932" s="6">
        <v>2.7770000000000001</v>
      </c>
      <c r="AV932" t="b">
        <v>1</v>
      </c>
      <c r="AW932" t="s">
        <v>29</v>
      </c>
      <c r="AX932" t="s">
        <v>30</v>
      </c>
      <c r="AY932" t="s">
        <v>33</v>
      </c>
      <c r="AZ932" t="s">
        <v>134</v>
      </c>
      <c r="BA932" s="18" t="s">
        <v>798</v>
      </c>
      <c r="BB932" t="b">
        <v>0</v>
      </c>
      <c r="BC932" t="s">
        <v>81</v>
      </c>
      <c r="BD932">
        <v>18</v>
      </c>
      <c r="BE932" t="s">
        <v>80</v>
      </c>
      <c r="BF932" s="11">
        <v>24</v>
      </c>
      <c r="BG932" t="s">
        <v>694</v>
      </c>
      <c r="BH932" t="s">
        <v>31</v>
      </c>
      <c r="BI932" t="s">
        <v>31</v>
      </c>
      <c r="BJ932" s="3">
        <f t="shared" si="480"/>
        <v>2.7770000000000001</v>
      </c>
      <c r="BK932" s="3">
        <f t="shared" si="453"/>
        <v>0.44357587975025758</v>
      </c>
      <c r="BL932">
        <v>2</v>
      </c>
      <c r="BM932" s="3">
        <f t="shared" si="472"/>
        <v>2.4763386009091737</v>
      </c>
      <c r="BN932" t="s">
        <v>33</v>
      </c>
      <c r="BO932" s="3">
        <f t="shared" si="462"/>
        <v>299.45984875765208</v>
      </c>
      <c r="BP932" t="s">
        <v>33</v>
      </c>
      <c r="BQ932" t="s">
        <v>33</v>
      </c>
      <c r="BR932" t="s">
        <v>33</v>
      </c>
      <c r="BS932" t="s">
        <v>33</v>
      </c>
      <c r="BT932" t="s">
        <v>31</v>
      </c>
      <c r="BU932" t="s">
        <v>338</v>
      </c>
      <c r="BV932">
        <v>2006</v>
      </c>
      <c r="BW932" t="s">
        <v>339</v>
      </c>
      <c r="BX932" t="s">
        <v>78</v>
      </c>
      <c r="BY932" t="s">
        <v>340</v>
      </c>
      <c r="BZ932" t="s">
        <v>337</v>
      </c>
      <c r="CA932" t="str">
        <f t="shared" si="464"/>
        <v>low acid</v>
      </c>
    </row>
    <row r="933" spans="1:79">
      <c r="A933" t="s">
        <v>698</v>
      </c>
      <c r="B933" t="s">
        <v>566</v>
      </c>
      <c r="C933" t="s">
        <v>563</v>
      </c>
      <c r="D933" t="s">
        <v>699</v>
      </c>
      <c r="E933" t="s">
        <v>77</v>
      </c>
      <c r="F933" t="s">
        <v>32</v>
      </c>
      <c r="G933">
        <v>20</v>
      </c>
      <c r="H933">
        <v>42.5</v>
      </c>
      <c r="I933" t="b">
        <v>1</v>
      </c>
      <c r="J933" t="s">
        <v>33</v>
      </c>
      <c r="K933" t="s">
        <v>33</v>
      </c>
      <c r="L933">
        <v>20</v>
      </c>
      <c r="M933" s="4">
        <v>47</v>
      </c>
      <c r="N933" s="3">
        <f>IFERROR(AF933/((T933*X933/Y933)*O933*AI933),"NA")</f>
        <v>46.759259259259245</v>
      </c>
      <c r="O933">
        <v>5</v>
      </c>
      <c r="P933">
        <v>0.43</v>
      </c>
      <c r="Q933" s="8">
        <f>IFERROR(X933/Y933, "NA")</f>
        <v>0.43200000000000011</v>
      </c>
      <c r="R933" t="s">
        <v>183</v>
      </c>
      <c r="S933" t="s">
        <v>612</v>
      </c>
      <c r="T933" s="11">
        <v>1</v>
      </c>
      <c r="U933">
        <v>4</v>
      </c>
      <c r="V933" t="s">
        <v>33</v>
      </c>
      <c r="W933">
        <f>0.4*3*0.5</f>
        <v>0.60000000000000009</v>
      </c>
      <c r="X933" s="9">
        <f>W933</f>
        <v>0.60000000000000009</v>
      </c>
      <c r="Y933" s="6">
        <f>5000/3600</f>
        <v>1.3888888888888888</v>
      </c>
      <c r="Z933" s="3">
        <f t="shared" si="481"/>
        <v>1.3960396039603959</v>
      </c>
      <c r="AA933" t="s">
        <v>33</v>
      </c>
      <c r="AB933" s="4">
        <f>IFERROR(((X933*M933)/Y933), "NA")</f>
        <v>20.304000000000002</v>
      </c>
      <c r="AC933" s="4">
        <f t="shared" si="466"/>
        <v>20.21</v>
      </c>
      <c r="AD933" s="4">
        <f>AB933*T933*AI933</f>
        <v>20.304000000000002</v>
      </c>
      <c r="AE933" s="3">
        <f t="shared" si="482"/>
        <v>81.216000000000022</v>
      </c>
      <c r="AF933">
        <v>101</v>
      </c>
      <c r="AG933" s="4">
        <f>IFERROR((M933*O933*P933), "NA")</f>
        <v>101.05</v>
      </c>
      <c r="AH933" s="4">
        <f>IFERROR((AG933*T933*AI933), "NA")</f>
        <v>101.05</v>
      </c>
      <c r="AI933">
        <v>1</v>
      </c>
      <c r="AJ933" s="11" t="s">
        <v>31</v>
      </c>
      <c r="AK933">
        <v>2000</v>
      </c>
      <c r="AL933" t="s">
        <v>784</v>
      </c>
      <c r="AM933" t="s">
        <v>103</v>
      </c>
      <c r="AN933" t="s">
        <v>130</v>
      </c>
      <c r="AO933" t="s">
        <v>795</v>
      </c>
      <c r="AP933">
        <v>7</v>
      </c>
      <c r="AQ933" t="s">
        <v>33</v>
      </c>
      <c r="AR933" t="s">
        <v>33</v>
      </c>
      <c r="AS933" s="6">
        <f>LOG(AVERAGE(10^8, 10^9))</f>
        <v>8.7403626894942441</v>
      </c>
      <c r="AT933" s="3">
        <f>IFERROR(AS933-AU933,"NA")</f>
        <v>5.2263626894942448</v>
      </c>
      <c r="AU933" s="6">
        <v>3.5139999999999998</v>
      </c>
      <c r="AV933" t="b">
        <v>1</v>
      </c>
      <c r="AW933" t="s">
        <v>29</v>
      </c>
      <c r="AX933" t="s">
        <v>30</v>
      </c>
      <c r="AY933" t="s">
        <v>702</v>
      </c>
      <c r="AZ933" t="s">
        <v>33</v>
      </c>
      <c r="BA933" s="18" t="s">
        <v>798</v>
      </c>
      <c r="BB933" s="3" t="b">
        <v>0</v>
      </c>
      <c r="BC933" t="s">
        <v>81</v>
      </c>
      <c r="BD933">
        <v>24</v>
      </c>
      <c r="BE933" t="s">
        <v>80</v>
      </c>
      <c r="BF933">
        <v>24</v>
      </c>
      <c r="BG933" t="s">
        <v>568</v>
      </c>
      <c r="BH933" t="s">
        <v>31</v>
      </c>
      <c r="BI933" t="s">
        <v>31</v>
      </c>
      <c r="BJ933" s="3">
        <f t="shared" si="480"/>
        <v>3.5139999999999998</v>
      </c>
      <c r="BK933" s="3">
        <f t="shared" si="453"/>
        <v>0.54580175715927615</v>
      </c>
      <c r="BL933">
        <v>2</v>
      </c>
      <c r="BM933" s="3">
        <f t="shared" si="472"/>
        <v>1.3638398389193158</v>
      </c>
      <c r="BN933" t="s">
        <v>33</v>
      </c>
      <c r="BO933" s="3">
        <f t="shared" si="462"/>
        <v>23.112122936824139</v>
      </c>
      <c r="BP933" t="s">
        <v>33</v>
      </c>
      <c r="BQ933" t="s">
        <v>33</v>
      </c>
      <c r="BR933" t="s">
        <v>33</v>
      </c>
      <c r="BS933" t="s">
        <v>33</v>
      </c>
      <c r="BT933" t="s">
        <v>32</v>
      </c>
      <c r="BU933" t="s">
        <v>709</v>
      </c>
      <c r="BV933">
        <v>2024</v>
      </c>
      <c r="BW933" t="s">
        <v>710</v>
      </c>
      <c r="BX933" t="s">
        <v>78</v>
      </c>
      <c r="BY933" t="s">
        <v>711</v>
      </c>
      <c r="CA933" t="str">
        <f t="shared" si="464"/>
        <v>low acid</v>
      </c>
    </row>
    <row r="934" spans="1:79">
      <c r="A934" t="s">
        <v>590</v>
      </c>
      <c r="B934" t="s">
        <v>565</v>
      </c>
      <c r="C934" t="s">
        <v>564</v>
      </c>
      <c r="D934" t="s">
        <v>609</v>
      </c>
      <c r="E934" t="s">
        <v>77</v>
      </c>
      <c r="F934" t="s">
        <v>32</v>
      </c>
      <c r="G934">
        <v>40</v>
      </c>
      <c r="H934">
        <v>49</v>
      </c>
      <c r="I934" t="b">
        <v>0</v>
      </c>
      <c r="J934" t="s">
        <v>33</v>
      </c>
      <c r="K934" t="s">
        <v>33</v>
      </c>
      <c r="L934">
        <v>12</v>
      </c>
      <c r="M934" s="4">
        <v>120</v>
      </c>
      <c r="N934" t="e">
        <f>(#REF!*Y934)/(T934*X934*O934)</f>
        <v>#REF!</v>
      </c>
      <c r="O934">
        <v>3</v>
      </c>
      <c r="P934" t="s">
        <v>33</v>
      </c>
      <c r="Q934" s="1">
        <f t="shared" ref="Q934:Q941" si="483">IFERROR(X934/Z934, "NA")</f>
        <v>9.5000000000000001E-2</v>
      </c>
      <c r="R934" t="s">
        <v>183</v>
      </c>
      <c r="S934" t="s">
        <v>612</v>
      </c>
      <c r="T934">
        <v>4</v>
      </c>
      <c r="U934">
        <v>3</v>
      </c>
      <c r="V934">
        <v>2.6</v>
      </c>
      <c r="W934">
        <v>1.5900000000000001E-2</v>
      </c>
      <c r="X934">
        <f>IFERROR(((PI())*(((V934*10^-1)/2)^2)*(U934*10^-1)), "NA")</f>
        <v>1.5927874753700257E-2</v>
      </c>
      <c r="Y934">
        <v>8.3333299999999999E-2</v>
      </c>
      <c r="Z934" s="3">
        <f t="shared" si="481"/>
        <v>0.16766183951263428</v>
      </c>
      <c r="AA934" t="s">
        <v>33</v>
      </c>
      <c r="AB934">
        <f>IFERROR(((X934*M934)/Z934), "NA")</f>
        <v>11.4</v>
      </c>
      <c r="AC934" s="1" t="str">
        <f t="shared" si="466"/>
        <v>NA</v>
      </c>
      <c r="AE934" s="3">
        <f t="shared" si="482"/>
        <v>22.65408</v>
      </c>
      <c r="AF934">
        <v>136.80000000000001</v>
      </c>
      <c r="AG934" s="1" t="str">
        <f>IFERROR((N934*P934*Q934), "NA")</f>
        <v>NA</v>
      </c>
      <c r="AH934" s="1" t="str">
        <f>IFERROR((AG934*U934*AI934), "NA")</f>
        <v>NA</v>
      </c>
      <c r="AI934" s="1">
        <v>1</v>
      </c>
      <c r="AJ934" s="11" t="s">
        <v>31</v>
      </c>
      <c r="AK934">
        <v>1150</v>
      </c>
      <c r="AL934" t="s">
        <v>551</v>
      </c>
      <c r="AM934" t="s">
        <v>86</v>
      </c>
      <c r="AN934" t="s">
        <v>186</v>
      </c>
      <c r="AO934" t="s">
        <v>794</v>
      </c>
      <c r="AP934">
        <v>5.92</v>
      </c>
      <c r="AQ934" t="s">
        <v>33</v>
      </c>
      <c r="AR934" t="s">
        <v>33</v>
      </c>
      <c r="AS934">
        <v>6</v>
      </c>
      <c r="AT934">
        <f>AS934-AU934</f>
        <v>5.23</v>
      </c>
      <c r="AU934" s="6">
        <v>0.77</v>
      </c>
      <c r="AV934" t="b">
        <v>1</v>
      </c>
      <c r="AW934" t="s">
        <v>626</v>
      </c>
      <c r="AX934" t="s">
        <v>627</v>
      </c>
      <c r="AY934" t="s">
        <v>631</v>
      </c>
      <c r="AZ934" t="s">
        <v>33</v>
      </c>
      <c r="BA934" s="18" t="s">
        <v>800</v>
      </c>
      <c r="BB934" s="3" t="b">
        <v>0</v>
      </c>
      <c r="BC934" t="s">
        <v>81</v>
      </c>
      <c r="BD934">
        <v>20</v>
      </c>
      <c r="BE934" t="s">
        <v>80</v>
      </c>
      <c r="BF934">
        <v>20</v>
      </c>
      <c r="BG934" t="s">
        <v>695</v>
      </c>
      <c r="BH934" t="s">
        <v>32</v>
      </c>
      <c r="BI934" t="s">
        <v>31</v>
      </c>
      <c r="BJ934">
        <f t="shared" si="480"/>
        <v>0.77</v>
      </c>
      <c r="BK934" s="3">
        <f t="shared" si="453"/>
        <v>-0.11350927482751812</v>
      </c>
      <c r="BL934">
        <v>2</v>
      </c>
      <c r="BM934" s="3">
        <f t="shared" si="472"/>
        <v>1.4686557046604769</v>
      </c>
      <c r="BN934" t="s">
        <v>33</v>
      </c>
      <c r="BO934" s="3">
        <f t="shared" si="462"/>
        <v>29.420883116883118</v>
      </c>
      <c r="BP934" t="s">
        <v>33</v>
      </c>
      <c r="BQ934" t="s">
        <v>33</v>
      </c>
      <c r="BR934" t="s">
        <v>33</v>
      </c>
      <c r="BS934" t="s">
        <v>33</v>
      </c>
      <c r="BT934" t="s">
        <v>32</v>
      </c>
      <c r="BU934" s="15" t="s">
        <v>207</v>
      </c>
      <c r="BV934">
        <v>2014</v>
      </c>
      <c r="BW934" t="s">
        <v>242</v>
      </c>
      <c r="BX934" t="s">
        <v>78</v>
      </c>
      <c r="BY934" s="13" t="s">
        <v>678</v>
      </c>
      <c r="CA934" t="str">
        <f t="shared" si="464"/>
        <v>low acid</v>
      </c>
    </row>
    <row r="935" spans="1:79">
      <c r="A935" t="s">
        <v>589</v>
      </c>
      <c r="B935" t="s">
        <v>566</v>
      </c>
      <c r="C935" t="s">
        <v>563</v>
      </c>
      <c r="D935" t="s">
        <v>33</v>
      </c>
      <c r="E935" t="s">
        <v>77</v>
      </c>
      <c r="F935" t="s">
        <v>33</v>
      </c>
      <c r="G935" t="s">
        <v>33</v>
      </c>
      <c r="H935">
        <v>35</v>
      </c>
      <c r="I935" t="b">
        <v>0</v>
      </c>
      <c r="J935" t="s">
        <v>33</v>
      </c>
      <c r="K935" t="s">
        <v>33</v>
      </c>
      <c r="L935">
        <v>19</v>
      </c>
      <c r="M935" s="4">
        <v>1</v>
      </c>
      <c r="N935" t="e">
        <f>(#REF!*Y935)/(T935*X935*O935)</f>
        <v>#REF!</v>
      </c>
      <c r="O935">
        <v>2</v>
      </c>
      <c r="P935" t="s">
        <v>33</v>
      </c>
      <c r="Q935" s="1">
        <f t="shared" si="483"/>
        <v>197.5</v>
      </c>
      <c r="R935" t="s">
        <v>183</v>
      </c>
      <c r="S935" t="s">
        <v>613</v>
      </c>
      <c r="T935">
        <v>1</v>
      </c>
      <c r="U935">
        <v>2.5</v>
      </c>
      <c r="V935" t="s">
        <v>33</v>
      </c>
      <c r="W935">
        <v>0.50249999999999995</v>
      </c>
      <c r="X935">
        <f>W935</f>
        <v>0.50249999999999995</v>
      </c>
      <c r="Y935" t="s">
        <v>33</v>
      </c>
      <c r="Z935" s="3">
        <f t="shared" si="481"/>
        <v>2.5443037974683543E-3</v>
      </c>
      <c r="AA935" t="s">
        <v>33</v>
      </c>
      <c r="AB935">
        <f>IFERROR(((X935*M935)/Z935), "NA")</f>
        <v>197.5</v>
      </c>
      <c r="AC935" s="1" t="str">
        <f t="shared" si="466"/>
        <v>NA</v>
      </c>
      <c r="AE935" s="3">
        <f t="shared" si="482"/>
        <v>285.19</v>
      </c>
      <c r="AF935">
        <v>395</v>
      </c>
      <c r="AG935" s="1" t="str">
        <f>IFERROR((N935*P935*Q935), "NA")</f>
        <v>NA</v>
      </c>
      <c r="AH935" s="1" t="str">
        <f>IFERROR((AG935*U935*AI935), "NA")</f>
        <v>NA</v>
      </c>
      <c r="AI935" s="1">
        <v>1</v>
      </c>
      <c r="AJ935" s="11" t="s">
        <v>31</v>
      </c>
      <c r="AK935">
        <v>2000</v>
      </c>
      <c r="AL935" t="s">
        <v>616</v>
      </c>
      <c r="AM935" s="3" t="s">
        <v>103</v>
      </c>
      <c r="AN935" t="s">
        <v>130</v>
      </c>
      <c r="AO935" t="s">
        <v>795</v>
      </c>
      <c r="AP935">
        <v>7</v>
      </c>
      <c r="AQ935" t="s">
        <v>33</v>
      </c>
      <c r="AR935" t="s">
        <v>33</v>
      </c>
      <c r="AS935">
        <v>9</v>
      </c>
      <c r="AT935">
        <f>AS935-AU935</f>
        <v>5.23</v>
      </c>
      <c r="AU935" s="6">
        <v>3.77</v>
      </c>
      <c r="AV935" t="b">
        <v>1</v>
      </c>
      <c r="AW935" t="s">
        <v>617</v>
      </c>
      <c r="AX935" t="s">
        <v>33</v>
      </c>
      <c r="AY935" t="s">
        <v>629</v>
      </c>
      <c r="AZ935" t="s">
        <v>630</v>
      </c>
      <c r="BA935" s="18" t="s">
        <v>802</v>
      </c>
      <c r="BB935" s="3" t="b">
        <v>0</v>
      </c>
      <c r="BC935" t="s">
        <v>81</v>
      </c>
      <c r="BD935">
        <v>24</v>
      </c>
      <c r="BE935" t="s">
        <v>80</v>
      </c>
      <c r="BF935">
        <v>24</v>
      </c>
      <c r="BG935" t="s">
        <v>644</v>
      </c>
      <c r="BH935" t="s">
        <v>31</v>
      </c>
      <c r="BI935" t="s">
        <v>31</v>
      </c>
      <c r="BJ935">
        <f t="shared" si="480"/>
        <v>3.77</v>
      </c>
      <c r="BK935" s="3">
        <f t="shared" si="453"/>
        <v>0.57634135020579291</v>
      </c>
      <c r="BL935">
        <v>2</v>
      </c>
      <c r="BM935" s="3">
        <f t="shared" si="472"/>
        <v>1.8787929429903065</v>
      </c>
      <c r="BN935" t="s">
        <v>33</v>
      </c>
      <c r="BO935" s="3">
        <f t="shared" si="462"/>
        <v>75.647214854111411</v>
      </c>
      <c r="BP935" t="s">
        <v>33</v>
      </c>
      <c r="BQ935" t="s">
        <v>33</v>
      </c>
      <c r="BR935" t="s">
        <v>33</v>
      </c>
      <c r="BS935" t="s">
        <v>33</v>
      </c>
      <c r="BT935" t="s">
        <v>31</v>
      </c>
      <c r="BU935" s="15" t="s">
        <v>655</v>
      </c>
      <c r="BV935">
        <v>2003</v>
      </c>
      <c r="BW935" t="s">
        <v>656</v>
      </c>
      <c r="BX935" t="s">
        <v>78</v>
      </c>
      <c r="BY935" s="13" t="s">
        <v>677</v>
      </c>
      <c r="CA935" t="str">
        <f t="shared" si="464"/>
        <v>low acid</v>
      </c>
    </row>
    <row r="936" spans="1:79">
      <c r="A936" t="s">
        <v>589</v>
      </c>
      <c r="B936" t="s">
        <v>566</v>
      </c>
      <c r="C936" t="s">
        <v>563</v>
      </c>
      <c r="D936" t="s">
        <v>33</v>
      </c>
      <c r="E936" t="s">
        <v>77</v>
      </c>
      <c r="F936" t="s">
        <v>33</v>
      </c>
      <c r="G936" t="s">
        <v>33</v>
      </c>
      <c r="H936">
        <v>35</v>
      </c>
      <c r="I936" t="b">
        <v>0</v>
      </c>
      <c r="J936" t="s">
        <v>33</v>
      </c>
      <c r="K936" t="s">
        <v>33</v>
      </c>
      <c r="L936">
        <v>22</v>
      </c>
      <c r="M936" s="4">
        <v>1</v>
      </c>
      <c r="N936" t="e">
        <f>(#REF!*Y936)/(T936*X936*O936)</f>
        <v>#REF!</v>
      </c>
      <c r="O936">
        <v>2</v>
      </c>
      <c r="P936" t="s">
        <v>33</v>
      </c>
      <c r="Q936" s="1">
        <f t="shared" si="483"/>
        <v>197.5</v>
      </c>
      <c r="R936" t="s">
        <v>183</v>
      </c>
      <c r="S936" t="s">
        <v>613</v>
      </c>
      <c r="T936">
        <v>1</v>
      </c>
      <c r="U936">
        <v>2.5</v>
      </c>
      <c r="V936" t="s">
        <v>33</v>
      </c>
      <c r="W936">
        <v>0.50249999999999995</v>
      </c>
      <c r="X936">
        <f>W936</f>
        <v>0.50249999999999995</v>
      </c>
      <c r="Y936" t="s">
        <v>33</v>
      </c>
      <c r="Z936" s="3">
        <f t="shared" si="481"/>
        <v>2.5443037974683543E-3</v>
      </c>
      <c r="AA936" t="s">
        <v>33</v>
      </c>
      <c r="AB936">
        <f>IFERROR(((X936*M936)/Z936), "NA")</f>
        <v>197.5</v>
      </c>
      <c r="AC936" s="1" t="str">
        <f t="shared" si="466"/>
        <v>NA</v>
      </c>
      <c r="AE936" s="3">
        <f t="shared" si="482"/>
        <v>382.36</v>
      </c>
      <c r="AF936">
        <v>395</v>
      </c>
      <c r="AG936" s="1" t="str">
        <f>IFERROR((N936*P936*Q936), "NA")</f>
        <v>NA</v>
      </c>
      <c r="AH936" s="1" t="str">
        <f>IFERROR((AG936*U936*AI936), "NA")</f>
        <v>NA</v>
      </c>
      <c r="AI936" s="1">
        <v>1</v>
      </c>
      <c r="AJ936" s="11" t="s">
        <v>31</v>
      </c>
      <c r="AK936">
        <v>2000</v>
      </c>
      <c r="AL936" t="s">
        <v>616</v>
      </c>
      <c r="AM936" s="3" t="s">
        <v>103</v>
      </c>
      <c r="AN936" t="s">
        <v>130</v>
      </c>
      <c r="AO936" t="s">
        <v>795</v>
      </c>
      <c r="AP936">
        <v>7</v>
      </c>
      <c r="AQ936" t="s">
        <v>33</v>
      </c>
      <c r="AR936" t="s">
        <v>33</v>
      </c>
      <c r="AS936">
        <v>9</v>
      </c>
      <c r="AT936">
        <f>AS936-AU936</f>
        <v>5.23</v>
      </c>
      <c r="AU936" s="6">
        <v>3.77</v>
      </c>
      <c r="AV936" t="b">
        <v>1</v>
      </c>
      <c r="AW936" t="s">
        <v>617</v>
      </c>
      <c r="AX936" t="s">
        <v>33</v>
      </c>
      <c r="AY936" t="s">
        <v>629</v>
      </c>
      <c r="AZ936" t="s">
        <v>630</v>
      </c>
      <c r="BA936" s="18" t="s">
        <v>802</v>
      </c>
      <c r="BB936" s="3" t="b">
        <v>0</v>
      </c>
      <c r="BC936" t="s">
        <v>81</v>
      </c>
      <c r="BD936">
        <v>24</v>
      </c>
      <c r="BE936" t="s">
        <v>80</v>
      </c>
      <c r="BF936">
        <v>24</v>
      </c>
      <c r="BG936" t="s">
        <v>644</v>
      </c>
      <c r="BH936" t="s">
        <v>31</v>
      </c>
      <c r="BI936" t="s">
        <v>31</v>
      </c>
      <c r="BJ936">
        <f t="shared" si="480"/>
        <v>3.77</v>
      </c>
      <c r="BK936" s="3">
        <f t="shared" si="453"/>
        <v>0.57634135020579291</v>
      </c>
      <c r="BL936">
        <v>2</v>
      </c>
      <c r="BM936" s="3">
        <f t="shared" si="472"/>
        <v>2.0061311027290611</v>
      </c>
      <c r="BN936" t="s">
        <v>33</v>
      </c>
      <c r="BO936" s="3">
        <f t="shared" si="462"/>
        <v>101.42175066312997</v>
      </c>
      <c r="BP936" t="s">
        <v>33</v>
      </c>
      <c r="BQ936" t="s">
        <v>33</v>
      </c>
      <c r="BR936" t="s">
        <v>33</v>
      </c>
      <c r="BS936" t="s">
        <v>33</v>
      </c>
      <c r="BT936" t="s">
        <v>31</v>
      </c>
      <c r="BU936" s="15" t="s">
        <v>655</v>
      </c>
      <c r="BV936">
        <v>2003</v>
      </c>
      <c r="BW936" t="s">
        <v>656</v>
      </c>
      <c r="BX936" t="s">
        <v>78</v>
      </c>
      <c r="BY936" s="13" t="s">
        <v>677</v>
      </c>
      <c r="CA936" t="str">
        <f t="shared" si="464"/>
        <v>low acid</v>
      </c>
    </row>
    <row r="937" spans="1:79">
      <c r="A937" t="s">
        <v>770</v>
      </c>
      <c r="B937" t="s">
        <v>565</v>
      </c>
      <c r="C937" t="s">
        <v>563</v>
      </c>
      <c r="D937" t="s">
        <v>118</v>
      </c>
      <c r="E937" t="s">
        <v>77</v>
      </c>
      <c r="F937" t="s">
        <v>32</v>
      </c>
      <c r="G937">
        <v>20</v>
      </c>
      <c r="H937" t="s">
        <v>33</v>
      </c>
      <c r="I937" t="b">
        <v>0</v>
      </c>
      <c r="J937" t="s">
        <v>33</v>
      </c>
      <c r="K937" t="s">
        <v>33</v>
      </c>
      <c r="L937">
        <v>30</v>
      </c>
      <c r="M937" s="4">
        <v>500</v>
      </c>
      <c r="N937" s="3">
        <f>IFERROR(AF937/((T937*X937/Y937)*O937*AI937),"NA")</f>
        <v>1198.5554367799659</v>
      </c>
      <c r="O937">
        <v>3</v>
      </c>
      <c r="P937" s="8">
        <f>Q937</f>
        <v>3.3555555555555554E-2</v>
      </c>
      <c r="Q937" s="8">
        <f t="shared" si="483"/>
        <v>3.3555555555555554E-2</v>
      </c>
      <c r="R937" t="s">
        <v>183</v>
      </c>
      <c r="S937" t="s">
        <v>613</v>
      </c>
      <c r="T937" s="11">
        <v>6</v>
      </c>
      <c r="U937">
        <v>2.92</v>
      </c>
      <c r="V937">
        <v>2.2999999999999998</v>
      </c>
      <c r="W937" s="16">
        <f>X937</f>
        <v>1.2131888350367701E-2</v>
      </c>
      <c r="X937" s="16">
        <f>IFERROR(((PI())*(((V937*10^-1)/2)^2)*(U937*10^-1)), "NA")</f>
        <v>1.2131888350367701E-2</v>
      </c>
      <c r="Y937" s="6">
        <f>52/60</f>
        <v>0.8666666666666667</v>
      </c>
      <c r="Z937" s="3">
        <f t="shared" si="481"/>
        <v>0.36154634156724935</v>
      </c>
      <c r="AA937" t="s">
        <v>33</v>
      </c>
      <c r="AB937" s="4">
        <f>IFERROR(((X937*M937)/Y937), "NA")</f>
        <v>6.9991663559813659</v>
      </c>
      <c r="AC937" s="4">
        <f t="shared" si="466"/>
        <v>16.777777777777779</v>
      </c>
      <c r="AD937" s="4">
        <f>AB937*T937*AI937</f>
        <v>41.994998135888196</v>
      </c>
      <c r="AE937" s="3">
        <f t="shared" si="482"/>
        <v>747.44999999999993</v>
      </c>
      <c r="AF937">
        <v>302</v>
      </c>
      <c r="AG937" s="4">
        <f>IFERROR((M937*O937*P937), "NA")</f>
        <v>50.333333333333329</v>
      </c>
      <c r="AH937" s="4">
        <f>IFERROR((AG937*T937*AI937), "NA")</f>
        <v>302</v>
      </c>
      <c r="AI937">
        <v>1</v>
      </c>
      <c r="AJ937" s="11" t="s">
        <v>31</v>
      </c>
      <c r="AK937">
        <v>2750</v>
      </c>
      <c r="AL937" t="s">
        <v>149</v>
      </c>
      <c r="AM937" t="s">
        <v>86</v>
      </c>
      <c r="AN937" t="s">
        <v>205</v>
      </c>
      <c r="AO937" t="s">
        <v>789</v>
      </c>
      <c r="AP937">
        <v>3.67</v>
      </c>
      <c r="AQ937" t="s">
        <v>33</v>
      </c>
      <c r="AR937" t="s">
        <v>33</v>
      </c>
      <c r="AS937">
        <v>6.7469999999999999</v>
      </c>
      <c r="AT937" s="3">
        <f>IFERROR(AS937-AU937,"NA")</f>
        <v>5.2320000000000002</v>
      </c>
      <c r="AU937" s="6">
        <f>AS937-5.232</f>
        <v>1.5149999999999997</v>
      </c>
      <c r="AV937" t="b">
        <v>1</v>
      </c>
      <c r="AW937" t="s">
        <v>29</v>
      </c>
      <c r="AX937" t="s">
        <v>30</v>
      </c>
      <c r="AY937" t="s">
        <v>773</v>
      </c>
      <c r="AZ937" t="s">
        <v>134</v>
      </c>
      <c r="BA937" s="18" t="s">
        <v>798</v>
      </c>
      <c r="BB937" s="3" t="b">
        <v>0</v>
      </c>
      <c r="BC937" t="s">
        <v>81</v>
      </c>
      <c r="BD937">
        <v>24</v>
      </c>
      <c r="BE937" t="s">
        <v>80</v>
      </c>
      <c r="BF937">
        <v>36</v>
      </c>
      <c r="BG937" t="s">
        <v>774</v>
      </c>
      <c r="BH937" t="s">
        <v>32</v>
      </c>
      <c r="BI937" t="s">
        <v>31</v>
      </c>
      <c r="BJ937" s="3">
        <f t="shared" si="480"/>
        <v>1.5149999999999997</v>
      </c>
      <c r="BK937" s="3">
        <f t="shared" si="453"/>
        <v>0.18041263283832373</v>
      </c>
      <c r="BL937">
        <v>2</v>
      </c>
      <c r="BM937" s="3">
        <f t="shared" si="472"/>
        <v>2.6931695133884146</v>
      </c>
      <c r="BN937" t="s">
        <v>33</v>
      </c>
      <c r="BO937" s="3">
        <f t="shared" si="462"/>
        <v>493.36633663366342</v>
      </c>
      <c r="BP937" t="s">
        <v>33</v>
      </c>
      <c r="BQ937" t="s">
        <v>33</v>
      </c>
      <c r="BR937" t="s">
        <v>33</v>
      </c>
      <c r="BS937" t="s">
        <v>33</v>
      </c>
      <c r="BT937" t="s">
        <v>31</v>
      </c>
      <c r="BU937" t="s">
        <v>163</v>
      </c>
      <c r="BV937">
        <v>2023</v>
      </c>
      <c r="BW937" t="s">
        <v>776</v>
      </c>
      <c r="BX937" t="s">
        <v>78</v>
      </c>
      <c r="BY937" t="s">
        <v>772</v>
      </c>
      <c r="CA937" t="str">
        <f t="shared" si="464"/>
        <v>high acid</v>
      </c>
    </row>
    <row r="938" spans="1:79">
      <c r="A938" t="s">
        <v>258</v>
      </c>
      <c r="B938" t="s">
        <v>565</v>
      </c>
      <c r="C938" t="s">
        <v>563</v>
      </c>
      <c r="D938" t="s">
        <v>118</v>
      </c>
      <c r="E938" t="s">
        <v>77</v>
      </c>
      <c r="F938" t="s">
        <v>32</v>
      </c>
      <c r="G938">
        <v>5</v>
      </c>
      <c r="H938">
        <v>40</v>
      </c>
      <c r="I938" t="b">
        <v>0</v>
      </c>
      <c r="J938" t="s">
        <v>33</v>
      </c>
      <c r="K938" t="s">
        <v>33</v>
      </c>
      <c r="L938">
        <v>35</v>
      </c>
      <c r="M938" s="4">
        <v>175</v>
      </c>
      <c r="N938" s="3">
        <f>IFERROR(AF938/((T938*X938/Y938)*O938*AI938),"NA")</f>
        <v>2361.2015298892129</v>
      </c>
      <c r="O938">
        <v>4</v>
      </c>
      <c r="P938" t="s">
        <v>33</v>
      </c>
      <c r="Q938" s="8">
        <f t="shared" si="483"/>
        <v>8.9285714285714288E-2</v>
      </c>
      <c r="R938" t="s">
        <v>183</v>
      </c>
      <c r="S938" t="s">
        <v>613</v>
      </c>
      <c r="T938" s="11">
        <v>8</v>
      </c>
      <c r="U938">
        <v>2.92</v>
      </c>
      <c r="V938">
        <v>2.2999999999999998</v>
      </c>
      <c r="W938">
        <v>1.21E-2</v>
      </c>
      <c r="X938" s="8">
        <f>IFERROR(((PI())*(((V938*10^-1)/2)^2)*(U938*10^-1)), "NA")</f>
        <v>1.2131888350367701E-2</v>
      </c>
      <c r="Y938" s="6">
        <f>110/60</f>
        <v>1.8333333333333333</v>
      </c>
      <c r="Z938" s="3">
        <f t="shared" si="481"/>
        <v>0.13587714952411825</v>
      </c>
      <c r="AA938" t="s">
        <v>33</v>
      </c>
      <c r="AB938" s="6">
        <f>IFERROR(((X938*M938)/Z938), "NA")</f>
        <v>15.624999999999998</v>
      </c>
      <c r="AC938" t="str">
        <f t="shared" ref="AC938:AC957" si="484">IFERROR(M938*P938,"NA")</f>
        <v>NA</v>
      </c>
      <c r="AD938" s="4">
        <f>AB938*T938*AI938</f>
        <v>124.99999999999999</v>
      </c>
      <c r="AE938" s="3">
        <f t="shared" si="482"/>
        <v>1335.25</v>
      </c>
      <c r="AF938">
        <v>500</v>
      </c>
      <c r="AG938" t="str">
        <f>IFERROR((M938*O938*P938), "NA")</f>
        <v>NA</v>
      </c>
      <c r="AH938" t="str">
        <f>IFERROR((AG938*T938*AI938), "NA")</f>
        <v>NA</v>
      </c>
      <c r="AI938">
        <v>1</v>
      </c>
      <c r="AJ938" t="s">
        <v>31</v>
      </c>
      <c r="AK938">
        <v>2180</v>
      </c>
      <c r="AL938" t="s">
        <v>149</v>
      </c>
      <c r="AM938" t="s">
        <v>86</v>
      </c>
      <c r="AN938" t="s">
        <v>205</v>
      </c>
      <c r="AO938" t="s">
        <v>789</v>
      </c>
      <c r="AP938">
        <v>4.46</v>
      </c>
      <c r="AQ938" t="s">
        <v>33</v>
      </c>
      <c r="AR938" t="s">
        <v>33</v>
      </c>
      <c r="AS938" s="6">
        <f>LOG((10^7+10^8)/2)</f>
        <v>7.7403626894942441</v>
      </c>
      <c r="AT938" s="3">
        <f>IFERROR(AS938-AU938,"NA")</f>
        <v>5.2383626894942443</v>
      </c>
      <c r="AU938" s="6">
        <v>2.5019999999999998</v>
      </c>
      <c r="AV938" t="b">
        <v>1</v>
      </c>
      <c r="AW938" t="s">
        <v>29</v>
      </c>
      <c r="AX938" t="s">
        <v>30</v>
      </c>
      <c r="AY938" t="s">
        <v>33</v>
      </c>
      <c r="AZ938" t="s">
        <v>134</v>
      </c>
      <c r="BA938" s="18" t="s">
        <v>798</v>
      </c>
      <c r="BB938" t="b">
        <v>0</v>
      </c>
      <c r="BC938" t="s">
        <v>81</v>
      </c>
      <c r="BD938">
        <v>15</v>
      </c>
      <c r="BE938" t="s">
        <v>80</v>
      </c>
      <c r="BF938" s="11">
        <v>24</v>
      </c>
      <c r="BG938" t="s">
        <v>262</v>
      </c>
      <c r="BH938" t="s">
        <v>31</v>
      </c>
      <c r="BI938" t="s">
        <v>31</v>
      </c>
      <c r="BJ938" s="3">
        <f t="shared" si="480"/>
        <v>2.5019999999999998</v>
      </c>
      <c r="BK938" s="3">
        <f t="shared" si="453"/>
        <v>0.39828730535740109</v>
      </c>
      <c r="BL938">
        <v>2</v>
      </c>
      <c r="BM938" s="3">
        <f t="shared" si="472"/>
        <v>2.7272752812837737</v>
      </c>
      <c r="BN938" t="s">
        <v>33</v>
      </c>
      <c r="BO938" s="3">
        <f t="shared" si="462"/>
        <v>533.67306155075948</v>
      </c>
      <c r="BP938" t="s">
        <v>33</v>
      </c>
      <c r="BQ938" t="s">
        <v>33</v>
      </c>
      <c r="BR938" t="s">
        <v>33</v>
      </c>
      <c r="BS938" t="s">
        <v>33</v>
      </c>
      <c r="BT938" t="s">
        <v>31</v>
      </c>
      <c r="BU938" t="s">
        <v>219</v>
      </c>
      <c r="BV938">
        <v>2008</v>
      </c>
      <c r="BW938" s="2" t="s">
        <v>257</v>
      </c>
      <c r="BX938" t="s">
        <v>78</v>
      </c>
      <c r="BY938" t="s">
        <v>33</v>
      </c>
      <c r="BZ938" t="s">
        <v>33</v>
      </c>
      <c r="CA938" t="str">
        <f t="shared" si="464"/>
        <v>high acid</v>
      </c>
    </row>
    <row r="939" spans="1:79">
      <c r="A939" t="s">
        <v>595</v>
      </c>
      <c r="B939" t="s">
        <v>565</v>
      </c>
      <c r="C939" t="s">
        <v>564</v>
      </c>
      <c r="D939" t="s">
        <v>609</v>
      </c>
      <c r="E939" t="s">
        <v>77</v>
      </c>
      <c r="F939" t="s">
        <v>32</v>
      </c>
      <c r="G939">
        <v>30</v>
      </c>
      <c r="H939">
        <v>38.200000000000003</v>
      </c>
      <c r="I939" t="b">
        <v>0</v>
      </c>
      <c r="J939" t="s">
        <v>33</v>
      </c>
      <c r="K939" t="s">
        <v>33</v>
      </c>
      <c r="L939">
        <v>12</v>
      </c>
      <c r="M939" s="4">
        <v>120</v>
      </c>
      <c r="N939" t="e">
        <f>(#REF!*Y939)/(T939*X939*O939)</f>
        <v>#REF!</v>
      </c>
      <c r="O939">
        <v>3</v>
      </c>
      <c r="P939" t="s">
        <v>33</v>
      </c>
      <c r="Q939" s="1">
        <f t="shared" si="483"/>
        <v>0.10416666666666666</v>
      </c>
      <c r="R939" t="s">
        <v>183</v>
      </c>
      <c r="S939" t="s">
        <v>612</v>
      </c>
      <c r="T939">
        <v>4</v>
      </c>
      <c r="U939">
        <v>3</v>
      </c>
      <c r="V939">
        <v>2.6</v>
      </c>
      <c r="W939" t="s">
        <v>33</v>
      </c>
      <c r="X939">
        <f>IFERROR(((PI())*(((V939*10^-1)/2)^2)*(U939*10^-1)), "NA")</f>
        <v>1.5927874753700257E-2</v>
      </c>
      <c r="Y939">
        <v>0.126667</v>
      </c>
      <c r="Z939" s="3">
        <f t="shared" si="481"/>
        <v>0.15290759763552247</v>
      </c>
      <c r="AA939" t="s">
        <v>33</v>
      </c>
      <c r="AB939">
        <f>IFERROR(((X939*M939)/Z939), "NA")</f>
        <v>12.5</v>
      </c>
      <c r="AC939" s="1" t="str">
        <f t="shared" si="484"/>
        <v>NA</v>
      </c>
      <c r="AE939" s="3">
        <f t="shared" si="482"/>
        <v>21.167999999999996</v>
      </c>
      <c r="AF939">
        <v>150</v>
      </c>
      <c r="AG939" s="1" t="str">
        <f>IFERROR((N939*P939*Q939), "NA")</f>
        <v>NA</v>
      </c>
      <c r="AH939" s="1" t="str">
        <f>IFERROR((AG939*U939*AI939), "NA")</f>
        <v>NA</v>
      </c>
      <c r="AI939" s="1">
        <v>1</v>
      </c>
      <c r="AJ939" s="11" t="s">
        <v>31</v>
      </c>
      <c r="AK939">
        <v>980</v>
      </c>
      <c r="AL939" t="s">
        <v>551</v>
      </c>
      <c r="AM939" t="s">
        <v>86</v>
      </c>
      <c r="AN939" t="s">
        <v>186</v>
      </c>
      <c r="AO939" t="s">
        <v>794</v>
      </c>
      <c r="AP939">
        <v>5.98</v>
      </c>
      <c r="AQ939" t="s">
        <v>33</v>
      </c>
      <c r="AR939" t="s">
        <v>33</v>
      </c>
      <c r="AS939">
        <v>6</v>
      </c>
      <c r="AT939">
        <f>AS939-AU939</f>
        <v>5.24</v>
      </c>
      <c r="AU939" s="6">
        <v>0.76</v>
      </c>
      <c r="AV939" t="b">
        <v>1</v>
      </c>
      <c r="AW939" t="s">
        <v>626</v>
      </c>
      <c r="AX939" t="s">
        <v>627</v>
      </c>
      <c r="AY939" t="s">
        <v>631</v>
      </c>
      <c r="AZ939" t="s">
        <v>33</v>
      </c>
      <c r="BA939" s="18" t="s">
        <v>800</v>
      </c>
      <c r="BB939" s="3" t="b">
        <v>0</v>
      </c>
      <c r="BC939" t="s">
        <v>81</v>
      </c>
      <c r="BD939">
        <v>20</v>
      </c>
      <c r="BE939" t="s">
        <v>80</v>
      </c>
      <c r="BF939">
        <v>20</v>
      </c>
      <c r="BG939" t="s">
        <v>695</v>
      </c>
      <c r="BH939" t="s">
        <v>32</v>
      </c>
      <c r="BI939" t="s">
        <v>31</v>
      </c>
      <c r="BJ939">
        <f t="shared" si="480"/>
        <v>0.76</v>
      </c>
      <c r="BK939" s="3">
        <f t="shared" si="453"/>
        <v>-0.11918640771920865</v>
      </c>
      <c r="BL939">
        <v>2</v>
      </c>
      <c r="BM939" s="3">
        <f t="shared" si="472"/>
        <v>1.4448662345626344</v>
      </c>
      <c r="BN939" t="s">
        <v>33</v>
      </c>
      <c r="BO939" s="3">
        <f t="shared" si="462"/>
        <v>27.852631578947364</v>
      </c>
      <c r="BP939" t="s">
        <v>33</v>
      </c>
      <c r="BQ939" t="s">
        <v>33</v>
      </c>
      <c r="BR939" t="s">
        <v>33</v>
      </c>
      <c r="BS939" t="s">
        <v>33</v>
      </c>
      <c r="BT939" t="s">
        <v>32</v>
      </c>
      <c r="BU939" t="s">
        <v>207</v>
      </c>
      <c r="BV939">
        <v>2014</v>
      </c>
      <c r="BW939" t="s">
        <v>208</v>
      </c>
      <c r="BX939" t="s">
        <v>78</v>
      </c>
      <c r="BY939" s="13" t="s">
        <v>683</v>
      </c>
      <c r="CA939" t="str">
        <f t="shared" si="464"/>
        <v>low acid</v>
      </c>
    </row>
    <row r="940" spans="1:79">
      <c r="A940" t="s">
        <v>254</v>
      </c>
      <c r="B940" t="s">
        <v>566</v>
      </c>
      <c r="C940" t="s">
        <v>563</v>
      </c>
      <c r="D940" t="s">
        <v>33</v>
      </c>
      <c r="E940" t="s">
        <v>77</v>
      </c>
      <c r="F940" t="s">
        <v>32</v>
      </c>
      <c r="G940">
        <v>20</v>
      </c>
      <c r="H940">
        <v>50.3</v>
      </c>
      <c r="I940" t="b">
        <v>1</v>
      </c>
      <c r="J940" t="s">
        <v>33</v>
      </c>
      <c r="K940" t="s">
        <v>33</v>
      </c>
      <c r="L940">
        <v>20</v>
      </c>
      <c r="M940" s="4">
        <v>52</v>
      </c>
      <c r="N940" s="3">
        <f>IFERROR(AF940/((T940*X940/Y940)*O940*AI940),"NA")</f>
        <v>46.947173931300917</v>
      </c>
      <c r="O940">
        <v>3</v>
      </c>
      <c r="P940" t="s">
        <v>33</v>
      </c>
      <c r="Q940" s="8">
        <f t="shared" si="483"/>
        <v>0.71666666666666667</v>
      </c>
      <c r="R940" t="s">
        <v>183</v>
      </c>
      <c r="S940" t="s">
        <v>612</v>
      </c>
      <c r="T940" s="11">
        <v>1</v>
      </c>
      <c r="U940">
        <v>4.5</v>
      </c>
      <c r="V940" t="s">
        <v>33</v>
      </c>
      <c r="W940" t="s">
        <v>33</v>
      </c>
      <c r="X940">
        <f>U940*0.1*1.47</f>
        <v>0.66149999999999998</v>
      </c>
      <c r="Y940" s="6">
        <f>3000/3600</f>
        <v>0.83333333333333337</v>
      </c>
      <c r="Z940" s="3">
        <f t="shared" si="481"/>
        <v>0.92302325581395339</v>
      </c>
      <c r="AA940" t="s">
        <v>33</v>
      </c>
      <c r="AB940" s="6">
        <f>IFERROR(((X940*M940)/Z940), "NA")</f>
        <v>37.266666666666666</v>
      </c>
      <c r="AC940" t="str">
        <f t="shared" si="484"/>
        <v>NA</v>
      </c>
      <c r="AD940" s="4">
        <f>IFERROR(AB940*T940*AI940, "NA")</f>
        <v>37.266666666666666</v>
      </c>
      <c r="AE940" s="3">
        <f t="shared" si="482"/>
        <v>120.744</v>
      </c>
      <c r="AF940">
        <v>111.8</v>
      </c>
      <c r="AG940" t="str">
        <f>IFERROR((M940*O940*P940), "NA")</f>
        <v>NA</v>
      </c>
      <c r="AH940" t="str">
        <f>IFERROR((AG940*T940*AI940), "NA")</f>
        <v>NA</v>
      </c>
      <c r="AI940" s="11">
        <v>1</v>
      </c>
      <c r="AJ940" t="s">
        <v>31</v>
      </c>
      <c r="AK940" s="11">
        <v>2700</v>
      </c>
      <c r="AL940" t="s">
        <v>149</v>
      </c>
      <c r="AM940" t="s">
        <v>86</v>
      </c>
      <c r="AN940" t="s">
        <v>205</v>
      </c>
      <c r="AO940" t="s">
        <v>789</v>
      </c>
      <c r="AP940">
        <v>3.5</v>
      </c>
      <c r="AQ940" t="s">
        <v>33</v>
      </c>
      <c r="AR940" t="s">
        <v>33</v>
      </c>
      <c r="AS940" s="6">
        <f>LOG(10^8)</f>
        <v>8</v>
      </c>
      <c r="AT940" s="3">
        <f>IFERROR(AS940-AU940,"NA")</f>
        <v>5.24</v>
      </c>
      <c r="AU940" s="6">
        <v>2.76</v>
      </c>
      <c r="AV940" t="b">
        <v>1</v>
      </c>
      <c r="AW940" t="s">
        <v>29</v>
      </c>
      <c r="AX940" t="s">
        <v>30</v>
      </c>
      <c r="AY940" t="s">
        <v>33</v>
      </c>
      <c r="AZ940" t="s">
        <v>134</v>
      </c>
      <c r="BA940" s="18" t="s">
        <v>798</v>
      </c>
      <c r="BB940" t="b">
        <v>0</v>
      </c>
      <c r="BC940" t="s">
        <v>81</v>
      </c>
      <c r="BD940">
        <v>12</v>
      </c>
      <c r="BE940" t="s">
        <v>80</v>
      </c>
      <c r="BF940" s="11">
        <v>48</v>
      </c>
      <c r="BG940" t="s">
        <v>569</v>
      </c>
      <c r="BH940" t="s">
        <v>31</v>
      </c>
      <c r="BI940" t="s">
        <v>31</v>
      </c>
      <c r="BJ940" s="3">
        <f t="shared" si="480"/>
        <v>2.76</v>
      </c>
      <c r="BK940" s="3">
        <f t="shared" si="453"/>
        <v>0.44090908206521767</v>
      </c>
      <c r="BL940">
        <v>2</v>
      </c>
      <c r="BM940" s="3">
        <f t="shared" si="472"/>
        <v>1.6409564769721365</v>
      </c>
      <c r="BN940" t="s">
        <v>33</v>
      </c>
      <c r="BO940" s="3">
        <f t="shared" si="462"/>
        <v>43.747826086956522</v>
      </c>
      <c r="BP940" t="s">
        <v>33</v>
      </c>
      <c r="BQ940" t="s">
        <v>33</v>
      </c>
      <c r="BR940" t="s">
        <v>33</v>
      </c>
      <c r="BS940" t="s">
        <v>33</v>
      </c>
      <c r="BT940" t="s">
        <v>32</v>
      </c>
      <c r="BU940" t="s">
        <v>255</v>
      </c>
      <c r="BV940">
        <v>2011</v>
      </c>
      <c r="BW940" s="2" t="s">
        <v>256</v>
      </c>
      <c r="BX940" t="s">
        <v>78</v>
      </c>
      <c r="BY940" t="s">
        <v>33</v>
      </c>
      <c r="BZ940" t="s">
        <v>33</v>
      </c>
      <c r="CA940" t="str">
        <f t="shared" si="464"/>
        <v>high acid</v>
      </c>
    </row>
    <row r="941" spans="1:79">
      <c r="A941" t="s">
        <v>593</v>
      </c>
      <c r="B941" t="s">
        <v>565</v>
      </c>
      <c r="C941" t="s">
        <v>563</v>
      </c>
      <c r="D941" t="s">
        <v>118</v>
      </c>
      <c r="E941" t="s">
        <v>77</v>
      </c>
      <c r="F941" t="s">
        <v>32</v>
      </c>
      <c r="G941" t="s">
        <v>33</v>
      </c>
      <c r="H941">
        <v>35</v>
      </c>
      <c r="I941" t="b">
        <v>0</v>
      </c>
      <c r="J941" t="s">
        <v>33</v>
      </c>
      <c r="K941" t="s">
        <v>33</v>
      </c>
      <c r="L941">
        <v>35</v>
      </c>
      <c r="M941" s="4">
        <v>400</v>
      </c>
      <c r="N941" t="e">
        <f>(#REF!*Y941)/(T941*X941*O941)</f>
        <v>#REF!</v>
      </c>
      <c r="O941">
        <v>2</v>
      </c>
      <c r="P941" t="s">
        <v>33</v>
      </c>
      <c r="Q941" s="1">
        <f t="shared" si="483"/>
        <v>0.03</v>
      </c>
      <c r="R941" t="s">
        <v>183</v>
      </c>
      <c r="S941" t="s">
        <v>613</v>
      </c>
      <c r="T941">
        <v>6</v>
      </c>
      <c r="U941">
        <v>2.92</v>
      </c>
      <c r="V941">
        <v>2.2999999999999998</v>
      </c>
      <c r="W941" t="s">
        <v>33</v>
      </c>
      <c r="X941">
        <f>IFERROR(((PI())*(((V941*10^-1)/2)^2)*(U941*10^-1)), "NA")</f>
        <v>1.2131888350367701E-2</v>
      </c>
      <c r="Y941">
        <v>1</v>
      </c>
      <c r="Z941" s="3">
        <f t="shared" si="481"/>
        <v>0.40439627834559005</v>
      </c>
      <c r="AA941" t="s">
        <v>33</v>
      </c>
      <c r="AB941">
        <f>IFERROR(((X941*M941)/Z941), "NA")</f>
        <v>12</v>
      </c>
      <c r="AC941" s="1" t="str">
        <f t="shared" si="484"/>
        <v>NA</v>
      </c>
      <c r="AE941" s="3">
        <f t="shared" si="482"/>
        <v>405.72</v>
      </c>
      <c r="AF941">
        <v>144</v>
      </c>
      <c r="AG941" s="1" t="str">
        <f>IFERROR((N941*P941*Q941), "NA")</f>
        <v>NA</v>
      </c>
      <c r="AH941" s="1" t="str">
        <f>IFERROR((AG941*U941*AI941), "NA")</f>
        <v>NA</v>
      </c>
      <c r="AI941">
        <v>1</v>
      </c>
      <c r="AJ941" s="11" t="s">
        <v>31</v>
      </c>
      <c r="AK941">
        <v>2300</v>
      </c>
      <c r="AL941" t="s">
        <v>693</v>
      </c>
      <c r="AM941" t="s">
        <v>530</v>
      </c>
      <c r="AN941" t="s">
        <v>186</v>
      </c>
      <c r="AO941" t="s">
        <v>796</v>
      </c>
      <c r="AP941">
        <v>7.19</v>
      </c>
      <c r="AQ941" t="s">
        <v>33</v>
      </c>
      <c r="AR941" t="s">
        <v>33</v>
      </c>
      <c r="AS941">
        <v>6.5</v>
      </c>
      <c r="AT941">
        <f>AS941-AU941</f>
        <v>5.24</v>
      </c>
      <c r="AU941" s="6">
        <v>1.26</v>
      </c>
      <c r="AV941" t="b">
        <v>1</v>
      </c>
      <c r="AW941" t="s">
        <v>626</v>
      </c>
      <c r="AX941" t="s">
        <v>627</v>
      </c>
      <c r="AY941" t="s">
        <v>625</v>
      </c>
      <c r="AZ941" t="s">
        <v>33</v>
      </c>
      <c r="BA941" s="18" t="s">
        <v>800</v>
      </c>
      <c r="BB941" s="3" t="b">
        <v>0</v>
      </c>
      <c r="BC941" t="s">
        <v>81</v>
      </c>
      <c r="BD941">
        <f>AVERAGE(14, 16)</f>
        <v>15</v>
      </c>
      <c r="BE941" t="s">
        <v>80</v>
      </c>
      <c r="BF941">
        <v>48</v>
      </c>
      <c r="BG941" t="s">
        <v>568</v>
      </c>
      <c r="BH941" t="s">
        <v>31</v>
      </c>
      <c r="BI941" t="s">
        <v>31</v>
      </c>
      <c r="BJ941">
        <f t="shared" si="480"/>
        <v>1.26</v>
      </c>
      <c r="BK941" s="3">
        <f t="shared" si="453"/>
        <v>0.10037054511756291</v>
      </c>
      <c r="BL941">
        <v>2</v>
      </c>
      <c r="BM941" s="3">
        <f t="shared" si="472"/>
        <v>2.5078558716958308</v>
      </c>
      <c r="BN941" t="s">
        <v>33</v>
      </c>
      <c r="BO941" s="3">
        <f t="shared" si="462"/>
        <v>322</v>
      </c>
      <c r="BP941" t="s">
        <v>33</v>
      </c>
      <c r="BQ941" t="s">
        <v>33</v>
      </c>
      <c r="BR941" t="s">
        <v>33</v>
      </c>
      <c r="BS941" t="s">
        <v>33</v>
      </c>
      <c r="BT941" t="s">
        <v>31</v>
      </c>
      <c r="BU941" s="15" t="s">
        <v>217</v>
      </c>
      <c r="BV941">
        <v>2012</v>
      </c>
      <c r="BW941" t="s">
        <v>660</v>
      </c>
      <c r="BX941" t="s">
        <v>78</v>
      </c>
      <c r="BY941" s="13" t="s">
        <v>681</v>
      </c>
      <c r="CA941" t="str">
        <f t="shared" si="464"/>
        <v>low acid</v>
      </c>
    </row>
    <row r="942" spans="1:79">
      <c r="A942" t="s">
        <v>733</v>
      </c>
      <c r="B942" t="s">
        <v>566</v>
      </c>
      <c r="C942" t="s">
        <v>563</v>
      </c>
      <c r="D942" t="s">
        <v>699</v>
      </c>
      <c r="E942" t="s">
        <v>77</v>
      </c>
      <c r="F942" t="s">
        <v>32</v>
      </c>
      <c r="G942">
        <v>20</v>
      </c>
      <c r="H942">
        <v>42.5</v>
      </c>
      <c r="I942" t="b">
        <v>1</v>
      </c>
      <c r="J942" t="s">
        <v>33</v>
      </c>
      <c r="K942" t="s">
        <v>33</v>
      </c>
      <c r="L942">
        <v>20</v>
      </c>
      <c r="M942" s="4">
        <v>47</v>
      </c>
      <c r="N942" s="3">
        <f>IFERROR(AF942/((T942*X942/Y942)*O942*AI942),"NA")</f>
        <v>46.759259259259245</v>
      </c>
      <c r="O942">
        <v>5</v>
      </c>
      <c r="P942">
        <v>0.43</v>
      </c>
      <c r="Q942" s="8">
        <f>IFERROR(X942/Y942, "NA")</f>
        <v>0.43200000000000011</v>
      </c>
      <c r="R942" t="s">
        <v>183</v>
      </c>
      <c r="S942" t="s">
        <v>612</v>
      </c>
      <c r="T942" s="11">
        <v>1</v>
      </c>
      <c r="U942">
        <v>4</v>
      </c>
      <c r="V942" t="s">
        <v>33</v>
      </c>
      <c r="W942">
        <f>0.4*3*0.5</f>
        <v>0.60000000000000009</v>
      </c>
      <c r="X942" s="9">
        <f>W942</f>
        <v>0.60000000000000009</v>
      </c>
      <c r="Y942" s="6">
        <f>5000/3600</f>
        <v>1.3888888888888888</v>
      </c>
      <c r="Z942" s="3">
        <f t="shared" si="481"/>
        <v>1.3960396039603959</v>
      </c>
      <c r="AA942" t="s">
        <v>33</v>
      </c>
      <c r="AB942" s="4">
        <f>IFERROR(((X942*M942)/Y942), "NA")</f>
        <v>20.304000000000002</v>
      </c>
      <c r="AC942" s="4">
        <f t="shared" si="484"/>
        <v>20.21</v>
      </c>
      <c r="AD942" s="4">
        <f>AB942*T942*AI942</f>
        <v>20.304000000000002</v>
      </c>
      <c r="AE942" s="3">
        <f t="shared" si="482"/>
        <v>81.216000000000022</v>
      </c>
      <c r="AF942">
        <v>101</v>
      </c>
      <c r="AG942" s="4">
        <f>IFERROR((M942*O942*P942), "NA")</f>
        <v>101.05</v>
      </c>
      <c r="AH942" s="4">
        <f>IFERROR((AG942*T942*AI942), "NA")</f>
        <v>101.05</v>
      </c>
      <c r="AI942">
        <v>1</v>
      </c>
      <c r="AJ942" s="11" t="s">
        <v>31</v>
      </c>
      <c r="AK942">
        <v>2000</v>
      </c>
      <c r="AL942" t="s">
        <v>784</v>
      </c>
      <c r="AM942" t="s">
        <v>103</v>
      </c>
      <c r="AN942" t="s">
        <v>130</v>
      </c>
      <c r="AO942" t="s">
        <v>795</v>
      </c>
      <c r="AP942">
        <v>7</v>
      </c>
      <c r="AQ942" t="s">
        <v>33</v>
      </c>
      <c r="AR942" t="s">
        <v>33</v>
      </c>
      <c r="AS942" s="6">
        <f>LOG(AVERAGE(10^8, 10^9))</f>
        <v>8.7403626894942441</v>
      </c>
      <c r="AT942" s="3">
        <f>IFERROR(AS942-AU942,"NA")</f>
        <v>5.2473626894942438</v>
      </c>
      <c r="AU942" s="6">
        <v>3.4929999999999999</v>
      </c>
      <c r="AV942" t="b">
        <v>1</v>
      </c>
      <c r="AW942" t="s">
        <v>172</v>
      </c>
      <c r="AX942" t="s">
        <v>173</v>
      </c>
      <c r="AY942" t="s">
        <v>738</v>
      </c>
      <c r="AZ942" t="s">
        <v>33</v>
      </c>
      <c r="BA942" s="18" t="s">
        <v>799</v>
      </c>
      <c r="BB942" s="3" t="b">
        <v>0</v>
      </c>
      <c r="BC942" t="s">
        <v>81</v>
      </c>
      <c r="BD942">
        <v>24</v>
      </c>
      <c r="BE942" t="s">
        <v>80</v>
      </c>
      <c r="BF942">
        <v>48</v>
      </c>
      <c r="BG942" t="s">
        <v>734</v>
      </c>
      <c r="BH942" t="s">
        <v>31</v>
      </c>
      <c r="BI942" t="s">
        <v>31</v>
      </c>
      <c r="BJ942" s="3">
        <f t="shared" si="480"/>
        <v>3.4929999999999999</v>
      </c>
      <c r="BK942" s="3">
        <f t="shared" si="453"/>
        <v>0.54319858563764678</v>
      </c>
      <c r="BL942">
        <v>2</v>
      </c>
      <c r="BM942" s="3">
        <f t="shared" si="472"/>
        <v>1.3664430104409453</v>
      </c>
      <c r="BN942" t="s">
        <v>33</v>
      </c>
      <c r="BO942" s="3">
        <f t="shared" si="462"/>
        <v>23.251073575722881</v>
      </c>
      <c r="BP942" t="s">
        <v>33</v>
      </c>
      <c r="BQ942" t="s">
        <v>33</v>
      </c>
      <c r="BR942" t="s">
        <v>33</v>
      </c>
      <c r="BS942" t="s">
        <v>33</v>
      </c>
      <c r="BT942" t="s">
        <v>32</v>
      </c>
      <c r="BU942" t="s">
        <v>709</v>
      </c>
      <c r="BV942">
        <v>2024</v>
      </c>
      <c r="BW942" t="s">
        <v>710</v>
      </c>
      <c r="BX942" t="s">
        <v>78</v>
      </c>
      <c r="BY942" t="s">
        <v>711</v>
      </c>
      <c r="CA942" t="str">
        <f t="shared" si="464"/>
        <v>low acid</v>
      </c>
    </row>
    <row r="943" spans="1:79">
      <c r="A943" t="s">
        <v>580</v>
      </c>
      <c r="B943" t="s">
        <v>565</v>
      </c>
      <c r="C943" t="s">
        <v>563</v>
      </c>
      <c r="D943" t="s">
        <v>118</v>
      </c>
      <c r="E943" t="s">
        <v>77</v>
      </c>
      <c r="F943" t="s">
        <v>32</v>
      </c>
      <c r="G943">
        <v>22</v>
      </c>
      <c r="H943">
        <v>40</v>
      </c>
      <c r="I943" t="b">
        <v>0</v>
      </c>
      <c r="J943">
        <v>10220</v>
      </c>
      <c r="K943">
        <v>59.68</v>
      </c>
      <c r="L943">
        <v>35</v>
      </c>
      <c r="M943" s="4">
        <v>175</v>
      </c>
      <c r="N943" t="e">
        <f>(#REF!*Y943)/(T943*X943*O943)</f>
        <v>#REF!</v>
      </c>
      <c r="O943">
        <v>4</v>
      </c>
      <c r="P943">
        <f>AVERAGE(0.0066, 0.0091)</f>
        <v>7.8499999999999993E-3</v>
      </c>
      <c r="Q943" s="1">
        <f t="shared" ref="Q943:Q954" si="485">IFERROR(X943/Z943, "NA")</f>
        <v>8.9285714285714288E-2</v>
      </c>
      <c r="R943" t="s">
        <v>183</v>
      </c>
      <c r="S943" t="s">
        <v>613</v>
      </c>
      <c r="T943">
        <v>8</v>
      </c>
      <c r="U943">
        <v>2.92</v>
      </c>
      <c r="V943">
        <v>2.2999999999999998</v>
      </c>
      <c r="W943">
        <v>1.21E-2</v>
      </c>
      <c r="X943">
        <f>IFERROR(((PI())*(((V943*10^-1)/2)^2)*(U943*10^-1)), "NA")</f>
        <v>1.2131888350367701E-2</v>
      </c>
      <c r="Y943">
        <v>1.3333299999999999</v>
      </c>
      <c r="Z943" s="3">
        <f t="shared" si="481"/>
        <v>0.13587714952411825</v>
      </c>
      <c r="AA943" t="s">
        <v>33</v>
      </c>
      <c r="AB943">
        <f>IFERROR(((X943*M943)/Z943), "NA")</f>
        <v>15.624999999999998</v>
      </c>
      <c r="AC943" s="1">
        <f t="shared" si="484"/>
        <v>1.3737499999999998</v>
      </c>
      <c r="AE943" s="3">
        <f t="shared" si="482"/>
        <v>3142.1249999999995</v>
      </c>
      <c r="AF943">
        <v>500</v>
      </c>
      <c r="AG943" s="1" t="str">
        <f>IFERROR((N943*P943*Q943), "NA")</f>
        <v>NA</v>
      </c>
      <c r="AH943" s="1" t="str">
        <f>IFERROR((AG943*U943*AI943), "NA")</f>
        <v>NA</v>
      </c>
      <c r="AI943" s="1">
        <v>1</v>
      </c>
      <c r="AJ943" s="11" t="s">
        <v>31</v>
      </c>
      <c r="AK943">
        <v>5130</v>
      </c>
      <c r="AL943" t="s">
        <v>547</v>
      </c>
      <c r="AM943" t="s">
        <v>86</v>
      </c>
      <c r="AN943" t="s">
        <v>205</v>
      </c>
      <c r="AO943" t="s">
        <v>789</v>
      </c>
      <c r="AP943">
        <v>3.16</v>
      </c>
      <c r="AQ943" t="s">
        <v>33</v>
      </c>
      <c r="AR943" t="s">
        <v>33</v>
      </c>
      <c r="AS943">
        <v>7.5</v>
      </c>
      <c r="AT943">
        <f>AS943-AU943</f>
        <v>5.25</v>
      </c>
      <c r="AU943" s="6">
        <v>2.25</v>
      </c>
      <c r="AV943" t="b">
        <v>1</v>
      </c>
      <c r="AW943" t="s">
        <v>617</v>
      </c>
      <c r="AX943" t="s">
        <v>33</v>
      </c>
      <c r="AY943" t="s">
        <v>33</v>
      </c>
      <c r="AZ943" t="s">
        <v>619</v>
      </c>
      <c r="BA943" s="18" t="s">
        <v>802</v>
      </c>
      <c r="BB943" s="3" t="b">
        <v>0</v>
      </c>
      <c r="BC943" t="s">
        <v>81</v>
      </c>
      <c r="BD943">
        <v>15</v>
      </c>
      <c r="BE943" t="s">
        <v>80</v>
      </c>
      <c r="BF943">
        <v>24</v>
      </c>
      <c r="BG943" t="s">
        <v>697</v>
      </c>
      <c r="BH943" t="s">
        <v>32</v>
      </c>
      <c r="BI943" t="s">
        <v>31</v>
      </c>
      <c r="BJ943">
        <f t="shared" si="480"/>
        <v>2.25</v>
      </c>
      <c r="BK943" s="3">
        <f t="shared" si="453"/>
        <v>0.35218251811136247</v>
      </c>
      <c r="BL943">
        <v>2</v>
      </c>
      <c r="BM943" s="3">
        <f t="shared" ref="BM943:BM969" si="486">IFERROR(LOG(BO943),"NA")</f>
        <v>3.1450409400370236</v>
      </c>
      <c r="BN943" t="s">
        <v>33</v>
      </c>
      <c r="BO943" s="3">
        <f t="shared" si="462"/>
        <v>1396.4999999999998</v>
      </c>
      <c r="BP943" t="s">
        <v>33</v>
      </c>
      <c r="BQ943" t="s">
        <v>33</v>
      </c>
      <c r="BR943" t="s">
        <v>33</v>
      </c>
      <c r="BS943" t="s">
        <v>33</v>
      </c>
      <c r="BT943" t="s">
        <v>31</v>
      </c>
      <c r="BU943" t="s">
        <v>219</v>
      </c>
      <c r="BV943" s="14">
        <v>2008</v>
      </c>
      <c r="BW943" t="s">
        <v>257</v>
      </c>
      <c r="BX943" t="s">
        <v>78</v>
      </c>
      <c r="BY943" s="13" t="s">
        <v>670</v>
      </c>
      <c r="CA943" t="str">
        <f t="shared" si="464"/>
        <v>high acid</v>
      </c>
    </row>
    <row r="944" spans="1:79">
      <c r="A944" t="s">
        <v>584</v>
      </c>
      <c r="B944" t="s">
        <v>566</v>
      </c>
      <c r="C944" t="s">
        <v>563</v>
      </c>
      <c r="D944" t="s">
        <v>607</v>
      </c>
      <c r="E944" t="s">
        <v>77</v>
      </c>
      <c r="F944" t="s">
        <v>33</v>
      </c>
      <c r="G944">
        <v>20</v>
      </c>
      <c r="H944">
        <v>35</v>
      </c>
      <c r="I944" t="b">
        <v>0</v>
      </c>
      <c r="J944">
        <v>1000</v>
      </c>
      <c r="K944">
        <v>200</v>
      </c>
      <c r="L944">
        <v>20</v>
      </c>
      <c r="M944" s="4">
        <v>1</v>
      </c>
      <c r="N944" t="e">
        <f>(#REF!*Y944)/(T944*X944*O944)</f>
        <v>#REF!</v>
      </c>
      <c r="O944">
        <v>3</v>
      </c>
      <c r="P944" t="s">
        <v>33</v>
      </c>
      <c r="Q944" s="1">
        <f t="shared" si="485"/>
        <v>100.00000000000001</v>
      </c>
      <c r="R944" t="s">
        <v>183</v>
      </c>
      <c r="S944" t="s">
        <v>33</v>
      </c>
      <c r="T944">
        <v>1</v>
      </c>
      <c r="U944">
        <v>2.5</v>
      </c>
      <c r="V944" t="s">
        <v>33</v>
      </c>
      <c r="W944">
        <v>0.50249999999999995</v>
      </c>
      <c r="X944">
        <f>W944</f>
        <v>0.50249999999999995</v>
      </c>
      <c r="Y944" t="s">
        <v>33</v>
      </c>
      <c r="Z944" s="3">
        <f t="shared" si="481"/>
        <v>5.0249999999999991E-3</v>
      </c>
      <c r="AA944" t="s">
        <v>33</v>
      </c>
      <c r="AB944">
        <f>IFERROR(((X944*M944)/Z944), "NA")</f>
        <v>100.00000000000001</v>
      </c>
      <c r="AC944" s="1" t="str">
        <f t="shared" si="484"/>
        <v>NA</v>
      </c>
      <c r="AE944" s="3">
        <f t="shared" si="482"/>
        <v>120.00000000000001</v>
      </c>
      <c r="AF944">
        <v>300</v>
      </c>
      <c r="AG944" s="1" t="str">
        <f>IFERROR((N944*P944*Q944), "NA")</f>
        <v>NA</v>
      </c>
      <c r="AH944" s="1" t="str">
        <f>IFERROR((AG944*U944*AI944), "NA")</f>
        <v>NA</v>
      </c>
      <c r="AI944" s="1">
        <v>1</v>
      </c>
      <c r="AJ944" s="11" t="s">
        <v>31</v>
      </c>
      <c r="AK944">
        <v>1000</v>
      </c>
      <c r="AL944" t="s">
        <v>614</v>
      </c>
      <c r="AM944" s="3" t="s">
        <v>103</v>
      </c>
      <c r="AN944" t="s">
        <v>305</v>
      </c>
      <c r="AO944" t="s">
        <v>790</v>
      </c>
      <c r="AP944">
        <v>3.5</v>
      </c>
      <c r="AQ944" t="s">
        <v>33</v>
      </c>
      <c r="AR944" t="s">
        <v>33</v>
      </c>
      <c r="AS944">
        <v>8</v>
      </c>
      <c r="AT944">
        <f>AS944-AU944</f>
        <v>5.25</v>
      </c>
      <c r="AU944" s="6">
        <v>2.75</v>
      </c>
      <c r="AV944" t="b">
        <v>1</v>
      </c>
      <c r="AW944" t="s">
        <v>617</v>
      </c>
      <c r="AX944" t="s">
        <v>33</v>
      </c>
      <c r="AY944" t="s">
        <v>623</v>
      </c>
      <c r="AZ944" t="s">
        <v>621</v>
      </c>
      <c r="BA944" s="18" t="s">
        <v>802</v>
      </c>
      <c r="BB944" s="3" t="b">
        <v>0</v>
      </c>
      <c r="BC944" t="s">
        <v>81</v>
      </c>
      <c r="BD944">
        <v>18</v>
      </c>
      <c r="BE944" t="s">
        <v>80</v>
      </c>
      <c r="BF944">
        <v>24</v>
      </c>
      <c r="BG944" t="s">
        <v>569</v>
      </c>
      <c r="BH944" t="s">
        <v>31</v>
      </c>
      <c r="BI944" t="s">
        <v>31</v>
      </c>
      <c r="BJ944">
        <f t="shared" si="480"/>
        <v>2.75</v>
      </c>
      <c r="BK944" s="3">
        <f t="shared" si="453"/>
        <v>0.43933269383026263</v>
      </c>
      <c r="BL944">
        <v>2</v>
      </c>
      <c r="BM944" s="3">
        <f t="shared" si="486"/>
        <v>1.6398485522173623</v>
      </c>
      <c r="BN944" t="s">
        <v>33</v>
      </c>
      <c r="BO944" s="3">
        <f t="shared" si="462"/>
        <v>43.63636363636364</v>
      </c>
      <c r="BP944" t="s">
        <v>33</v>
      </c>
      <c r="BQ944" t="s">
        <v>33</v>
      </c>
      <c r="BR944" t="s">
        <v>33</v>
      </c>
      <c r="BS944" t="s">
        <v>33</v>
      </c>
      <c r="BT944" t="s">
        <v>31</v>
      </c>
      <c r="BU944" t="s">
        <v>255</v>
      </c>
      <c r="BV944">
        <v>2010</v>
      </c>
      <c r="BW944" t="s">
        <v>651</v>
      </c>
      <c r="BX944" t="s">
        <v>78</v>
      </c>
      <c r="BY944" s="13" t="s">
        <v>674</v>
      </c>
      <c r="CA944" t="str">
        <f t="shared" si="464"/>
        <v>high acid</v>
      </c>
    </row>
    <row r="945" spans="1:79">
      <c r="A945" t="s">
        <v>589</v>
      </c>
      <c r="B945" t="s">
        <v>566</v>
      </c>
      <c r="C945" t="s">
        <v>563</v>
      </c>
      <c r="D945" t="s">
        <v>33</v>
      </c>
      <c r="E945" t="s">
        <v>77</v>
      </c>
      <c r="F945" t="s">
        <v>33</v>
      </c>
      <c r="G945" t="s">
        <v>33</v>
      </c>
      <c r="H945">
        <v>35</v>
      </c>
      <c r="I945" t="b">
        <v>0</v>
      </c>
      <c r="J945" t="s">
        <v>33</v>
      </c>
      <c r="K945" t="s">
        <v>33</v>
      </c>
      <c r="L945">
        <v>15</v>
      </c>
      <c r="M945" s="4">
        <v>1</v>
      </c>
      <c r="N945" t="e">
        <f>(#REF!*Y945)/(T945*X945*O945)</f>
        <v>#REF!</v>
      </c>
      <c r="O945">
        <v>2</v>
      </c>
      <c r="P945" t="s">
        <v>33</v>
      </c>
      <c r="Q945" s="1">
        <f t="shared" si="485"/>
        <v>395</v>
      </c>
      <c r="R945" t="s">
        <v>183</v>
      </c>
      <c r="S945" t="s">
        <v>613</v>
      </c>
      <c r="T945">
        <v>1</v>
      </c>
      <c r="U945">
        <v>2.5</v>
      </c>
      <c r="V945" t="s">
        <v>33</v>
      </c>
      <c r="W945">
        <v>0.50249999999999995</v>
      </c>
      <c r="X945">
        <f>W945</f>
        <v>0.50249999999999995</v>
      </c>
      <c r="Y945" t="s">
        <v>33</v>
      </c>
      <c r="Z945" s="3">
        <f t="shared" si="481"/>
        <v>1.2721518987341772E-3</v>
      </c>
      <c r="AA945" t="s">
        <v>33</v>
      </c>
      <c r="AB945">
        <f>IFERROR(((X945*M945)/Z945), "NA")</f>
        <v>395</v>
      </c>
      <c r="AC945" s="1" t="str">
        <f t="shared" si="484"/>
        <v>NA</v>
      </c>
      <c r="AE945" s="3">
        <f t="shared" si="482"/>
        <v>355.49999999999994</v>
      </c>
      <c r="AF945">
        <v>790</v>
      </c>
      <c r="AG945" s="1" t="str">
        <f>IFERROR((N945*P945*Q945), "NA")</f>
        <v>NA</v>
      </c>
      <c r="AH945" s="1" t="str">
        <f>IFERROR((AG945*U945*AI945), "NA")</f>
        <v>NA</v>
      </c>
      <c r="AI945" s="1">
        <v>1</v>
      </c>
      <c r="AJ945" s="11" t="s">
        <v>31</v>
      </c>
      <c r="AK945">
        <v>2000</v>
      </c>
      <c r="AL945" t="s">
        <v>616</v>
      </c>
      <c r="AM945" s="3" t="s">
        <v>103</v>
      </c>
      <c r="AN945" t="s">
        <v>130</v>
      </c>
      <c r="AO945" t="s">
        <v>795</v>
      </c>
      <c r="AP945">
        <v>7</v>
      </c>
      <c r="AQ945" t="s">
        <v>33</v>
      </c>
      <c r="AR945" t="s">
        <v>33</v>
      </c>
      <c r="AS945">
        <v>9</v>
      </c>
      <c r="AT945">
        <f>AS945-AU945</f>
        <v>5.25</v>
      </c>
      <c r="AU945" s="6">
        <v>3.75</v>
      </c>
      <c r="AV945" t="b">
        <v>1</v>
      </c>
      <c r="AW945" t="s">
        <v>617</v>
      </c>
      <c r="AX945" t="s">
        <v>33</v>
      </c>
      <c r="AY945" t="s">
        <v>628</v>
      </c>
      <c r="AZ945" t="s">
        <v>619</v>
      </c>
      <c r="BA945" s="18" t="s">
        <v>802</v>
      </c>
      <c r="BB945" s="3" t="b">
        <v>0</v>
      </c>
      <c r="BC945" t="s">
        <v>81</v>
      </c>
      <c r="BD945">
        <v>24</v>
      </c>
      <c r="BE945" t="s">
        <v>80</v>
      </c>
      <c r="BF945">
        <v>24</v>
      </c>
      <c r="BG945" t="s">
        <v>644</v>
      </c>
      <c r="BH945" t="s">
        <v>31</v>
      </c>
      <c r="BI945" t="s">
        <v>31</v>
      </c>
      <c r="BJ945">
        <f t="shared" si="480"/>
        <v>3.75</v>
      </c>
      <c r="BK945" s="3">
        <f t="shared" ref="BK945:BK1006" si="487">LOG10(BJ945)</f>
        <v>0.57403126772771884</v>
      </c>
      <c r="BL945">
        <v>2</v>
      </c>
      <c r="BM945" s="3">
        <f t="shared" si="486"/>
        <v>1.9768083373380663</v>
      </c>
      <c r="BN945" t="s">
        <v>33</v>
      </c>
      <c r="BO945" s="3">
        <f t="shared" si="462"/>
        <v>94.799999999999983</v>
      </c>
      <c r="BP945" t="s">
        <v>33</v>
      </c>
      <c r="BQ945" t="s">
        <v>33</v>
      </c>
      <c r="BR945" t="s">
        <v>33</v>
      </c>
      <c r="BS945" t="s">
        <v>33</v>
      </c>
      <c r="BT945" t="s">
        <v>31</v>
      </c>
      <c r="BU945" s="15" t="s">
        <v>655</v>
      </c>
      <c r="BV945">
        <v>2003</v>
      </c>
      <c r="BW945" t="s">
        <v>656</v>
      </c>
      <c r="BX945" t="s">
        <v>78</v>
      </c>
      <c r="BY945" s="13" t="s">
        <v>677</v>
      </c>
      <c r="CA945" t="str">
        <f t="shared" si="464"/>
        <v>low acid</v>
      </c>
    </row>
    <row r="946" spans="1:79">
      <c r="A946" t="s">
        <v>152</v>
      </c>
      <c r="B946" t="s">
        <v>565</v>
      </c>
      <c r="C946" t="s">
        <v>563</v>
      </c>
      <c r="D946" t="s">
        <v>118</v>
      </c>
      <c r="E946" t="s">
        <v>77</v>
      </c>
      <c r="F946" t="s">
        <v>32</v>
      </c>
      <c r="G946">
        <v>20</v>
      </c>
      <c r="H946" t="s">
        <v>33</v>
      </c>
      <c r="I946" t="b">
        <v>0</v>
      </c>
      <c r="J946" t="s">
        <v>33</v>
      </c>
      <c r="K946" t="s">
        <v>33</v>
      </c>
      <c r="L946">
        <v>17</v>
      </c>
      <c r="M946" s="4">
        <v>500</v>
      </c>
      <c r="N946" s="3">
        <f>IFERROR(AF946/((T946*X946/Y946)*O946*AI946),"NA")</f>
        <v>603.25697212812861</v>
      </c>
      <c r="O946">
        <v>3</v>
      </c>
      <c r="P946" t="s">
        <v>33</v>
      </c>
      <c r="Q946" s="8">
        <f t="shared" si="485"/>
        <v>1.7444444444444443E-2</v>
      </c>
      <c r="R946" t="s">
        <v>183</v>
      </c>
      <c r="S946" t="s">
        <v>613</v>
      </c>
      <c r="T946" s="11">
        <v>6</v>
      </c>
      <c r="U946">
        <v>2.9</v>
      </c>
      <c r="V946">
        <v>2.2999999999999998</v>
      </c>
      <c r="W946" t="s">
        <v>33</v>
      </c>
      <c r="X946" s="8">
        <f>IFERROR(((PI())*(((V946*10^-1)/2)^2)*(U946*10^-1)), "NA")</f>
        <v>1.204879322468025E-2</v>
      </c>
      <c r="Y946" s="6">
        <f>50/60</f>
        <v>0.83333333333333337</v>
      </c>
      <c r="Z946" s="3">
        <f t="shared" si="481"/>
        <v>0.69069515300714812</v>
      </c>
      <c r="AA946" t="s">
        <v>33</v>
      </c>
      <c r="AB946" s="6">
        <f>IFERROR(((X946*M946)/Z946), "NA")</f>
        <v>8.7222222222222232</v>
      </c>
      <c r="AC946" t="str">
        <f t="shared" si="484"/>
        <v>NA</v>
      </c>
      <c r="AD946" s="4">
        <f>IFERROR(AB946*T946*AI946, "NA")</f>
        <v>52.333333333333343</v>
      </c>
      <c r="AE946" s="3">
        <f t="shared" si="482"/>
        <v>53.086409999999987</v>
      </c>
      <c r="AF946">
        <v>157</v>
      </c>
      <c r="AG946" t="str">
        <f>IFERROR((M946*O946*P946), "NA")</f>
        <v>NA</v>
      </c>
      <c r="AH946" t="str">
        <f>IFERROR((AG946*T946*AI946), "NA")</f>
        <v>NA</v>
      </c>
      <c r="AI946" s="11">
        <v>1</v>
      </c>
      <c r="AJ946" t="s">
        <v>31</v>
      </c>
      <c r="AK946">
        <v>1170</v>
      </c>
      <c r="AL946" t="s">
        <v>138</v>
      </c>
      <c r="AM946" t="s">
        <v>86</v>
      </c>
      <c r="AN946" t="s">
        <v>205</v>
      </c>
      <c r="AO946" t="s">
        <v>789</v>
      </c>
      <c r="AP946">
        <v>3.89</v>
      </c>
      <c r="AQ946" t="s">
        <v>33</v>
      </c>
      <c r="AR946" t="s">
        <v>33</v>
      </c>
      <c r="AS946" s="3">
        <v>7.7720000000000002</v>
      </c>
      <c r="AT946" s="3">
        <f t="shared" ref="AT946:AT950" si="488">IFERROR(AS946-AU946,"NA")</f>
        <v>5.2520000000000007</v>
      </c>
      <c r="AU946" s="6">
        <v>2.52</v>
      </c>
      <c r="AV946" t="b">
        <v>1</v>
      </c>
      <c r="AW946" t="s">
        <v>29</v>
      </c>
      <c r="AX946" t="s">
        <v>30</v>
      </c>
      <c r="AY946" t="s">
        <v>33</v>
      </c>
      <c r="AZ946" t="s">
        <v>134</v>
      </c>
      <c r="BA946" s="18" t="s">
        <v>798</v>
      </c>
      <c r="BB946" t="b">
        <v>0</v>
      </c>
      <c r="BC946" t="s">
        <v>81</v>
      </c>
      <c r="BD946">
        <f>(48+24)/2</f>
        <v>36</v>
      </c>
      <c r="BE946" t="s">
        <v>80</v>
      </c>
      <c r="BF946" s="11">
        <f>(48+24)/2</f>
        <v>36</v>
      </c>
      <c r="BG946" t="s">
        <v>139</v>
      </c>
      <c r="BH946" t="s">
        <v>31</v>
      </c>
      <c r="BI946" t="s">
        <v>31</v>
      </c>
      <c r="BJ946" s="3">
        <f t="shared" si="480"/>
        <v>2.52</v>
      </c>
      <c r="BK946" s="3">
        <f t="shared" si="487"/>
        <v>0.40140054078154408</v>
      </c>
      <c r="BL946">
        <v>2</v>
      </c>
      <c r="BM946" s="3">
        <f t="shared" si="486"/>
        <v>1.3235828161303991</v>
      </c>
      <c r="BN946" t="s">
        <v>33</v>
      </c>
      <c r="BO946" s="3">
        <f t="shared" si="462"/>
        <v>21.066035714285707</v>
      </c>
      <c r="BP946" t="s">
        <v>33</v>
      </c>
      <c r="BQ946" t="s">
        <v>33</v>
      </c>
      <c r="BR946" t="s">
        <v>33</v>
      </c>
      <c r="BS946" t="s">
        <v>33</v>
      </c>
      <c r="BT946" t="s">
        <v>31</v>
      </c>
      <c r="BU946" t="s">
        <v>135</v>
      </c>
      <c r="BV946">
        <v>2011</v>
      </c>
      <c r="BW946" s="7" t="s">
        <v>136</v>
      </c>
      <c r="BX946" t="s">
        <v>78</v>
      </c>
      <c r="BY946" t="s">
        <v>33</v>
      </c>
      <c r="BZ946" t="s">
        <v>33</v>
      </c>
      <c r="CA946" t="str">
        <f t="shared" si="464"/>
        <v>high acid</v>
      </c>
    </row>
    <row r="947" spans="1:79">
      <c r="A947" t="s">
        <v>408</v>
      </c>
      <c r="B947" t="s">
        <v>565</v>
      </c>
      <c r="C947" t="s">
        <v>563</v>
      </c>
      <c r="D947" t="s">
        <v>118</v>
      </c>
      <c r="E947" t="s">
        <v>77</v>
      </c>
      <c r="F947" t="s">
        <v>32</v>
      </c>
      <c r="G947">
        <v>22</v>
      </c>
      <c r="H947">
        <v>35</v>
      </c>
      <c r="I947" t="b">
        <v>0</v>
      </c>
      <c r="J947" t="s">
        <v>33</v>
      </c>
      <c r="K947" t="s">
        <v>33</v>
      </c>
      <c r="L947">
        <v>10</v>
      </c>
      <c r="M947" s="4">
        <v>1000</v>
      </c>
      <c r="N947" s="3">
        <f>IFERROR(AF947/((T947*X947/Y947)*O947*AI947),"NA")</f>
        <v>1000.1191061872564</v>
      </c>
      <c r="O947">
        <v>3</v>
      </c>
      <c r="P947" t="s">
        <v>33</v>
      </c>
      <c r="Q947" s="8">
        <f t="shared" si="485"/>
        <v>1.2133333333333333E-2</v>
      </c>
      <c r="R947" t="s">
        <v>183</v>
      </c>
      <c r="S947" t="s">
        <v>613</v>
      </c>
      <c r="T947" s="11">
        <v>4</v>
      </c>
      <c r="U947">
        <v>2.92</v>
      </c>
      <c r="V947">
        <v>2.2999999999999998</v>
      </c>
      <c r="W947" t="s">
        <v>33</v>
      </c>
      <c r="X947" s="9">
        <f>IFERROR(((PI())*(((V947*10^-1)/2)^2)*(U947*10^-1)), "NA")</f>
        <v>1.2131888350367701E-2</v>
      </c>
      <c r="Y947" s="6">
        <f>1</f>
        <v>1</v>
      </c>
      <c r="Z947" s="3">
        <f t="shared" si="481"/>
        <v>0.99988090799733798</v>
      </c>
      <c r="AA947" t="s">
        <v>33</v>
      </c>
      <c r="AB947" s="6">
        <f>IFERROR(((X947*M947)/Y947), "NA")</f>
        <v>12.131888350367701</v>
      </c>
      <c r="AC947" t="str">
        <f t="shared" si="484"/>
        <v>NA</v>
      </c>
      <c r="AD947" s="4">
        <f>IFERROR(AB947*T947*AI947, "NA")</f>
        <v>48.527553401470804</v>
      </c>
      <c r="AE947" s="3">
        <f t="shared" si="482"/>
        <v>29.119999999999997</v>
      </c>
      <c r="AF947">
        <v>145.6</v>
      </c>
      <c r="AG947" t="str">
        <f>IFERROR((M947*O947*P947), "NA")</f>
        <v>NA</v>
      </c>
      <c r="AH947" t="str">
        <f>IFERROR((AG947*T947*AI947), "NA")</f>
        <v>NA</v>
      </c>
      <c r="AI947" s="11">
        <v>1</v>
      </c>
      <c r="AJ947" t="s">
        <v>31</v>
      </c>
      <c r="AK947">
        <v>2000</v>
      </c>
      <c r="AL947" t="s">
        <v>114</v>
      </c>
      <c r="AM947" t="s">
        <v>103</v>
      </c>
      <c r="AN947" t="s">
        <v>130</v>
      </c>
      <c r="AO947" t="s">
        <v>795</v>
      </c>
      <c r="AP947" t="s">
        <v>33</v>
      </c>
      <c r="AQ947" t="s">
        <v>33</v>
      </c>
      <c r="AR947" t="s">
        <v>33</v>
      </c>
      <c r="AS947" s="3">
        <f>LOG(10^7)</f>
        <v>7</v>
      </c>
      <c r="AT947" s="3">
        <f t="shared" si="488"/>
        <v>5.2549999999999999</v>
      </c>
      <c r="AU947" s="6">
        <v>1.7450000000000001</v>
      </c>
      <c r="AV947" t="b">
        <v>1</v>
      </c>
      <c r="AW947" t="s">
        <v>92</v>
      </c>
      <c r="AX947" t="s">
        <v>93</v>
      </c>
      <c r="AY947" t="s">
        <v>94</v>
      </c>
      <c r="AZ947" t="s">
        <v>33</v>
      </c>
      <c r="BA947" s="18" t="s">
        <v>801</v>
      </c>
      <c r="BB947" t="b">
        <v>0</v>
      </c>
      <c r="BC947" t="s">
        <v>81</v>
      </c>
      <c r="BD947">
        <v>12</v>
      </c>
      <c r="BE947" t="s">
        <v>80</v>
      </c>
      <c r="BF947" s="11">
        <v>24</v>
      </c>
      <c r="BG947" t="s">
        <v>569</v>
      </c>
      <c r="BH947" t="s">
        <v>31</v>
      </c>
      <c r="BI947" t="s">
        <v>31</v>
      </c>
      <c r="BJ947" s="3">
        <f t="shared" si="480"/>
        <v>1.7450000000000001</v>
      </c>
      <c r="BK947" s="3">
        <f t="shared" si="487"/>
        <v>0.24179543129519873</v>
      </c>
      <c r="BL947">
        <v>2</v>
      </c>
      <c r="BM947" s="3">
        <f t="shared" si="486"/>
        <v>1.2223959393458008</v>
      </c>
      <c r="BN947" t="s">
        <v>33</v>
      </c>
      <c r="BO947" s="3">
        <f t="shared" si="462"/>
        <v>16.687679083094554</v>
      </c>
      <c r="BP947" t="s">
        <v>33</v>
      </c>
      <c r="BQ947" t="s">
        <v>33</v>
      </c>
      <c r="BR947" t="s">
        <v>33</v>
      </c>
      <c r="BS947" t="s">
        <v>33</v>
      </c>
      <c r="BT947" t="s">
        <v>32</v>
      </c>
      <c r="BU947" t="s">
        <v>412</v>
      </c>
      <c r="BV947">
        <v>2002</v>
      </c>
      <c r="BW947" t="s">
        <v>403</v>
      </c>
      <c r="BX947" t="s">
        <v>78</v>
      </c>
      <c r="BY947" t="s">
        <v>33</v>
      </c>
      <c r="BZ947" t="s">
        <v>33</v>
      </c>
      <c r="CA947" t="str">
        <f t="shared" si="464"/>
        <v>low acid</v>
      </c>
    </row>
    <row r="948" spans="1:79">
      <c r="A948" t="s">
        <v>527</v>
      </c>
      <c r="B948" t="s">
        <v>565</v>
      </c>
      <c r="C948" t="s">
        <v>564</v>
      </c>
      <c r="D948" t="s">
        <v>215</v>
      </c>
      <c r="E948" t="s">
        <v>77</v>
      </c>
      <c r="F948" t="s">
        <v>32</v>
      </c>
      <c r="G948">
        <v>22.7</v>
      </c>
      <c r="H948">
        <v>46</v>
      </c>
      <c r="I948" t="b">
        <v>0</v>
      </c>
      <c r="J948" t="s">
        <v>33</v>
      </c>
      <c r="K948" t="s">
        <v>33</v>
      </c>
      <c r="L948">
        <v>30</v>
      </c>
      <c r="M948" s="4">
        <v>155</v>
      </c>
      <c r="N948" s="3">
        <f>IFERROR(AF948/((T948*X948/Y948)*O948*AI948),"NA")</f>
        <v>57.132543674013711</v>
      </c>
      <c r="O948">
        <v>2</v>
      </c>
      <c r="P948" t="s">
        <v>33</v>
      </c>
      <c r="Q948" s="8">
        <f t="shared" si="485"/>
        <v>8.0645161290322578E-3</v>
      </c>
      <c r="R948" t="s">
        <v>183</v>
      </c>
      <c r="S948" t="s">
        <v>612</v>
      </c>
      <c r="T948" s="11">
        <v>2</v>
      </c>
      <c r="U948">
        <v>6.5</v>
      </c>
      <c r="V948">
        <v>5</v>
      </c>
      <c r="W948" t="s">
        <v>33</v>
      </c>
      <c r="X948" s="8">
        <f>IFERROR(((PI())*(((V948*10^-1)/2)^2)*(U948*10^-1)), "NA")</f>
        <v>0.12762720155208535</v>
      </c>
      <c r="Y948" s="6">
        <f>350/60</f>
        <v>5.833333333333333</v>
      </c>
      <c r="Z948" s="3">
        <f t="shared" si="481"/>
        <v>15.825772992458582</v>
      </c>
      <c r="AA948">
        <f>3/2</f>
        <v>1.5</v>
      </c>
      <c r="AB948" s="6">
        <f t="shared" ref="AB948:AB954" si="489">IFERROR(((X948*M948)/Z948), "NA")</f>
        <v>1.25</v>
      </c>
      <c r="AC948" t="str">
        <f t="shared" si="484"/>
        <v>NA</v>
      </c>
      <c r="AD948" s="4">
        <f>IFERROR(AB948*T948*AI948, "NA")</f>
        <v>2.5</v>
      </c>
      <c r="AE948" s="3">
        <f t="shared" si="482"/>
        <v>17.549999999999997</v>
      </c>
      <c r="AF948">
        <v>5</v>
      </c>
      <c r="AG948" t="str">
        <f>IFERROR((M948*O948*P948), "NA")</f>
        <v>NA</v>
      </c>
      <c r="AH948" t="str">
        <f>IFERROR((AG948*T948*AI948), "NA")</f>
        <v>NA</v>
      </c>
      <c r="AI948" s="11">
        <v>1</v>
      </c>
      <c r="AJ948" t="s">
        <v>31</v>
      </c>
      <c r="AK948">
        <v>3900</v>
      </c>
      <c r="AL948" t="s">
        <v>528</v>
      </c>
      <c r="AM948" s="3" t="s">
        <v>86</v>
      </c>
      <c r="AN948" t="s">
        <v>205</v>
      </c>
      <c r="AO948" t="s">
        <v>789</v>
      </c>
      <c r="AP948">
        <v>3.4</v>
      </c>
      <c r="AQ948" t="s">
        <v>33</v>
      </c>
      <c r="AR948">
        <v>3750</v>
      </c>
      <c r="AS948" s="6">
        <f>LOG(10^6)</f>
        <v>6</v>
      </c>
      <c r="AT948" s="3">
        <f t="shared" si="488"/>
        <v>5.26</v>
      </c>
      <c r="AU948" s="6">
        <f>(0.76+0.72)/2</f>
        <v>0.74</v>
      </c>
      <c r="AV948" t="b">
        <v>1</v>
      </c>
      <c r="AW948" t="s">
        <v>29</v>
      </c>
      <c r="AX948" t="s">
        <v>30</v>
      </c>
      <c r="AY948" t="s">
        <v>33</v>
      </c>
      <c r="AZ948" t="s">
        <v>134</v>
      </c>
      <c r="BA948" s="18" t="s">
        <v>798</v>
      </c>
      <c r="BB948" s="3" t="b">
        <v>0</v>
      </c>
      <c r="BC948" t="s">
        <v>81</v>
      </c>
      <c r="BD948">
        <v>18</v>
      </c>
      <c r="BE948" t="s">
        <v>80</v>
      </c>
      <c r="BF948" s="11">
        <v>24</v>
      </c>
      <c r="BG948" t="s">
        <v>87</v>
      </c>
      <c r="BH948" t="s">
        <v>31</v>
      </c>
      <c r="BI948" t="s">
        <v>31</v>
      </c>
      <c r="BJ948" s="3">
        <f t="shared" si="480"/>
        <v>0.74</v>
      </c>
      <c r="BK948" s="3">
        <f t="shared" si="487"/>
        <v>-0.13076828026902382</v>
      </c>
      <c r="BL948">
        <v>2</v>
      </c>
      <c r="BM948" s="3">
        <f t="shared" si="486"/>
        <v>1.3750454010708666</v>
      </c>
      <c r="BN948" t="s">
        <v>33</v>
      </c>
      <c r="BO948" s="3">
        <f t="shared" si="462"/>
        <v>23.716216216216214</v>
      </c>
      <c r="BP948" t="s">
        <v>33</v>
      </c>
      <c r="BQ948" t="s">
        <v>33</v>
      </c>
      <c r="BR948" t="s">
        <v>33</v>
      </c>
      <c r="BS948" t="s">
        <v>33</v>
      </c>
      <c r="BT948" t="s">
        <v>32</v>
      </c>
      <c r="BU948" t="s">
        <v>34</v>
      </c>
      <c r="BV948">
        <v>2019</v>
      </c>
      <c r="BW948" t="s">
        <v>35</v>
      </c>
      <c r="BX948" t="s">
        <v>78</v>
      </c>
      <c r="BY948" t="s">
        <v>33</v>
      </c>
      <c r="BZ948" t="s">
        <v>33</v>
      </c>
      <c r="CA948" t="str">
        <f t="shared" si="464"/>
        <v>high acid</v>
      </c>
    </row>
    <row r="949" spans="1:79">
      <c r="A949" t="s">
        <v>258</v>
      </c>
      <c r="B949" t="s">
        <v>565</v>
      </c>
      <c r="C949" t="s">
        <v>563</v>
      </c>
      <c r="D949" t="s">
        <v>118</v>
      </c>
      <c r="E949" t="s">
        <v>77</v>
      </c>
      <c r="F949" t="s">
        <v>32</v>
      </c>
      <c r="G949">
        <v>5</v>
      </c>
      <c r="H949">
        <v>40</v>
      </c>
      <c r="I949" t="b">
        <v>0</v>
      </c>
      <c r="J949" t="s">
        <v>33</v>
      </c>
      <c r="K949" t="s">
        <v>33</v>
      </c>
      <c r="L949">
        <v>35</v>
      </c>
      <c r="M949" s="4">
        <v>250</v>
      </c>
      <c r="N949" s="3">
        <f>IFERROR(AF949/((T949*X949/Y949)*O949*AI949),"NA")</f>
        <v>2361.2015298892129</v>
      </c>
      <c r="O949">
        <v>4</v>
      </c>
      <c r="P949" t="s">
        <v>33</v>
      </c>
      <c r="Q949">
        <f t="shared" si="485"/>
        <v>6.25E-2</v>
      </c>
      <c r="R949" t="s">
        <v>183</v>
      </c>
      <c r="S949" t="s">
        <v>613</v>
      </c>
      <c r="T949" s="11">
        <v>8</v>
      </c>
      <c r="U949">
        <v>2.92</v>
      </c>
      <c r="V949">
        <v>2.2999999999999998</v>
      </c>
      <c r="W949">
        <v>1.21E-2</v>
      </c>
      <c r="X949" s="8">
        <f>IFERROR(((PI())*(((V949*10^-1)/2)^2)*(U949*10^-1)), "NA")</f>
        <v>1.2131888350367701E-2</v>
      </c>
      <c r="Y949" s="6">
        <f>110/60</f>
        <v>1.8333333333333333</v>
      </c>
      <c r="Z949" s="3">
        <f t="shared" si="481"/>
        <v>0.19411021360588321</v>
      </c>
      <c r="AA949" t="s">
        <v>33</v>
      </c>
      <c r="AB949" s="6">
        <f t="shared" si="489"/>
        <v>15.625</v>
      </c>
      <c r="AC949" t="str">
        <f t="shared" si="484"/>
        <v>NA</v>
      </c>
      <c r="AD949" s="4">
        <f>AB949*T949*AI949</f>
        <v>125</v>
      </c>
      <c r="AE949" s="3">
        <f t="shared" si="482"/>
        <v>1335.25</v>
      </c>
      <c r="AF949">
        <v>500</v>
      </c>
      <c r="AG949" t="str">
        <f>IFERROR((M949*O949*P949), "NA")</f>
        <v>NA</v>
      </c>
      <c r="AH949" t="str">
        <f>IFERROR((AG949*T949*AI949), "NA")</f>
        <v>NA</v>
      </c>
      <c r="AI949">
        <v>1</v>
      </c>
      <c r="AJ949" t="s">
        <v>31</v>
      </c>
      <c r="AK949">
        <v>2180</v>
      </c>
      <c r="AL949" t="s">
        <v>149</v>
      </c>
      <c r="AM949" t="s">
        <v>86</v>
      </c>
      <c r="AN949" t="s">
        <v>205</v>
      </c>
      <c r="AO949" t="s">
        <v>789</v>
      </c>
      <c r="AP949">
        <v>4.46</v>
      </c>
      <c r="AQ949" t="s">
        <v>33</v>
      </c>
      <c r="AR949" t="s">
        <v>33</v>
      </c>
      <c r="AS949" s="6">
        <f>LOG((10^7+10^8)/2)</f>
        <v>7.7403626894942441</v>
      </c>
      <c r="AT949" s="3">
        <f t="shared" si="488"/>
        <v>5.2663626894942439</v>
      </c>
      <c r="AU949" s="6">
        <v>2.4740000000000002</v>
      </c>
      <c r="AV949" t="b">
        <v>1</v>
      </c>
      <c r="AW949" t="s">
        <v>29</v>
      </c>
      <c r="AX949" t="s">
        <v>30</v>
      </c>
      <c r="AY949" t="s">
        <v>33</v>
      </c>
      <c r="AZ949" t="s">
        <v>134</v>
      </c>
      <c r="BA949" s="18" t="s">
        <v>798</v>
      </c>
      <c r="BB949" t="b">
        <v>0</v>
      </c>
      <c r="BC949" t="s">
        <v>81</v>
      </c>
      <c r="BD949">
        <v>15</v>
      </c>
      <c r="BE949" t="s">
        <v>80</v>
      </c>
      <c r="BF949" s="11">
        <v>24</v>
      </c>
      <c r="BG949" t="s">
        <v>262</v>
      </c>
      <c r="BH949" t="s">
        <v>31</v>
      </c>
      <c r="BI949" t="s">
        <v>31</v>
      </c>
      <c r="BJ949" s="3">
        <f t="shared" si="480"/>
        <v>2.4740000000000002</v>
      </c>
      <c r="BK949" s="3">
        <f t="shared" si="487"/>
        <v>0.39339969529310187</v>
      </c>
      <c r="BL949">
        <v>2</v>
      </c>
      <c r="BM949" s="3">
        <f t="shared" si="486"/>
        <v>2.7321628913480729</v>
      </c>
      <c r="BN949" t="s">
        <v>33</v>
      </c>
      <c r="BO949" s="3">
        <f t="shared" si="462"/>
        <v>539.71301535974123</v>
      </c>
      <c r="BP949" t="s">
        <v>33</v>
      </c>
      <c r="BQ949" t="s">
        <v>33</v>
      </c>
      <c r="BR949" t="s">
        <v>33</v>
      </c>
      <c r="BS949" t="s">
        <v>33</v>
      </c>
      <c r="BT949" t="s">
        <v>31</v>
      </c>
      <c r="BU949" t="s">
        <v>219</v>
      </c>
      <c r="BV949">
        <v>2008</v>
      </c>
      <c r="BW949" s="2" t="s">
        <v>257</v>
      </c>
      <c r="BX949" t="s">
        <v>78</v>
      </c>
      <c r="BY949" t="s">
        <v>33</v>
      </c>
      <c r="BZ949" t="s">
        <v>33</v>
      </c>
      <c r="CA949" t="str">
        <f t="shared" si="464"/>
        <v>high acid</v>
      </c>
    </row>
    <row r="950" spans="1:79">
      <c r="A950" t="s">
        <v>259</v>
      </c>
      <c r="B950" t="s">
        <v>565</v>
      </c>
      <c r="C950" t="s">
        <v>563</v>
      </c>
      <c r="D950" t="s">
        <v>118</v>
      </c>
      <c r="E950" t="s">
        <v>77</v>
      </c>
      <c r="F950" t="s">
        <v>32</v>
      </c>
      <c r="G950">
        <v>5</v>
      </c>
      <c r="H950">
        <v>40</v>
      </c>
      <c r="I950" t="b">
        <v>0</v>
      </c>
      <c r="J950" t="s">
        <v>33</v>
      </c>
      <c r="K950" t="s">
        <v>33</v>
      </c>
      <c r="L950">
        <v>35</v>
      </c>
      <c r="M950" s="4">
        <v>250</v>
      </c>
      <c r="N950" s="3">
        <f>IFERROR(AF950/((T950*X950/Y950)*O950*AI950),"NA")</f>
        <v>2361.2015298892129</v>
      </c>
      <c r="O950">
        <v>4</v>
      </c>
      <c r="P950" t="s">
        <v>33</v>
      </c>
      <c r="Q950">
        <f t="shared" si="485"/>
        <v>6.25E-2</v>
      </c>
      <c r="R950" t="s">
        <v>183</v>
      </c>
      <c r="S950" t="s">
        <v>613</v>
      </c>
      <c r="T950" s="11">
        <v>8</v>
      </c>
      <c r="U950">
        <v>2.92</v>
      </c>
      <c r="V950">
        <v>2.2999999999999998</v>
      </c>
      <c r="W950">
        <v>1.21E-2</v>
      </c>
      <c r="X950" s="8">
        <f>IFERROR(((PI())*(((V950*10^-1)/2)^2)*(U950*10^-1)), "NA")</f>
        <v>1.2131888350367701E-2</v>
      </c>
      <c r="Y950" s="6">
        <f>110/60</f>
        <v>1.8333333333333333</v>
      </c>
      <c r="Z950" s="3">
        <f t="shared" si="481"/>
        <v>0.19411021360588321</v>
      </c>
      <c r="AA950" t="s">
        <v>33</v>
      </c>
      <c r="AB950" s="6">
        <f t="shared" si="489"/>
        <v>15.625</v>
      </c>
      <c r="AC950" t="str">
        <f t="shared" si="484"/>
        <v>NA</v>
      </c>
      <c r="AD950" s="4">
        <f>AB950*T950*AI950</f>
        <v>125</v>
      </c>
      <c r="AE950" s="3">
        <f t="shared" si="482"/>
        <v>1831.375</v>
      </c>
      <c r="AF950">
        <v>500</v>
      </c>
      <c r="AG950" t="str">
        <f>IFERROR((M950*O950*P950), "NA")</f>
        <v>NA</v>
      </c>
      <c r="AH950" t="str">
        <f>IFERROR((AG950*T950*AI950), "NA")</f>
        <v>NA</v>
      </c>
      <c r="AI950">
        <v>1</v>
      </c>
      <c r="AJ950" t="s">
        <v>31</v>
      </c>
      <c r="AK950">
        <v>2990</v>
      </c>
      <c r="AL950" t="s">
        <v>544</v>
      </c>
      <c r="AM950" t="s">
        <v>86</v>
      </c>
      <c r="AN950" t="s">
        <v>205</v>
      </c>
      <c r="AO950" t="s">
        <v>789</v>
      </c>
      <c r="AP950">
        <v>4.4000000000000004</v>
      </c>
      <c r="AQ950" t="s">
        <v>33</v>
      </c>
      <c r="AR950" t="s">
        <v>33</v>
      </c>
      <c r="AS950" s="6">
        <f>LOG((10^7+10^8)/2)</f>
        <v>7.7403626894942441</v>
      </c>
      <c r="AT950" s="3">
        <f t="shared" si="488"/>
        <v>5.2663626894942439</v>
      </c>
      <c r="AU950" s="6">
        <v>2.4740000000000002</v>
      </c>
      <c r="AV950" t="b">
        <v>1</v>
      </c>
      <c r="AW950" t="s">
        <v>29</v>
      </c>
      <c r="AX950" t="s">
        <v>30</v>
      </c>
      <c r="AY950" t="s">
        <v>33</v>
      </c>
      <c r="AZ950" t="s">
        <v>134</v>
      </c>
      <c r="BA950" s="18" t="s">
        <v>798</v>
      </c>
      <c r="BB950" t="b">
        <v>0</v>
      </c>
      <c r="BC950" t="s">
        <v>81</v>
      </c>
      <c r="BD950">
        <v>15</v>
      </c>
      <c r="BE950" t="s">
        <v>80</v>
      </c>
      <c r="BF950" s="11">
        <v>24</v>
      </c>
      <c r="BG950" t="s">
        <v>262</v>
      </c>
      <c r="BH950" t="s">
        <v>31</v>
      </c>
      <c r="BI950" t="s">
        <v>31</v>
      </c>
      <c r="BJ950" s="3">
        <f t="shared" si="480"/>
        <v>2.4740000000000002</v>
      </c>
      <c r="BK950" s="3">
        <f t="shared" si="487"/>
        <v>0.39339969529310187</v>
      </c>
      <c r="BL950">
        <v>2</v>
      </c>
      <c r="BM950" s="3">
        <f t="shared" si="486"/>
        <v>2.8693775860678978</v>
      </c>
      <c r="BN950" t="s">
        <v>33</v>
      </c>
      <c r="BO950" s="3">
        <f t="shared" si="462"/>
        <v>740.24858528698462</v>
      </c>
      <c r="BP950" t="s">
        <v>33</v>
      </c>
      <c r="BQ950" t="s">
        <v>33</v>
      </c>
      <c r="BR950" t="s">
        <v>33</v>
      </c>
      <c r="BS950" t="s">
        <v>33</v>
      </c>
      <c r="BT950" t="s">
        <v>31</v>
      </c>
      <c r="BU950" t="s">
        <v>219</v>
      </c>
      <c r="BV950">
        <v>2008</v>
      </c>
      <c r="BW950" s="2" t="s">
        <v>257</v>
      </c>
      <c r="BX950" t="s">
        <v>78</v>
      </c>
      <c r="BY950" t="s">
        <v>33</v>
      </c>
      <c r="BZ950" t="s">
        <v>33</v>
      </c>
      <c r="CA950" t="str">
        <f t="shared" si="464"/>
        <v>high acid</v>
      </c>
    </row>
    <row r="951" spans="1:79">
      <c r="A951" t="s">
        <v>584</v>
      </c>
      <c r="B951" t="s">
        <v>566</v>
      </c>
      <c r="C951" t="s">
        <v>563</v>
      </c>
      <c r="D951" t="s">
        <v>607</v>
      </c>
      <c r="E951" t="s">
        <v>77</v>
      </c>
      <c r="F951" t="s">
        <v>33</v>
      </c>
      <c r="G951">
        <v>20</v>
      </c>
      <c r="H951">
        <v>35</v>
      </c>
      <c r="I951" t="b">
        <v>0</v>
      </c>
      <c r="J951">
        <v>1000</v>
      </c>
      <c r="K951">
        <v>200</v>
      </c>
      <c r="L951">
        <v>35</v>
      </c>
      <c r="M951" s="4">
        <v>1</v>
      </c>
      <c r="N951" t="e">
        <f>(#REF!*Y951)/(T951*X951*O951)</f>
        <v>#REF!</v>
      </c>
      <c r="O951">
        <v>3</v>
      </c>
      <c r="P951" t="s">
        <v>33</v>
      </c>
      <c r="Q951" s="1">
        <f t="shared" si="485"/>
        <v>25.000000000000004</v>
      </c>
      <c r="R951" t="s">
        <v>183</v>
      </c>
      <c r="S951" t="s">
        <v>33</v>
      </c>
      <c r="T951">
        <v>1</v>
      </c>
      <c r="U951">
        <v>2.5</v>
      </c>
      <c r="V951" t="s">
        <v>33</v>
      </c>
      <c r="W951">
        <v>0.50249999999999995</v>
      </c>
      <c r="X951">
        <f>W951</f>
        <v>0.50249999999999995</v>
      </c>
      <c r="Y951" t="s">
        <v>33</v>
      </c>
      <c r="Z951" s="3">
        <f t="shared" si="481"/>
        <v>2.0099999999999996E-2</v>
      </c>
      <c r="AA951" t="s">
        <v>33</v>
      </c>
      <c r="AB951">
        <f t="shared" si="489"/>
        <v>25.000000000000004</v>
      </c>
      <c r="AC951" s="1" t="str">
        <f t="shared" si="484"/>
        <v>NA</v>
      </c>
      <c r="AE951" s="3">
        <f t="shared" si="482"/>
        <v>91.875000000000014</v>
      </c>
      <c r="AF951">
        <v>75</v>
      </c>
      <c r="AG951" s="1" t="str">
        <f>IFERROR((N951*P951*Q951), "NA")</f>
        <v>NA</v>
      </c>
      <c r="AH951" s="1" t="str">
        <f>IFERROR((AG951*U951*AI951), "NA")</f>
        <v>NA</v>
      </c>
      <c r="AI951" s="1">
        <v>1</v>
      </c>
      <c r="AJ951" s="11" t="s">
        <v>31</v>
      </c>
      <c r="AK951">
        <v>1000</v>
      </c>
      <c r="AL951" t="s">
        <v>614</v>
      </c>
      <c r="AM951" s="3" t="s">
        <v>103</v>
      </c>
      <c r="AN951" t="s">
        <v>305</v>
      </c>
      <c r="AO951" t="s">
        <v>790</v>
      </c>
      <c r="AP951">
        <v>3.5</v>
      </c>
      <c r="AQ951" t="s">
        <v>33</v>
      </c>
      <c r="AR951" t="s">
        <v>33</v>
      </c>
      <c r="AS951">
        <v>8</v>
      </c>
      <c r="AT951">
        <f>AS951-AU951</f>
        <v>5.27</v>
      </c>
      <c r="AU951" s="6">
        <v>2.73</v>
      </c>
      <c r="AV951" t="b">
        <v>1</v>
      </c>
      <c r="AW951" t="s">
        <v>617</v>
      </c>
      <c r="AX951" t="s">
        <v>33</v>
      </c>
      <c r="AY951" t="s">
        <v>623</v>
      </c>
      <c r="AZ951" t="s">
        <v>621</v>
      </c>
      <c r="BA951" s="18" t="s">
        <v>802</v>
      </c>
      <c r="BB951" s="3" t="b">
        <v>0</v>
      </c>
      <c r="BC951" t="s">
        <v>81</v>
      </c>
      <c r="BD951">
        <v>18</v>
      </c>
      <c r="BE951" t="s">
        <v>80</v>
      </c>
      <c r="BF951">
        <v>24</v>
      </c>
      <c r="BG951" t="s">
        <v>569</v>
      </c>
      <c r="BH951" t="s">
        <v>31</v>
      </c>
      <c r="BI951" t="s">
        <v>31</v>
      </c>
      <c r="BJ951">
        <f t="shared" si="480"/>
        <v>2.73</v>
      </c>
      <c r="BK951" s="3">
        <f t="shared" si="487"/>
        <v>0.43616264704075602</v>
      </c>
      <c r="BL951">
        <v>2</v>
      </c>
      <c r="BM951" s="3">
        <f t="shared" si="486"/>
        <v>1.5270347050514954</v>
      </c>
      <c r="BN951" t="s">
        <v>33</v>
      </c>
      <c r="BO951" s="3">
        <f t="shared" si="462"/>
        <v>33.65384615384616</v>
      </c>
      <c r="BP951" t="s">
        <v>33</v>
      </c>
      <c r="BQ951" t="s">
        <v>33</v>
      </c>
      <c r="BR951" t="s">
        <v>33</v>
      </c>
      <c r="BS951" t="s">
        <v>33</v>
      </c>
      <c r="BT951" t="s">
        <v>31</v>
      </c>
      <c r="BU951" t="s">
        <v>255</v>
      </c>
      <c r="BV951">
        <v>2010</v>
      </c>
      <c r="BW951" t="s">
        <v>651</v>
      </c>
      <c r="BX951" t="s">
        <v>78</v>
      </c>
      <c r="BY951" s="13" t="s">
        <v>674</v>
      </c>
      <c r="CA951" t="str">
        <f t="shared" si="464"/>
        <v>high acid</v>
      </c>
    </row>
    <row r="952" spans="1:79">
      <c r="A952" t="s">
        <v>392</v>
      </c>
      <c r="B952" t="s">
        <v>565</v>
      </c>
      <c r="C952" t="s">
        <v>563</v>
      </c>
      <c r="D952" t="s">
        <v>118</v>
      </c>
      <c r="E952" t="s">
        <v>77</v>
      </c>
      <c r="F952" t="s">
        <v>32</v>
      </c>
      <c r="G952">
        <v>25</v>
      </c>
      <c r="H952">
        <v>36</v>
      </c>
      <c r="I952" t="b">
        <v>0</v>
      </c>
      <c r="J952" t="s">
        <v>33</v>
      </c>
      <c r="K952" t="s">
        <v>33</v>
      </c>
      <c r="L952">
        <v>25</v>
      </c>
      <c r="M952" s="4">
        <v>200</v>
      </c>
      <c r="N952" s="3" t="str">
        <f t="shared" ref="N952:N958" si="490">IFERROR(AF952/((T952*X952/Y952)*O952*AI952),"NA")</f>
        <v>NA</v>
      </c>
      <c r="O952">
        <v>4</v>
      </c>
      <c r="P952" t="s">
        <v>33</v>
      </c>
      <c r="Q952" s="8">
        <f t="shared" si="485"/>
        <v>4.6875000000000007E-2</v>
      </c>
      <c r="R952" t="s">
        <v>183</v>
      </c>
      <c r="S952" t="s">
        <v>613</v>
      </c>
      <c r="T952" s="11">
        <v>8</v>
      </c>
      <c r="U952">
        <v>2.9</v>
      </c>
      <c r="V952">
        <v>2.2999999999999998</v>
      </c>
      <c r="W952">
        <v>1.2E-2</v>
      </c>
      <c r="X952" s="8">
        <f>IFERROR(((PI())*(((V952*10^-1)/2)^2)*(U952*10^-1)), "NA")</f>
        <v>1.204879322468025E-2</v>
      </c>
      <c r="Y952" t="s">
        <v>33</v>
      </c>
      <c r="Z952" s="3">
        <f t="shared" si="481"/>
        <v>0.25704092212651197</v>
      </c>
      <c r="AA952" t="s">
        <v>33</v>
      </c>
      <c r="AB952" s="6">
        <f t="shared" si="489"/>
        <v>9.375</v>
      </c>
      <c r="AC952" t="str">
        <f t="shared" si="484"/>
        <v>NA</v>
      </c>
      <c r="AD952" s="4">
        <f>AB952*T952*AI952</f>
        <v>75</v>
      </c>
      <c r="AE952" s="3">
        <f t="shared" si="482"/>
        <v>795.00000000000011</v>
      </c>
      <c r="AF952">
        <v>300</v>
      </c>
      <c r="AG952" t="str">
        <f t="shared" ref="AG952:AG957" si="491">IFERROR((M952*O952*P952), "NA")</f>
        <v>NA</v>
      </c>
      <c r="AH952" t="str">
        <f t="shared" ref="AH952:AH958" si="492">IFERROR((AG952*T952*AI952), "NA")</f>
        <v>NA</v>
      </c>
      <c r="AI952">
        <v>1</v>
      </c>
      <c r="AJ952" t="s">
        <v>31</v>
      </c>
      <c r="AK952">
        <v>4240</v>
      </c>
      <c r="AL952" t="s">
        <v>238</v>
      </c>
      <c r="AM952" t="s">
        <v>86</v>
      </c>
      <c r="AN952" t="s">
        <v>205</v>
      </c>
      <c r="AO952" t="s">
        <v>789</v>
      </c>
      <c r="AP952">
        <v>3.56</v>
      </c>
      <c r="AQ952" t="s">
        <v>33</v>
      </c>
      <c r="AR952" t="s">
        <v>33</v>
      </c>
      <c r="AS952" s="6">
        <f>LOG(10^8)</f>
        <v>8</v>
      </c>
      <c r="AT952" s="3">
        <f t="shared" ref="AT952:AT958" si="493">IFERROR(AS952-AU952,"NA")</f>
        <v>5.2709999999999999</v>
      </c>
      <c r="AU952" s="6">
        <v>2.7290000000000001</v>
      </c>
      <c r="AV952" t="b">
        <v>1</v>
      </c>
      <c r="AW952" t="s">
        <v>123</v>
      </c>
      <c r="AX952" t="s">
        <v>393</v>
      </c>
      <c r="AY952" t="s">
        <v>394</v>
      </c>
      <c r="AZ952" t="s">
        <v>33</v>
      </c>
      <c r="BA952" s="18" t="s">
        <v>579</v>
      </c>
      <c r="BB952" t="b">
        <v>1</v>
      </c>
      <c r="BC952" t="s">
        <v>81</v>
      </c>
      <c r="BD952">
        <v>72</v>
      </c>
      <c r="BE952" t="s">
        <v>80</v>
      </c>
      <c r="BF952" s="11">
        <v>72</v>
      </c>
      <c r="BG952" t="s">
        <v>395</v>
      </c>
      <c r="BH952" t="s">
        <v>31</v>
      </c>
      <c r="BI952" t="s">
        <v>31</v>
      </c>
      <c r="BJ952" s="3">
        <f t="shared" si="480"/>
        <v>2.7290000000000001</v>
      </c>
      <c r="BK952" s="3">
        <f t="shared" si="487"/>
        <v>0.43600353566989652</v>
      </c>
      <c r="BL952">
        <v>2</v>
      </c>
      <c r="BM952" s="3">
        <f t="shared" si="486"/>
        <v>2.4643635929865737</v>
      </c>
      <c r="BN952" t="s">
        <v>33</v>
      </c>
      <c r="BO952" s="3">
        <f t="shared" si="462"/>
        <v>291.31550018321735</v>
      </c>
      <c r="BP952" t="s">
        <v>33</v>
      </c>
      <c r="BQ952" t="s">
        <v>33</v>
      </c>
      <c r="BR952" t="s">
        <v>33</v>
      </c>
      <c r="BS952" t="s">
        <v>33</v>
      </c>
      <c r="BT952" t="s">
        <v>31</v>
      </c>
      <c r="BU952" t="s">
        <v>240</v>
      </c>
      <c r="BV952">
        <v>2005</v>
      </c>
      <c r="BW952" t="s">
        <v>396</v>
      </c>
      <c r="BX952" t="s">
        <v>78</v>
      </c>
      <c r="BY952" t="s">
        <v>33</v>
      </c>
      <c r="BZ952" t="s">
        <v>33</v>
      </c>
      <c r="CA952" t="str">
        <f t="shared" si="464"/>
        <v>high acid</v>
      </c>
    </row>
    <row r="953" spans="1:79">
      <c r="A953" t="s">
        <v>534</v>
      </c>
      <c r="B953" t="s">
        <v>565</v>
      </c>
      <c r="C953" t="s">
        <v>564</v>
      </c>
      <c r="D953" t="s">
        <v>243</v>
      </c>
      <c r="E953" t="s">
        <v>77</v>
      </c>
      <c r="F953" t="s">
        <v>32</v>
      </c>
      <c r="G953">
        <v>40</v>
      </c>
      <c r="H953">
        <v>50.2</v>
      </c>
      <c r="I953" t="b">
        <v>0</v>
      </c>
      <c r="J953" t="s">
        <v>33</v>
      </c>
      <c r="K953" t="s">
        <v>33</v>
      </c>
      <c r="L953">
        <v>15</v>
      </c>
      <c r="M953" s="4">
        <v>120</v>
      </c>
      <c r="N953" s="3">
        <f t="shared" si="490"/>
        <v>601.6705606695582</v>
      </c>
      <c r="O953">
        <v>3</v>
      </c>
      <c r="P953" t="s">
        <v>33</v>
      </c>
      <c r="Q953" s="8">
        <f t="shared" si="485"/>
        <v>0.19166666666666665</v>
      </c>
      <c r="R953" t="s">
        <v>183</v>
      </c>
      <c r="S953" t="s">
        <v>612</v>
      </c>
      <c r="T953" s="11">
        <v>4</v>
      </c>
      <c r="U953">
        <v>3</v>
      </c>
      <c r="V953">
        <v>2.6</v>
      </c>
      <c r="W953">
        <v>1.5900000000000001E-2</v>
      </c>
      <c r="X953" s="8">
        <f>IFERROR(((PI())*(((V953*10^-1)/2)^2)*(U953*10^-1)), "NA")</f>
        <v>1.5927874753700257E-2</v>
      </c>
      <c r="Y953" s="6">
        <f>25/60</f>
        <v>0.41666666666666669</v>
      </c>
      <c r="Z953" s="3">
        <f t="shared" si="481"/>
        <v>8.3101955236697E-2</v>
      </c>
      <c r="AA953" t="s">
        <v>33</v>
      </c>
      <c r="AB953" s="6">
        <f t="shared" si="489"/>
        <v>22.999999999999996</v>
      </c>
      <c r="AC953" t="str">
        <f t="shared" si="484"/>
        <v>NA</v>
      </c>
      <c r="AD953" s="4">
        <f>IFERROR(AB953*T953*AI953, "NA")</f>
        <v>91.999999999999986</v>
      </c>
      <c r="AE953" s="3">
        <f t="shared" si="482"/>
        <v>57.131999999999991</v>
      </c>
      <c r="AF953">
        <v>276</v>
      </c>
      <c r="AG953" t="str">
        <f t="shared" si="491"/>
        <v>NA</v>
      </c>
      <c r="AH953" t="str">
        <f t="shared" si="492"/>
        <v>NA</v>
      </c>
      <c r="AI953" s="11">
        <v>1</v>
      </c>
      <c r="AJ953" t="s">
        <v>31</v>
      </c>
      <c r="AK953">
        <v>920</v>
      </c>
      <c r="AL953" t="s">
        <v>551</v>
      </c>
      <c r="AM953" t="s">
        <v>86</v>
      </c>
      <c r="AN953" t="s">
        <v>186</v>
      </c>
      <c r="AO953" t="s">
        <v>794</v>
      </c>
      <c r="AP953">
        <v>5.92</v>
      </c>
      <c r="AQ953" t="s">
        <v>33</v>
      </c>
      <c r="AR953" t="s">
        <v>33</v>
      </c>
      <c r="AS953" s="6">
        <f>LOG(1.4*10^6)</f>
        <v>6.1461280356782382</v>
      </c>
      <c r="AT953" s="3">
        <f t="shared" si="493"/>
        <v>5.273128035678238</v>
      </c>
      <c r="AU953" s="6">
        <v>0.873</v>
      </c>
      <c r="AV953" t="b">
        <v>1</v>
      </c>
      <c r="AW953" t="s">
        <v>29</v>
      </c>
      <c r="AX953" t="s">
        <v>30</v>
      </c>
      <c r="AY953" t="s">
        <v>244</v>
      </c>
      <c r="AZ953" t="s">
        <v>33</v>
      </c>
      <c r="BA953" s="18" t="s">
        <v>798</v>
      </c>
      <c r="BB953" t="b">
        <v>0</v>
      </c>
      <c r="BC953" t="s">
        <v>81</v>
      </c>
      <c r="BD953">
        <v>20</v>
      </c>
      <c r="BE953" t="s">
        <v>80</v>
      </c>
      <c r="BF953" s="11">
        <v>20</v>
      </c>
      <c r="BG953" t="s">
        <v>245</v>
      </c>
      <c r="BH953" t="s">
        <v>31</v>
      </c>
      <c r="BI953" t="s">
        <v>31</v>
      </c>
      <c r="BJ953" s="3">
        <f t="shared" si="480"/>
        <v>0.873</v>
      </c>
      <c r="BK953" s="3">
        <f t="shared" si="487"/>
        <v>-5.8985756294430272E-2</v>
      </c>
      <c r="BL953">
        <v>2</v>
      </c>
      <c r="BM953" s="3">
        <f t="shared" si="486"/>
        <v>1.8158651838165658</v>
      </c>
      <c r="BN953" t="s">
        <v>33</v>
      </c>
      <c r="BO953" s="3">
        <f t="shared" si="462"/>
        <v>65.44329896907216</v>
      </c>
      <c r="BP953" t="s">
        <v>33</v>
      </c>
      <c r="BQ953" t="s">
        <v>33</v>
      </c>
      <c r="BR953" t="s">
        <v>33</v>
      </c>
      <c r="BS953" t="s">
        <v>33</v>
      </c>
      <c r="BT953" t="s">
        <v>32</v>
      </c>
      <c r="BU953" t="s">
        <v>207</v>
      </c>
      <c r="BV953">
        <v>2014</v>
      </c>
      <c r="BW953" s="2" t="s">
        <v>242</v>
      </c>
      <c r="BX953" t="s">
        <v>78</v>
      </c>
      <c r="BY953" t="s">
        <v>33</v>
      </c>
      <c r="BZ953" t="s">
        <v>33</v>
      </c>
      <c r="CA953" t="str">
        <f t="shared" si="464"/>
        <v>low acid</v>
      </c>
    </row>
    <row r="954" spans="1:79">
      <c r="A954" t="s">
        <v>533</v>
      </c>
      <c r="B954" t="s">
        <v>565</v>
      </c>
      <c r="C954" t="s">
        <v>564</v>
      </c>
      <c r="D954" t="s">
        <v>209</v>
      </c>
      <c r="E954" t="s">
        <v>77</v>
      </c>
      <c r="F954" t="s">
        <v>32</v>
      </c>
      <c r="G954">
        <v>30</v>
      </c>
      <c r="H954">
        <v>38.200000000000003</v>
      </c>
      <c r="I954" t="b">
        <v>0</v>
      </c>
      <c r="J954" t="s">
        <v>33</v>
      </c>
      <c r="K954" t="s">
        <v>33</v>
      </c>
      <c r="L954">
        <v>18</v>
      </c>
      <c r="M954" s="4">
        <v>120</v>
      </c>
      <c r="N954" s="3">
        <f t="shared" si="490"/>
        <v>59.643864275069241</v>
      </c>
      <c r="O954">
        <v>3</v>
      </c>
      <c r="P954" t="s">
        <v>33</v>
      </c>
      <c r="Q954">
        <f t="shared" si="485"/>
        <v>6.25E-2</v>
      </c>
      <c r="R954" t="s">
        <v>183</v>
      </c>
      <c r="S954" t="s">
        <v>612</v>
      </c>
      <c r="T954" s="11">
        <v>4</v>
      </c>
      <c r="U954">
        <v>3</v>
      </c>
      <c r="V954">
        <v>2.6</v>
      </c>
      <c r="W954" t="s">
        <v>33</v>
      </c>
      <c r="X954" s="8">
        <f>IFERROR(((PI())*(((V954*10^-1)/2)^2)*(U954*10^-1)), "NA")</f>
        <v>1.5927874753700257E-2</v>
      </c>
      <c r="Y954" s="6">
        <f>7.6/60</f>
        <v>0.12666666666666665</v>
      </c>
      <c r="Z954" s="3">
        <f t="shared" si="481"/>
        <v>0.25484599605920411</v>
      </c>
      <c r="AA954" t="s">
        <v>33</v>
      </c>
      <c r="AB954" s="6">
        <f t="shared" si="489"/>
        <v>7.5</v>
      </c>
      <c r="AC954" t="str">
        <f t="shared" si="484"/>
        <v>NA</v>
      </c>
      <c r="AD954" s="4">
        <f>IFERROR(AB954*T954*AI954, "NA")</f>
        <v>30</v>
      </c>
      <c r="AE954" s="3">
        <f t="shared" si="482"/>
        <v>28.576799999999999</v>
      </c>
      <c r="AF954">
        <v>90</v>
      </c>
      <c r="AG954" t="str">
        <f t="shared" si="491"/>
        <v>NA</v>
      </c>
      <c r="AH954" t="str">
        <f t="shared" si="492"/>
        <v>NA</v>
      </c>
      <c r="AI954" s="11">
        <v>1</v>
      </c>
      <c r="AJ954" t="s">
        <v>31</v>
      </c>
      <c r="AK954">
        <v>980</v>
      </c>
      <c r="AL954" t="s">
        <v>551</v>
      </c>
      <c r="AM954" t="s">
        <v>86</v>
      </c>
      <c r="AN954" t="s">
        <v>186</v>
      </c>
      <c r="AO954" t="s">
        <v>794</v>
      </c>
      <c r="AP954">
        <v>5.98</v>
      </c>
      <c r="AQ954" t="s">
        <v>33</v>
      </c>
      <c r="AR954" t="s">
        <v>33</v>
      </c>
      <c r="AS954" s="6">
        <v>6.4</v>
      </c>
      <c r="AT954" s="3">
        <f t="shared" si="493"/>
        <v>5.2740000000000009</v>
      </c>
      <c r="AU954" s="6">
        <v>1.1259999999999999</v>
      </c>
      <c r="AV954" t="b">
        <v>1</v>
      </c>
      <c r="AW954" t="s">
        <v>29</v>
      </c>
      <c r="AX954" t="s">
        <v>30</v>
      </c>
      <c r="AY954" t="s">
        <v>211</v>
      </c>
      <c r="AZ954" t="s">
        <v>33</v>
      </c>
      <c r="BA954" s="18" t="s">
        <v>798</v>
      </c>
      <c r="BB954" t="b">
        <v>0</v>
      </c>
      <c r="BC954" t="s">
        <v>81</v>
      </c>
      <c r="BD954">
        <v>20</v>
      </c>
      <c r="BE954" t="s">
        <v>80</v>
      </c>
      <c r="BF954" s="11">
        <v>20</v>
      </c>
      <c r="BG954" t="s">
        <v>570</v>
      </c>
      <c r="BH954" t="s">
        <v>31</v>
      </c>
      <c r="BI954" t="s">
        <v>31</v>
      </c>
      <c r="BJ954" s="3">
        <f t="shared" si="480"/>
        <v>1.1259999999999999</v>
      </c>
      <c r="BK954" s="3">
        <f t="shared" si="487"/>
        <v>5.1538390515327381E-2</v>
      </c>
      <c r="BL954">
        <v>2</v>
      </c>
      <c r="BM954" s="3">
        <f t="shared" si="486"/>
        <v>1.4044752048231044</v>
      </c>
      <c r="BN954" t="s">
        <v>33</v>
      </c>
      <c r="BO954" s="3">
        <f t="shared" si="462"/>
        <v>25.379040852575489</v>
      </c>
      <c r="BP954" t="s">
        <v>33</v>
      </c>
      <c r="BQ954" t="s">
        <v>33</v>
      </c>
      <c r="BR954" t="s">
        <v>33</v>
      </c>
      <c r="BS954" t="s">
        <v>33</v>
      </c>
      <c r="BT954" t="s">
        <v>32</v>
      </c>
      <c r="BU954" t="s">
        <v>207</v>
      </c>
      <c r="BV954">
        <v>2014</v>
      </c>
      <c r="BW954" t="s">
        <v>208</v>
      </c>
      <c r="BX954" t="s">
        <v>78</v>
      </c>
      <c r="BY954" t="s">
        <v>33</v>
      </c>
      <c r="BZ954" t="s">
        <v>33</v>
      </c>
      <c r="CA954" t="str">
        <f t="shared" si="464"/>
        <v>low acid</v>
      </c>
    </row>
    <row r="955" spans="1:79">
      <c r="A955" t="s">
        <v>733</v>
      </c>
      <c r="B955" t="s">
        <v>566</v>
      </c>
      <c r="C955" t="s">
        <v>563</v>
      </c>
      <c r="D955" t="s">
        <v>699</v>
      </c>
      <c r="E955" t="s">
        <v>77</v>
      </c>
      <c r="F955" t="s">
        <v>32</v>
      </c>
      <c r="G955">
        <v>20</v>
      </c>
      <c r="H955">
        <v>42.5</v>
      </c>
      <c r="I955" t="b">
        <v>1</v>
      </c>
      <c r="J955" t="s">
        <v>33</v>
      </c>
      <c r="K955" t="s">
        <v>33</v>
      </c>
      <c r="L955">
        <v>20</v>
      </c>
      <c r="M955" s="4">
        <v>47</v>
      </c>
      <c r="N955" s="3">
        <f t="shared" si="490"/>
        <v>46.759259259259245</v>
      </c>
      <c r="O955">
        <v>5</v>
      </c>
      <c r="P955">
        <v>0.43</v>
      </c>
      <c r="Q955" s="8">
        <f>IFERROR(X955/Y955, "NA")</f>
        <v>0.43200000000000011</v>
      </c>
      <c r="R955" t="s">
        <v>183</v>
      </c>
      <c r="S955" t="s">
        <v>612</v>
      </c>
      <c r="T955" s="11">
        <v>1</v>
      </c>
      <c r="U955">
        <v>4</v>
      </c>
      <c r="V955" t="s">
        <v>33</v>
      </c>
      <c r="W955">
        <f>0.4*3*0.5</f>
        <v>0.60000000000000009</v>
      </c>
      <c r="X955" s="9">
        <f>W955</f>
        <v>0.60000000000000009</v>
      </c>
      <c r="Y955" s="6">
        <f>5000/3600</f>
        <v>1.3888888888888888</v>
      </c>
      <c r="Z955" s="3">
        <f t="shared" si="481"/>
        <v>1.3960396039603959</v>
      </c>
      <c r="AA955" t="s">
        <v>33</v>
      </c>
      <c r="AB955" s="4">
        <f>IFERROR(((X955*M955)/Y955), "NA")</f>
        <v>20.304000000000002</v>
      </c>
      <c r="AC955" s="4">
        <f t="shared" si="484"/>
        <v>20.21</v>
      </c>
      <c r="AD955" s="4">
        <f>AB955*T955*AI955</f>
        <v>20.304000000000002</v>
      </c>
      <c r="AE955" s="3">
        <f t="shared" si="482"/>
        <v>81.216000000000022</v>
      </c>
      <c r="AF955">
        <v>101</v>
      </c>
      <c r="AG955" s="4">
        <f t="shared" si="491"/>
        <v>101.05</v>
      </c>
      <c r="AH955" s="4">
        <f t="shared" si="492"/>
        <v>101.05</v>
      </c>
      <c r="AI955">
        <v>1</v>
      </c>
      <c r="AJ955" s="11" t="s">
        <v>31</v>
      </c>
      <c r="AK955">
        <v>2000</v>
      </c>
      <c r="AL955" t="s">
        <v>784</v>
      </c>
      <c r="AM955" t="s">
        <v>103</v>
      </c>
      <c r="AN955" t="s">
        <v>130</v>
      </c>
      <c r="AO955" t="s">
        <v>795</v>
      </c>
      <c r="AP955">
        <v>7</v>
      </c>
      <c r="AQ955" t="s">
        <v>33</v>
      </c>
      <c r="AR955" t="s">
        <v>33</v>
      </c>
      <c r="AS955" s="6">
        <f>LOG(AVERAGE(10^8, 10^9))</f>
        <v>8.7403626894942441</v>
      </c>
      <c r="AT955" s="3">
        <f t="shared" si="493"/>
        <v>5.2743626894942439</v>
      </c>
      <c r="AU955" s="6">
        <v>3.4660000000000002</v>
      </c>
      <c r="AV955" t="b">
        <v>1</v>
      </c>
      <c r="AW955" t="s">
        <v>172</v>
      </c>
      <c r="AX955" t="s">
        <v>173</v>
      </c>
      <c r="AY955" t="s">
        <v>737</v>
      </c>
      <c r="AZ955" t="s">
        <v>33</v>
      </c>
      <c r="BA955" s="18" t="s">
        <v>799</v>
      </c>
      <c r="BB955" s="3" t="b">
        <v>0</v>
      </c>
      <c r="BC955" t="s">
        <v>81</v>
      </c>
      <c r="BD955">
        <v>24</v>
      </c>
      <c r="BE955" t="s">
        <v>80</v>
      </c>
      <c r="BF955">
        <v>48</v>
      </c>
      <c r="BG955" t="s">
        <v>734</v>
      </c>
      <c r="BH955" t="s">
        <v>31</v>
      </c>
      <c r="BI955" t="s">
        <v>31</v>
      </c>
      <c r="BJ955" s="3">
        <f t="shared" si="480"/>
        <v>3.4660000000000002</v>
      </c>
      <c r="BK955" s="3">
        <f t="shared" si="487"/>
        <v>0.53982855837789823</v>
      </c>
      <c r="BL955">
        <v>2</v>
      </c>
      <c r="BM955" s="3">
        <f t="shared" si="486"/>
        <v>1.3698130377006938</v>
      </c>
      <c r="BN955" t="s">
        <v>33</v>
      </c>
      <c r="BO955" s="3">
        <f t="shared" si="462"/>
        <v>23.43219849971149</v>
      </c>
      <c r="BP955" t="s">
        <v>33</v>
      </c>
      <c r="BQ955" t="s">
        <v>33</v>
      </c>
      <c r="BR955" t="s">
        <v>33</v>
      </c>
      <c r="BS955" t="s">
        <v>33</v>
      </c>
      <c r="BT955" t="s">
        <v>32</v>
      </c>
      <c r="BU955" t="s">
        <v>709</v>
      </c>
      <c r="BV955">
        <v>2024</v>
      </c>
      <c r="BW955" t="s">
        <v>710</v>
      </c>
      <c r="BX955" t="s">
        <v>78</v>
      </c>
      <c r="BY955" t="s">
        <v>711</v>
      </c>
      <c r="CA955" t="str">
        <f t="shared" si="464"/>
        <v>low acid</v>
      </c>
    </row>
    <row r="956" spans="1:79">
      <c r="A956" t="s">
        <v>325</v>
      </c>
      <c r="B956" t="s">
        <v>565</v>
      </c>
      <c r="C956" t="s">
        <v>563</v>
      </c>
      <c r="D956" t="s">
        <v>304</v>
      </c>
      <c r="E956" t="s">
        <v>77</v>
      </c>
      <c r="F956" t="s">
        <v>32</v>
      </c>
      <c r="G956">
        <v>30</v>
      </c>
      <c r="H956">
        <v>31.1</v>
      </c>
      <c r="I956" t="b">
        <v>1</v>
      </c>
      <c r="J956">
        <v>12600</v>
      </c>
      <c r="K956">
        <v>50.4</v>
      </c>
      <c r="L956">
        <v>39.5</v>
      </c>
      <c r="M956" s="4">
        <v>274</v>
      </c>
      <c r="N956" s="3">
        <f t="shared" si="490"/>
        <v>291.26394814203059</v>
      </c>
      <c r="O956">
        <v>1</v>
      </c>
      <c r="P956">
        <v>2.4E-2</v>
      </c>
      <c r="Q956" s="8">
        <f t="shared" ref="Q956:Q970" si="494">IFERROR(X956/Z956, "NA")</f>
        <v>2.5547445255474453E-2</v>
      </c>
      <c r="R956" t="s">
        <v>183</v>
      </c>
      <c r="S956" t="s">
        <v>612</v>
      </c>
      <c r="T956" s="11">
        <v>1</v>
      </c>
      <c r="U956">
        <v>3.4</v>
      </c>
      <c r="V956">
        <v>3</v>
      </c>
      <c r="W956">
        <v>2.4E-2</v>
      </c>
      <c r="X956" s="8">
        <f t="shared" ref="X956:X967" si="495">IFERROR(((PI())*(((V956*10^-1)/2)^2)*(U956*10^-1)), "NA")</f>
        <v>2.4033183799961926E-2</v>
      </c>
      <c r="Y956" s="6">
        <f>1</f>
        <v>1</v>
      </c>
      <c r="Z956" s="3">
        <f t="shared" si="481"/>
        <v>0.94072748016993823</v>
      </c>
      <c r="AA956">
        <v>6.6</v>
      </c>
      <c r="AB956" s="6">
        <f>IFERROR(((X956*M956)/Z956), "NA")</f>
        <v>7</v>
      </c>
      <c r="AC956">
        <f t="shared" si="484"/>
        <v>6.5760000000000005</v>
      </c>
      <c r="AD956" s="4">
        <f>IFERROR(AB956*T956*AI956, "NA")</f>
        <v>7</v>
      </c>
      <c r="AE956" s="3">
        <f t="shared" si="482"/>
        <v>10.921749999999999</v>
      </c>
      <c r="AF956">
        <v>7</v>
      </c>
      <c r="AG956">
        <f t="shared" si="491"/>
        <v>6.5760000000000005</v>
      </c>
      <c r="AH956">
        <f t="shared" si="492"/>
        <v>6.5760000000000005</v>
      </c>
      <c r="AI956" s="11">
        <v>1</v>
      </c>
      <c r="AJ956" t="s">
        <v>31</v>
      </c>
      <c r="AK956">
        <v>1000</v>
      </c>
      <c r="AL956" t="s">
        <v>169</v>
      </c>
      <c r="AM956" t="s">
        <v>103</v>
      </c>
      <c r="AN956" t="s">
        <v>305</v>
      </c>
      <c r="AO956" t="s">
        <v>790</v>
      </c>
      <c r="AP956">
        <v>4.5</v>
      </c>
      <c r="AQ956" t="s">
        <v>33</v>
      </c>
      <c r="AR956" t="s">
        <v>33</v>
      </c>
      <c r="AS956" s="6">
        <f>LOG(3*10^7)</f>
        <v>7.4771212547196626</v>
      </c>
      <c r="AT956" s="3">
        <f t="shared" si="493"/>
        <v>5.2771212547196624</v>
      </c>
      <c r="AU956" s="6">
        <v>2.2000000000000002</v>
      </c>
      <c r="AV956" t="b">
        <v>1</v>
      </c>
      <c r="AW956" t="s">
        <v>123</v>
      </c>
      <c r="AX956" t="s">
        <v>88</v>
      </c>
      <c r="AY956" t="s">
        <v>306</v>
      </c>
      <c r="AZ956" t="s">
        <v>33</v>
      </c>
      <c r="BA956" s="18" t="s">
        <v>579</v>
      </c>
      <c r="BB956" t="b">
        <v>1</v>
      </c>
      <c r="BC956" t="s">
        <v>81</v>
      </c>
      <c r="BD956">
        <v>48</v>
      </c>
      <c r="BE956" t="s">
        <v>80</v>
      </c>
      <c r="BF956" s="11">
        <v>120</v>
      </c>
      <c r="BG956" t="s">
        <v>395</v>
      </c>
      <c r="BH956" t="s">
        <v>31</v>
      </c>
      <c r="BI956" t="s">
        <v>31</v>
      </c>
      <c r="BJ956" s="3">
        <f t="shared" si="480"/>
        <v>2.2000000000000002</v>
      </c>
      <c r="BK956" s="3">
        <f t="shared" si="487"/>
        <v>0.34242268082220628</v>
      </c>
      <c r="BL956">
        <v>2</v>
      </c>
      <c r="BM956" s="3">
        <f t="shared" si="486"/>
        <v>0.69586955044497101</v>
      </c>
      <c r="BN956" t="s">
        <v>33</v>
      </c>
      <c r="BO956" s="3">
        <f t="shared" si="462"/>
        <v>4.9644318181818177</v>
      </c>
      <c r="BP956" t="s">
        <v>33</v>
      </c>
      <c r="BQ956" t="s">
        <v>33</v>
      </c>
      <c r="BR956" t="s">
        <v>33</v>
      </c>
      <c r="BS956" t="s">
        <v>33</v>
      </c>
      <c r="BT956" t="s">
        <v>32</v>
      </c>
      <c r="BU956" t="s">
        <v>323</v>
      </c>
      <c r="BV956">
        <v>2003</v>
      </c>
      <c r="BW956" s="2" t="s">
        <v>322</v>
      </c>
      <c r="BX956" t="s">
        <v>78</v>
      </c>
      <c r="BY956" t="s">
        <v>33</v>
      </c>
      <c r="BZ956" t="s">
        <v>33</v>
      </c>
      <c r="CA956" t="str">
        <f t="shared" si="464"/>
        <v>high acid</v>
      </c>
    </row>
    <row r="957" spans="1:79">
      <c r="A957" t="s">
        <v>324</v>
      </c>
      <c r="B957" t="s">
        <v>565</v>
      </c>
      <c r="C957" t="s">
        <v>563</v>
      </c>
      <c r="D957" t="s">
        <v>304</v>
      </c>
      <c r="E957" t="s">
        <v>77</v>
      </c>
      <c r="F957" t="s">
        <v>32</v>
      </c>
      <c r="G957">
        <v>30</v>
      </c>
      <c r="H957">
        <v>30.7</v>
      </c>
      <c r="I957" t="b">
        <v>1</v>
      </c>
      <c r="J957">
        <v>12600</v>
      </c>
      <c r="K957">
        <v>50.4</v>
      </c>
      <c r="L957">
        <v>25</v>
      </c>
      <c r="M957" s="4">
        <v>67</v>
      </c>
      <c r="N957" s="3">
        <f t="shared" si="490"/>
        <v>66.574616718178419</v>
      </c>
      <c r="O957">
        <v>5</v>
      </c>
      <c r="P957">
        <v>2.4E-2</v>
      </c>
      <c r="Q957" s="8">
        <f t="shared" si="494"/>
        <v>2.3880597014925373E-2</v>
      </c>
      <c r="R957" t="s">
        <v>183</v>
      </c>
      <c r="S957" t="s">
        <v>612</v>
      </c>
      <c r="T957" s="11">
        <v>1</v>
      </c>
      <c r="U957">
        <v>3.4</v>
      </c>
      <c r="V957">
        <v>3</v>
      </c>
      <c r="W957">
        <v>2.4E-2</v>
      </c>
      <c r="X957" s="8">
        <f t="shared" si="495"/>
        <v>2.4033183799961926E-2</v>
      </c>
      <c r="Y957" s="6">
        <f>1</f>
        <v>1</v>
      </c>
      <c r="Z957" s="3">
        <f t="shared" si="481"/>
        <v>1.0063895716234057</v>
      </c>
      <c r="AA957">
        <v>1.6</v>
      </c>
      <c r="AB957" s="6">
        <f>IFERROR(((X957*M957)/Z957), "NA")</f>
        <v>1.6</v>
      </c>
      <c r="AC957">
        <f t="shared" si="484"/>
        <v>1.6080000000000001</v>
      </c>
      <c r="AD957" s="4">
        <f>IFERROR(AB957*T957*AI957, "NA")</f>
        <v>1.6</v>
      </c>
      <c r="AE957" s="3">
        <f t="shared" si="482"/>
        <v>5</v>
      </c>
      <c r="AF957">
        <v>8</v>
      </c>
      <c r="AG957">
        <f t="shared" si="491"/>
        <v>8.0400000000000009</v>
      </c>
      <c r="AH957">
        <f t="shared" si="492"/>
        <v>8.0400000000000009</v>
      </c>
      <c r="AI957">
        <v>1</v>
      </c>
      <c r="AJ957" t="s">
        <v>31</v>
      </c>
      <c r="AK957">
        <v>1000</v>
      </c>
      <c r="AL957" t="s">
        <v>169</v>
      </c>
      <c r="AM957" t="s">
        <v>103</v>
      </c>
      <c r="AN957" t="s">
        <v>305</v>
      </c>
      <c r="AO957" t="s">
        <v>790</v>
      </c>
      <c r="AP957">
        <v>4.5</v>
      </c>
      <c r="AQ957" t="s">
        <v>33</v>
      </c>
      <c r="AR957" t="s">
        <v>33</v>
      </c>
      <c r="AS957" s="6">
        <f>LOG(3*10^7)</f>
        <v>7.4771212547196626</v>
      </c>
      <c r="AT957" s="3">
        <f t="shared" si="493"/>
        <v>5.2771212547196624</v>
      </c>
      <c r="AU957" s="6">
        <v>2.2000000000000002</v>
      </c>
      <c r="AV957" t="b">
        <v>1</v>
      </c>
      <c r="AW957" t="s">
        <v>123</v>
      </c>
      <c r="AX957" t="s">
        <v>88</v>
      </c>
      <c r="AY957" t="s">
        <v>306</v>
      </c>
      <c r="AZ957" t="s">
        <v>33</v>
      </c>
      <c r="BA957" s="18" t="s">
        <v>579</v>
      </c>
      <c r="BB957" t="b">
        <v>1</v>
      </c>
      <c r="BC957" t="s">
        <v>81</v>
      </c>
      <c r="BD957">
        <v>48</v>
      </c>
      <c r="BE957" t="s">
        <v>80</v>
      </c>
      <c r="BF957" s="11">
        <v>120</v>
      </c>
      <c r="BG957" t="s">
        <v>395</v>
      </c>
      <c r="BH957" t="s">
        <v>31</v>
      </c>
      <c r="BI957" t="s">
        <v>31</v>
      </c>
      <c r="BJ957" s="3">
        <f t="shared" si="480"/>
        <v>2.2000000000000002</v>
      </c>
      <c r="BK957" s="3">
        <f t="shared" si="487"/>
        <v>0.34242268082220628</v>
      </c>
      <c r="BL957">
        <v>2</v>
      </c>
      <c r="BM957" s="3">
        <f t="shared" si="486"/>
        <v>0.35654732351381252</v>
      </c>
      <c r="BN957" t="s">
        <v>33</v>
      </c>
      <c r="BO957" s="3">
        <f t="shared" si="462"/>
        <v>2.2727272727272725</v>
      </c>
      <c r="BP957" t="s">
        <v>33</v>
      </c>
      <c r="BQ957" t="s">
        <v>33</v>
      </c>
      <c r="BR957" t="s">
        <v>33</v>
      </c>
      <c r="BS957" t="s">
        <v>33</v>
      </c>
      <c r="BT957" t="s">
        <v>32</v>
      </c>
      <c r="BU957" t="s">
        <v>323</v>
      </c>
      <c r="BV957">
        <v>2003</v>
      </c>
      <c r="BW957" s="2" t="s">
        <v>322</v>
      </c>
      <c r="BX957" t="s">
        <v>78</v>
      </c>
      <c r="BY957" t="s">
        <v>33</v>
      </c>
      <c r="BZ957" t="s">
        <v>33</v>
      </c>
      <c r="CA957" t="str">
        <f t="shared" si="464"/>
        <v>high acid</v>
      </c>
    </row>
    <row r="958" spans="1:79">
      <c r="A958" t="s">
        <v>450</v>
      </c>
      <c r="B958" t="s">
        <v>565</v>
      </c>
      <c r="C958" t="s">
        <v>563</v>
      </c>
      <c r="D958" t="s">
        <v>182</v>
      </c>
      <c r="E958" t="s">
        <v>77</v>
      </c>
      <c r="F958" t="s">
        <v>32</v>
      </c>
      <c r="G958">
        <v>18</v>
      </c>
      <c r="H958">
        <v>49</v>
      </c>
      <c r="I958" t="b">
        <v>1</v>
      </c>
      <c r="J958" t="s">
        <v>33</v>
      </c>
      <c r="K958" t="s">
        <v>33</v>
      </c>
      <c r="L958">
        <v>33</v>
      </c>
      <c r="M958" s="4" t="s">
        <v>33</v>
      </c>
      <c r="N958" s="3">
        <f t="shared" si="490"/>
        <v>281.42752925843115</v>
      </c>
      <c r="O958">
        <v>8</v>
      </c>
      <c r="P958">
        <f>0.047/2</f>
        <v>2.35E-2</v>
      </c>
      <c r="Q958" s="8">
        <f t="shared" si="494"/>
        <v>2.3318614270936313E-2</v>
      </c>
      <c r="R958" t="s">
        <v>183</v>
      </c>
      <c r="S958" t="s">
        <v>613</v>
      </c>
      <c r="T958" s="11">
        <v>2</v>
      </c>
      <c r="U958">
        <v>5.6</v>
      </c>
      <c r="V958">
        <v>4.5</v>
      </c>
      <c r="W958" t="s">
        <v>33</v>
      </c>
      <c r="X958" s="9">
        <f t="shared" si="495"/>
        <v>8.9064151729270638E-2</v>
      </c>
      <c r="Y958" s="6">
        <f>13750/3600</f>
        <v>3.8194444444444446</v>
      </c>
      <c r="Z958" s="3">
        <f>IFERROR(X958*N958*O958*T958*AI958/AF958, "NA")</f>
        <v>3.8194444444444442</v>
      </c>
      <c r="AA958" t="s">
        <v>33</v>
      </c>
      <c r="AB958" s="4">
        <f>IFERROR(((X958*N958)/Y958), "NA")</f>
        <v>6.5624999999999991</v>
      </c>
      <c r="AC958" s="4">
        <f>IFERROR(N958*P958,"NA")</f>
        <v>6.6135469375731324</v>
      </c>
      <c r="AD958" s="4">
        <f>AB958*T958*AI958</f>
        <v>13.124999999999998</v>
      </c>
      <c r="AE958" s="3">
        <f>IFERROR(((L958^2)*N958*O958*AK958*10^-6*Q958*T958*AI958), "NA")</f>
        <v>262.99349999999998</v>
      </c>
      <c r="AF958">
        <v>105</v>
      </c>
      <c r="AG958" s="4">
        <f>IFERROR((N958*O958*P958), "NA")</f>
        <v>52.908375500585059</v>
      </c>
      <c r="AH958" s="4">
        <f t="shared" si="492"/>
        <v>105.81675100117012</v>
      </c>
      <c r="AI958" s="11">
        <v>1</v>
      </c>
      <c r="AJ958" t="s">
        <v>31</v>
      </c>
      <c r="AK958">
        <v>2300</v>
      </c>
      <c r="AL958" t="s">
        <v>805</v>
      </c>
      <c r="AM958" t="s">
        <v>515</v>
      </c>
      <c r="AN958" t="s">
        <v>205</v>
      </c>
      <c r="AO958" t="s">
        <v>788</v>
      </c>
      <c r="AP958">
        <v>3.68</v>
      </c>
      <c r="AQ958" t="s">
        <v>33</v>
      </c>
      <c r="AR958" t="s">
        <v>33</v>
      </c>
      <c r="AS958">
        <f>LOG(10^8)</f>
        <v>8</v>
      </c>
      <c r="AT958" s="3">
        <f t="shared" si="493"/>
        <v>5.2799999999999994</v>
      </c>
      <c r="AU958" s="6">
        <v>2.72</v>
      </c>
      <c r="AV958" t="b">
        <v>1</v>
      </c>
      <c r="AW958" t="s">
        <v>123</v>
      </c>
      <c r="AX958" t="s">
        <v>461</v>
      </c>
      <c r="AY958" t="s">
        <v>466</v>
      </c>
      <c r="AZ958" t="s">
        <v>33</v>
      </c>
      <c r="BA958" s="18" t="s">
        <v>579</v>
      </c>
      <c r="BB958" t="b">
        <v>1</v>
      </c>
      <c r="BC958" t="s">
        <v>81</v>
      </c>
      <c r="BD958" t="s">
        <v>33</v>
      </c>
      <c r="BE958" t="s">
        <v>80</v>
      </c>
      <c r="BF958" t="s">
        <v>33</v>
      </c>
      <c r="BG958" t="s">
        <v>395</v>
      </c>
      <c r="BH958" t="s">
        <v>31</v>
      </c>
      <c r="BI958" t="s">
        <v>31</v>
      </c>
      <c r="BJ958" s="3">
        <f t="shared" si="480"/>
        <v>2.72</v>
      </c>
      <c r="BK958" s="3">
        <f t="shared" si="487"/>
        <v>0.43456890403419873</v>
      </c>
      <c r="BL958">
        <v>2</v>
      </c>
      <c r="BM958" s="3">
        <f t="shared" si="486"/>
        <v>1.985376110809107</v>
      </c>
      <c r="BN958" t="s">
        <v>33</v>
      </c>
      <c r="BO958" s="3">
        <f t="shared" si="462"/>
        <v>96.688786764705867</v>
      </c>
      <c r="BP958" t="s">
        <v>33</v>
      </c>
      <c r="BQ958" t="s">
        <v>33</v>
      </c>
      <c r="BR958" t="s">
        <v>33</v>
      </c>
      <c r="BS958" t="s">
        <v>33</v>
      </c>
      <c r="BT958" t="s">
        <v>32</v>
      </c>
      <c r="BU958" t="s">
        <v>484</v>
      </c>
      <c r="BV958">
        <v>2015</v>
      </c>
      <c r="BW958" t="s">
        <v>485</v>
      </c>
      <c r="BX958" t="s">
        <v>78</v>
      </c>
      <c r="BY958" t="s">
        <v>486</v>
      </c>
      <c r="CA958" t="str">
        <f t="shared" si="464"/>
        <v>high acid</v>
      </c>
    </row>
    <row r="959" spans="1:79">
      <c r="A959" t="s">
        <v>595</v>
      </c>
      <c r="B959" t="s">
        <v>565</v>
      </c>
      <c r="C959" t="s">
        <v>564</v>
      </c>
      <c r="D959" t="s">
        <v>609</v>
      </c>
      <c r="E959" t="s">
        <v>77</v>
      </c>
      <c r="F959" t="s">
        <v>32</v>
      </c>
      <c r="G959">
        <v>30</v>
      </c>
      <c r="H959">
        <v>38.200000000000003</v>
      </c>
      <c r="I959" t="b">
        <v>0</v>
      </c>
      <c r="J959" t="s">
        <v>33</v>
      </c>
      <c r="K959" t="s">
        <v>33</v>
      </c>
      <c r="L959">
        <v>12</v>
      </c>
      <c r="M959" s="4">
        <v>120</v>
      </c>
      <c r="N959" t="e">
        <f>(#REF!*Y959)/(T959*X959*O959)</f>
        <v>#REF!</v>
      </c>
      <c r="O959">
        <v>3</v>
      </c>
      <c r="P959" t="s">
        <v>33</v>
      </c>
      <c r="Q959" s="1">
        <f t="shared" si="494"/>
        <v>6.25E-2</v>
      </c>
      <c r="R959" t="s">
        <v>183</v>
      </c>
      <c r="S959" t="s">
        <v>612</v>
      </c>
      <c r="T959">
        <v>4</v>
      </c>
      <c r="U959">
        <v>3</v>
      </c>
      <c r="V959">
        <v>2.6</v>
      </c>
      <c r="W959" t="s">
        <v>33</v>
      </c>
      <c r="X959">
        <f t="shared" si="495"/>
        <v>1.5927874753700257E-2</v>
      </c>
      <c r="Y959">
        <v>0.126667</v>
      </c>
      <c r="Z959" s="3">
        <f t="shared" ref="Z959:Z966" si="496">IFERROR(X959*M959*O959*T959*AI959/AF959, "NA")</f>
        <v>0.25484599605920411</v>
      </c>
      <c r="AA959" t="s">
        <v>33</v>
      </c>
      <c r="AB959">
        <f t="shared" ref="AB959:AB966" si="497">IFERROR(((X959*M959)/Z959), "NA")</f>
        <v>7.5</v>
      </c>
      <c r="AC959" s="1" t="str">
        <f t="shared" ref="AC959:AC966" si="498">IFERROR(M959*P959,"NA")</f>
        <v>NA</v>
      </c>
      <c r="AE959" s="3">
        <f t="shared" ref="AE959:AE966" si="499">IFERROR(((L959^2)*M959*O959*AK959*10^-6*Q959*T959*AI959), "NA")</f>
        <v>12.700799999999999</v>
      </c>
      <c r="AF959">
        <v>90</v>
      </c>
      <c r="AG959" s="1" t="str">
        <f>IFERROR((N959*P959*Q959), "NA")</f>
        <v>NA</v>
      </c>
      <c r="AH959" s="1" t="str">
        <f>IFERROR((AG959*U959*AI959), "NA")</f>
        <v>NA</v>
      </c>
      <c r="AI959" s="1">
        <v>1</v>
      </c>
      <c r="AJ959" s="11" t="s">
        <v>31</v>
      </c>
      <c r="AK959">
        <v>980</v>
      </c>
      <c r="AL959" t="s">
        <v>551</v>
      </c>
      <c r="AM959" t="s">
        <v>86</v>
      </c>
      <c r="AN959" t="s">
        <v>186</v>
      </c>
      <c r="AO959" t="s">
        <v>794</v>
      </c>
      <c r="AP959">
        <v>5.98</v>
      </c>
      <c r="AQ959" t="s">
        <v>33</v>
      </c>
      <c r="AR959" t="s">
        <v>33</v>
      </c>
      <c r="AS959">
        <v>6</v>
      </c>
      <c r="AT959">
        <f>AS959-AU959</f>
        <v>5.28</v>
      </c>
      <c r="AU959" s="6">
        <v>0.72</v>
      </c>
      <c r="AV959" t="b">
        <v>1</v>
      </c>
      <c r="AW959" t="s">
        <v>626</v>
      </c>
      <c r="AX959" t="s">
        <v>627</v>
      </c>
      <c r="AY959" t="s">
        <v>631</v>
      </c>
      <c r="AZ959" t="s">
        <v>33</v>
      </c>
      <c r="BA959" s="18" t="s">
        <v>800</v>
      </c>
      <c r="BB959" s="3" t="b">
        <v>0</v>
      </c>
      <c r="BC959" t="s">
        <v>81</v>
      </c>
      <c r="BD959">
        <v>20</v>
      </c>
      <c r="BE959" t="s">
        <v>80</v>
      </c>
      <c r="BF959">
        <v>20</v>
      </c>
      <c r="BG959" t="s">
        <v>695</v>
      </c>
      <c r="BH959" t="s">
        <v>32</v>
      </c>
      <c r="BI959" t="s">
        <v>31</v>
      </c>
      <c r="BJ959">
        <f t="shared" si="480"/>
        <v>0.72</v>
      </c>
      <c r="BK959" s="3">
        <f t="shared" si="487"/>
        <v>-0.14266750356873156</v>
      </c>
      <c r="BL959">
        <v>2</v>
      </c>
      <c r="BM959" s="3">
        <f t="shared" si="486"/>
        <v>1.2464985807958009</v>
      </c>
      <c r="BN959" t="s">
        <v>33</v>
      </c>
      <c r="BO959" s="3">
        <f t="shared" si="462"/>
        <v>17.64</v>
      </c>
      <c r="BP959" t="s">
        <v>33</v>
      </c>
      <c r="BQ959" t="s">
        <v>33</v>
      </c>
      <c r="BR959" t="s">
        <v>33</v>
      </c>
      <c r="BS959" t="s">
        <v>33</v>
      </c>
      <c r="BT959" t="s">
        <v>32</v>
      </c>
      <c r="BU959" t="s">
        <v>207</v>
      </c>
      <c r="BV959">
        <v>2014</v>
      </c>
      <c r="BW959" t="s">
        <v>208</v>
      </c>
      <c r="BX959" t="s">
        <v>78</v>
      </c>
      <c r="BY959" s="13" t="s">
        <v>683</v>
      </c>
      <c r="CA959" t="str">
        <f t="shared" si="464"/>
        <v>low acid</v>
      </c>
    </row>
    <row r="960" spans="1:79">
      <c r="A960" t="s">
        <v>595</v>
      </c>
      <c r="B960" t="s">
        <v>565</v>
      </c>
      <c r="C960" t="s">
        <v>564</v>
      </c>
      <c r="D960" t="s">
        <v>609</v>
      </c>
      <c r="E960" t="s">
        <v>77</v>
      </c>
      <c r="F960" t="s">
        <v>32</v>
      </c>
      <c r="G960">
        <v>30</v>
      </c>
      <c r="H960">
        <v>38.200000000000003</v>
      </c>
      <c r="I960" t="b">
        <v>0</v>
      </c>
      <c r="J960" t="s">
        <v>33</v>
      </c>
      <c r="K960" t="s">
        <v>33</v>
      </c>
      <c r="L960">
        <v>12</v>
      </c>
      <c r="M960" s="4">
        <v>120</v>
      </c>
      <c r="N960" t="e">
        <f>(#REF!*Y960)/(T960*X960*O960)</f>
        <v>#REF!</v>
      </c>
      <c r="O960">
        <v>3</v>
      </c>
      <c r="P960" t="s">
        <v>33</v>
      </c>
      <c r="Q960" s="1">
        <f t="shared" si="494"/>
        <v>8.3333333333333329E-2</v>
      </c>
      <c r="R960" t="s">
        <v>183</v>
      </c>
      <c r="S960" t="s">
        <v>612</v>
      </c>
      <c r="T960">
        <v>4</v>
      </c>
      <c r="U960">
        <v>3</v>
      </c>
      <c r="V960">
        <v>2.6</v>
      </c>
      <c r="W960" t="s">
        <v>33</v>
      </c>
      <c r="X960">
        <f t="shared" si="495"/>
        <v>1.5927874753700257E-2</v>
      </c>
      <c r="Y960">
        <v>0.126667</v>
      </c>
      <c r="Z960" s="3">
        <f t="shared" si="496"/>
        <v>0.19113449704440308</v>
      </c>
      <c r="AA960" t="s">
        <v>33</v>
      </c>
      <c r="AB960">
        <f t="shared" si="497"/>
        <v>10</v>
      </c>
      <c r="AC960" s="1" t="str">
        <f t="shared" si="498"/>
        <v>NA</v>
      </c>
      <c r="AE960" s="3">
        <f t="shared" si="499"/>
        <v>16.934399999999997</v>
      </c>
      <c r="AF960">
        <v>120</v>
      </c>
      <c r="AG960" s="1" t="str">
        <f>IFERROR((N960*P960*Q960), "NA")</f>
        <v>NA</v>
      </c>
      <c r="AH960" s="1" t="str">
        <f>IFERROR((AG960*U960*AI960), "NA")</f>
        <v>NA</v>
      </c>
      <c r="AI960" s="1">
        <v>1</v>
      </c>
      <c r="AJ960" s="11" t="s">
        <v>31</v>
      </c>
      <c r="AK960">
        <v>980</v>
      </c>
      <c r="AL960" t="s">
        <v>551</v>
      </c>
      <c r="AM960" t="s">
        <v>86</v>
      </c>
      <c r="AN960" t="s">
        <v>186</v>
      </c>
      <c r="AO960" t="s">
        <v>794</v>
      </c>
      <c r="AP960">
        <v>5.98</v>
      </c>
      <c r="AQ960" t="s">
        <v>33</v>
      </c>
      <c r="AR960" t="s">
        <v>33</v>
      </c>
      <c r="AS960">
        <v>6</v>
      </c>
      <c r="AT960">
        <f>AS960-AU960</f>
        <v>5.28</v>
      </c>
      <c r="AU960" s="6">
        <v>0.72</v>
      </c>
      <c r="AV960" t="b">
        <v>1</v>
      </c>
      <c r="AW960" t="s">
        <v>626</v>
      </c>
      <c r="AX960" t="s">
        <v>627</v>
      </c>
      <c r="AY960" t="s">
        <v>631</v>
      </c>
      <c r="AZ960" t="s">
        <v>33</v>
      </c>
      <c r="BA960" s="18" t="s">
        <v>800</v>
      </c>
      <c r="BB960" s="3" t="b">
        <v>0</v>
      </c>
      <c r="BC960" t="s">
        <v>81</v>
      </c>
      <c r="BD960">
        <v>20</v>
      </c>
      <c r="BE960" t="s">
        <v>80</v>
      </c>
      <c r="BF960">
        <v>20</v>
      </c>
      <c r="BG960" t="s">
        <v>695</v>
      </c>
      <c r="BH960" t="s">
        <v>32</v>
      </c>
      <c r="BI960" t="s">
        <v>31</v>
      </c>
      <c r="BJ960">
        <f t="shared" si="480"/>
        <v>0.72</v>
      </c>
      <c r="BK960" s="3">
        <f t="shared" si="487"/>
        <v>-0.14266750356873156</v>
      </c>
      <c r="BL960">
        <v>2</v>
      </c>
      <c r="BM960" s="3">
        <f t="shared" si="486"/>
        <v>1.3714373174041008</v>
      </c>
      <c r="BN960" t="s">
        <v>33</v>
      </c>
      <c r="BO960" s="3">
        <f t="shared" si="462"/>
        <v>23.519999999999996</v>
      </c>
      <c r="BP960" t="s">
        <v>33</v>
      </c>
      <c r="BQ960" t="s">
        <v>33</v>
      </c>
      <c r="BR960" t="s">
        <v>33</v>
      </c>
      <c r="BS960" t="s">
        <v>33</v>
      </c>
      <c r="BT960" t="s">
        <v>32</v>
      </c>
      <c r="BU960" t="s">
        <v>207</v>
      </c>
      <c r="BV960">
        <v>2014</v>
      </c>
      <c r="BW960" t="s">
        <v>208</v>
      </c>
      <c r="BX960" t="s">
        <v>78</v>
      </c>
      <c r="BY960" s="13" t="s">
        <v>683</v>
      </c>
      <c r="CA960" t="str">
        <f t="shared" si="464"/>
        <v>low acid</v>
      </c>
    </row>
    <row r="961" spans="1:79">
      <c r="A961" t="s">
        <v>599</v>
      </c>
      <c r="B961" t="s">
        <v>565</v>
      </c>
      <c r="C961" t="s">
        <v>563</v>
      </c>
      <c r="D961" t="s">
        <v>118</v>
      </c>
      <c r="E961" t="s">
        <v>77</v>
      </c>
      <c r="F961" t="s">
        <v>32</v>
      </c>
      <c r="G961" t="s">
        <v>33</v>
      </c>
      <c r="H961" t="s">
        <v>33</v>
      </c>
      <c r="I961" t="b">
        <v>0</v>
      </c>
      <c r="J961" t="s">
        <v>33</v>
      </c>
      <c r="K961" t="s">
        <v>33</v>
      </c>
      <c r="L961">
        <v>17</v>
      </c>
      <c r="M961" s="4">
        <v>500</v>
      </c>
      <c r="N961" t="e">
        <f>(#REF!*Y961)/(T961*X961*O961)</f>
        <v>#REF!</v>
      </c>
      <c r="O961">
        <v>3</v>
      </c>
      <c r="P961" t="s">
        <v>33</v>
      </c>
      <c r="Q961" s="1">
        <f t="shared" si="494"/>
        <v>1.7444444444444443E-2</v>
      </c>
      <c r="R961" t="s">
        <v>183</v>
      </c>
      <c r="S961" t="s">
        <v>613</v>
      </c>
      <c r="T961">
        <v>6</v>
      </c>
      <c r="U961">
        <v>2.2999999999999998</v>
      </c>
      <c r="V961">
        <v>2.9</v>
      </c>
      <c r="W961">
        <v>0.36420000000000002</v>
      </c>
      <c r="X961">
        <f t="shared" si="495"/>
        <v>1.519195667459684E-2</v>
      </c>
      <c r="Y961">
        <v>0.83333299999999999</v>
      </c>
      <c r="Z961" s="3">
        <f t="shared" si="496"/>
        <v>0.87087649726988259</v>
      </c>
      <c r="AA961" t="s">
        <v>33</v>
      </c>
      <c r="AB961">
        <f t="shared" si="497"/>
        <v>8.7222222222222214</v>
      </c>
      <c r="AC961" s="1" t="str">
        <f t="shared" si="498"/>
        <v>NA</v>
      </c>
      <c r="AE961" s="3">
        <f t="shared" si="499"/>
        <v>165.15771999999996</v>
      </c>
      <c r="AF961">
        <v>157</v>
      </c>
      <c r="AG961" s="1" t="str">
        <f>IFERROR((N961*P961*Q961), "NA")</f>
        <v>NA</v>
      </c>
      <c r="AH961" s="1" t="str">
        <f>IFERROR((AG961*U961*AI961), "NA")</f>
        <v>NA</v>
      </c>
      <c r="AI961" s="1">
        <v>1</v>
      </c>
      <c r="AJ961" s="11" t="s">
        <v>31</v>
      </c>
      <c r="AK961">
        <f>3.64*10^3</f>
        <v>3640</v>
      </c>
      <c r="AL961" t="s">
        <v>145</v>
      </c>
      <c r="AM961" t="s">
        <v>86</v>
      </c>
      <c r="AN961" t="s">
        <v>205</v>
      </c>
      <c r="AO961" t="s">
        <v>789</v>
      </c>
      <c r="AP961">
        <v>3.19</v>
      </c>
      <c r="AQ961" t="s">
        <v>33</v>
      </c>
      <c r="AR961" t="s">
        <v>33</v>
      </c>
      <c r="AS961">
        <v>7.15</v>
      </c>
      <c r="AT961">
        <v>5.28</v>
      </c>
      <c r="AU961" s="6">
        <f>AS961-AT961</f>
        <v>1.87</v>
      </c>
      <c r="AV961" t="b">
        <v>1</v>
      </c>
      <c r="AW961" t="s">
        <v>626</v>
      </c>
      <c r="AX961" t="s">
        <v>627</v>
      </c>
      <c r="AY961">
        <v>95047</v>
      </c>
      <c r="AZ961" t="s">
        <v>33</v>
      </c>
      <c r="BA961" s="18" t="s">
        <v>800</v>
      </c>
      <c r="BB961" s="3" t="b">
        <v>0</v>
      </c>
      <c r="BC961" t="s">
        <v>81</v>
      </c>
      <c r="BD961">
        <f>AVERAGE(24,48)</f>
        <v>36</v>
      </c>
      <c r="BE961" t="s">
        <v>80</v>
      </c>
      <c r="BF961">
        <v>48</v>
      </c>
      <c r="BG961" t="s">
        <v>647</v>
      </c>
      <c r="BH961" t="s">
        <v>31</v>
      </c>
      <c r="BI961" t="s">
        <v>31</v>
      </c>
      <c r="BJ961" s="3">
        <f t="shared" si="480"/>
        <v>1.87</v>
      </c>
      <c r="BK961" s="3">
        <f t="shared" si="487"/>
        <v>0.27184160653649897</v>
      </c>
      <c r="BL961">
        <v>2</v>
      </c>
      <c r="BM961" s="3">
        <f t="shared" si="486"/>
        <v>1.9460572722783385</v>
      </c>
      <c r="BN961" t="s">
        <v>33</v>
      </c>
      <c r="BO961" s="3">
        <f t="shared" si="462"/>
        <v>88.319636363636334</v>
      </c>
      <c r="BP961" t="s">
        <v>33</v>
      </c>
      <c r="BQ961" t="s">
        <v>33</v>
      </c>
      <c r="BR961" t="s">
        <v>33</v>
      </c>
      <c r="BS961" t="s">
        <v>33</v>
      </c>
      <c r="BT961" t="s">
        <v>31</v>
      </c>
      <c r="BU961" s="13" t="s">
        <v>135</v>
      </c>
      <c r="BV961" s="14">
        <v>2010</v>
      </c>
      <c r="BW961" s="13" t="s">
        <v>140</v>
      </c>
      <c r="BX961" t="s">
        <v>78</v>
      </c>
      <c r="BY961" s="13" t="s">
        <v>687</v>
      </c>
      <c r="CA961" t="str">
        <f t="shared" si="464"/>
        <v>high acid</v>
      </c>
    </row>
    <row r="962" spans="1:79">
      <c r="A962" t="s">
        <v>599</v>
      </c>
      <c r="B962" t="s">
        <v>565</v>
      </c>
      <c r="C962" t="s">
        <v>563</v>
      </c>
      <c r="D962" t="s">
        <v>118</v>
      </c>
      <c r="E962" t="s">
        <v>77</v>
      </c>
      <c r="F962" t="s">
        <v>32</v>
      </c>
      <c r="G962" t="s">
        <v>33</v>
      </c>
      <c r="H962" t="s">
        <v>33</v>
      </c>
      <c r="I962" t="b">
        <v>0</v>
      </c>
      <c r="J962" t="s">
        <v>33</v>
      </c>
      <c r="K962" t="s">
        <v>33</v>
      </c>
      <c r="L962">
        <v>17</v>
      </c>
      <c r="M962" s="4">
        <v>500</v>
      </c>
      <c r="N962" t="e">
        <f>(#REF!*Y962)/(T962*X962*O962)</f>
        <v>#REF!</v>
      </c>
      <c r="O962">
        <v>3</v>
      </c>
      <c r="P962" t="s">
        <v>33</v>
      </c>
      <c r="Q962" s="1">
        <f t="shared" si="494"/>
        <v>1.7444444444444443E-2</v>
      </c>
      <c r="R962" t="s">
        <v>183</v>
      </c>
      <c r="S962" t="s">
        <v>613</v>
      </c>
      <c r="T962">
        <v>6</v>
      </c>
      <c r="U962">
        <v>2.2999999999999998</v>
      </c>
      <c r="V962">
        <v>2.9</v>
      </c>
      <c r="W962">
        <v>0.36420000000000002</v>
      </c>
      <c r="X962">
        <f t="shared" si="495"/>
        <v>1.519195667459684E-2</v>
      </c>
      <c r="Y962">
        <v>0.83333299999999999</v>
      </c>
      <c r="Z962" s="3">
        <f t="shared" si="496"/>
        <v>0.87087649726988259</v>
      </c>
      <c r="AA962" t="s">
        <v>33</v>
      </c>
      <c r="AB962">
        <f t="shared" si="497"/>
        <v>8.7222222222222214</v>
      </c>
      <c r="AC962" s="1" t="str">
        <f t="shared" si="498"/>
        <v>NA</v>
      </c>
      <c r="AE962" s="3">
        <f t="shared" si="499"/>
        <v>165.15771999999996</v>
      </c>
      <c r="AF962">
        <v>157</v>
      </c>
      <c r="AG962" s="1" t="str">
        <f>IFERROR((N962*P962*Q962), "NA")</f>
        <v>NA</v>
      </c>
      <c r="AH962" s="1" t="str">
        <f>IFERROR((AG962*U962*AI962), "NA")</f>
        <v>NA</v>
      </c>
      <c r="AI962" s="1">
        <v>1</v>
      </c>
      <c r="AJ962" s="11" t="s">
        <v>31</v>
      </c>
      <c r="AK962">
        <f>3.64*10^3</f>
        <v>3640</v>
      </c>
      <c r="AL962" t="s">
        <v>145</v>
      </c>
      <c r="AM962" t="s">
        <v>86</v>
      </c>
      <c r="AN962" t="s">
        <v>205</v>
      </c>
      <c r="AO962" t="s">
        <v>789</v>
      </c>
      <c r="AP962">
        <v>3.19</v>
      </c>
      <c r="AQ962" t="s">
        <v>33</v>
      </c>
      <c r="AR962" t="s">
        <v>33</v>
      </c>
      <c r="AS962">
        <v>7.36</v>
      </c>
      <c r="AT962">
        <v>5.28</v>
      </c>
      <c r="AU962" s="6">
        <f>AS962-AT962</f>
        <v>2.08</v>
      </c>
      <c r="AV962" t="b">
        <v>1</v>
      </c>
      <c r="AW962" t="s">
        <v>632</v>
      </c>
      <c r="AX962" t="s">
        <v>639</v>
      </c>
      <c r="AY962" t="s">
        <v>33</v>
      </c>
      <c r="AZ962" t="s">
        <v>33</v>
      </c>
      <c r="BA962" s="18" t="s">
        <v>803</v>
      </c>
      <c r="BB962" s="3" t="b">
        <v>0</v>
      </c>
      <c r="BC962" t="s">
        <v>81</v>
      </c>
      <c r="BD962">
        <f>AVERAGE(24,48)</f>
        <v>36</v>
      </c>
      <c r="BE962" t="s">
        <v>80</v>
      </c>
      <c r="BF962">
        <v>48</v>
      </c>
      <c r="BG962" t="s">
        <v>647</v>
      </c>
      <c r="BH962" t="s">
        <v>31</v>
      </c>
      <c r="BI962" t="s">
        <v>31</v>
      </c>
      <c r="BJ962" s="3">
        <f t="shared" si="480"/>
        <v>2.08</v>
      </c>
      <c r="BK962" s="3">
        <f t="shared" si="487"/>
        <v>0.31806333496276157</v>
      </c>
      <c r="BL962">
        <v>2</v>
      </c>
      <c r="BM962" s="3">
        <f t="shared" si="486"/>
        <v>1.8998355438520758</v>
      </c>
      <c r="BN962" t="s">
        <v>33</v>
      </c>
      <c r="BO962" s="3">
        <f t="shared" ref="BO962:BO1025" si="500">IFERROR((AE962/BJ962),"NA")</f>
        <v>79.402749999999969</v>
      </c>
      <c r="BP962" t="s">
        <v>33</v>
      </c>
      <c r="BQ962" t="s">
        <v>33</v>
      </c>
      <c r="BR962" t="s">
        <v>33</v>
      </c>
      <c r="BS962" t="s">
        <v>33</v>
      </c>
      <c r="BT962" t="s">
        <v>31</v>
      </c>
      <c r="BU962" s="13" t="s">
        <v>135</v>
      </c>
      <c r="BV962" s="14">
        <v>2010</v>
      </c>
      <c r="BW962" s="13" t="s">
        <v>140</v>
      </c>
      <c r="BX962" t="s">
        <v>78</v>
      </c>
      <c r="BY962" s="13" t="s">
        <v>687</v>
      </c>
      <c r="CA962" t="str">
        <f t="shared" si="464"/>
        <v>high acid</v>
      </c>
    </row>
    <row r="963" spans="1:79">
      <c r="A963" t="s">
        <v>391</v>
      </c>
      <c r="B963" t="s">
        <v>565</v>
      </c>
      <c r="C963" t="s">
        <v>563</v>
      </c>
      <c r="D963" t="s">
        <v>118</v>
      </c>
      <c r="E963" t="s">
        <v>77</v>
      </c>
      <c r="F963" t="s">
        <v>32</v>
      </c>
      <c r="G963">
        <v>25</v>
      </c>
      <c r="H963">
        <v>36</v>
      </c>
      <c r="I963" t="b">
        <v>0</v>
      </c>
      <c r="J963" t="s">
        <v>33</v>
      </c>
      <c r="K963" t="s">
        <v>33</v>
      </c>
      <c r="L963">
        <v>30</v>
      </c>
      <c r="M963" s="4">
        <v>200</v>
      </c>
      <c r="N963" s="3" t="str">
        <f>IFERROR(AF963/((T963*X963/Y963)*O963*AI963),"NA")</f>
        <v>NA</v>
      </c>
      <c r="O963">
        <v>4</v>
      </c>
      <c r="P963" t="s">
        <v>33</v>
      </c>
      <c r="Q963" s="8">
        <f t="shared" si="494"/>
        <v>4.6875000000000007E-2</v>
      </c>
      <c r="R963" t="s">
        <v>183</v>
      </c>
      <c r="S963" t="s">
        <v>612</v>
      </c>
      <c r="T963" s="11">
        <v>8</v>
      </c>
      <c r="U963">
        <v>2.9</v>
      </c>
      <c r="V963">
        <v>2.2999999999999998</v>
      </c>
      <c r="W963">
        <v>1.2E-2</v>
      </c>
      <c r="X963" s="8">
        <f t="shared" si="495"/>
        <v>1.204879322468025E-2</v>
      </c>
      <c r="Y963" t="s">
        <v>33</v>
      </c>
      <c r="Z963" s="3">
        <f t="shared" si="496"/>
        <v>0.25704092212651197</v>
      </c>
      <c r="AA963" t="s">
        <v>33</v>
      </c>
      <c r="AB963" s="6">
        <f t="shared" si="497"/>
        <v>9.375</v>
      </c>
      <c r="AC963" t="str">
        <f t="shared" si="498"/>
        <v>NA</v>
      </c>
      <c r="AD963" s="4">
        <f>AB963*T963*AI963</f>
        <v>75</v>
      </c>
      <c r="AE963" s="3">
        <f t="shared" si="499"/>
        <v>1144.8</v>
      </c>
      <c r="AF963">
        <v>300</v>
      </c>
      <c r="AG963" t="str">
        <f>IFERROR((M963*O963*P963), "NA")</f>
        <v>NA</v>
      </c>
      <c r="AH963" t="str">
        <f>IFERROR((AG963*T963*AI963), "NA")</f>
        <v>NA</v>
      </c>
      <c r="AI963">
        <v>1</v>
      </c>
      <c r="AJ963" t="s">
        <v>31</v>
      </c>
      <c r="AK963">
        <v>4240</v>
      </c>
      <c r="AL963" t="s">
        <v>238</v>
      </c>
      <c r="AM963" t="s">
        <v>86</v>
      </c>
      <c r="AN963" t="s">
        <v>205</v>
      </c>
      <c r="AO963" t="s">
        <v>789</v>
      </c>
      <c r="AP963">
        <v>3.56</v>
      </c>
      <c r="AQ963" t="s">
        <v>33</v>
      </c>
      <c r="AR963" t="s">
        <v>33</v>
      </c>
      <c r="AS963" s="6">
        <f>LOG(10^8)</f>
        <v>8</v>
      </c>
      <c r="AT963" s="3">
        <f>IFERROR(AS963-AU963,"NA")</f>
        <v>5.2829999999999995</v>
      </c>
      <c r="AU963" s="6">
        <v>2.7170000000000001</v>
      </c>
      <c r="AV963" t="b">
        <v>1</v>
      </c>
      <c r="AW963" t="s">
        <v>123</v>
      </c>
      <c r="AX963" t="s">
        <v>393</v>
      </c>
      <c r="AY963" t="s">
        <v>394</v>
      </c>
      <c r="AZ963" t="s">
        <v>33</v>
      </c>
      <c r="BA963" s="18" t="s">
        <v>579</v>
      </c>
      <c r="BB963" t="b">
        <v>1</v>
      </c>
      <c r="BC963" t="s">
        <v>81</v>
      </c>
      <c r="BD963">
        <v>72</v>
      </c>
      <c r="BE963" t="s">
        <v>80</v>
      </c>
      <c r="BF963" s="11">
        <v>72</v>
      </c>
      <c r="BG963" t="s">
        <v>395</v>
      </c>
      <c r="BH963" t="s">
        <v>31</v>
      </c>
      <c r="BI963" t="s">
        <v>31</v>
      </c>
      <c r="BJ963" s="3">
        <f t="shared" si="480"/>
        <v>2.7170000000000001</v>
      </c>
      <c r="BK963" s="3">
        <f t="shared" si="487"/>
        <v>0.43408963841789078</v>
      </c>
      <c r="BL963">
        <v>2</v>
      </c>
      <c r="BM963" s="3">
        <f t="shared" si="486"/>
        <v>2.6246399823338291</v>
      </c>
      <c r="BN963" t="s">
        <v>33</v>
      </c>
      <c r="BO963" s="3">
        <f t="shared" si="500"/>
        <v>421.34707397865287</v>
      </c>
      <c r="BP963" t="s">
        <v>33</v>
      </c>
      <c r="BQ963" t="s">
        <v>33</v>
      </c>
      <c r="BR963" t="s">
        <v>33</v>
      </c>
      <c r="BS963" t="s">
        <v>33</v>
      </c>
      <c r="BT963" t="s">
        <v>31</v>
      </c>
      <c r="BU963" t="s">
        <v>240</v>
      </c>
      <c r="BV963">
        <v>2005</v>
      </c>
      <c r="BW963" t="s">
        <v>396</v>
      </c>
      <c r="BX963" t="s">
        <v>78</v>
      </c>
      <c r="BY963" t="s">
        <v>33</v>
      </c>
      <c r="BZ963" t="s">
        <v>33</v>
      </c>
      <c r="CA963" t="str">
        <f t="shared" ref="CA963:CA1026" si="501">IF(OR(AN963="low acidic liquid medium", AN963="low acidic food product"), "low acid",
    IF(OR(AN963="high acidic food product", AN963="high acidic liquid medium"), "high acid", "NA"))</f>
        <v>high acid</v>
      </c>
    </row>
    <row r="964" spans="1:79">
      <c r="A964" t="s">
        <v>590</v>
      </c>
      <c r="B964" t="s">
        <v>565</v>
      </c>
      <c r="C964" t="s">
        <v>564</v>
      </c>
      <c r="D964" t="s">
        <v>609</v>
      </c>
      <c r="E964" t="s">
        <v>77</v>
      </c>
      <c r="F964" t="s">
        <v>32</v>
      </c>
      <c r="G964">
        <v>40</v>
      </c>
      <c r="H964">
        <v>49</v>
      </c>
      <c r="I964" t="b">
        <v>0</v>
      </c>
      <c r="J964" t="s">
        <v>33</v>
      </c>
      <c r="K964" t="s">
        <v>33</v>
      </c>
      <c r="L964">
        <v>15</v>
      </c>
      <c r="M964" s="4">
        <v>120</v>
      </c>
      <c r="N964" t="e">
        <f>(#REF!*Y964)/(T964*X964*O964)</f>
        <v>#REF!</v>
      </c>
      <c r="O964">
        <v>3</v>
      </c>
      <c r="P964" t="s">
        <v>33</v>
      </c>
      <c r="Q964" s="1">
        <f t="shared" si="494"/>
        <v>4.715277777777778E-2</v>
      </c>
      <c r="R964" t="s">
        <v>183</v>
      </c>
      <c r="S964" t="s">
        <v>612</v>
      </c>
      <c r="T964">
        <v>4</v>
      </c>
      <c r="U964">
        <v>3</v>
      </c>
      <c r="V964">
        <v>2.6</v>
      </c>
      <c r="W964">
        <v>1.5900000000000001E-2</v>
      </c>
      <c r="X964">
        <f t="shared" si="495"/>
        <v>1.5927874753700257E-2</v>
      </c>
      <c r="Y964">
        <v>8.3333299999999999E-2</v>
      </c>
      <c r="Z964" s="3">
        <f t="shared" si="496"/>
        <v>0.33779292555711882</v>
      </c>
      <c r="AA964" t="s">
        <v>33</v>
      </c>
      <c r="AB964">
        <f t="shared" si="497"/>
        <v>5.6583333333333341</v>
      </c>
      <c r="AC964" s="1" t="str">
        <f t="shared" si="498"/>
        <v>NA</v>
      </c>
      <c r="AE964" s="3">
        <f t="shared" si="499"/>
        <v>17.569125</v>
      </c>
      <c r="AF964">
        <v>67.900000000000006</v>
      </c>
      <c r="AG964" s="1" t="str">
        <f>IFERROR((N964*P964*Q964), "NA")</f>
        <v>NA</v>
      </c>
      <c r="AH964" s="1" t="str">
        <f>IFERROR((AG964*U964*AI964), "NA")</f>
        <v>NA</v>
      </c>
      <c r="AI964" s="1">
        <v>1</v>
      </c>
      <c r="AJ964" s="11" t="s">
        <v>31</v>
      </c>
      <c r="AK964">
        <v>1150</v>
      </c>
      <c r="AL964" t="s">
        <v>551</v>
      </c>
      <c r="AM964" t="s">
        <v>86</v>
      </c>
      <c r="AN964" t="s">
        <v>186</v>
      </c>
      <c r="AO964" t="s">
        <v>794</v>
      </c>
      <c r="AP964">
        <v>5.92</v>
      </c>
      <c r="AQ964" t="s">
        <v>33</v>
      </c>
      <c r="AR964" t="s">
        <v>33</v>
      </c>
      <c r="AS964">
        <v>6</v>
      </c>
      <c r="AT964">
        <f>AS964-AU964</f>
        <v>5.29</v>
      </c>
      <c r="AU964" s="6">
        <v>0.71</v>
      </c>
      <c r="AV964" t="b">
        <v>1</v>
      </c>
      <c r="AW964" t="s">
        <v>626</v>
      </c>
      <c r="AX964" t="s">
        <v>627</v>
      </c>
      <c r="AY964" t="s">
        <v>631</v>
      </c>
      <c r="AZ964" t="s">
        <v>33</v>
      </c>
      <c r="BA964" s="18" t="s">
        <v>800</v>
      </c>
      <c r="BB964" s="3" t="b">
        <v>0</v>
      </c>
      <c r="BC964" t="s">
        <v>81</v>
      </c>
      <c r="BD964">
        <v>20</v>
      </c>
      <c r="BE964" t="s">
        <v>80</v>
      </c>
      <c r="BF964">
        <v>20</v>
      </c>
      <c r="BG964" t="s">
        <v>695</v>
      </c>
      <c r="BH964" t="s">
        <v>32</v>
      </c>
      <c r="BI964" t="s">
        <v>31</v>
      </c>
      <c r="BJ964">
        <f t="shared" si="480"/>
        <v>0.71</v>
      </c>
      <c r="BK964" s="3">
        <f t="shared" si="487"/>
        <v>-0.14874165128092473</v>
      </c>
      <c r="BL964">
        <v>2</v>
      </c>
      <c r="BM964" s="3">
        <f t="shared" si="486"/>
        <v>1.3934917840264005</v>
      </c>
      <c r="BN964" t="s">
        <v>33</v>
      </c>
      <c r="BO964" s="3">
        <f t="shared" si="500"/>
        <v>24.745246478873241</v>
      </c>
      <c r="BP964" t="s">
        <v>33</v>
      </c>
      <c r="BQ964" t="s">
        <v>33</v>
      </c>
      <c r="BR964" t="s">
        <v>33</v>
      </c>
      <c r="BS964" t="s">
        <v>33</v>
      </c>
      <c r="BT964" t="s">
        <v>32</v>
      </c>
      <c r="BU964" s="15" t="s">
        <v>207</v>
      </c>
      <c r="BV964">
        <v>2014</v>
      </c>
      <c r="BW964" t="s">
        <v>242</v>
      </c>
      <c r="BX964" t="s">
        <v>78</v>
      </c>
      <c r="BY964" s="13" t="s">
        <v>678</v>
      </c>
      <c r="CA964" t="str">
        <f t="shared" si="501"/>
        <v>low acid</v>
      </c>
    </row>
    <row r="965" spans="1:79">
      <c r="A965" t="s">
        <v>237</v>
      </c>
      <c r="B965" t="s">
        <v>565</v>
      </c>
      <c r="C965" t="s">
        <v>563</v>
      </c>
      <c r="D965" t="s">
        <v>118</v>
      </c>
      <c r="E965" t="s">
        <v>77</v>
      </c>
      <c r="F965" t="s">
        <v>32</v>
      </c>
      <c r="G965">
        <v>4</v>
      </c>
      <c r="H965">
        <v>32.5</v>
      </c>
      <c r="I965" t="b">
        <v>0</v>
      </c>
      <c r="J965" t="s">
        <v>33</v>
      </c>
      <c r="K965" t="s">
        <v>33</v>
      </c>
      <c r="L965">
        <v>30</v>
      </c>
      <c r="M965" s="4">
        <v>200</v>
      </c>
      <c r="N965" s="3">
        <f>IFERROR(AF965/((T965*X965/Y965)*O965*AI965),"NA")</f>
        <v>772.75686432737871</v>
      </c>
      <c r="O965">
        <v>4</v>
      </c>
      <c r="P965" t="s">
        <v>33</v>
      </c>
      <c r="Q965" s="9">
        <f t="shared" si="494"/>
        <v>4.6874999999999993E-2</v>
      </c>
      <c r="R965" t="s">
        <v>183</v>
      </c>
      <c r="S965" t="s">
        <v>613</v>
      </c>
      <c r="T965" s="11">
        <v>8</v>
      </c>
      <c r="U965">
        <v>2.92</v>
      </c>
      <c r="V965">
        <v>2.2999999999999998</v>
      </c>
      <c r="W965">
        <v>1.2E-2</v>
      </c>
      <c r="X965" s="8">
        <f t="shared" si="495"/>
        <v>1.2131888350367701E-2</v>
      </c>
      <c r="Y965" s="6">
        <f>60/60</f>
        <v>1</v>
      </c>
      <c r="Z965" s="3">
        <f t="shared" si="496"/>
        <v>0.25881361814117765</v>
      </c>
      <c r="AA965" t="s">
        <v>33</v>
      </c>
      <c r="AB965" s="6">
        <f t="shared" si="497"/>
        <v>9.3749999999999982</v>
      </c>
      <c r="AC965" t="str">
        <f t="shared" si="498"/>
        <v>NA</v>
      </c>
      <c r="AD965" s="4">
        <f>AB965*T965*AI965</f>
        <v>74.999999999999986</v>
      </c>
      <c r="AE965" s="3">
        <f t="shared" si="499"/>
        <v>1144.7999999999997</v>
      </c>
      <c r="AF965">
        <v>300</v>
      </c>
      <c r="AG965" t="str">
        <f>IFERROR((M965*O965*P965), "NA")</f>
        <v>NA</v>
      </c>
      <c r="AH965" t="str">
        <f>IFERROR((AG965*T965*AI965), "NA")</f>
        <v>NA</v>
      </c>
      <c r="AI965">
        <v>1</v>
      </c>
      <c r="AJ965" t="s">
        <v>31</v>
      </c>
      <c r="AK965">
        <v>4240</v>
      </c>
      <c r="AL965" t="s">
        <v>238</v>
      </c>
      <c r="AM965" t="s">
        <v>86</v>
      </c>
      <c r="AN965" t="s">
        <v>205</v>
      </c>
      <c r="AO965" t="s">
        <v>789</v>
      </c>
      <c r="AP965">
        <v>3.56</v>
      </c>
      <c r="AQ965" t="s">
        <v>33</v>
      </c>
      <c r="AR965" t="s">
        <v>33</v>
      </c>
      <c r="AS965">
        <f>LOG(10^8)</f>
        <v>8</v>
      </c>
      <c r="AT965" s="3">
        <f>IFERROR(AS965-AU965,"NA")</f>
        <v>5.2910000000000004</v>
      </c>
      <c r="AU965" s="6">
        <v>2.7090000000000001</v>
      </c>
      <c r="AV965" t="b">
        <v>1</v>
      </c>
      <c r="AW965" t="s">
        <v>172</v>
      </c>
      <c r="AX965" t="s">
        <v>173</v>
      </c>
      <c r="AY965" t="s">
        <v>239</v>
      </c>
      <c r="AZ965" t="s">
        <v>33</v>
      </c>
      <c r="BA965" s="18" t="s">
        <v>799</v>
      </c>
      <c r="BB965" t="b">
        <v>0</v>
      </c>
      <c r="BC965" t="s">
        <v>81</v>
      </c>
      <c r="BD965">
        <v>48</v>
      </c>
      <c r="BE965" t="s">
        <v>80</v>
      </c>
      <c r="BF965" s="11">
        <v>120</v>
      </c>
      <c r="BG965" t="s">
        <v>571</v>
      </c>
      <c r="BH965" t="s">
        <v>31</v>
      </c>
      <c r="BI965" t="s">
        <v>31</v>
      </c>
      <c r="BJ965" s="3">
        <f t="shared" si="480"/>
        <v>2.7090000000000001</v>
      </c>
      <c r="BK965" s="3">
        <f t="shared" si="487"/>
        <v>0.43280900503316827</v>
      </c>
      <c r="BL965">
        <v>2</v>
      </c>
      <c r="BM965" s="3">
        <f t="shared" si="486"/>
        <v>2.6259206157185515</v>
      </c>
      <c r="BN965" t="s">
        <v>33</v>
      </c>
      <c r="BO965" s="3">
        <f t="shared" si="500"/>
        <v>422.59136212624571</v>
      </c>
      <c r="BP965" t="s">
        <v>33</v>
      </c>
      <c r="BQ965" t="s">
        <v>33</v>
      </c>
      <c r="BR965" t="s">
        <v>33</v>
      </c>
      <c r="BS965" t="s">
        <v>33</v>
      </c>
      <c r="BT965" t="s">
        <v>31</v>
      </c>
      <c r="BU965" t="s">
        <v>240</v>
      </c>
      <c r="BV965">
        <v>2004</v>
      </c>
      <c r="BW965" t="s">
        <v>241</v>
      </c>
      <c r="BX965" t="s">
        <v>78</v>
      </c>
      <c r="BY965" t="s">
        <v>33</v>
      </c>
      <c r="BZ965" t="s">
        <v>33</v>
      </c>
      <c r="CA965" t="str">
        <f t="shared" si="501"/>
        <v>high acid</v>
      </c>
    </row>
    <row r="966" spans="1:79">
      <c r="A966" t="s">
        <v>535</v>
      </c>
      <c r="B966" t="s">
        <v>565</v>
      </c>
      <c r="C966" t="s">
        <v>564</v>
      </c>
      <c r="D966" t="s">
        <v>243</v>
      </c>
      <c r="E966" t="s">
        <v>77</v>
      </c>
      <c r="F966" t="s">
        <v>32</v>
      </c>
      <c r="G966">
        <v>40</v>
      </c>
      <c r="H966">
        <v>43</v>
      </c>
      <c r="I966" t="b">
        <v>0</v>
      </c>
      <c r="J966" t="s">
        <v>33</v>
      </c>
      <c r="K966" t="s">
        <v>33</v>
      </c>
      <c r="L966">
        <v>15</v>
      </c>
      <c r="M966" s="4">
        <v>120</v>
      </c>
      <c r="N966" s="3">
        <f>IFERROR(AF966/((T966*X966/Y966)*O966*AI966),"NA")</f>
        <v>100.27842677825969</v>
      </c>
      <c r="O966">
        <v>3</v>
      </c>
      <c r="P966" t="s">
        <v>33</v>
      </c>
      <c r="Q966" s="9">
        <f t="shared" si="494"/>
        <v>3.1944444444444442E-2</v>
      </c>
      <c r="R966" t="s">
        <v>183</v>
      </c>
      <c r="S966" t="s">
        <v>612</v>
      </c>
      <c r="T966" s="11">
        <v>4</v>
      </c>
      <c r="U966">
        <v>3</v>
      </c>
      <c r="V966">
        <v>2.6</v>
      </c>
      <c r="W966">
        <v>1.5900000000000001E-2</v>
      </c>
      <c r="X966" s="8">
        <f t="shared" si="495"/>
        <v>1.5927874753700257E-2</v>
      </c>
      <c r="Y966" s="6">
        <f>25/60</f>
        <v>0.41666666666666669</v>
      </c>
      <c r="Z966" s="3">
        <f t="shared" si="496"/>
        <v>0.498611731420182</v>
      </c>
      <c r="AA966" t="s">
        <v>33</v>
      </c>
      <c r="AB966" s="6">
        <f t="shared" si="497"/>
        <v>3.833333333333333</v>
      </c>
      <c r="AC966" t="str">
        <f t="shared" si="498"/>
        <v>NA</v>
      </c>
      <c r="AD966" s="4">
        <f>IFERROR(AB966*T966*AI966, "NA")</f>
        <v>15.333333333333332</v>
      </c>
      <c r="AE966" s="3">
        <f t="shared" si="499"/>
        <v>9.5219999999999985</v>
      </c>
      <c r="AF966">
        <v>46</v>
      </c>
      <c r="AG966" t="str">
        <f>IFERROR((M966*O966*P966), "NA")</f>
        <v>NA</v>
      </c>
      <c r="AH966" t="str">
        <f>IFERROR((AG966*T966*AI966), "NA")</f>
        <v>NA</v>
      </c>
      <c r="AI966" s="11">
        <v>1</v>
      </c>
      <c r="AJ966" t="s">
        <v>31</v>
      </c>
      <c r="AK966">
        <v>920</v>
      </c>
      <c r="AL966" t="s">
        <v>551</v>
      </c>
      <c r="AM966" t="s">
        <v>86</v>
      </c>
      <c r="AN966" t="s">
        <v>186</v>
      </c>
      <c r="AO966" t="s">
        <v>794</v>
      </c>
      <c r="AP966">
        <v>5.92</v>
      </c>
      <c r="AQ966" t="s">
        <v>33</v>
      </c>
      <c r="AR966" t="s">
        <v>33</v>
      </c>
      <c r="AS966" s="6">
        <f>LOG(1.1*10^7)</f>
        <v>7.0413926851582254</v>
      </c>
      <c r="AT966" s="3">
        <f>IFERROR(AS966-AU966,"NA")</f>
        <v>5.2973926851582256</v>
      </c>
      <c r="AU966" s="6">
        <v>1.744</v>
      </c>
      <c r="AV966" t="b">
        <v>1</v>
      </c>
      <c r="AW966" t="s">
        <v>172</v>
      </c>
      <c r="AX966" t="s">
        <v>173</v>
      </c>
      <c r="AY966" t="s">
        <v>246</v>
      </c>
      <c r="AZ966" t="s">
        <v>33</v>
      </c>
      <c r="BA966" s="18" t="s">
        <v>799</v>
      </c>
      <c r="BB966" t="b">
        <v>0</v>
      </c>
      <c r="BC966" t="s">
        <v>81</v>
      </c>
      <c r="BD966">
        <v>72</v>
      </c>
      <c r="BE966" t="s">
        <v>80</v>
      </c>
      <c r="BF966" s="11">
        <v>72</v>
      </c>
      <c r="BG966" t="s">
        <v>522</v>
      </c>
      <c r="BH966" t="s">
        <v>31</v>
      </c>
      <c r="BI966" t="s">
        <v>31</v>
      </c>
      <c r="BJ966" s="3">
        <f t="shared" si="480"/>
        <v>1.744</v>
      </c>
      <c r="BK966" s="3">
        <f t="shared" si="487"/>
        <v>0.2415464805965484</v>
      </c>
      <c r="BL966">
        <v>2</v>
      </c>
      <c r="BM966" s="3">
        <f t="shared" si="486"/>
        <v>0.73718169654194332</v>
      </c>
      <c r="BN966" t="s">
        <v>33</v>
      </c>
      <c r="BO966" s="3">
        <f t="shared" si="500"/>
        <v>5.4598623853210997</v>
      </c>
      <c r="BP966" t="s">
        <v>33</v>
      </c>
      <c r="BQ966" t="s">
        <v>33</v>
      </c>
      <c r="BR966" t="s">
        <v>33</v>
      </c>
      <c r="BS966" t="s">
        <v>33</v>
      </c>
      <c r="BT966" t="s">
        <v>32</v>
      </c>
      <c r="BU966" t="s">
        <v>207</v>
      </c>
      <c r="BV966">
        <v>2014</v>
      </c>
      <c r="BW966" s="2" t="s">
        <v>242</v>
      </c>
      <c r="BX966" t="s">
        <v>78</v>
      </c>
      <c r="BY966" t="s">
        <v>33</v>
      </c>
      <c r="BZ966" t="s">
        <v>33</v>
      </c>
      <c r="CA966" t="str">
        <f t="shared" si="501"/>
        <v>low acid</v>
      </c>
    </row>
    <row r="967" spans="1:79">
      <c r="A967" t="s">
        <v>448</v>
      </c>
      <c r="B967" t="s">
        <v>565</v>
      </c>
      <c r="C967" t="s">
        <v>563</v>
      </c>
      <c r="D967" t="s">
        <v>182</v>
      </c>
      <c r="E967" t="s">
        <v>77</v>
      </c>
      <c r="F967" t="s">
        <v>32</v>
      </c>
      <c r="G967">
        <v>18</v>
      </c>
      <c r="H967">
        <v>39</v>
      </c>
      <c r="I967" t="b">
        <v>1</v>
      </c>
      <c r="J967" t="s">
        <v>33</v>
      </c>
      <c r="K967" t="s">
        <v>33</v>
      </c>
      <c r="L967">
        <v>27</v>
      </c>
      <c r="M967" s="4" t="s">
        <v>33</v>
      </c>
      <c r="N967" s="3">
        <f>IFERROR(AF967/((T967*X967/Y967)*O967*AI967),"NA")</f>
        <v>329.67224855987649</v>
      </c>
      <c r="O967">
        <v>8</v>
      </c>
      <c r="P967">
        <f>0.047/2</f>
        <v>2.35E-2</v>
      </c>
      <c r="Q967" s="8">
        <f t="shared" si="494"/>
        <v>2.3318614270936313E-2</v>
      </c>
      <c r="R967" t="s">
        <v>183</v>
      </c>
      <c r="S967" t="s">
        <v>613</v>
      </c>
      <c r="T967" s="11">
        <v>2</v>
      </c>
      <c r="U967">
        <v>5.6</v>
      </c>
      <c r="V967">
        <v>4.5</v>
      </c>
      <c r="W967" t="s">
        <v>33</v>
      </c>
      <c r="X967" s="9">
        <f t="shared" si="495"/>
        <v>8.9064151729270638E-2</v>
      </c>
      <c r="Y967" s="6">
        <f>13750/3600</f>
        <v>3.8194444444444446</v>
      </c>
      <c r="Z967" s="3">
        <f>IFERROR(X967*N967*O967*T967*AI967/AF967, "NA")</f>
        <v>3.8194444444444442</v>
      </c>
      <c r="AA967" t="s">
        <v>33</v>
      </c>
      <c r="AB967" s="4">
        <f>IFERROR(((X967*N967)/Y967), "NA")</f>
        <v>7.6874999999999991</v>
      </c>
      <c r="AC967" s="4">
        <f>IFERROR(N967*P967,"NA")</f>
        <v>7.7472978411570974</v>
      </c>
      <c r="AD967" s="4">
        <f>AB967*T967*AI967</f>
        <v>15.374999999999998</v>
      </c>
      <c r="AE967" s="3">
        <f>IFERROR(((L967^2)*N967*O967*AK967*10^-6*Q967*T967*AI967), "NA")</f>
        <v>206.23409999999998</v>
      </c>
      <c r="AF967">
        <v>123</v>
      </c>
      <c r="AG967" s="4">
        <f>IFERROR((N967*O967*P967), "NA")</f>
        <v>61.978382729256779</v>
      </c>
      <c r="AH967" s="4">
        <f>IFERROR((AG967*T967*AI967), "NA")</f>
        <v>123.95676545851356</v>
      </c>
      <c r="AI967" s="11">
        <v>1</v>
      </c>
      <c r="AJ967" t="s">
        <v>31</v>
      </c>
      <c r="AK967">
        <v>2300</v>
      </c>
      <c r="AL967" t="s">
        <v>805</v>
      </c>
      <c r="AM967" t="s">
        <v>515</v>
      </c>
      <c r="AN967" t="s">
        <v>205</v>
      </c>
      <c r="AO967" t="s">
        <v>788</v>
      </c>
      <c r="AP967">
        <v>3.68</v>
      </c>
      <c r="AQ967" t="s">
        <v>33</v>
      </c>
      <c r="AR967" t="s">
        <v>33</v>
      </c>
      <c r="AS967">
        <f>LOG(10^7)</f>
        <v>7</v>
      </c>
      <c r="AT967" s="3">
        <f>IFERROR(AS967-AU967,"NA")</f>
        <v>5.3</v>
      </c>
      <c r="AU967" s="6">
        <v>1.7</v>
      </c>
      <c r="AV967" t="b">
        <v>1</v>
      </c>
      <c r="AW967" t="s">
        <v>172</v>
      </c>
      <c r="AX967" t="s">
        <v>173</v>
      </c>
      <c r="AY967" t="s">
        <v>465</v>
      </c>
      <c r="AZ967" t="s">
        <v>33</v>
      </c>
      <c r="BA967" s="18" t="s">
        <v>799</v>
      </c>
      <c r="BB967" t="b">
        <v>0</v>
      </c>
      <c r="BC967" t="s">
        <v>81</v>
      </c>
      <c r="BD967" t="s">
        <v>33</v>
      </c>
      <c r="BE967" t="s">
        <v>80</v>
      </c>
      <c r="BF967" t="s">
        <v>33</v>
      </c>
      <c r="BG967" t="s">
        <v>401</v>
      </c>
      <c r="BH967" t="s">
        <v>31</v>
      </c>
      <c r="BI967" t="s">
        <v>31</v>
      </c>
      <c r="BJ967" s="3">
        <f t="shared" si="480"/>
        <v>1.7</v>
      </c>
      <c r="BK967" s="3">
        <f t="shared" si="487"/>
        <v>0.23044892137827391</v>
      </c>
      <c r="BL967">
        <v>2</v>
      </c>
      <c r="BM967" s="3">
        <f t="shared" si="486"/>
        <v>2.0839115543966913</v>
      </c>
      <c r="BN967" t="s">
        <v>33</v>
      </c>
      <c r="BO967" s="3">
        <f t="shared" si="500"/>
        <v>121.31417647058822</v>
      </c>
      <c r="BP967" t="s">
        <v>33</v>
      </c>
      <c r="BQ967" t="s">
        <v>33</v>
      </c>
      <c r="BR967" t="s">
        <v>33</v>
      </c>
      <c r="BS967" t="s">
        <v>33</v>
      </c>
      <c r="BT967" t="s">
        <v>32</v>
      </c>
      <c r="BU967" t="s">
        <v>484</v>
      </c>
      <c r="BV967">
        <v>2015</v>
      </c>
      <c r="BW967" t="s">
        <v>485</v>
      </c>
      <c r="BX967" t="s">
        <v>78</v>
      </c>
      <c r="BY967" t="s">
        <v>486</v>
      </c>
      <c r="CA967" t="str">
        <f t="shared" si="501"/>
        <v>high acid</v>
      </c>
    </row>
    <row r="968" spans="1:79">
      <c r="A968" t="s">
        <v>600</v>
      </c>
      <c r="B968" t="s">
        <v>566</v>
      </c>
      <c r="C968" t="s">
        <v>563</v>
      </c>
      <c r="D968" t="s">
        <v>33</v>
      </c>
      <c r="E968" t="s">
        <v>77</v>
      </c>
      <c r="F968" t="s">
        <v>33</v>
      </c>
      <c r="G968" t="s">
        <v>33</v>
      </c>
      <c r="H968">
        <v>35</v>
      </c>
      <c r="I968" t="b">
        <v>0</v>
      </c>
      <c r="J968" t="s">
        <v>33</v>
      </c>
      <c r="K968" t="s">
        <v>33</v>
      </c>
      <c r="L968">
        <v>22</v>
      </c>
      <c r="M968" s="4">
        <v>1</v>
      </c>
      <c r="N968" t="e">
        <f>(#REF!*Y968)/(T968*X968*O968)</f>
        <v>#REF!</v>
      </c>
      <c r="O968">
        <v>2</v>
      </c>
      <c r="P968" t="s">
        <v>33</v>
      </c>
      <c r="Q968" s="1">
        <f t="shared" si="494"/>
        <v>200.00000000000003</v>
      </c>
      <c r="R968" t="s">
        <v>183</v>
      </c>
      <c r="S968" t="s">
        <v>33</v>
      </c>
      <c r="T968">
        <v>1</v>
      </c>
      <c r="U968">
        <v>2.5</v>
      </c>
      <c r="V968" t="s">
        <v>33</v>
      </c>
      <c r="W968">
        <v>0.50249999999999995</v>
      </c>
      <c r="X968">
        <f>W968</f>
        <v>0.50249999999999995</v>
      </c>
      <c r="Y968" t="s">
        <v>33</v>
      </c>
      <c r="Z968" s="3">
        <f>IFERROR(X968*M968*O968*T968*AI968/AF968, "NA")</f>
        <v>2.5124999999999995E-3</v>
      </c>
      <c r="AA968" t="s">
        <v>33</v>
      </c>
      <c r="AB968">
        <f>IFERROR(((X968*M968)/Z968), "NA")</f>
        <v>200.00000000000003</v>
      </c>
      <c r="AC968" s="1" t="str">
        <f t="shared" ref="AC968:AC975" si="502">IFERROR(M968*P968,"NA")</f>
        <v>NA</v>
      </c>
      <c r="AE968" s="3">
        <f t="shared" ref="AE968:AE975" si="503">IFERROR(((L968^2)*M968*O968*AK968*10^-6*Q968*T968*AI968), "NA")</f>
        <v>387.20000000000005</v>
      </c>
      <c r="AF968">
        <v>400</v>
      </c>
      <c r="AG968" s="1" t="str">
        <f>IFERROR((N968*P968*Q968), "NA")</f>
        <v>NA</v>
      </c>
      <c r="AH968" s="1" t="str">
        <f>IFERROR((AG968*U968*AI968), "NA")</f>
        <v>NA</v>
      </c>
      <c r="AI968" s="1">
        <v>1</v>
      </c>
      <c r="AJ968" s="11" t="s">
        <v>31</v>
      </c>
      <c r="AK968">
        <v>2000</v>
      </c>
      <c r="AL968" t="s">
        <v>784</v>
      </c>
      <c r="AM968" s="3" t="s">
        <v>103</v>
      </c>
      <c r="AN968" t="s">
        <v>130</v>
      </c>
      <c r="AO968" t="s">
        <v>795</v>
      </c>
      <c r="AP968">
        <v>7</v>
      </c>
      <c r="AQ968" t="s">
        <v>33</v>
      </c>
      <c r="AR968" t="s">
        <v>33</v>
      </c>
      <c r="AS968">
        <v>8</v>
      </c>
      <c r="AT968">
        <f>AS968-AU968</f>
        <v>5.3</v>
      </c>
      <c r="AU968" s="6">
        <v>2.7</v>
      </c>
      <c r="AV968" t="b">
        <v>1</v>
      </c>
      <c r="AW968" t="s">
        <v>626</v>
      </c>
      <c r="AX968" t="s">
        <v>627</v>
      </c>
      <c r="AY968" t="s">
        <v>640</v>
      </c>
      <c r="AZ968" t="s">
        <v>33</v>
      </c>
      <c r="BA968" s="18" t="s">
        <v>800</v>
      </c>
      <c r="BB968" s="3" t="b">
        <v>0</v>
      </c>
      <c r="BC968" t="s">
        <v>81</v>
      </c>
      <c r="BD968">
        <f>AVERAGE(24,30)</f>
        <v>27</v>
      </c>
      <c r="BE968" t="s">
        <v>80</v>
      </c>
      <c r="BF968">
        <v>24</v>
      </c>
      <c r="BG968" t="s">
        <v>568</v>
      </c>
      <c r="BH968" t="s">
        <v>31</v>
      </c>
      <c r="BI968" t="s">
        <v>31</v>
      </c>
      <c r="BJ968" s="3">
        <f t="shared" si="480"/>
        <v>2.7</v>
      </c>
      <c r="BK968" s="3">
        <f t="shared" si="487"/>
        <v>0.43136376415898736</v>
      </c>
      <c r="BL968">
        <v>2</v>
      </c>
      <c r="BM968" s="3">
        <f t="shared" si="486"/>
        <v>2.1565715844773687</v>
      </c>
      <c r="BN968" t="s">
        <v>33</v>
      </c>
      <c r="BO968" s="3">
        <f t="shared" si="500"/>
        <v>143.40740740740742</v>
      </c>
      <c r="BP968" t="s">
        <v>33</v>
      </c>
      <c r="BQ968" t="s">
        <v>33</v>
      </c>
      <c r="BR968" t="s">
        <v>33</v>
      </c>
      <c r="BS968" t="s">
        <v>33</v>
      </c>
      <c r="BT968" t="s">
        <v>31</v>
      </c>
      <c r="BU968" t="s">
        <v>666</v>
      </c>
      <c r="BV968" s="14">
        <v>2006</v>
      </c>
      <c r="BW968" t="s">
        <v>667</v>
      </c>
      <c r="BX968" t="s">
        <v>78</v>
      </c>
      <c r="BY968" s="13" t="s">
        <v>688</v>
      </c>
      <c r="CA968" t="str">
        <f t="shared" si="501"/>
        <v>low acid</v>
      </c>
    </row>
    <row r="969" spans="1:79">
      <c r="A969" t="s">
        <v>589</v>
      </c>
      <c r="B969" t="s">
        <v>566</v>
      </c>
      <c r="C969" t="s">
        <v>563</v>
      </c>
      <c r="D969" t="s">
        <v>33</v>
      </c>
      <c r="E969" t="s">
        <v>77</v>
      </c>
      <c r="F969" t="s">
        <v>33</v>
      </c>
      <c r="G969" t="s">
        <v>33</v>
      </c>
      <c r="H969">
        <v>35</v>
      </c>
      <c r="I969" t="b">
        <v>0</v>
      </c>
      <c r="J969" t="s">
        <v>33</v>
      </c>
      <c r="K969" t="s">
        <v>33</v>
      </c>
      <c r="L969">
        <v>22</v>
      </c>
      <c r="M969" s="4">
        <v>1</v>
      </c>
      <c r="N969" t="e">
        <f>(#REF!*Y969)/(T969*X969*O969)</f>
        <v>#REF!</v>
      </c>
      <c r="O969">
        <v>2</v>
      </c>
      <c r="P969" t="s">
        <v>33</v>
      </c>
      <c r="Q969" s="1">
        <f t="shared" si="494"/>
        <v>196.5</v>
      </c>
      <c r="R969" t="s">
        <v>183</v>
      </c>
      <c r="S969" t="s">
        <v>613</v>
      </c>
      <c r="T969">
        <v>1</v>
      </c>
      <c r="U969">
        <v>2.5</v>
      </c>
      <c r="V969" t="s">
        <v>33</v>
      </c>
      <c r="W969">
        <v>0.50249999999999995</v>
      </c>
      <c r="X969">
        <f>W969</f>
        <v>0.50249999999999995</v>
      </c>
      <c r="Y969" t="s">
        <v>33</v>
      </c>
      <c r="Z969" s="3">
        <f>IFERROR(X969*M969*O969*T969*AI969/AF969, "NA")</f>
        <v>2.5572519083969462E-3</v>
      </c>
      <c r="AA969" t="s">
        <v>33</v>
      </c>
      <c r="AB969">
        <f>IFERROR(((X969*M969)/Z969), "NA")</f>
        <v>196.5</v>
      </c>
      <c r="AC969" s="1" t="str">
        <f t="shared" si="502"/>
        <v>NA</v>
      </c>
      <c r="AE969" s="3">
        <f t="shared" si="503"/>
        <v>380.42399999999998</v>
      </c>
      <c r="AF969">
        <v>393</v>
      </c>
      <c r="AG969" s="1" t="str">
        <f>IFERROR((N969*P969*Q969), "NA")</f>
        <v>NA</v>
      </c>
      <c r="AH969" s="1" t="str">
        <f>IFERROR((AG969*U969*AI969), "NA")</f>
        <v>NA</v>
      </c>
      <c r="AI969" s="1">
        <v>1</v>
      </c>
      <c r="AJ969" s="11" t="s">
        <v>31</v>
      </c>
      <c r="AK969">
        <v>2000</v>
      </c>
      <c r="AL969" t="s">
        <v>616</v>
      </c>
      <c r="AM969" s="3" t="s">
        <v>103</v>
      </c>
      <c r="AN969" t="s">
        <v>130</v>
      </c>
      <c r="AO969" t="s">
        <v>795</v>
      </c>
      <c r="AP969">
        <v>7</v>
      </c>
      <c r="AQ969" t="s">
        <v>33</v>
      </c>
      <c r="AR969" t="s">
        <v>33</v>
      </c>
      <c r="AS969">
        <v>9</v>
      </c>
      <c r="AT969">
        <f>AS969-AU969</f>
        <v>5.3</v>
      </c>
      <c r="AU969" s="6">
        <v>3.7</v>
      </c>
      <c r="AV969" t="b">
        <v>1</v>
      </c>
      <c r="AW969" t="s">
        <v>617</v>
      </c>
      <c r="AX969" t="s">
        <v>33</v>
      </c>
      <c r="AY969" t="s">
        <v>628</v>
      </c>
      <c r="AZ969" t="s">
        <v>619</v>
      </c>
      <c r="BA969" s="18" t="s">
        <v>802</v>
      </c>
      <c r="BB969" s="3" t="b">
        <v>0</v>
      </c>
      <c r="BC969" t="s">
        <v>81</v>
      </c>
      <c r="BD969">
        <v>24</v>
      </c>
      <c r="BE969" t="s">
        <v>80</v>
      </c>
      <c r="BF969">
        <v>24</v>
      </c>
      <c r="BG969" t="s">
        <v>644</v>
      </c>
      <c r="BH969" t="s">
        <v>31</v>
      </c>
      <c r="BI969" t="s">
        <v>31</v>
      </c>
      <c r="BJ969">
        <f t="shared" si="480"/>
        <v>3.7</v>
      </c>
      <c r="BK969" s="3">
        <f t="shared" si="487"/>
        <v>0.56820172406699498</v>
      </c>
      <c r="BL969">
        <v>2</v>
      </c>
      <c r="BM969" s="3">
        <f t="shared" si="486"/>
        <v>2.0120661836168252</v>
      </c>
      <c r="BN969" t="s">
        <v>33</v>
      </c>
      <c r="BO969" s="3">
        <f t="shared" si="500"/>
        <v>102.81729729729729</v>
      </c>
      <c r="BP969" t="s">
        <v>33</v>
      </c>
      <c r="BQ969" t="s">
        <v>33</v>
      </c>
      <c r="BR969" t="s">
        <v>33</v>
      </c>
      <c r="BS969" t="s">
        <v>33</v>
      </c>
      <c r="BT969" t="s">
        <v>31</v>
      </c>
      <c r="BU969" s="15" t="s">
        <v>655</v>
      </c>
      <c r="BV969">
        <v>2003</v>
      </c>
      <c r="BW969" t="s">
        <v>656</v>
      </c>
      <c r="BX969" t="s">
        <v>78</v>
      </c>
      <c r="BY969" s="13" t="s">
        <v>677</v>
      </c>
      <c r="CA969" t="str">
        <f t="shared" si="501"/>
        <v>low acid</v>
      </c>
    </row>
    <row r="970" spans="1:79">
      <c r="A970" t="s">
        <v>144</v>
      </c>
      <c r="B970" t="s">
        <v>565</v>
      </c>
      <c r="C970" t="s">
        <v>563</v>
      </c>
      <c r="D970" t="s">
        <v>118</v>
      </c>
      <c r="E970" t="s">
        <v>77</v>
      </c>
      <c r="F970" t="s">
        <v>32</v>
      </c>
      <c r="G970">
        <v>10</v>
      </c>
      <c r="H970" t="s">
        <v>33</v>
      </c>
      <c r="I970" t="b">
        <v>0</v>
      </c>
      <c r="J970" t="s">
        <v>33</v>
      </c>
      <c r="K970" t="s">
        <v>33</v>
      </c>
      <c r="L970">
        <v>17</v>
      </c>
      <c r="M970" s="4">
        <v>500</v>
      </c>
      <c r="N970" s="3">
        <f>IFERROR(AF970/((T970*X970/Y970)*O970*AI970),"NA")</f>
        <v>503.35454362283343</v>
      </c>
      <c r="O970">
        <v>3</v>
      </c>
      <c r="P970" t="s">
        <v>33</v>
      </c>
      <c r="Q970" s="8">
        <f t="shared" si="494"/>
        <v>1.4555555555555556E-2</v>
      </c>
      <c r="R970" t="s">
        <v>183</v>
      </c>
      <c r="S970" t="s">
        <v>613</v>
      </c>
      <c r="T970" s="11">
        <v>6</v>
      </c>
      <c r="U970">
        <v>2.9</v>
      </c>
      <c r="V970">
        <v>2.2999999999999998</v>
      </c>
      <c r="W970" t="s">
        <v>33</v>
      </c>
      <c r="X970">
        <f>IFERROR(((PI())*(((V970*10^-1)/2)^2)*(U970*10^-1)), "NA")</f>
        <v>1.204879322468025E-2</v>
      </c>
      <c r="Y970" s="8">
        <f>50/60</f>
        <v>0.83333333333333337</v>
      </c>
      <c r="Z970" s="9">
        <f>IFERROR(X970*M970*O970*T970*AI970/AF970, "NA")</f>
        <v>0.82777968719177286</v>
      </c>
      <c r="AA970" t="s">
        <v>33</v>
      </c>
      <c r="AB970" s="6">
        <f>IFERROR(((X970*M970)/Z970), "NA")</f>
        <v>7.2777777777777786</v>
      </c>
      <c r="AC970" t="str">
        <f t="shared" si="502"/>
        <v>NA</v>
      </c>
      <c r="AD970" s="4">
        <f>IFERROR(AB970*T970*AI970, "NA")</f>
        <v>43.666666666666671</v>
      </c>
      <c r="AE970" s="3">
        <f t="shared" si="503"/>
        <v>137.80676</v>
      </c>
      <c r="AF970">
        <v>131</v>
      </c>
      <c r="AG970" t="str">
        <f>IFERROR((M970*O970*P970), "NA")</f>
        <v>NA</v>
      </c>
      <c r="AH970" t="str">
        <f>IFERROR((AG970*T970*AI970), "NA")</f>
        <v>NA</v>
      </c>
      <c r="AI970" s="11">
        <v>1</v>
      </c>
      <c r="AJ970" t="s">
        <v>31</v>
      </c>
      <c r="AK970">
        <v>3640</v>
      </c>
      <c r="AL970" t="s">
        <v>145</v>
      </c>
      <c r="AM970" t="s">
        <v>86</v>
      </c>
      <c r="AN970" t="s">
        <v>205</v>
      </c>
      <c r="AO970" t="s">
        <v>789</v>
      </c>
      <c r="AP970">
        <v>3.19</v>
      </c>
      <c r="AQ970" t="s">
        <v>33</v>
      </c>
      <c r="AR970" t="s">
        <v>33</v>
      </c>
      <c r="AS970" s="3">
        <v>6.0609999999999999</v>
      </c>
      <c r="AT970" s="3">
        <f>IFERROR(AS970-AU970,"NA")</f>
        <v>5.3010000000000002</v>
      </c>
      <c r="AU970" s="6">
        <v>0.76</v>
      </c>
      <c r="AV970" t="b">
        <v>1</v>
      </c>
      <c r="AW970" t="s">
        <v>92</v>
      </c>
      <c r="AX970" t="s">
        <v>93</v>
      </c>
      <c r="AY970" t="s">
        <v>137</v>
      </c>
      <c r="AZ970" t="s">
        <v>33</v>
      </c>
      <c r="BA970" s="18" t="s">
        <v>801</v>
      </c>
      <c r="BB970" t="b">
        <v>0</v>
      </c>
      <c r="BC970" t="s">
        <v>81</v>
      </c>
      <c r="BD970">
        <f>(48+24)/2</f>
        <v>36</v>
      </c>
      <c r="BE970" t="s">
        <v>80</v>
      </c>
      <c r="BF970" s="11">
        <f>(48+24)/2</f>
        <v>36</v>
      </c>
      <c r="BG970" t="s">
        <v>139</v>
      </c>
      <c r="BH970" t="s">
        <v>31</v>
      </c>
      <c r="BI970" t="s">
        <v>31</v>
      </c>
      <c r="BJ970">
        <f t="shared" si="480"/>
        <v>0.76</v>
      </c>
      <c r="BK970" s="3">
        <f t="shared" si="487"/>
        <v>-0.11918640771920865</v>
      </c>
      <c r="BL970">
        <v>2</v>
      </c>
      <c r="BM970" s="3">
        <f>LOG(BO970)</f>
        <v>2.2584569297805768</v>
      </c>
      <c r="BN970" t="s">
        <v>33</v>
      </c>
      <c r="BO970" s="3">
        <f t="shared" si="500"/>
        <v>181.3246842105263</v>
      </c>
      <c r="BP970" t="s">
        <v>33</v>
      </c>
      <c r="BQ970" t="s">
        <v>33</v>
      </c>
      <c r="BR970" t="s">
        <v>33</v>
      </c>
      <c r="BS970" t="s">
        <v>33</v>
      </c>
      <c r="BT970" t="s">
        <v>31</v>
      </c>
      <c r="BU970" t="s">
        <v>135</v>
      </c>
      <c r="BV970">
        <v>2010</v>
      </c>
      <c r="BW970" t="s">
        <v>140</v>
      </c>
      <c r="BX970" t="s">
        <v>78</v>
      </c>
      <c r="BY970" t="s">
        <v>33</v>
      </c>
      <c r="BZ970" t="s">
        <v>148</v>
      </c>
      <c r="CA970" t="str">
        <f t="shared" si="501"/>
        <v>high acid</v>
      </c>
    </row>
    <row r="971" spans="1:79">
      <c r="A971" t="s">
        <v>698</v>
      </c>
      <c r="B971" t="s">
        <v>566</v>
      </c>
      <c r="C971" t="s">
        <v>563</v>
      </c>
      <c r="D971" t="s">
        <v>699</v>
      </c>
      <c r="E971" t="s">
        <v>77</v>
      </c>
      <c r="F971" t="s">
        <v>32</v>
      </c>
      <c r="G971">
        <v>20</v>
      </c>
      <c r="H971">
        <v>42.5</v>
      </c>
      <c r="I971" t="b">
        <v>1</v>
      </c>
      <c r="J971" t="s">
        <v>33</v>
      </c>
      <c r="K971" t="s">
        <v>33</v>
      </c>
      <c r="L971">
        <v>20</v>
      </c>
      <c r="M971" s="4">
        <v>47</v>
      </c>
      <c r="N971" s="3">
        <f>IFERROR(AF971/((T971*X971/Y971)*O971*AI971),"NA")</f>
        <v>46.759259259259245</v>
      </c>
      <c r="O971">
        <v>5</v>
      </c>
      <c r="P971">
        <v>0.43</v>
      </c>
      <c r="Q971" s="8">
        <f>IFERROR(X971/Y971, "NA")</f>
        <v>0.43200000000000011</v>
      </c>
      <c r="R971" t="s">
        <v>183</v>
      </c>
      <c r="S971" t="s">
        <v>612</v>
      </c>
      <c r="T971" s="11">
        <v>1</v>
      </c>
      <c r="U971">
        <v>4</v>
      </c>
      <c r="V971" t="s">
        <v>33</v>
      </c>
      <c r="W971">
        <f>0.4*3*0.5</f>
        <v>0.60000000000000009</v>
      </c>
      <c r="X971" s="9">
        <f>W971</f>
        <v>0.60000000000000009</v>
      </c>
      <c r="Y971" s="6">
        <f>5000/3600</f>
        <v>1.3888888888888888</v>
      </c>
      <c r="Z971" s="3">
        <f>IFERROR(X971*M971*O971*T971*AI971/AF971, "NA")</f>
        <v>1.3960396039603959</v>
      </c>
      <c r="AA971" t="s">
        <v>33</v>
      </c>
      <c r="AB971" s="4">
        <f>IFERROR(((X971*M971)/Y971), "NA")</f>
        <v>20.304000000000002</v>
      </c>
      <c r="AC971" s="4">
        <f t="shared" si="502"/>
        <v>20.21</v>
      </c>
      <c r="AD971" s="4">
        <f>AB971*T971*AI971</f>
        <v>20.304000000000002</v>
      </c>
      <c r="AE971" s="3">
        <f t="shared" si="503"/>
        <v>81.216000000000022</v>
      </c>
      <c r="AF971">
        <v>101</v>
      </c>
      <c r="AG971" s="4">
        <f>IFERROR((M971*O971*P971), "NA")</f>
        <v>101.05</v>
      </c>
      <c r="AH971" s="4">
        <f>IFERROR((AG971*T971*AI971), "NA")</f>
        <v>101.05</v>
      </c>
      <c r="AI971">
        <v>1</v>
      </c>
      <c r="AJ971" s="11" t="s">
        <v>31</v>
      </c>
      <c r="AK971">
        <v>2000</v>
      </c>
      <c r="AL971" t="s">
        <v>784</v>
      </c>
      <c r="AM971" t="s">
        <v>103</v>
      </c>
      <c r="AN971" t="s">
        <v>130</v>
      </c>
      <c r="AO971" t="s">
        <v>795</v>
      </c>
      <c r="AP971">
        <v>7</v>
      </c>
      <c r="AQ971" t="s">
        <v>33</v>
      </c>
      <c r="AR971" t="s">
        <v>33</v>
      </c>
      <c r="AS971" s="6">
        <f>LOG(AVERAGE(10^8, 10^9))</f>
        <v>8.7403626894942441</v>
      </c>
      <c r="AT971" s="3">
        <f>IFERROR(AS971-AU971,"NA")</f>
        <v>5.3053626894942436</v>
      </c>
      <c r="AU971" s="6">
        <v>3.4350000000000001</v>
      </c>
      <c r="AV971" t="b">
        <v>1</v>
      </c>
      <c r="AW971" t="s">
        <v>29</v>
      </c>
      <c r="AX971" t="s">
        <v>30</v>
      </c>
      <c r="AY971" t="s">
        <v>707</v>
      </c>
      <c r="AZ971" t="s">
        <v>33</v>
      </c>
      <c r="BA971" s="18" t="s">
        <v>798</v>
      </c>
      <c r="BB971" s="3" t="b">
        <v>0</v>
      </c>
      <c r="BC971" t="s">
        <v>81</v>
      </c>
      <c r="BD971">
        <v>24</v>
      </c>
      <c r="BE971" t="s">
        <v>80</v>
      </c>
      <c r="BF971">
        <v>24</v>
      </c>
      <c r="BG971" t="s">
        <v>568</v>
      </c>
      <c r="BH971" t="s">
        <v>31</v>
      </c>
      <c r="BI971" t="s">
        <v>31</v>
      </c>
      <c r="BJ971" s="3">
        <f t="shared" si="480"/>
        <v>3.4350000000000001</v>
      </c>
      <c r="BK971" s="3">
        <f t="shared" si="487"/>
        <v>0.53592674139556928</v>
      </c>
      <c r="BL971">
        <v>2</v>
      </c>
      <c r="BM971" s="3">
        <f t="shared" ref="BM971:BM993" si="504">IFERROR(LOG(BO971),"NA")</f>
        <v>1.3737148546830229</v>
      </c>
      <c r="BN971" t="s">
        <v>33</v>
      </c>
      <c r="BO971" s="3">
        <f t="shared" si="500"/>
        <v>23.64366812227075</v>
      </c>
      <c r="BP971" t="s">
        <v>33</v>
      </c>
      <c r="BQ971" t="s">
        <v>33</v>
      </c>
      <c r="BR971" t="s">
        <v>33</v>
      </c>
      <c r="BS971" t="s">
        <v>33</v>
      </c>
      <c r="BT971" t="s">
        <v>32</v>
      </c>
      <c r="BU971" t="s">
        <v>709</v>
      </c>
      <c r="BV971">
        <v>2024</v>
      </c>
      <c r="BW971" t="s">
        <v>710</v>
      </c>
      <c r="BX971" t="s">
        <v>78</v>
      </c>
      <c r="BY971" t="s">
        <v>711</v>
      </c>
      <c r="CA971" t="str">
        <f t="shared" si="501"/>
        <v>low acid</v>
      </c>
    </row>
    <row r="972" spans="1:79">
      <c r="A972" t="s">
        <v>764</v>
      </c>
      <c r="B972" t="s">
        <v>566</v>
      </c>
      <c r="C972" t="s">
        <v>563</v>
      </c>
      <c r="D972" t="s">
        <v>765</v>
      </c>
      <c r="E972" t="s">
        <v>77</v>
      </c>
      <c r="F972" t="s">
        <v>31</v>
      </c>
      <c r="G972">
        <v>22</v>
      </c>
      <c r="H972">
        <v>34</v>
      </c>
      <c r="I972" t="b">
        <v>0</v>
      </c>
      <c r="J972" t="s">
        <v>33</v>
      </c>
      <c r="K972" t="s">
        <v>33</v>
      </c>
      <c r="L972">
        <v>16</v>
      </c>
      <c r="M972" s="4">
        <f>N972</f>
        <v>34.737654320987659</v>
      </c>
      <c r="N972" s="3">
        <f>IFERROR(AF972/((T972*X972/Y972)*O972*AI972),"NA")</f>
        <v>34.737654320987659</v>
      </c>
      <c r="O972">
        <v>3</v>
      </c>
      <c r="P972">
        <v>4.3</v>
      </c>
      <c r="Q972" s="8">
        <f>IFERROR(X972/Y972, "NA")</f>
        <v>4.3199999999999994</v>
      </c>
      <c r="R972" t="s">
        <v>183</v>
      </c>
      <c r="S972" t="s">
        <v>33</v>
      </c>
      <c r="T972" s="11">
        <v>1</v>
      </c>
      <c r="U972">
        <v>8.1000000000000003E-2</v>
      </c>
      <c r="V972" t="s">
        <v>33</v>
      </c>
      <c r="W972">
        <v>7.1999999999999998E-3</v>
      </c>
      <c r="X972">
        <f>W972</f>
        <v>7.1999999999999998E-3</v>
      </c>
      <c r="Y972" s="6">
        <f>0.1/60</f>
        <v>1.6666666666666668E-3</v>
      </c>
      <c r="Z972" s="6">
        <f>Y972</f>
        <v>1.6666666666666668E-3</v>
      </c>
      <c r="AA972" t="s">
        <v>33</v>
      </c>
      <c r="AB972" s="4">
        <f>IFERROR(((X972*M972)/Y972), "NA")</f>
        <v>150.06666666666666</v>
      </c>
      <c r="AC972" s="4">
        <f t="shared" si="502"/>
        <v>149.37191358024694</v>
      </c>
      <c r="AD972" s="4">
        <f>AB972*T972*AI972</f>
        <v>150.06666666666666</v>
      </c>
      <c r="AE972" s="3">
        <f t="shared" si="503"/>
        <v>345.75359999999995</v>
      </c>
      <c r="AF972">
        <v>450.2</v>
      </c>
      <c r="AG972" s="4">
        <f>IFERROR((M972*O972*P972), "NA")</f>
        <v>448.11574074074076</v>
      </c>
      <c r="AH972" s="4">
        <f>IFERROR((AG972*T972*AI972), "NA")</f>
        <v>448.11574074074076</v>
      </c>
      <c r="AI972">
        <v>1</v>
      </c>
      <c r="AJ972" s="11" t="s">
        <v>31</v>
      </c>
      <c r="AK972">
        <v>3000</v>
      </c>
      <c r="AL972" t="s">
        <v>169</v>
      </c>
      <c r="AM972" t="s">
        <v>103</v>
      </c>
      <c r="AN972" t="s">
        <v>130</v>
      </c>
      <c r="AO972" t="s">
        <v>795</v>
      </c>
      <c r="AP972">
        <v>7.3</v>
      </c>
      <c r="AQ972" t="s">
        <v>33</v>
      </c>
      <c r="AR972" t="s">
        <v>33</v>
      </c>
      <c r="AS972">
        <v>7</v>
      </c>
      <c r="AT972" s="3">
        <f>IFERROR(AS972-AU972,"NA")</f>
        <v>5.3079999999999998</v>
      </c>
      <c r="AU972" s="6">
        <v>1.6919999999999999</v>
      </c>
      <c r="AV972" t="b">
        <v>1</v>
      </c>
      <c r="AW972" t="s">
        <v>29</v>
      </c>
      <c r="AX972" t="s">
        <v>30</v>
      </c>
      <c r="AY972" t="s">
        <v>766</v>
      </c>
      <c r="AZ972" t="s">
        <v>33</v>
      </c>
      <c r="BA972" s="18" t="s">
        <v>798</v>
      </c>
      <c r="BB972" s="3" t="b">
        <v>0</v>
      </c>
      <c r="BC972" t="s">
        <v>81</v>
      </c>
      <c r="BD972">
        <v>16</v>
      </c>
      <c r="BE972" t="s">
        <v>80</v>
      </c>
      <c r="BF972">
        <v>24</v>
      </c>
      <c r="BG972" t="s">
        <v>569</v>
      </c>
      <c r="BH972" t="s">
        <v>31</v>
      </c>
      <c r="BI972" t="s">
        <v>31</v>
      </c>
      <c r="BJ972" s="3">
        <f t="shared" si="480"/>
        <v>1.6919999999999999</v>
      </c>
      <c r="BK972" s="3">
        <f t="shared" si="487"/>
        <v>0.22840035870300471</v>
      </c>
      <c r="BL972">
        <v>2</v>
      </c>
      <c r="BM972" s="3">
        <f t="shared" si="504"/>
        <v>2.3103663519930082</v>
      </c>
      <c r="BN972" t="s">
        <v>33</v>
      </c>
      <c r="BO972" s="3">
        <f t="shared" si="500"/>
        <v>204.34609929078013</v>
      </c>
      <c r="BP972" t="s">
        <v>33</v>
      </c>
      <c r="BQ972" t="s">
        <v>33</v>
      </c>
      <c r="BR972" t="s">
        <v>33</v>
      </c>
      <c r="BS972" t="s">
        <v>33</v>
      </c>
      <c r="BT972" t="s">
        <v>31</v>
      </c>
      <c r="BU972" t="s">
        <v>767</v>
      </c>
      <c r="BV972">
        <v>2021</v>
      </c>
      <c r="BW972" t="s">
        <v>768</v>
      </c>
      <c r="BX972" t="s">
        <v>78</v>
      </c>
      <c r="BY972" t="s">
        <v>769</v>
      </c>
      <c r="CA972" t="str">
        <f t="shared" si="501"/>
        <v>low acid</v>
      </c>
    </row>
    <row r="973" spans="1:79">
      <c r="A973" t="s">
        <v>597</v>
      </c>
      <c r="B973" t="s">
        <v>565</v>
      </c>
      <c r="C973" t="s">
        <v>563</v>
      </c>
      <c r="D973" t="s">
        <v>33</v>
      </c>
      <c r="E973" t="s">
        <v>77</v>
      </c>
      <c r="F973" t="s">
        <v>33</v>
      </c>
      <c r="G973">
        <v>20</v>
      </c>
      <c r="H973">
        <v>35</v>
      </c>
      <c r="I973" t="b">
        <v>0</v>
      </c>
      <c r="J973" t="s">
        <v>33</v>
      </c>
      <c r="K973" t="s">
        <v>33</v>
      </c>
      <c r="L973">
        <v>19</v>
      </c>
      <c r="M973" s="4">
        <v>1</v>
      </c>
      <c r="N973" t="e">
        <f>(#REF!*Y973)/(T973*X973*O973)</f>
        <v>#REF!</v>
      </c>
      <c r="O973">
        <v>2</v>
      </c>
      <c r="P973" t="s">
        <v>33</v>
      </c>
      <c r="Q973" s="1">
        <f t="shared" ref="Q973:Q984" si="505">IFERROR(X973/Z973, "NA")</f>
        <v>598.4</v>
      </c>
      <c r="R973" t="s">
        <v>183</v>
      </c>
      <c r="S973" t="s">
        <v>33</v>
      </c>
      <c r="T973">
        <v>1</v>
      </c>
      <c r="U973">
        <v>2.5</v>
      </c>
      <c r="V973" t="s">
        <v>33</v>
      </c>
      <c r="W973">
        <v>0.50249999999999995</v>
      </c>
      <c r="X973">
        <f>W973</f>
        <v>0.50249999999999995</v>
      </c>
      <c r="Y973" t="s">
        <v>33</v>
      </c>
      <c r="Z973" s="3">
        <f>IFERROR(X973*M973*O973*T973*AI973/AF973, "NA")</f>
        <v>8.397393048128342E-4</v>
      </c>
      <c r="AA973" t="s">
        <v>33</v>
      </c>
      <c r="AB973">
        <f>IFERROR(((X973*M973)/Z973), "NA")</f>
        <v>598.4</v>
      </c>
      <c r="AC973" s="1" t="str">
        <f t="shared" si="502"/>
        <v>NA</v>
      </c>
      <c r="AE973" s="3">
        <f t="shared" si="503"/>
        <v>864.0895999999999</v>
      </c>
      <c r="AF973">
        <v>1196.8</v>
      </c>
      <c r="AG973" s="1" t="str">
        <f>IFERROR((N973*P973*Q973), "NA")</f>
        <v>NA</v>
      </c>
      <c r="AH973" s="1" t="str">
        <f>IFERROR((AG973*U973*AI973), "NA")</f>
        <v>NA</v>
      </c>
      <c r="AI973" s="1">
        <v>1</v>
      </c>
      <c r="AJ973" s="11" t="s">
        <v>31</v>
      </c>
      <c r="AK973">
        <v>2000</v>
      </c>
      <c r="AL973" t="s">
        <v>784</v>
      </c>
      <c r="AM973" s="3" t="s">
        <v>103</v>
      </c>
      <c r="AN973" t="s">
        <v>130</v>
      </c>
      <c r="AO973" t="s">
        <v>795</v>
      </c>
      <c r="AP973">
        <v>7</v>
      </c>
      <c r="AQ973" t="s">
        <v>33</v>
      </c>
      <c r="AR973" t="s">
        <v>33</v>
      </c>
      <c r="AS973">
        <v>9</v>
      </c>
      <c r="AT973">
        <f>AS973-AU973</f>
        <v>5.3100000000000005</v>
      </c>
      <c r="AU973" s="6">
        <v>3.69</v>
      </c>
      <c r="AV973" t="b">
        <v>1</v>
      </c>
      <c r="AW973" t="s">
        <v>617</v>
      </c>
      <c r="AX973" t="s">
        <v>635</v>
      </c>
      <c r="AY973" t="s">
        <v>636</v>
      </c>
      <c r="AZ973" t="s">
        <v>33</v>
      </c>
      <c r="BA973" s="18" t="s">
        <v>802</v>
      </c>
      <c r="BB973" s="3" t="b">
        <v>0</v>
      </c>
      <c r="BC973" t="s">
        <v>81</v>
      </c>
      <c r="BD973">
        <v>24</v>
      </c>
      <c r="BE973" t="s">
        <v>80</v>
      </c>
      <c r="BF973">
        <v>24</v>
      </c>
      <c r="BG973" t="s">
        <v>644</v>
      </c>
      <c r="BH973" t="s">
        <v>31</v>
      </c>
      <c r="BI973" t="s">
        <v>31</v>
      </c>
      <c r="BJ973">
        <f t="shared" si="480"/>
        <v>3.69</v>
      </c>
      <c r="BK973" s="3">
        <f t="shared" si="487"/>
        <v>0.56702636615906032</v>
      </c>
      <c r="BL973">
        <v>2</v>
      </c>
      <c r="BM973" s="3">
        <f t="shared" si="504"/>
        <v>2.3695324119309649</v>
      </c>
      <c r="BN973" t="s">
        <v>33</v>
      </c>
      <c r="BO973" s="3">
        <f t="shared" si="500"/>
        <v>234.17062330623304</v>
      </c>
      <c r="BP973" t="s">
        <v>33</v>
      </c>
      <c r="BQ973" t="s">
        <v>33</v>
      </c>
      <c r="BR973" t="s">
        <v>33</v>
      </c>
      <c r="BS973" t="s">
        <v>33</v>
      </c>
      <c r="BT973" t="s">
        <v>31</v>
      </c>
      <c r="BU973" t="s">
        <v>664</v>
      </c>
      <c r="BV973">
        <v>2000</v>
      </c>
      <c r="BW973" t="s">
        <v>665</v>
      </c>
      <c r="BX973" t="s">
        <v>78</v>
      </c>
      <c r="BY973" s="13" t="s">
        <v>685</v>
      </c>
      <c r="CA973" t="str">
        <f t="shared" si="501"/>
        <v>low acid</v>
      </c>
    </row>
    <row r="974" spans="1:79">
      <c r="A974" t="s">
        <v>224</v>
      </c>
      <c r="B974" t="s">
        <v>565</v>
      </c>
      <c r="C974" t="s">
        <v>563</v>
      </c>
      <c r="D974" t="s">
        <v>118</v>
      </c>
      <c r="E974" t="s">
        <v>77</v>
      </c>
      <c r="F974" t="s">
        <v>32</v>
      </c>
      <c r="G974">
        <v>5</v>
      </c>
      <c r="H974">
        <v>30.3</v>
      </c>
      <c r="I974" t="b">
        <v>0</v>
      </c>
      <c r="J974" t="s">
        <v>33</v>
      </c>
      <c r="K974" t="s">
        <v>33</v>
      </c>
      <c r="L974">
        <v>35</v>
      </c>
      <c r="M974" s="4">
        <v>100</v>
      </c>
      <c r="N974" s="3">
        <f>IFERROR(AF974/((T974*X974/Y974)*O974*AI974),"NA")</f>
        <v>8586.1873814153205</v>
      </c>
      <c r="O974">
        <v>4</v>
      </c>
      <c r="P974" t="s">
        <v>33</v>
      </c>
      <c r="Q974">
        <f t="shared" si="505"/>
        <v>0.625</v>
      </c>
      <c r="R974" t="s">
        <v>183</v>
      </c>
      <c r="S974" t="s">
        <v>613</v>
      </c>
      <c r="T974" s="11">
        <v>8</v>
      </c>
      <c r="U974">
        <v>2.92</v>
      </c>
      <c r="V974">
        <v>2.2999999999999998</v>
      </c>
      <c r="W974">
        <v>1.21E-2</v>
      </c>
      <c r="X974" s="8">
        <f t="shared" ref="X974:X980" si="506">IFERROR(((PI())*(((V974*10^-1)/2)^2)*(U974*10^-1)), "NA")</f>
        <v>1.2131888350367701E-2</v>
      </c>
      <c r="Y974" s="6">
        <f>100/60</f>
        <v>1.6666666666666667</v>
      </c>
      <c r="Z974" s="3">
        <f>IFERROR(X974*M974*O974*T974*AI974/AF974, "NA")</f>
        <v>1.941102136058832E-2</v>
      </c>
      <c r="AA974" t="s">
        <v>33</v>
      </c>
      <c r="AB974" s="6">
        <f>IFERROR(((X974*M974)/Z974), "NA")</f>
        <v>62.500000000000007</v>
      </c>
      <c r="AC974" t="str">
        <f t="shared" si="502"/>
        <v>NA</v>
      </c>
      <c r="AD974" s="4">
        <f>AB974*T974*AI974</f>
        <v>500.00000000000006</v>
      </c>
      <c r="AE974" s="3">
        <f t="shared" si="503"/>
        <v>8967</v>
      </c>
      <c r="AF974">
        <v>2000</v>
      </c>
      <c r="AG974" t="str">
        <f>IFERROR((M974*O974*P974), "NA")</f>
        <v>NA</v>
      </c>
      <c r="AH974" t="str">
        <f>IFERROR((AG974*T974*AI974), "NA")</f>
        <v>NA</v>
      </c>
      <c r="AI974">
        <v>1</v>
      </c>
      <c r="AJ974" t="s">
        <v>31</v>
      </c>
      <c r="AK974">
        <v>3660</v>
      </c>
      <c r="AL974" t="s">
        <v>541</v>
      </c>
      <c r="AM974" t="s">
        <v>86</v>
      </c>
      <c r="AN974" t="s">
        <v>186</v>
      </c>
      <c r="AO974" t="s">
        <v>794</v>
      </c>
      <c r="AP974">
        <v>5.46</v>
      </c>
      <c r="AQ974" t="s">
        <v>33</v>
      </c>
      <c r="AR974" t="s">
        <v>33</v>
      </c>
      <c r="AS974" s="6">
        <f>LOG((10^7+10^8)/2)</f>
        <v>7.7403626894942441</v>
      </c>
      <c r="AT974" s="3">
        <f>IFERROR(AS974-AU974,"NA")</f>
        <v>5.3103626894942444</v>
      </c>
      <c r="AU974" s="6">
        <v>2.4300000000000002</v>
      </c>
      <c r="AV974" t="b">
        <v>1</v>
      </c>
      <c r="AW974" t="s">
        <v>92</v>
      </c>
      <c r="AX974" t="s">
        <v>93</v>
      </c>
      <c r="AY974" s="10">
        <v>1131</v>
      </c>
      <c r="AZ974" t="s">
        <v>33</v>
      </c>
      <c r="BA974" s="18" t="s">
        <v>801</v>
      </c>
      <c r="BB974" t="b">
        <v>0</v>
      </c>
      <c r="BC974" t="s">
        <v>81</v>
      </c>
      <c r="BD974">
        <f>(16+14)/2</f>
        <v>15</v>
      </c>
      <c r="BE974" t="s">
        <v>80</v>
      </c>
      <c r="BF974" t="s">
        <v>33</v>
      </c>
      <c r="BG974" t="s">
        <v>573</v>
      </c>
      <c r="BH974" t="s">
        <v>31</v>
      </c>
      <c r="BI974" t="s">
        <v>31</v>
      </c>
      <c r="BJ974" s="3">
        <f t="shared" si="480"/>
        <v>2.4300000000000002</v>
      </c>
      <c r="BK974" s="3">
        <f t="shared" si="487"/>
        <v>0.38560627359831223</v>
      </c>
      <c r="BL974">
        <v>2</v>
      </c>
      <c r="BM974" s="3">
        <f t="shared" si="504"/>
        <v>3.567040896160631</v>
      </c>
      <c r="BN974" t="s">
        <v>33</v>
      </c>
      <c r="BO974" s="3">
        <f t="shared" si="500"/>
        <v>3690.1234567901233</v>
      </c>
      <c r="BP974" t="s">
        <v>33</v>
      </c>
      <c r="BQ974" t="s">
        <v>33</v>
      </c>
      <c r="BR974" t="s">
        <v>33</v>
      </c>
      <c r="BS974" t="s">
        <v>33</v>
      </c>
      <c r="BT974" t="s">
        <v>31</v>
      </c>
      <c r="BU974" t="s">
        <v>219</v>
      </c>
      <c r="BV974">
        <v>2007</v>
      </c>
      <c r="BW974" t="s">
        <v>218</v>
      </c>
      <c r="BX974" t="s">
        <v>78</v>
      </c>
      <c r="BY974" t="s">
        <v>33</v>
      </c>
      <c r="BZ974" t="s">
        <v>33</v>
      </c>
      <c r="CA974" t="str">
        <f t="shared" si="501"/>
        <v>low acid</v>
      </c>
    </row>
    <row r="975" spans="1:79">
      <c r="A975" t="s">
        <v>325</v>
      </c>
      <c r="B975" t="s">
        <v>565</v>
      </c>
      <c r="C975" t="s">
        <v>563</v>
      </c>
      <c r="D975" t="s">
        <v>304</v>
      </c>
      <c r="E975" t="s">
        <v>77</v>
      </c>
      <c r="F975" t="s">
        <v>32</v>
      </c>
      <c r="G975">
        <v>30</v>
      </c>
      <c r="H975">
        <v>31.6</v>
      </c>
      <c r="I975" t="b">
        <v>1</v>
      </c>
      <c r="J975">
        <v>12600</v>
      </c>
      <c r="K975">
        <v>50.4</v>
      </c>
      <c r="L975">
        <v>23.1</v>
      </c>
      <c r="M975" s="4">
        <v>158</v>
      </c>
      <c r="N975" s="3">
        <f>IFERROR(AF975/((T975*X975/Y975)*O975*AI975),"NA")</f>
        <v>158.11471470567375</v>
      </c>
      <c r="O975">
        <v>5</v>
      </c>
      <c r="P975">
        <v>2.4E-2</v>
      </c>
      <c r="Q975" s="8">
        <f t="shared" si="505"/>
        <v>2.4050632911392401E-2</v>
      </c>
      <c r="R975" t="s">
        <v>183</v>
      </c>
      <c r="S975" t="s">
        <v>612</v>
      </c>
      <c r="T975" s="11">
        <v>1</v>
      </c>
      <c r="U975">
        <v>3.4</v>
      </c>
      <c r="V975">
        <v>3</v>
      </c>
      <c r="W975">
        <v>2.4E-2</v>
      </c>
      <c r="X975" s="8">
        <f t="shared" si="506"/>
        <v>2.4033183799961926E-2</v>
      </c>
      <c r="Y975" s="6">
        <f>1</f>
        <v>1</v>
      </c>
      <c r="Z975" s="3">
        <f>IFERROR(X975*M975*O975*T975*AI975/AF975, "NA")</f>
        <v>0.99927448431420651</v>
      </c>
      <c r="AA975">
        <v>3.8</v>
      </c>
      <c r="AB975" s="6">
        <f>IFERROR(((X975*M975)/Z975), "NA")</f>
        <v>3.8</v>
      </c>
      <c r="AC975">
        <f t="shared" si="502"/>
        <v>3.7920000000000003</v>
      </c>
      <c r="AD975" s="4">
        <f>IFERROR(AB975*T975*AI975, "NA")</f>
        <v>3.8</v>
      </c>
      <c r="AE975" s="3">
        <f t="shared" si="503"/>
        <v>10.138589999999999</v>
      </c>
      <c r="AF975">
        <v>19</v>
      </c>
      <c r="AG975">
        <f>IFERROR((M975*O975*P975), "NA")</f>
        <v>18.96</v>
      </c>
      <c r="AH975">
        <f>IFERROR((AG975*T975*AI975), "NA")</f>
        <v>18.96</v>
      </c>
      <c r="AI975" s="11">
        <v>1</v>
      </c>
      <c r="AJ975" t="s">
        <v>31</v>
      </c>
      <c r="AK975">
        <v>1000</v>
      </c>
      <c r="AL975" t="s">
        <v>169</v>
      </c>
      <c r="AM975" t="s">
        <v>103</v>
      </c>
      <c r="AN975" t="s">
        <v>305</v>
      </c>
      <c r="AO975" t="s">
        <v>790</v>
      </c>
      <c r="AP975">
        <v>4.5</v>
      </c>
      <c r="AQ975" t="s">
        <v>33</v>
      </c>
      <c r="AR975" t="s">
        <v>33</v>
      </c>
      <c r="AS975" s="6">
        <f>LOG(3*10^7)</f>
        <v>7.4771212547196626</v>
      </c>
      <c r="AT975" s="3">
        <f>IFERROR(AS975-AU975,"NA")</f>
        <v>5.3171212547196625</v>
      </c>
      <c r="AU975" s="6">
        <v>2.16</v>
      </c>
      <c r="AV975" t="b">
        <v>1</v>
      </c>
      <c r="AW975" t="s">
        <v>123</v>
      </c>
      <c r="AX975" t="s">
        <v>88</v>
      </c>
      <c r="AY975" t="s">
        <v>306</v>
      </c>
      <c r="AZ975" t="s">
        <v>33</v>
      </c>
      <c r="BA975" s="18" t="s">
        <v>579</v>
      </c>
      <c r="BB975" t="b">
        <v>1</v>
      </c>
      <c r="BC975" t="s">
        <v>81</v>
      </c>
      <c r="BD975">
        <v>48</v>
      </c>
      <c r="BE975" t="s">
        <v>80</v>
      </c>
      <c r="BF975" s="11">
        <v>120</v>
      </c>
      <c r="BG975" t="s">
        <v>395</v>
      </c>
      <c r="BH975" t="s">
        <v>31</v>
      </c>
      <c r="BI975" t="s">
        <v>31</v>
      </c>
      <c r="BJ975" s="3">
        <f t="shared" si="480"/>
        <v>2.16</v>
      </c>
      <c r="BK975" s="3">
        <f t="shared" si="487"/>
        <v>0.3344537511509309</v>
      </c>
      <c r="BL975">
        <v>2</v>
      </c>
      <c r="BM975" s="3">
        <f t="shared" si="504"/>
        <v>0.67152380958618663</v>
      </c>
      <c r="BN975" t="s">
        <v>33</v>
      </c>
      <c r="BO975" s="3">
        <f t="shared" si="500"/>
        <v>4.6937916666666659</v>
      </c>
      <c r="BP975" t="s">
        <v>33</v>
      </c>
      <c r="BQ975" t="s">
        <v>33</v>
      </c>
      <c r="BR975" t="s">
        <v>33</v>
      </c>
      <c r="BS975" t="s">
        <v>33</v>
      </c>
      <c r="BT975" t="s">
        <v>32</v>
      </c>
      <c r="BU975" t="s">
        <v>323</v>
      </c>
      <c r="BV975">
        <v>2003</v>
      </c>
      <c r="BW975" s="2" t="s">
        <v>322</v>
      </c>
      <c r="BX975" t="s">
        <v>78</v>
      </c>
      <c r="BY975" t="s">
        <v>33</v>
      </c>
      <c r="BZ975" t="s">
        <v>33</v>
      </c>
      <c r="CA975" t="str">
        <f t="shared" si="501"/>
        <v>high acid</v>
      </c>
    </row>
    <row r="976" spans="1:79">
      <c r="A976" t="s">
        <v>457</v>
      </c>
      <c r="B976" t="s">
        <v>565</v>
      </c>
      <c r="C976" t="s">
        <v>563</v>
      </c>
      <c r="D976" t="s">
        <v>182</v>
      </c>
      <c r="E976" t="s">
        <v>77</v>
      </c>
      <c r="F976" t="s">
        <v>32</v>
      </c>
      <c r="G976">
        <v>18</v>
      </c>
      <c r="H976">
        <v>47</v>
      </c>
      <c r="I976" t="b">
        <v>1</v>
      </c>
      <c r="J976" t="s">
        <v>33</v>
      </c>
      <c r="K976" t="s">
        <v>33</v>
      </c>
      <c r="L976">
        <v>27</v>
      </c>
      <c r="M976" s="4" t="s">
        <v>33</v>
      </c>
      <c r="N976" s="3">
        <f>IFERROR(AF976/((T976*X976/Y976)*O976*AI976),"NA")</f>
        <v>220.85360391328314</v>
      </c>
      <c r="O976">
        <v>10</v>
      </c>
      <c r="P976">
        <f>0.047/2</f>
        <v>2.35E-2</v>
      </c>
      <c r="Q976" s="8">
        <f t="shared" si="505"/>
        <v>2.3318614270936313E-2</v>
      </c>
      <c r="R976" t="s">
        <v>183</v>
      </c>
      <c r="S976" t="s">
        <v>613</v>
      </c>
      <c r="T976" s="11">
        <v>2</v>
      </c>
      <c r="U976">
        <v>5.6</v>
      </c>
      <c r="V976">
        <v>4.5</v>
      </c>
      <c r="W976" t="s">
        <v>33</v>
      </c>
      <c r="X976" s="9">
        <f t="shared" si="506"/>
        <v>8.9064151729270638E-2</v>
      </c>
      <c r="Y976" s="6">
        <f>13750/3600</f>
        <v>3.8194444444444446</v>
      </c>
      <c r="Z976" s="3">
        <f>IFERROR(X976*N976*O976*T976*AI976/AF976, "NA")</f>
        <v>3.8194444444444442</v>
      </c>
      <c r="AA976" t="s">
        <v>33</v>
      </c>
      <c r="AB976" s="4">
        <f>IFERROR(((X976*N976)/Y976), "NA")</f>
        <v>5.1499999999999995</v>
      </c>
      <c r="AC976" s="4">
        <f>IFERROR(N976*P976,"NA")</f>
        <v>5.190059691962154</v>
      </c>
      <c r="AD976" s="4">
        <f>IFERROR(AB976*T976*AI976, "NA")</f>
        <v>10.299999999999999</v>
      </c>
      <c r="AE976" s="3">
        <f>IFERROR(((L976^2)*N976*O976*AK976*10^-6*Q976*T976*AI976), "NA")</f>
        <v>172.70010000000002</v>
      </c>
      <c r="AF976">
        <v>103</v>
      </c>
      <c r="AG976" s="4">
        <f>IFERROR((N976*O976*P976), "NA")</f>
        <v>51.900596919621535</v>
      </c>
      <c r="AH976" s="4">
        <f>IFERROR((AG976*T976*AI976), "NA")</f>
        <v>103.80119383924307</v>
      </c>
      <c r="AI976" s="11">
        <v>1</v>
      </c>
      <c r="AJ976" t="s">
        <v>31</v>
      </c>
      <c r="AK976">
        <v>2300</v>
      </c>
      <c r="AL976" t="s">
        <v>805</v>
      </c>
      <c r="AM976" t="s">
        <v>515</v>
      </c>
      <c r="AN976" t="s">
        <v>205</v>
      </c>
      <c r="AO976" t="s">
        <v>788</v>
      </c>
      <c r="AP976">
        <v>3.68</v>
      </c>
      <c r="AQ976" t="s">
        <v>33</v>
      </c>
      <c r="AR976" t="s">
        <v>33</v>
      </c>
      <c r="AS976">
        <f>LOG(10^8)</f>
        <v>8</v>
      </c>
      <c r="AT976" s="3">
        <f>IFERROR(AS976-AU976,"NA")</f>
        <v>5.32</v>
      </c>
      <c r="AU976" s="6">
        <v>2.68</v>
      </c>
      <c r="AV976" t="b">
        <v>1</v>
      </c>
      <c r="AW976" t="s">
        <v>477</v>
      </c>
      <c r="AX976" t="s">
        <v>471</v>
      </c>
      <c r="AY976" t="s">
        <v>474</v>
      </c>
      <c r="AZ976" t="s">
        <v>33</v>
      </c>
      <c r="BA976" s="18" t="s">
        <v>579</v>
      </c>
      <c r="BB976" t="b">
        <v>1</v>
      </c>
      <c r="BC976" t="s">
        <v>81</v>
      </c>
      <c r="BD976" t="s">
        <v>33</v>
      </c>
      <c r="BE976" t="s">
        <v>80</v>
      </c>
      <c r="BF976" t="s">
        <v>33</v>
      </c>
      <c r="BG976" t="s">
        <v>483</v>
      </c>
      <c r="BH976" t="s">
        <v>31</v>
      </c>
      <c r="BI976" t="s">
        <v>31</v>
      </c>
      <c r="BJ976" s="3">
        <f t="shared" si="480"/>
        <v>2.68</v>
      </c>
      <c r="BK976" s="3">
        <f t="shared" si="487"/>
        <v>0.42813479402878885</v>
      </c>
      <c r="BL976">
        <v>2</v>
      </c>
      <c r="BM976" s="3">
        <f t="shared" si="504"/>
        <v>1.8091577950119508</v>
      </c>
      <c r="BN976" t="s">
        <v>33</v>
      </c>
      <c r="BO976" s="3">
        <f t="shared" si="500"/>
        <v>64.440335820895527</v>
      </c>
      <c r="BP976" t="s">
        <v>33</v>
      </c>
      <c r="BQ976" t="s">
        <v>33</v>
      </c>
      <c r="BR976" t="s">
        <v>33</v>
      </c>
      <c r="BS976" t="s">
        <v>33</v>
      </c>
      <c r="BT976" t="s">
        <v>32</v>
      </c>
      <c r="BU976" t="s">
        <v>484</v>
      </c>
      <c r="BV976">
        <v>2015</v>
      </c>
      <c r="BW976" t="s">
        <v>485</v>
      </c>
      <c r="BX976" t="s">
        <v>78</v>
      </c>
      <c r="BY976" t="s">
        <v>486</v>
      </c>
      <c r="CA976" t="str">
        <f t="shared" si="501"/>
        <v>high acid</v>
      </c>
    </row>
    <row r="977" spans="1:79">
      <c r="A977" t="s">
        <v>534</v>
      </c>
      <c r="B977" t="s">
        <v>565</v>
      </c>
      <c r="C977" t="s">
        <v>564</v>
      </c>
      <c r="D977" t="s">
        <v>243</v>
      </c>
      <c r="E977" t="s">
        <v>77</v>
      </c>
      <c r="F977" t="s">
        <v>32</v>
      </c>
      <c r="G977">
        <v>40</v>
      </c>
      <c r="H977">
        <v>50.2</v>
      </c>
      <c r="I977" t="b">
        <v>0</v>
      </c>
      <c r="J977" t="s">
        <v>33</v>
      </c>
      <c r="K977" t="s">
        <v>33</v>
      </c>
      <c r="L977">
        <v>24</v>
      </c>
      <c r="M977" s="4">
        <v>120</v>
      </c>
      <c r="N977" s="3">
        <f>IFERROR(AF977/((T977*X977/Y977)*O977*AI977),"NA")</f>
        <v>119.89811897400615</v>
      </c>
      <c r="O977">
        <v>3</v>
      </c>
      <c r="P977" t="s">
        <v>33</v>
      </c>
      <c r="Q977" s="8">
        <f t="shared" si="505"/>
        <v>3.8194444444444441E-2</v>
      </c>
      <c r="R977" t="s">
        <v>183</v>
      </c>
      <c r="S977" t="s">
        <v>612</v>
      </c>
      <c r="T977" s="11">
        <v>4</v>
      </c>
      <c r="U977">
        <v>3</v>
      </c>
      <c r="V977">
        <v>2.6</v>
      </c>
      <c r="W977">
        <v>1.5900000000000001E-2</v>
      </c>
      <c r="X977" s="8">
        <f t="shared" si="506"/>
        <v>1.5927874753700257E-2</v>
      </c>
      <c r="Y977" s="6">
        <f>25/60</f>
        <v>0.41666666666666669</v>
      </c>
      <c r="Z977" s="3">
        <f t="shared" ref="Z977:Z984" si="507">IFERROR(X977*M977*O977*T977*AI977/AF977, "NA")</f>
        <v>0.4170207208241522</v>
      </c>
      <c r="AA977" t="s">
        <v>33</v>
      </c>
      <c r="AB977" s="6">
        <f t="shared" ref="AB977:AB984" si="508">IFERROR(((X977*M977)/Z977), "NA")</f>
        <v>4.583333333333333</v>
      </c>
      <c r="AC977" t="str">
        <f t="shared" ref="AC977:AC995" si="509">IFERROR(M977*P977,"NA")</f>
        <v>NA</v>
      </c>
      <c r="AD977" s="4">
        <f>IFERROR(AB977*T977*AI977, "NA")</f>
        <v>18.333333333333332</v>
      </c>
      <c r="AE977" s="3">
        <f t="shared" ref="AE977:AE995" si="510">IFERROR(((L977^2)*M977*O977*AK977*10^-6*Q977*T977*AI977), "NA")</f>
        <v>29.145599999999995</v>
      </c>
      <c r="AF977">
        <v>55</v>
      </c>
      <c r="AG977" t="str">
        <f>IFERROR((M977*O977*P977), "NA")</f>
        <v>NA</v>
      </c>
      <c r="AH977" t="str">
        <f>IFERROR((AG977*T977*AI977), "NA")</f>
        <v>NA</v>
      </c>
      <c r="AI977" s="11">
        <v>1</v>
      </c>
      <c r="AJ977" t="s">
        <v>31</v>
      </c>
      <c r="AK977">
        <v>920</v>
      </c>
      <c r="AL977" t="s">
        <v>551</v>
      </c>
      <c r="AM977" t="s">
        <v>86</v>
      </c>
      <c r="AN977" t="s">
        <v>186</v>
      </c>
      <c r="AO977" t="s">
        <v>794</v>
      </c>
      <c r="AP977">
        <v>5.92</v>
      </c>
      <c r="AQ977" t="s">
        <v>33</v>
      </c>
      <c r="AR977" t="s">
        <v>33</v>
      </c>
      <c r="AS977" s="6">
        <f>LOG(1.4*10^6)</f>
        <v>6.1461280356782382</v>
      </c>
      <c r="AT977" s="3">
        <f>IFERROR(AS977-AU977,"NA")</f>
        <v>5.3261280356782379</v>
      </c>
      <c r="AU977" s="6">
        <v>0.82</v>
      </c>
      <c r="AV977" t="b">
        <v>1</v>
      </c>
      <c r="AW977" t="s">
        <v>29</v>
      </c>
      <c r="AX977" t="s">
        <v>30</v>
      </c>
      <c r="AY977" t="s">
        <v>244</v>
      </c>
      <c r="AZ977" t="s">
        <v>33</v>
      </c>
      <c r="BA977" s="18" t="s">
        <v>798</v>
      </c>
      <c r="BB977" t="b">
        <v>0</v>
      </c>
      <c r="BC977" t="s">
        <v>81</v>
      </c>
      <c r="BD977">
        <v>20</v>
      </c>
      <c r="BE977" t="s">
        <v>80</v>
      </c>
      <c r="BF977" s="11">
        <v>20</v>
      </c>
      <c r="BG977" t="s">
        <v>245</v>
      </c>
      <c r="BH977" t="s">
        <v>31</v>
      </c>
      <c r="BI977" t="s">
        <v>31</v>
      </c>
      <c r="BJ977" s="3">
        <f t="shared" si="480"/>
        <v>0.82</v>
      </c>
      <c r="BK977" s="3">
        <f t="shared" si="487"/>
        <v>-8.6186147616283335E-2</v>
      </c>
      <c r="BL977">
        <v>2</v>
      </c>
      <c r="BM977" s="3">
        <f t="shared" si="504"/>
        <v>1.5507591478792944</v>
      </c>
      <c r="BN977" t="s">
        <v>33</v>
      </c>
      <c r="BO977" s="3">
        <f t="shared" si="500"/>
        <v>35.543414634146338</v>
      </c>
      <c r="BP977" t="s">
        <v>33</v>
      </c>
      <c r="BQ977" t="s">
        <v>33</v>
      </c>
      <c r="BR977" t="s">
        <v>33</v>
      </c>
      <c r="BS977" t="s">
        <v>33</v>
      </c>
      <c r="BT977" t="s">
        <v>32</v>
      </c>
      <c r="BU977" t="s">
        <v>207</v>
      </c>
      <c r="BV977">
        <v>2014</v>
      </c>
      <c r="BW977" s="2" t="s">
        <v>242</v>
      </c>
      <c r="BX977" t="s">
        <v>78</v>
      </c>
      <c r="BY977" t="s">
        <v>33</v>
      </c>
      <c r="BZ977" t="s">
        <v>33</v>
      </c>
      <c r="CA977" t="str">
        <f t="shared" si="501"/>
        <v>low acid</v>
      </c>
    </row>
    <row r="978" spans="1:79">
      <c r="A978" t="s">
        <v>598</v>
      </c>
      <c r="B978" t="s">
        <v>565</v>
      </c>
      <c r="C978" t="s">
        <v>563</v>
      </c>
      <c r="D978" t="s">
        <v>118</v>
      </c>
      <c r="E978" t="s">
        <v>77</v>
      </c>
      <c r="F978" t="s">
        <v>32</v>
      </c>
      <c r="G978">
        <v>40</v>
      </c>
      <c r="H978">
        <f>40+AVERAGE(2,7)</f>
        <v>44.5</v>
      </c>
      <c r="I978" t="b">
        <v>1</v>
      </c>
      <c r="J978" t="s">
        <v>33</v>
      </c>
      <c r="K978" t="s">
        <v>33</v>
      </c>
      <c r="L978">
        <v>22</v>
      </c>
      <c r="M978" s="4">
        <v>548</v>
      </c>
      <c r="N978" t="e">
        <f>(#REF!*Y978)/(T978*X978*O978)</f>
        <v>#REF!</v>
      </c>
      <c r="O978">
        <v>2.5</v>
      </c>
      <c r="P978" t="s">
        <v>33</v>
      </c>
      <c r="Q978" s="1">
        <f t="shared" si="505"/>
        <v>6.0827250608272501E-3</v>
      </c>
      <c r="R978" t="s">
        <v>183</v>
      </c>
      <c r="S978" t="s">
        <v>612</v>
      </c>
      <c r="T978">
        <v>6</v>
      </c>
      <c r="U978">
        <v>2.9</v>
      </c>
      <c r="V978">
        <v>2.2999999999999998</v>
      </c>
      <c r="W978" t="s">
        <v>33</v>
      </c>
      <c r="X978">
        <f t="shared" si="506"/>
        <v>1.204879322468025E-2</v>
      </c>
      <c r="Y978">
        <v>2</v>
      </c>
      <c r="Z978" s="3">
        <f t="shared" si="507"/>
        <v>1.9808216061374333</v>
      </c>
      <c r="AA978">
        <v>3.3</v>
      </c>
      <c r="AB978">
        <f t="shared" si="508"/>
        <v>3.333333333333333</v>
      </c>
      <c r="AC978" s="1" t="str">
        <f t="shared" si="509"/>
        <v>NA</v>
      </c>
      <c r="AE978" s="3">
        <f t="shared" si="510"/>
        <v>52.029999999999987</v>
      </c>
      <c r="AF978">
        <v>50</v>
      </c>
      <c r="AG978" s="1" t="str">
        <f>IFERROR((N978*P978*Q978), "NA")</f>
        <v>NA</v>
      </c>
      <c r="AH978" s="1" t="str">
        <f>IFERROR((AG978*U978*AI978), "NA")</f>
        <v>NA</v>
      </c>
      <c r="AI978" s="1">
        <v>1</v>
      </c>
      <c r="AJ978" s="11" t="s">
        <v>31</v>
      </c>
      <c r="AK978">
        <f>2.15*10^3</f>
        <v>2150</v>
      </c>
      <c r="AL978" t="s">
        <v>238</v>
      </c>
      <c r="AM978" t="s">
        <v>86</v>
      </c>
      <c r="AN978" t="s">
        <v>205</v>
      </c>
      <c r="AO978" t="s">
        <v>789</v>
      </c>
      <c r="AP978">
        <v>4.16</v>
      </c>
      <c r="AQ978" t="s">
        <v>33</v>
      </c>
      <c r="AR978" t="s">
        <v>33</v>
      </c>
      <c r="AS978">
        <f>AVERAGE(6.63, 6.39)</f>
        <v>6.51</v>
      </c>
      <c r="AT978">
        <f>AS978-AU978</f>
        <v>5.33</v>
      </c>
      <c r="AU978" s="6">
        <v>1.18</v>
      </c>
      <c r="AV978" t="b">
        <v>1</v>
      </c>
      <c r="AW978" t="s">
        <v>617</v>
      </c>
      <c r="AX978" t="s">
        <v>638</v>
      </c>
      <c r="AY978" t="s">
        <v>637</v>
      </c>
      <c r="AZ978" t="s">
        <v>33</v>
      </c>
      <c r="BA978" s="18" t="s">
        <v>802</v>
      </c>
      <c r="BB978" s="3" t="b">
        <v>0</v>
      </c>
      <c r="BC978" t="s">
        <v>81</v>
      </c>
      <c r="BD978">
        <v>16</v>
      </c>
      <c r="BE978" t="s">
        <v>80</v>
      </c>
      <c r="BF978">
        <v>24</v>
      </c>
      <c r="BG978" t="s">
        <v>646</v>
      </c>
      <c r="BH978" t="s">
        <v>31</v>
      </c>
      <c r="BI978" t="s">
        <v>31</v>
      </c>
      <c r="BJ978">
        <f t="shared" si="480"/>
        <v>1.18</v>
      </c>
      <c r="BK978" s="3">
        <f t="shared" si="487"/>
        <v>7.1882007306125359E-2</v>
      </c>
      <c r="BL978">
        <v>2</v>
      </c>
      <c r="BM978" s="3">
        <f t="shared" si="504"/>
        <v>1.6443718185899112</v>
      </c>
      <c r="BN978" t="s">
        <v>33</v>
      </c>
      <c r="BO978" s="3">
        <f t="shared" si="500"/>
        <v>44.093220338983045</v>
      </c>
      <c r="BP978" t="s">
        <v>33</v>
      </c>
      <c r="BQ978" t="s">
        <v>33</v>
      </c>
      <c r="BR978" t="s">
        <v>33</v>
      </c>
      <c r="BS978" t="s">
        <v>33</v>
      </c>
      <c r="BT978" t="s">
        <v>32</v>
      </c>
      <c r="BU978" s="13" t="s">
        <v>84</v>
      </c>
      <c r="BV978" s="14">
        <v>2012</v>
      </c>
      <c r="BW978" s="13" t="s">
        <v>83</v>
      </c>
      <c r="BX978" t="s">
        <v>78</v>
      </c>
      <c r="BY978" s="13" t="s">
        <v>686</v>
      </c>
      <c r="CA978" t="str">
        <f t="shared" si="501"/>
        <v>high acid</v>
      </c>
    </row>
    <row r="979" spans="1:79">
      <c r="A979" t="s">
        <v>595</v>
      </c>
      <c r="B979" t="s">
        <v>565</v>
      </c>
      <c r="C979" t="s">
        <v>564</v>
      </c>
      <c r="D979" t="s">
        <v>609</v>
      </c>
      <c r="E979" t="s">
        <v>77</v>
      </c>
      <c r="F979" t="s">
        <v>32</v>
      </c>
      <c r="G979">
        <v>30</v>
      </c>
      <c r="H979">
        <v>38.200000000000003</v>
      </c>
      <c r="I979" t="b">
        <v>0</v>
      </c>
      <c r="J979" t="s">
        <v>33</v>
      </c>
      <c r="K979" t="s">
        <v>33</v>
      </c>
      <c r="L979">
        <v>18</v>
      </c>
      <c r="M979" s="4">
        <v>120</v>
      </c>
      <c r="N979" t="e">
        <f>(#REF!*Y979)/(T979*X979*O979)</f>
        <v>#REF!</v>
      </c>
      <c r="O979">
        <v>3</v>
      </c>
      <c r="P979" t="s">
        <v>33</v>
      </c>
      <c r="Q979" s="1">
        <f t="shared" si="505"/>
        <v>4.1666666666666664E-2</v>
      </c>
      <c r="R979" t="s">
        <v>183</v>
      </c>
      <c r="S979" t="s">
        <v>612</v>
      </c>
      <c r="T979">
        <v>4</v>
      </c>
      <c r="U979">
        <v>3</v>
      </c>
      <c r="V979">
        <v>2.6</v>
      </c>
      <c r="W979" t="s">
        <v>33</v>
      </c>
      <c r="X979">
        <f t="shared" si="506"/>
        <v>1.5927874753700257E-2</v>
      </c>
      <c r="Y979">
        <v>0.126667</v>
      </c>
      <c r="Z979" s="3">
        <f t="shared" si="507"/>
        <v>0.38226899408880616</v>
      </c>
      <c r="AA979" t="s">
        <v>33</v>
      </c>
      <c r="AB979">
        <f t="shared" si="508"/>
        <v>5</v>
      </c>
      <c r="AC979" s="1" t="str">
        <f t="shared" si="509"/>
        <v>NA</v>
      </c>
      <c r="AE979" s="3">
        <f t="shared" si="510"/>
        <v>19.051199999999998</v>
      </c>
      <c r="AF979">
        <v>60</v>
      </c>
      <c r="AG979" s="1" t="str">
        <f>IFERROR((N979*P979*Q979), "NA")</f>
        <v>NA</v>
      </c>
      <c r="AH979" s="1" t="str">
        <f>IFERROR((AG979*U979*AI979), "NA")</f>
        <v>NA</v>
      </c>
      <c r="AI979" s="1">
        <v>1</v>
      </c>
      <c r="AJ979" s="11" t="s">
        <v>31</v>
      </c>
      <c r="AK979">
        <v>980</v>
      </c>
      <c r="AL979" t="s">
        <v>551</v>
      </c>
      <c r="AM979" t="s">
        <v>86</v>
      </c>
      <c r="AN979" t="s">
        <v>186</v>
      </c>
      <c r="AO979" t="s">
        <v>794</v>
      </c>
      <c r="AP979">
        <v>5.98</v>
      </c>
      <c r="AQ979" t="s">
        <v>33</v>
      </c>
      <c r="AR979" t="s">
        <v>33</v>
      </c>
      <c r="AS979">
        <v>6</v>
      </c>
      <c r="AT979">
        <f>AS979-AU979</f>
        <v>5.33</v>
      </c>
      <c r="AU979" s="6">
        <v>0.67</v>
      </c>
      <c r="AV979" t="b">
        <v>1</v>
      </c>
      <c r="AW979" t="s">
        <v>626</v>
      </c>
      <c r="AX979" t="s">
        <v>627</v>
      </c>
      <c r="AY979" t="s">
        <v>631</v>
      </c>
      <c r="AZ979" t="s">
        <v>33</v>
      </c>
      <c r="BA979" s="18" t="s">
        <v>800</v>
      </c>
      <c r="BB979" s="3" t="b">
        <v>0</v>
      </c>
      <c r="BC979" t="s">
        <v>81</v>
      </c>
      <c r="BD979">
        <v>20</v>
      </c>
      <c r="BE979" t="s">
        <v>80</v>
      </c>
      <c r="BF979">
        <v>20</v>
      </c>
      <c r="BG979" t="s">
        <v>695</v>
      </c>
      <c r="BH979" t="s">
        <v>32</v>
      </c>
      <c r="BI979" t="s">
        <v>31</v>
      </c>
      <c r="BJ979">
        <f t="shared" si="480"/>
        <v>0.67</v>
      </c>
      <c r="BK979" s="3">
        <f t="shared" si="487"/>
        <v>-0.17392519729917355</v>
      </c>
      <c r="BL979">
        <v>2</v>
      </c>
      <c r="BM979" s="3">
        <f t="shared" si="504"/>
        <v>1.4538475335819241</v>
      </c>
      <c r="BN979" t="s">
        <v>33</v>
      </c>
      <c r="BO979" s="3">
        <f t="shared" si="500"/>
        <v>28.434626865671635</v>
      </c>
      <c r="BP979" t="s">
        <v>33</v>
      </c>
      <c r="BQ979" t="s">
        <v>33</v>
      </c>
      <c r="BR979" t="s">
        <v>33</v>
      </c>
      <c r="BS979" t="s">
        <v>33</v>
      </c>
      <c r="BT979" t="s">
        <v>32</v>
      </c>
      <c r="BU979" t="s">
        <v>207</v>
      </c>
      <c r="BV979">
        <v>2014</v>
      </c>
      <c r="BW979" t="s">
        <v>208</v>
      </c>
      <c r="BX979" t="s">
        <v>78</v>
      </c>
      <c r="BY979" s="13" t="s">
        <v>683</v>
      </c>
      <c r="CA979" t="str">
        <f t="shared" si="501"/>
        <v>low acid</v>
      </c>
    </row>
    <row r="980" spans="1:79">
      <c r="A980" t="s">
        <v>151</v>
      </c>
      <c r="B980" t="s">
        <v>565</v>
      </c>
      <c r="C980" t="s">
        <v>563</v>
      </c>
      <c r="D980" t="s">
        <v>118</v>
      </c>
      <c r="E980" t="s">
        <v>77</v>
      </c>
      <c r="F980" t="s">
        <v>32</v>
      </c>
      <c r="G980">
        <v>20</v>
      </c>
      <c r="H980" t="s">
        <v>33</v>
      </c>
      <c r="I980" t="b">
        <v>0</v>
      </c>
      <c r="J980" t="s">
        <v>33</v>
      </c>
      <c r="K980" t="s">
        <v>33</v>
      </c>
      <c r="L980">
        <v>17</v>
      </c>
      <c r="M980" s="4">
        <v>500</v>
      </c>
      <c r="N980" s="3">
        <f>IFERROR(AF980/((T980*X980/Y980)*O980*AI980),"NA")</f>
        <v>503.35454362283343</v>
      </c>
      <c r="O980">
        <v>3</v>
      </c>
      <c r="P980" t="s">
        <v>33</v>
      </c>
      <c r="Q980" s="8">
        <f t="shared" si="505"/>
        <v>1.4555555555555556E-2</v>
      </c>
      <c r="R980" t="s">
        <v>183</v>
      </c>
      <c r="S980" t="s">
        <v>613</v>
      </c>
      <c r="T980" s="11">
        <v>6</v>
      </c>
      <c r="U980">
        <v>2.9</v>
      </c>
      <c r="V980">
        <v>2.2999999999999998</v>
      </c>
      <c r="W980" t="s">
        <v>33</v>
      </c>
      <c r="X980" s="8">
        <f t="shared" si="506"/>
        <v>1.204879322468025E-2</v>
      </c>
      <c r="Y980" s="6">
        <f>50/60</f>
        <v>0.83333333333333337</v>
      </c>
      <c r="Z980" s="3">
        <f t="shared" si="507"/>
        <v>0.82777968719177286</v>
      </c>
      <c r="AA980" t="s">
        <v>33</v>
      </c>
      <c r="AB980" s="6">
        <f t="shared" si="508"/>
        <v>7.2777777777777786</v>
      </c>
      <c r="AC980" t="str">
        <f t="shared" si="509"/>
        <v>NA</v>
      </c>
      <c r="AD980" s="4">
        <f>IFERROR(AB980*T980*AI980, "NA")</f>
        <v>43.666666666666671</v>
      </c>
      <c r="AE980" s="3">
        <f t="shared" si="510"/>
        <v>146.13574</v>
      </c>
      <c r="AF980">
        <v>131</v>
      </c>
      <c r="AG980" t="str">
        <f>IFERROR((M980*O980*P980), "NA")</f>
        <v>NA</v>
      </c>
      <c r="AH980" t="str">
        <f>IFERROR((AG980*T980*AI980), "NA")</f>
        <v>NA</v>
      </c>
      <c r="AI980" s="11">
        <v>1</v>
      </c>
      <c r="AJ980" t="s">
        <v>31</v>
      </c>
      <c r="AK980">
        <v>3860</v>
      </c>
      <c r="AL980" t="s">
        <v>138</v>
      </c>
      <c r="AM980" t="s">
        <v>86</v>
      </c>
      <c r="AN980" t="s">
        <v>205</v>
      </c>
      <c r="AO980" t="s">
        <v>789</v>
      </c>
      <c r="AP980">
        <v>3.8</v>
      </c>
      <c r="AQ980" t="s">
        <v>33</v>
      </c>
      <c r="AR980" t="s">
        <v>33</v>
      </c>
      <c r="AS980" s="3">
        <v>7.2050000000000001</v>
      </c>
      <c r="AT980" s="3">
        <f>IFERROR(AS980-AU980,"NA")</f>
        <v>5.3330000000000002</v>
      </c>
      <c r="AU980" s="6">
        <v>1.8720000000000001</v>
      </c>
      <c r="AV980" t="b">
        <v>1</v>
      </c>
      <c r="AW980" t="s">
        <v>29</v>
      </c>
      <c r="AX980" t="s">
        <v>30</v>
      </c>
      <c r="AY980" t="s">
        <v>33</v>
      </c>
      <c r="AZ980" t="s">
        <v>134</v>
      </c>
      <c r="BA980" s="18" t="s">
        <v>798</v>
      </c>
      <c r="BB980" t="b">
        <v>0</v>
      </c>
      <c r="BC980" t="s">
        <v>81</v>
      </c>
      <c r="BD980">
        <f>(48+24)/2</f>
        <v>36</v>
      </c>
      <c r="BE980" t="s">
        <v>80</v>
      </c>
      <c r="BF980" s="11">
        <f>(48+24)/2</f>
        <v>36</v>
      </c>
      <c r="BG980" t="s">
        <v>139</v>
      </c>
      <c r="BH980" t="s">
        <v>31</v>
      </c>
      <c r="BI980" t="s">
        <v>31</v>
      </c>
      <c r="BJ980" s="3">
        <f t="shared" si="480"/>
        <v>1.8720000000000001</v>
      </c>
      <c r="BK980" s="3">
        <f t="shared" si="487"/>
        <v>0.27230584440208644</v>
      </c>
      <c r="BL980">
        <v>2</v>
      </c>
      <c r="BM980" s="3">
        <f t="shared" si="504"/>
        <v>1.8924505986819806</v>
      </c>
      <c r="BN980" t="s">
        <v>33</v>
      </c>
      <c r="BO980" s="3">
        <f t="shared" si="500"/>
        <v>78.063963675213671</v>
      </c>
      <c r="BP980" t="s">
        <v>33</v>
      </c>
      <c r="BQ980" t="s">
        <v>33</v>
      </c>
      <c r="BR980" t="s">
        <v>33</v>
      </c>
      <c r="BS980" t="s">
        <v>33</v>
      </c>
      <c r="BT980" t="s">
        <v>31</v>
      </c>
      <c r="BU980" t="s">
        <v>135</v>
      </c>
      <c r="BV980">
        <v>2011</v>
      </c>
      <c r="BW980" s="7" t="s">
        <v>136</v>
      </c>
      <c r="BX980" t="s">
        <v>78</v>
      </c>
      <c r="BY980" t="s">
        <v>33</v>
      </c>
      <c r="BZ980" t="s">
        <v>33</v>
      </c>
      <c r="CA980" t="str">
        <f t="shared" si="501"/>
        <v>high acid</v>
      </c>
    </row>
    <row r="981" spans="1:79">
      <c r="A981" t="s">
        <v>343</v>
      </c>
      <c r="B981" t="s">
        <v>566</v>
      </c>
      <c r="C981" t="s">
        <v>563</v>
      </c>
      <c r="D981" t="s">
        <v>33</v>
      </c>
      <c r="E981" t="s">
        <v>77</v>
      </c>
      <c r="F981" t="s">
        <v>32</v>
      </c>
      <c r="G981">
        <v>30</v>
      </c>
      <c r="H981">
        <v>33</v>
      </c>
      <c r="I981" t="b">
        <v>0</v>
      </c>
      <c r="J981" t="s">
        <v>33</v>
      </c>
      <c r="K981" t="s">
        <v>33</v>
      </c>
      <c r="L981">
        <v>20</v>
      </c>
      <c r="M981" s="4">
        <v>2</v>
      </c>
      <c r="N981" s="3">
        <f>IFERROR(AF981/((T981*X981/Y981)*O981*AI981),"NA")</f>
        <v>2.1126760563380285</v>
      </c>
      <c r="O981">
        <v>2</v>
      </c>
      <c r="P981" t="s">
        <v>33</v>
      </c>
      <c r="Q981" s="8">
        <f t="shared" si="505"/>
        <v>7.5</v>
      </c>
      <c r="R981" t="s">
        <v>183</v>
      </c>
      <c r="S981" t="s">
        <v>613</v>
      </c>
      <c r="T981" s="11">
        <v>1</v>
      </c>
      <c r="U981">
        <v>5</v>
      </c>
      <c r="V981" t="s">
        <v>33</v>
      </c>
      <c r="W981">
        <v>0.71</v>
      </c>
      <c r="X981" s="8">
        <f>W981</f>
        <v>0.71</v>
      </c>
      <c r="Y981">
        <f>6/60</f>
        <v>0.1</v>
      </c>
      <c r="Z981" s="3">
        <f t="shared" si="507"/>
        <v>9.4666666666666663E-2</v>
      </c>
      <c r="AA981">
        <v>15</v>
      </c>
      <c r="AB981" s="6">
        <f t="shared" si="508"/>
        <v>15</v>
      </c>
      <c r="AC981" t="str">
        <f t="shared" si="509"/>
        <v>NA</v>
      </c>
      <c r="AD981" s="4">
        <f>AB981*T981*AI981</f>
        <v>90</v>
      </c>
      <c r="AE981" s="3">
        <f t="shared" si="510"/>
        <v>504</v>
      </c>
      <c r="AF981">
        <v>180</v>
      </c>
      <c r="AG981" t="str">
        <f>IFERROR((M981*O981*P981), "NA")</f>
        <v>NA</v>
      </c>
      <c r="AH981" t="str">
        <f>IFERROR((AG981*T981*AI981), "NA")</f>
        <v>NA</v>
      </c>
      <c r="AI981">
        <v>6</v>
      </c>
      <c r="AJ981" s="11" t="s">
        <v>32</v>
      </c>
      <c r="AK981">
        <v>7000</v>
      </c>
      <c r="AL981" t="s">
        <v>562</v>
      </c>
      <c r="AM981" s="3" t="s">
        <v>786</v>
      </c>
      <c r="AN981" t="s">
        <v>186</v>
      </c>
      <c r="AO981" t="s">
        <v>793</v>
      </c>
      <c r="AP981" t="s">
        <v>33</v>
      </c>
      <c r="AQ981" t="s">
        <v>33</v>
      </c>
      <c r="AR981" t="s">
        <v>33</v>
      </c>
      <c r="AS981" s="6">
        <f>LOG(10^8)</f>
        <v>8</v>
      </c>
      <c r="AT981" s="3">
        <f>IFERROR(AS981-AU981,"NA")</f>
        <v>5.3380000000000001</v>
      </c>
      <c r="AU981" s="6">
        <v>2.6619999999999999</v>
      </c>
      <c r="AV981" t="b">
        <v>1</v>
      </c>
      <c r="AW981" t="s">
        <v>29</v>
      </c>
      <c r="AX981" t="s">
        <v>30</v>
      </c>
      <c r="AY981" t="s">
        <v>33</v>
      </c>
      <c r="AZ981" t="s">
        <v>134</v>
      </c>
      <c r="BA981" s="18" t="s">
        <v>798</v>
      </c>
      <c r="BB981" t="b">
        <v>0</v>
      </c>
      <c r="BC981" t="s">
        <v>81</v>
      </c>
      <c r="BD981">
        <v>18</v>
      </c>
      <c r="BE981" t="s">
        <v>80</v>
      </c>
      <c r="BF981" s="11">
        <v>21</v>
      </c>
      <c r="BG981" t="s">
        <v>694</v>
      </c>
      <c r="BH981" t="s">
        <v>31</v>
      </c>
      <c r="BI981" t="s">
        <v>31</v>
      </c>
      <c r="BJ981" s="3">
        <f t="shared" si="480"/>
        <v>2.6619999999999999</v>
      </c>
      <c r="BK981" s="3">
        <f t="shared" si="487"/>
        <v>0.42520805113865628</v>
      </c>
      <c r="BL981">
        <v>2</v>
      </c>
      <c r="BM981" s="3">
        <f t="shared" si="504"/>
        <v>2.277222485306869</v>
      </c>
      <c r="BN981" t="s">
        <v>33</v>
      </c>
      <c r="BO981" s="3">
        <f t="shared" si="500"/>
        <v>189.33132982719761</v>
      </c>
      <c r="BP981" t="s">
        <v>33</v>
      </c>
      <c r="BQ981" t="s">
        <v>33</v>
      </c>
      <c r="BR981" t="s">
        <v>33</v>
      </c>
      <c r="BS981" t="s">
        <v>33</v>
      </c>
      <c r="BT981" t="s">
        <v>31</v>
      </c>
      <c r="BU981" t="s">
        <v>338</v>
      </c>
      <c r="BV981">
        <v>2005</v>
      </c>
      <c r="BW981" s="2" t="s">
        <v>342</v>
      </c>
      <c r="BX981" t="s">
        <v>78</v>
      </c>
      <c r="BY981" t="s">
        <v>340</v>
      </c>
      <c r="BZ981" t="s">
        <v>33</v>
      </c>
      <c r="CA981" t="str">
        <f t="shared" si="501"/>
        <v>low acid</v>
      </c>
    </row>
    <row r="982" spans="1:79">
      <c r="A982" t="s">
        <v>237</v>
      </c>
      <c r="B982" t="s">
        <v>565</v>
      </c>
      <c r="C982" t="s">
        <v>563</v>
      </c>
      <c r="D982" t="s">
        <v>118</v>
      </c>
      <c r="E982" t="s">
        <v>77</v>
      </c>
      <c r="F982" t="s">
        <v>32</v>
      </c>
      <c r="G982">
        <v>4</v>
      </c>
      <c r="H982">
        <v>32.5</v>
      </c>
      <c r="I982" t="b">
        <v>0</v>
      </c>
      <c r="J982" t="s">
        <v>33</v>
      </c>
      <c r="K982" t="s">
        <v>33</v>
      </c>
      <c r="L982">
        <v>15</v>
      </c>
      <c r="M982" s="4">
        <v>200</v>
      </c>
      <c r="N982" s="3">
        <f>IFERROR(AF982/((T982*X982/Y982)*O982*AI982),"NA")</f>
        <v>2575.8562144245957</v>
      </c>
      <c r="O982">
        <v>4</v>
      </c>
      <c r="P982" t="s">
        <v>33</v>
      </c>
      <c r="Q982" s="9">
        <f t="shared" si="505"/>
        <v>0.15625</v>
      </c>
      <c r="R982" t="s">
        <v>183</v>
      </c>
      <c r="S982" t="s">
        <v>613</v>
      </c>
      <c r="T982" s="11">
        <v>8</v>
      </c>
      <c r="U982">
        <v>2.92</v>
      </c>
      <c r="V982">
        <v>2.2999999999999998</v>
      </c>
      <c r="W982">
        <v>1.2E-2</v>
      </c>
      <c r="X982" s="8">
        <f>IFERROR(((PI())*(((V982*10^-1)/2)^2)*(U982*10^-1)), "NA")</f>
        <v>1.2131888350367701E-2</v>
      </c>
      <c r="Y982" s="6">
        <f>60/60</f>
        <v>1</v>
      </c>
      <c r="Z982" s="3">
        <f t="shared" si="507"/>
        <v>7.7644085442353281E-2</v>
      </c>
      <c r="AA982" t="s">
        <v>33</v>
      </c>
      <c r="AB982" s="6">
        <f t="shared" si="508"/>
        <v>31.250000000000004</v>
      </c>
      <c r="AC982" t="str">
        <f t="shared" si="509"/>
        <v>NA</v>
      </c>
      <c r="AD982" s="4">
        <f>AB982*T982*AI982</f>
        <v>250.00000000000003</v>
      </c>
      <c r="AE982" s="3">
        <f t="shared" si="510"/>
        <v>953.99999999999989</v>
      </c>
      <c r="AF982">
        <v>1000</v>
      </c>
      <c r="AG982" t="str">
        <f>IFERROR((M982*O982*P982), "NA")</f>
        <v>NA</v>
      </c>
      <c r="AH982" t="str">
        <f>IFERROR((AG982*T982*AI982), "NA")</f>
        <v>NA</v>
      </c>
      <c r="AI982">
        <v>1</v>
      </c>
      <c r="AJ982" t="s">
        <v>31</v>
      </c>
      <c r="AK982">
        <v>4240</v>
      </c>
      <c r="AL982" t="s">
        <v>238</v>
      </c>
      <c r="AM982" t="s">
        <v>86</v>
      </c>
      <c r="AN982" t="s">
        <v>205</v>
      </c>
      <c r="AO982" t="s">
        <v>789</v>
      </c>
      <c r="AP982">
        <v>3.56</v>
      </c>
      <c r="AQ982" t="s">
        <v>33</v>
      </c>
      <c r="AR982" t="s">
        <v>33</v>
      </c>
      <c r="AS982">
        <f>LOG(10^8)</f>
        <v>8</v>
      </c>
      <c r="AT982" s="3">
        <f>IFERROR(AS982-AU982,"NA")</f>
        <v>5.3460000000000001</v>
      </c>
      <c r="AU982" s="6">
        <v>2.6539999999999999</v>
      </c>
      <c r="AV982" t="b">
        <v>1</v>
      </c>
      <c r="AW982" t="s">
        <v>172</v>
      </c>
      <c r="AX982" t="s">
        <v>173</v>
      </c>
      <c r="AY982" t="s">
        <v>239</v>
      </c>
      <c r="AZ982" t="s">
        <v>33</v>
      </c>
      <c r="BA982" s="18" t="s">
        <v>799</v>
      </c>
      <c r="BB982" t="b">
        <v>0</v>
      </c>
      <c r="BC982" t="s">
        <v>81</v>
      </c>
      <c r="BD982">
        <v>48</v>
      </c>
      <c r="BE982" t="s">
        <v>80</v>
      </c>
      <c r="BF982" s="11">
        <v>120</v>
      </c>
      <c r="BG982" t="s">
        <v>571</v>
      </c>
      <c r="BH982" t="s">
        <v>31</v>
      </c>
      <c r="BI982" t="s">
        <v>31</v>
      </c>
      <c r="BJ982" s="3">
        <f t="shared" si="480"/>
        <v>2.6539999999999999</v>
      </c>
      <c r="BK982" s="3">
        <f t="shared" si="487"/>
        <v>0.42390091852841671</v>
      </c>
      <c r="BL982">
        <v>2</v>
      </c>
      <c r="BM982" s="3">
        <f t="shared" si="504"/>
        <v>2.5556474561756786</v>
      </c>
      <c r="BN982" t="s">
        <v>33</v>
      </c>
      <c r="BO982" s="3">
        <f t="shared" si="500"/>
        <v>359.45742275810096</v>
      </c>
      <c r="BP982" t="s">
        <v>33</v>
      </c>
      <c r="BQ982" t="s">
        <v>33</v>
      </c>
      <c r="BR982" t="s">
        <v>33</v>
      </c>
      <c r="BS982" t="s">
        <v>33</v>
      </c>
      <c r="BT982" t="s">
        <v>31</v>
      </c>
      <c r="BU982" t="s">
        <v>240</v>
      </c>
      <c r="BV982">
        <v>2004</v>
      </c>
      <c r="BW982" t="s">
        <v>241</v>
      </c>
      <c r="BX982" t="s">
        <v>78</v>
      </c>
      <c r="BY982" t="s">
        <v>33</v>
      </c>
      <c r="BZ982" t="s">
        <v>33</v>
      </c>
      <c r="CA982" t="str">
        <f t="shared" si="501"/>
        <v>high acid</v>
      </c>
    </row>
    <row r="983" spans="1:79">
      <c r="A983" t="s">
        <v>604</v>
      </c>
      <c r="B983" t="s">
        <v>565</v>
      </c>
      <c r="C983" t="s">
        <v>563</v>
      </c>
      <c r="D983" t="s">
        <v>118</v>
      </c>
      <c r="E983" t="s">
        <v>77</v>
      </c>
      <c r="F983" t="s">
        <v>33</v>
      </c>
      <c r="G983">
        <v>20</v>
      </c>
      <c r="H983">
        <v>25</v>
      </c>
      <c r="I983" t="b">
        <v>0</v>
      </c>
      <c r="J983" t="s">
        <v>33</v>
      </c>
      <c r="K983" t="s">
        <v>33</v>
      </c>
      <c r="L983">
        <v>18.100000000000001</v>
      </c>
      <c r="M983" s="4">
        <v>667</v>
      </c>
      <c r="N983" t="e">
        <f>(#REF!*Y983)/(T983*X983*O983)</f>
        <v>#REF!</v>
      </c>
      <c r="O983">
        <v>2</v>
      </c>
      <c r="P983" t="s">
        <v>33</v>
      </c>
      <c r="Q983" s="1">
        <f t="shared" si="505"/>
        <v>1.999000499750125E-2</v>
      </c>
      <c r="R983" t="s">
        <v>183</v>
      </c>
      <c r="S983" t="s">
        <v>613</v>
      </c>
      <c r="T983">
        <v>6</v>
      </c>
      <c r="U983">
        <v>2.92</v>
      </c>
      <c r="V983">
        <v>2.2999999999999998</v>
      </c>
      <c r="W983" t="s">
        <v>33</v>
      </c>
      <c r="X983">
        <f>IFERROR(((PI())*(((V983*10^-1)/2)^2)*(U983*10^-1)), "NA")</f>
        <v>1.2131888350367701E-2</v>
      </c>
      <c r="Y983" t="s">
        <v>33</v>
      </c>
      <c r="Z983" s="3">
        <f t="shared" si="507"/>
        <v>0.60689771472714416</v>
      </c>
      <c r="AA983" t="s">
        <v>33</v>
      </c>
      <c r="AB983">
        <f t="shared" si="508"/>
        <v>13.333333333333334</v>
      </c>
      <c r="AC983" s="1" t="str">
        <f t="shared" si="509"/>
        <v>NA</v>
      </c>
      <c r="AE983" s="3">
        <f t="shared" si="510"/>
        <v>52.417600000000014</v>
      </c>
      <c r="AF983">
        <v>160</v>
      </c>
      <c r="AG983" s="1" t="str">
        <f>IFERROR((N983*P983*Q983), "NA")</f>
        <v>NA</v>
      </c>
      <c r="AH983" s="1" t="str">
        <f>IFERROR((O983*Q983*R983), "NA")</f>
        <v>NA</v>
      </c>
      <c r="AI983" s="1">
        <v>1</v>
      </c>
      <c r="AJ983" s="11" t="s">
        <v>31</v>
      </c>
      <c r="AK983">
        <v>1000</v>
      </c>
      <c r="AL983" t="s">
        <v>430</v>
      </c>
      <c r="AM983" t="s">
        <v>530</v>
      </c>
      <c r="AN983" t="s">
        <v>186</v>
      </c>
      <c r="AO983" t="s">
        <v>796</v>
      </c>
      <c r="AP983">
        <v>6</v>
      </c>
      <c r="AQ983" t="s">
        <v>33</v>
      </c>
      <c r="AR983" t="s">
        <v>33</v>
      </c>
      <c r="AS983">
        <v>6.5</v>
      </c>
      <c r="AT983">
        <f>AS983-AU983</f>
        <v>5.35</v>
      </c>
      <c r="AU983" s="6">
        <v>1.1499999999999999</v>
      </c>
      <c r="AV983" t="b">
        <v>1</v>
      </c>
      <c r="AW983" t="s">
        <v>626</v>
      </c>
      <c r="AX983" t="s">
        <v>627</v>
      </c>
      <c r="AY983" t="s">
        <v>625</v>
      </c>
      <c r="AZ983" t="s">
        <v>33</v>
      </c>
      <c r="BA983" s="18" t="s">
        <v>800</v>
      </c>
      <c r="BB983" s="3" t="b">
        <v>0</v>
      </c>
      <c r="BC983" t="s">
        <v>81</v>
      </c>
      <c r="BD983">
        <v>15</v>
      </c>
      <c r="BE983" t="s">
        <v>80</v>
      </c>
      <c r="BF983">
        <v>48</v>
      </c>
      <c r="BG983" t="s">
        <v>568</v>
      </c>
      <c r="BH983" t="s">
        <v>31</v>
      </c>
      <c r="BI983" t="s">
        <v>31</v>
      </c>
      <c r="BJ983">
        <f t="shared" si="480"/>
        <v>1.1499999999999999</v>
      </c>
      <c r="BK983" s="3">
        <f t="shared" si="487"/>
        <v>6.069784035361165E-2</v>
      </c>
      <c r="BL983">
        <v>2</v>
      </c>
      <c r="BM983" s="3">
        <f t="shared" si="504"/>
        <v>1.6587792920406823</v>
      </c>
      <c r="BN983" t="s">
        <v>33</v>
      </c>
      <c r="BO983" s="3">
        <f t="shared" si="500"/>
        <v>45.580521739130454</v>
      </c>
      <c r="BP983" t="s">
        <v>33</v>
      </c>
      <c r="BQ983" t="s">
        <v>33</v>
      </c>
      <c r="BR983" t="s">
        <v>33</v>
      </c>
      <c r="BS983" t="s">
        <v>33</v>
      </c>
      <c r="BT983" t="s">
        <v>32</v>
      </c>
      <c r="BU983" s="15" t="s">
        <v>344</v>
      </c>
      <c r="BV983" s="14">
        <v>2008</v>
      </c>
      <c r="BW983" t="s">
        <v>432</v>
      </c>
      <c r="BX983" t="s">
        <v>78</v>
      </c>
      <c r="BY983" s="13" t="s">
        <v>691</v>
      </c>
      <c r="BZ983" s="13" t="s">
        <v>781</v>
      </c>
      <c r="CA983" t="str">
        <f t="shared" si="501"/>
        <v>low acid</v>
      </c>
    </row>
    <row r="984" spans="1:79">
      <c r="A984" t="s">
        <v>534</v>
      </c>
      <c r="B984" t="s">
        <v>565</v>
      </c>
      <c r="C984" t="s">
        <v>564</v>
      </c>
      <c r="D984" t="s">
        <v>243</v>
      </c>
      <c r="E984" t="s">
        <v>77</v>
      </c>
      <c r="F984" t="s">
        <v>32</v>
      </c>
      <c r="G984">
        <v>40</v>
      </c>
      <c r="H984">
        <v>50.2</v>
      </c>
      <c r="I984" t="b">
        <v>0</v>
      </c>
      <c r="J984" t="s">
        <v>33</v>
      </c>
      <c r="K984" t="s">
        <v>33</v>
      </c>
      <c r="L984">
        <v>21</v>
      </c>
      <c r="M984" s="4">
        <v>120</v>
      </c>
      <c r="N984" s="3">
        <f>IFERROR(AF984/((T984*X984/Y984)*O984*AI984),"NA")</f>
        <v>150.41764016738955</v>
      </c>
      <c r="O984">
        <v>3</v>
      </c>
      <c r="P984" t="s">
        <v>33</v>
      </c>
      <c r="Q984" s="8">
        <f t="shared" si="505"/>
        <v>4.7916666666666663E-2</v>
      </c>
      <c r="R984" t="s">
        <v>183</v>
      </c>
      <c r="S984" t="s">
        <v>612</v>
      </c>
      <c r="T984" s="11">
        <v>4</v>
      </c>
      <c r="U984">
        <v>3</v>
      </c>
      <c r="V984">
        <v>2.6</v>
      </c>
      <c r="W984">
        <v>1.5900000000000001E-2</v>
      </c>
      <c r="X984" s="8">
        <f>IFERROR(((PI())*(((V984*10^-1)/2)^2)*(U984*10^-1)), "NA")</f>
        <v>1.5927874753700257E-2</v>
      </c>
      <c r="Y984" s="6">
        <f>25/60</f>
        <v>0.41666666666666669</v>
      </c>
      <c r="Z984" s="3">
        <f t="shared" si="507"/>
        <v>0.332407820946788</v>
      </c>
      <c r="AA984" t="s">
        <v>33</v>
      </c>
      <c r="AB984" s="6">
        <f t="shared" si="508"/>
        <v>5.7499999999999991</v>
      </c>
      <c r="AC984" t="str">
        <f t="shared" si="509"/>
        <v>NA</v>
      </c>
      <c r="AD984" s="4">
        <f>IFERROR(AB984*T984*AI984, "NA")</f>
        <v>22.999999999999996</v>
      </c>
      <c r="AE984" s="3">
        <f t="shared" si="510"/>
        <v>27.994679999999999</v>
      </c>
      <c r="AF984">
        <v>69</v>
      </c>
      <c r="AG984" t="str">
        <f>IFERROR((M984*O984*P984), "NA")</f>
        <v>NA</v>
      </c>
      <c r="AH984" t="str">
        <f>IFERROR((AG984*T984*AI984), "NA")</f>
        <v>NA</v>
      </c>
      <c r="AI984" s="11">
        <v>1</v>
      </c>
      <c r="AJ984" t="s">
        <v>31</v>
      </c>
      <c r="AK984">
        <v>920</v>
      </c>
      <c r="AL984" t="s">
        <v>551</v>
      </c>
      <c r="AM984" t="s">
        <v>86</v>
      </c>
      <c r="AN984" t="s">
        <v>186</v>
      </c>
      <c r="AO984" t="s">
        <v>794</v>
      </c>
      <c r="AP984">
        <v>5.92</v>
      </c>
      <c r="AQ984" t="s">
        <v>33</v>
      </c>
      <c r="AR984" t="s">
        <v>33</v>
      </c>
      <c r="AS984" s="6">
        <f>LOG(1.4*10^6)</f>
        <v>6.1461280356782382</v>
      </c>
      <c r="AT984" s="3">
        <f>IFERROR(AS984-AU984,"NA")</f>
        <v>5.3501280356782379</v>
      </c>
      <c r="AU984" s="6">
        <v>0.79600000000000004</v>
      </c>
      <c r="AV984" t="b">
        <v>1</v>
      </c>
      <c r="AW984" t="s">
        <v>29</v>
      </c>
      <c r="AX984" t="s">
        <v>30</v>
      </c>
      <c r="AY984" t="s">
        <v>244</v>
      </c>
      <c r="AZ984" t="s">
        <v>33</v>
      </c>
      <c r="BA984" s="18" t="s">
        <v>798</v>
      </c>
      <c r="BB984" t="b">
        <v>0</v>
      </c>
      <c r="BC984" t="s">
        <v>81</v>
      </c>
      <c r="BD984">
        <v>20</v>
      </c>
      <c r="BE984" t="s">
        <v>80</v>
      </c>
      <c r="BF984" s="11">
        <v>20</v>
      </c>
      <c r="BG984" t="s">
        <v>245</v>
      </c>
      <c r="BH984" t="s">
        <v>31</v>
      </c>
      <c r="BI984" t="s">
        <v>31</v>
      </c>
      <c r="BJ984" s="3">
        <f t="shared" si="480"/>
        <v>0.79600000000000004</v>
      </c>
      <c r="BK984" s="3">
        <f t="shared" si="487"/>
        <v>-9.9086932262330937E-2</v>
      </c>
      <c r="BL984">
        <v>2</v>
      </c>
      <c r="BM984" s="3">
        <f t="shared" si="504"/>
        <v>1.5461624398129801</v>
      </c>
      <c r="BN984" t="s">
        <v>33</v>
      </c>
      <c r="BO984" s="3">
        <f t="shared" si="500"/>
        <v>35.169195979899492</v>
      </c>
      <c r="BP984" t="s">
        <v>33</v>
      </c>
      <c r="BQ984" t="s">
        <v>33</v>
      </c>
      <c r="BR984" t="s">
        <v>33</v>
      </c>
      <c r="BS984" t="s">
        <v>33</v>
      </c>
      <c r="BT984" t="s">
        <v>32</v>
      </c>
      <c r="BU984" t="s">
        <v>207</v>
      </c>
      <c r="BV984">
        <v>2014</v>
      </c>
      <c r="BW984" s="2" t="s">
        <v>242</v>
      </c>
      <c r="BX984" t="s">
        <v>78</v>
      </c>
      <c r="BY984" t="s">
        <v>33</v>
      </c>
      <c r="BZ984" t="s">
        <v>33</v>
      </c>
      <c r="CA984" t="str">
        <f t="shared" si="501"/>
        <v>low acid</v>
      </c>
    </row>
    <row r="985" spans="1:79">
      <c r="A985" t="s">
        <v>764</v>
      </c>
      <c r="B985" t="s">
        <v>566</v>
      </c>
      <c r="C985" t="s">
        <v>563</v>
      </c>
      <c r="D985" t="s">
        <v>765</v>
      </c>
      <c r="E985" t="s">
        <v>77</v>
      </c>
      <c r="F985" t="s">
        <v>31</v>
      </c>
      <c r="G985">
        <v>20</v>
      </c>
      <c r="H985">
        <v>42</v>
      </c>
      <c r="I985" t="b">
        <v>0</v>
      </c>
      <c r="J985" t="s">
        <v>33</v>
      </c>
      <c r="K985" t="s">
        <v>33</v>
      </c>
      <c r="L985">
        <v>16</v>
      </c>
      <c r="M985" s="4">
        <f>N985</f>
        <v>1063.9583333333335</v>
      </c>
      <c r="N985" s="3">
        <f>IFERROR(AF985/((T985*X985/Y985)*O985*AI985),"NA")</f>
        <v>1063.9583333333335</v>
      </c>
      <c r="O985">
        <v>3</v>
      </c>
      <c r="P985">
        <v>4.3</v>
      </c>
      <c r="Q985" s="8">
        <f>IFERROR(X985/Y985, "NA")</f>
        <v>4.3199999999999994</v>
      </c>
      <c r="R985" t="s">
        <v>183</v>
      </c>
      <c r="S985" t="s">
        <v>33</v>
      </c>
      <c r="T985" s="11">
        <v>1</v>
      </c>
      <c r="U985">
        <v>8.1000000000000003E-2</v>
      </c>
      <c r="V985" t="s">
        <v>33</v>
      </c>
      <c r="W985">
        <v>7.1999999999999998E-3</v>
      </c>
      <c r="X985">
        <f>W985</f>
        <v>7.1999999999999998E-3</v>
      </c>
      <c r="Y985" s="6">
        <f>0.1/60</f>
        <v>1.6666666666666668E-3</v>
      </c>
      <c r="Z985" s="6">
        <f>Y985</f>
        <v>1.6666666666666668E-3</v>
      </c>
      <c r="AA985" t="s">
        <v>33</v>
      </c>
      <c r="AB985" s="4">
        <f>IFERROR(((X985*M985)/Y985), "NA")</f>
        <v>4596.3</v>
      </c>
      <c r="AC985" s="4">
        <f t="shared" si="509"/>
        <v>4575.0208333333339</v>
      </c>
      <c r="AD985" s="4">
        <f>AB985*T985*AI985</f>
        <v>4596.3</v>
      </c>
      <c r="AE985" s="3">
        <f t="shared" si="510"/>
        <v>352.99584000000004</v>
      </c>
      <c r="AF985">
        <v>13788.9</v>
      </c>
      <c r="AG985" s="4">
        <f>IFERROR((M985*O985*P985), "NA")</f>
        <v>13725.062500000002</v>
      </c>
      <c r="AH985" s="4">
        <f>IFERROR((AG985*T985*AI985), "NA")</f>
        <v>13725.062500000002</v>
      </c>
      <c r="AI985">
        <v>1</v>
      </c>
      <c r="AJ985" s="11" t="s">
        <v>31</v>
      </c>
      <c r="AK985">
        <v>100</v>
      </c>
      <c r="AL985" t="s">
        <v>169</v>
      </c>
      <c r="AM985" t="s">
        <v>103</v>
      </c>
      <c r="AN985" t="s">
        <v>130</v>
      </c>
      <c r="AO985" t="s">
        <v>795</v>
      </c>
      <c r="AP985">
        <v>7</v>
      </c>
      <c r="AQ985" t="s">
        <v>33</v>
      </c>
      <c r="AR985" t="s">
        <v>33</v>
      </c>
      <c r="AS985">
        <v>7</v>
      </c>
      <c r="AT985" s="3">
        <f>IFERROR(AS985-AU985,"NA")</f>
        <v>5.3550000000000004</v>
      </c>
      <c r="AU985" s="6">
        <v>1.645</v>
      </c>
      <c r="AV985" t="b">
        <v>1</v>
      </c>
      <c r="AW985" t="s">
        <v>29</v>
      </c>
      <c r="AX985" t="s">
        <v>30</v>
      </c>
      <c r="AY985" t="s">
        <v>766</v>
      </c>
      <c r="AZ985" t="s">
        <v>33</v>
      </c>
      <c r="BA985" s="18" t="s">
        <v>798</v>
      </c>
      <c r="BB985" s="3" t="b">
        <v>0</v>
      </c>
      <c r="BC985" t="s">
        <v>81</v>
      </c>
      <c r="BD985">
        <v>16</v>
      </c>
      <c r="BE985" t="s">
        <v>80</v>
      </c>
      <c r="BF985">
        <v>24</v>
      </c>
      <c r="BG985" t="s">
        <v>569</v>
      </c>
      <c r="BH985" t="s">
        <v>31</v>
      </c>
      <c r="BI985" t="s">
        <v>31</v>
      </c>
      <c r="BJ985" s="3">
        <f t="shared" si="480"/>
        <v>1.645</v>
      </c>
      <c r="BK985" s="3">
        <f t="shared" si="487"/>
        <v>0.21616590228599311</v>
      </c>
      <c r="BL985">
        <v>2</v>
      </c>
      <c r="BM985" s="3">
        <f t="shared" si="504"/>
        <v>2.3316036850403838</v>
      </c>
      <c r="BN985" t="s">
        <v>33</v>
      </c>
      <c r="BO985" s="3">
        <f t="shared" si="500"/>
        <v>214.58713677811554</v>
      </c>
      <c r="BP985" t="s">
        <v>33</v>
      </c>
      <c r="BQ985" t="s">
        <v>33</v>
      </c>
      <c r="BR985" t="s">
        <v>33</v>
      </c>
      <c r="BS985" t="s">
        <v>33</v>
      </c>
      <c r="BT985" t="s">
        <v>31</v>
      </c>
      <c r="BU985" t="s">
        <v>767</v>
      </c>
      <c r="BV985">
        <v>2021</v>
      </c>
      <c r="BW985" t="s">
        <v>768</v>
      </c>
      <c r="BX985" t="s">
        <v>78</v>
      </c>
      <c r="BY985" t="s">
        <v>769</v>
      </c>
      <c r="CA985" t="str">
        <f t="shared" si="501"/>
        <v>low acid</v>
      </c>
    </row>
    <row r="986" spans="1:79">
      <c r="A986" t="s">
        <v>590</v>
      </c>
      <c r="B986" t="s">
        <v>565</v>
      </c>
      <c r="C986" t="s">
        <v>564</v>
      </c>
      <c r="D986" t="s">
        <v>609</v>
      </c>
      <c r="E986" t="s">
        <v>77</v>
      </c>
      <c r="F986" t="s">
        <v>32</v>
      </c>
      <c r="G986">
        <v>40</v>
      </c>
      <c r="H986">
        <v>49</v>
      </c>
      <c r="I986" t="b">
        <v>0</v>
      </c>
      <c r="J986" t="s">
        <v>33</v>
      </c>
      <c r="K986" t="s">
        <v>33</v>
      </c>
      <c r="L986">
        <v>12</v>
      </c>
      <c r="M986" s="4">
        <v>120</v>
      </c>
      <c r="N986" t="e">
        <f>(#REF!*Y986)/(T986*X986*O986)</f>
        <v>#REF!</v>
      </c>
      <c r="O986">
        <v>3</v>
      </c>
      <c r="P986" t="s">
        <v>33</v>
      </c>
      <c r="Q986" s="1">
        <f>IFERROR(X986/Z986, "NA")</f>
        <v>6.3333333333333325E-2</v>
      </c>
      <c r="R986" t="s">
        <v>183</v>
      </c>
      <c r="S986" t="s">
        <v>612</v>
      </c>
      <c r="T986">
        <v>4</v>
      </c>
      <c r="U986">
        <v>3</v>
      </c>
      <c r="V986">
        <v>2.6</v>
      </c>
      <c r="W986">
        <v>1.5900000000000001E-2</v>
      </c>
      <c r="X986">
        <f>IFERROR(((PI())*(((V986*10^-1)/2)^2)*(U986*10^-1)), "NA")</f>
        <v>1.5927874753700257E-2</v>
      </c>
      <c r="Y986">
        <v>8.3333299999999999E-2</v>
      </c>
      <c r="Z986" s="3">
        <f t="shared" ref="Z986:Z995" si="511">IFERROR(X986*M986*O986*T986*AI986/AF986, "NA")</f>
        <v>0.25149275926895143</v>
      </c>
      <c r="AA986" t="s">
        <v>33</v>
      </c>
      <c r="AB986">
        <f>IFERROR(((X986*M986)/Z986), "NA")</f>
        <v>7.6</v>
      </c>
      <c r="AC986" s="1" t="str">
        <f t="shared" si="509"/>
        <v>NA</v>
      </c>
      <c r="AE986" s="3">
        <f t="shared" si="510"/>
        <v>15.102719999999998</v>
      </c>
      <c r="AF986">
        <v>91.2</v>
      </c>
      <c r="AG986" s="1" t="str">
        <f>IFERROR((N986*P986*Q986), "NA")</f>
        <v>NA</v>
      </c>
      <c r="AH986" s="1" t="str">
        <f>IFERROR((AG986*U986*AI986), "NA")</f>
        <v>NA</v>
      </c>
      <c r="AI986" s="1">
        <v>1</v>
      </c>
      <c r="AJ986" s="11" t="s">
        <v>31</v>
      </c>
      <c r="AK986">
        <v>1150</v>
      </c>
      <c r="AL986" t="s">
        <v>551</v>
      </c>
      <c r="AM986" t="s">
        <v>86</v>
      </c>
      <c r="AN986" t="s">
        <v>186</v>
      </c>
      <c r="AO986" t="s">
        <v>794</v>
      </c>
      <c r="AP986">
        <v>5.92</v>
      </c>
      <c r="AQ986" t="s">
        <v>33</v>
      </c>
      <c r="AR986" t="s">
        <v>33</v>
      </c>
      <c r="AS986">
        <v>6</v>
      </c>
      <c r="AT986">
        <f>AS986-AU986</f>
        <v>5.36</v>
      </c>
      <c r="AU986" s="6">
        <v>0.64</v>
      </c>
      <c r="AV986" t="b">
        <v>1</v>
      </c>
      <c r="AW986" t="s">
        <v>626</v>
      </c>
      <c r="AX986" t="s">
        <v>627</v>
      </c>
      <c r="AY986" t="s">
        <v>631</v>
      </c>
      <c r="AZ986" t="s">
        <v>33</v>
      </c>
      <c r="BA986" s="18" t="s">
        <v>800</v>
      </c>
      <c r="BB986" s="3" t="b">
        <v>0</v>
      </c>
      <c r="BC986" t="s">
        <v>81</v>
      </c>
      <c r="BD986">
        <v>20</v>
      </c>
      <c r="BE986" t="s">
        <v>80</v>
      </c>
      <c r="BF986">
        <v>20</v>
      </c>
      <c r="BG986" t="s">
        <v>695</v>
      </c>
      <c r="BH986" t="s">
        <v>32</v>
      </c>
      <c r="BI986" t="s">
        <v>31</v>
      </c>
      <c r="BJ986">
        <f t="shared" si="480"/>
        <v>0.64</v>
      </c>
      <c r="BK986" s="3">
        <f t="shared" si="487"/>
        <v>-0.19382002601611281</v>
      </c>
      <c r="BL986">
        <v>2</v>
      </c>
      <c r="BM986" s="3">
        <f t="shared" si="504"/>
        <v>1.3728751967933903</v>
      </c>
      <c r="BN986" t="s">
        <v>33</v>
      </c>
      <c r="BO986" s="3">
        <f t="shared" si="500"/>
        <v>23.597999999999995</v>
      </c>
      <c r="BP986" t="s">
        <v>33</v>
      </c>
      <c r="BQ986" t="s">
        <v>33</v>
      </c>
      <c r="BR986" t="s">
        <v>33</v>
      </c>
      <c r="BS986" t="s">
        <v>33</v>
      </c>
      <c r="BT986" t="s">
        <v>32</v>
      </c>
      <c r="BU986" s="15" t="s">
        <v>207</v>
      </c>
      <c r="BV986">
        <v>2014</v>
      </c>
      <c r="BW986" t="s">
        <v>242</v>
      </c>
      <c r="BX986" t="s">
        <v>78</v>
      </c>
      <c r="BY986" s="13" t="s">
        <v>678</v>
      </c>
      <c r="CA986" t="str">
        <f t="shared" si="501"/>
        <v>low acid</v>
      </c>
    </row>
    <row r="987" spans="1:79">
      <c r="A987" t="s">
        <v>164</v>
      </c>
      <c r="B987" t="s">
        <v>565</v>
      </c>
      <c r="C987" t="s">
        <v>563</v>
      </c>
      <c r="D987" t="s">
        <v>118</v>
      </c>
      <c r="E987" t="s">
        <v>77</v>
      </c>
      <c r="F987" t="s">
        <v>32</v>
      </c>
      <c r="G987">
        <v>10</v>
      </c>
      <c r="H987">
        <v>22</v>
      </c>
      <c r="I987" t="b">
        <v>1</v>
      </c>
      <c r="J987" t="s">
        <v>33</v>
      </c>
      <c r="K987" t="s">
        <v>33</v>
      </c>
      <c r="L987">
        <v>24.7</v>
      </c>
      <c r="M987" s="4">
        <v>500</v>
      </c>
      <c r="N987" s="3">
        <f>IFERROR(AF987/((T987*X987/Y987)*O987*AI987),"NA")</f>
        <v>2999.4414585744184</v>
      </c>
      <c r="O987">
        <v>3</v>
      </c>
      <c r="P987" t="s">
        <v>33</v>
      </c>
      <c r="Q987" s="8">
        <f>IFERROR(X987/Z987, "NA")</f>
        <v>7.2777777777777775E-2</v>
      </c>
      <c r="R987" t="s">
        <v>183</v>
      </c>
      <c r="S987" t="s">
        <v>613</v>
      </c>
      <c r="T987" s="11">
        <v>6</v>
      </c>
      <c r="U987">
        <v>2.92</v>
      </c>
      <c r="V987">
        <v>2.2999999999999998</v>
      </c>
      <c r="W987" t="s">
        <v>33</v>
      </c>
      <c r="X987" s="8">
        <f>IFERROR(((PI())*(((V987*10^-1)/2)^2)*(U987*10^-1)), "NA")</f>
        <v>1.2131888350367701E-2</v>
      </c>
      <c r="Y987" s="6">
        <f>60/60</f>
        <v>1</v>
      </c>
      <c r="Z987" s="3">
        <f t="shared" si="511"/>
        <v>0.16669770252413635</v>
      </c>
      <c r="AA987" t="s">
        <v>33</v>
      </c>
      <c r="AB987" s="6">
        <f>IFERROR(((X987*M987)/Z987), "NA")</f>
        <v>36.388888888888893</v>
      </c>
      <c r="AC987" t="str">
        <f t="shared" si="509"/>
        <v>NA</v>
      </c>
      <c r="AD987" s="4">
        <f>AB987*T987*AI987</f>
        <v>218.33333333333337</v>
      </c>
      <c r="AE987" s="3">
        <f t="shared" si="510"/>
        <v>499.51118749999989</v>
      </c>
      <c r="AF987">
        <v>655</v>
      </c>
      <c r="AG987" t="str">
        <f>IFERROR((M987*O987*P987), "NA")</f>
        <v>NA</v>
      </c>
      <c r="AH987" t="str">
        <f>IFERROR((AG987*T987*AI987), "NA")</f>
        <v>NA</v>
      </c>
      <c r="AI987">
        <v>1</v>
      </c>
      <c r="AJ987" t="s">
        <v>31</v>
      </c>
      <c r="AK987">
        <v>1250</v>
      </c>
      <c r="AL987" t="s">
        <v>145</v>
      </c>
      <c r="AM987" t="s">
        <v>86</v>
      </c>
      <c r="AN987" t="s">
        <v>205</v>
      </c>
      <c r="AO987" t="s">
        <v>789</v>
      </c>
      <c r="AP987">
        <v>3.31</v>
      </c>
      <c r="AQ987" t="s">
        <v>33</v>
      </c>
      <c r="AR987" t="s">
        <v>33</v>
      </c>
      <c r="AS987">
        <v>6.73</v>
      </c>
      <c r="AT987" s="3">
        <f>IFERROR(AS987-AU987,"NA")</f>
        <v>5.37</v>
      </c>
      <c r="AU987" s="6">
        <v>1.36</v>
      </c>
      <c r="AV987" t="b">
        <v>1</v>
      </c>
      <c r="AW987" t="s">
        <v>29</v>
      </c>
      <c r="AX987" t="s">
        <v>30</v>
      </c>
      <c r="AY987" t="s">
        <v>33</v>
      </c>
      <c r="AZ987" t="s">
        <v>134</v>
      </c>
      <c r="BA987" s="18" t="s">
        <v>798</v>
      </c>
      <c r="BB987" t="b">
        <v>0</v>
      </c>
      <c r="BC987" t="s">
        <v>81</v>
      </c>
      <c r="BD987">
        <v>48</v>
      </c>
      <c r="BE987" t="s">
        <v>80</v>
      </c>
      <c r="BF987" s="11">
        <v>48</v>
      </c>
      <c r="BG987" t="s">
        <v>262</v>
      </c>
      <c r="BH987" t="s">
        <v>31</v>
      </c>
      <c r="BI987" t="s">
        <v>31</v>
      </c>
      <c r="BJ987" s="3">
        <f t="shared" ref="BJ987:BJ1048" si="512">AU987</f>
        <v>1.36</v>
      </c>
      <c r="BK987" s="3">
        <f t="shared" si="487"/>
        <v>0.13353890837021754</v>
      </c>
      <c r="BL987">
        <v>2</v>
      </c>
      <c r="BM987" s="3">
        <f t="shared" si="504"/>
        <v>2.5650063111489532</v>
      </c>
      <c r="BN987" t="s">
        <v>33</v>
      </c>
      <c r="BO987" s="3">
        <f t="shared" si="500"/>
        <v>367.28763786764694</v>
      </c>
      <c r="BP987" t="s">
        <v>33</v>
      </c>
      <c r="BQ987" t="s">
        <v>33</v>
      </c>
      <c r="BR987" t="s">
        <v>33</v>
      </c>
      <c r="BS987" t="s">
        <v>33</v>
      </c>
      <c r="BT987" t="s">
        <v>31</v>
      </c>
      <c r="BU987" t="s">
        <v>163</v>
      </c>
      <c r="BV987">
        <v>2019</v>
      </c>
      <c r="BW987" s="1" t="s">
        <v>162</v>
      </c>
      <c r="BX987" t="s">
        <v>78</v>
      </c>
      <c r="BY987" t="s">
        <v>33</v>
      </c>
      <c r="BZ987" t="s">
        <v>33</v>
      </c>
      <c r="CA987" t="str">
        <f t="shared" si="501"/>
        <v>high acid</v>
      </c>
    </row>
    <row r="988" spans="1:79">
      <c r="A988" t="s">
        <v>722</v>
      </c>
      <c r="B988" t="s">
        <v>566</v>
      </c>
      <c r="C988" t="s">
        <v>563</v>
      </c>
      <c r="D988" t="s">
        <v>699</v>
      </c>
      <c r="E988" t="s">
        <v>77</v>
      </c>
      <c r="F988" t="s">
        <v>32</v>
      </c>
      <c r="G988">
        <v>20</v>
      </c>
      <c r="H988">
        <v>42.5</v>
      </c>
      <c r="I988" t="b">
        <v>1</v>
      </c>
      <c r="J988" t="s">
        <v>33</v>
      </c>
      <c r="K988" t="s">
        <v>33</v>
      </c>
      <c r="L988">
        <v>20</v>
      </c>
      <c r="M988" s="4">
        <v>47</v>
      </c>
      <c r="N988" s="3">
        <f>IFERROR(AF988/((T988*X988/Y988)*O988*AI988),"NA")</f>
        <v>46.759259259259245</v>
      </c>
      <c r="O988">
        <v>5</v>
      </c>
      <c r="P988">
        <v>0.43</v>
      </c>
      <c r="Q988" s="8">
        <f>IFERROR(X988/Y988, "NA")</f>
        <v>0.43200000000000011</v>
      </c>
      <c r="R988" t="s">
        <v>183</v>
      </c>
      <c r="S988" t="s">
        <v>612</v>
      </c>
      <c r="T988" s="11">
        <v>1</v>
      </c>
      <c r="U988">
        <v>4</v>
      </c>
      <c r="V988" t="s">
        <v>33</v>
      </c>
      <c r="W988">
        <f>0.4*3*0.5</f>
        <v>0.60000000000000009</v>
      </c>
      <c r="X988" s="9">
        <f>W988</f>
        <v>0.60000000000000009</v>
      </c>
      <c r="Y988" s="6">
        <f>5000/3600</f>
        <v>1.3888888888888888</v>
      </c>
      <c r="Z988" s="3">
        <f t="shared" si="511"/>
        <v>1.3960396039603959</v>
      </c>
      <c r="AA988" t="s">
        <v>33</v>
      </c>
      <c r="AB988" s="4">
        <f>IFERROR(((X988*M988)/Y988), "NA")</f>
        <v>20.304000000000002</v>
      </c>
      <c r="AC988" s="4">
        <f t="shared" si="509"/>
        <v>20.21</v>
      </c>
      <c r="AD988" s="4">
        <f>AB988*T988*AI988</f>
        <v>20.304000000000002</v>
      </c>
      <c r="AE988" s="3">
        <f t="shared" si="510"/>
        <v>81.216000000000022</v>
      </c>
      <c r="AF988">
        <v>101</v>
      </c>
      <c r="AG988" s="4">
        <f>IFERROR((M988*O988*P988), "NA")</f>
        <v>101.05</v>
      </c>
      <c r="AH988" s="4">
        <f>IFERROR((AG988*T988*AI988), "NA")</f>
        <v>101.05</v>
      </c>
      <c r="AI988">
        <v>1</v>
      </c>
      <c r="AJ988" s="11" t="s">
        <v>31</v>
      </c>
      <c r="AK988">
        <v>2000</v>
      </c>
      <c r="AL988" t="s">
        <v>784</v>
      </c>
      <c r="AM988" t="s">
        <v>103</v>
      </c>
      <c r="AN988" t="s">
        <v>130</v>
      </c>
      <c r="AO988" t="s">
        <v>795</v>
      </c>
      <c r="AP988">
        <v>7</v>
      </c>
      <c r="AQ988" t="s">
        <v>33</v>
      </c>
      <c r="AR988" t="s">
        <v>33</v>
      </c>
      <c r="AS988" s="6">
        <f>LOG(AVERAGE(10^8, 10^9))</f>
        <v>8.7403626894942441</v>
      </c>
      <c r="AT988" s="3">
        <f>IFERROR(AS988-AU988,"NA")</f>
        <v>5.3793626894942435</v>
      </c>
      <c r="AU988" s="6">
        <v>3.3610000000000002</v>
      </c>
      <c r="AV988" t="b">
        <v>1</v>
      </c>
      <c r="AW988" t="s">
        <v>123</v>
      </c>
      <c r="AX988" t="s">
        <v>88</v>
      </c>
      <c r="AY988" t="s">
        <v>728</v>
      </c>
      <c r="AZ988" t="s">
        <v>33</v>
      </c>
      <c r="BA988" s="18" t="s">
        <v>579</v>
      </c>
      <c r="BB988" s="3" t="b">
        <v>1</v>
      </c>
      <c r="BC988" t="s">
        <v>81</v>
      </c>
      <c r="BD988">
        <v>24</v>
      </c>
      <c r="BE988" t="s">
        <v>80</v>
      </c>
      <c r="BF988">
        <v>48</v>
      </c>
      <c r="BG988" t="s">
        <v>395</v>
      </c>
      <c r="BH988" t="s">
        <v>31</v>
      </c>
      <c r="BI988" t="s">
        <v>31</v>
      </c>
      <c r="BJ988" s="3">
        <f t="shared" si="512"/>
        <v>3.3610000000000002</v>
      </c>
      <c r="BK988" s="3">
        <f t="shared" si="487"/>
        <v>0.52646851246947746</v>
      </c>
      <c r="BL988">
        <v>2</v>
      </c>
      <c r="BM988" s="3">
        <f t="shared" si="504"/>
        <v>1.3831730836091145</v>
      </c>
      <c r="BN988" t="s">
        <v>33</v>
      </c>
      <c r="BO988" s="3">
        <f t="shared" si="500"/>
        <v>24.164236834275517</v>
      </c>
      <c r="BP988" t="s">
        <v>33</v>
      </c>
      <c r="BQ988" t="s">
        <v>33</v>
      </c>
      <c r="BR988" t="s">
        <v>33</v>
      </c>
      <c r="BS988" t="s">
        <v>33</v>
      </c>
      <c r="BT988" t="s">
        <v>32</v>
      </c>
      <c r="BU988" t="s">
        <v>709</v>
      </c>
      <c r="BV988">
        <v>2024</v>
      </c>
      <c r="BW988" t="s">
        <v>710</v>
      </c>
      <c r="BX988" t="s">
        <v>78</v>
      </c>
      <c r="BY988" t="s">
        <v>711</v>
      </c>
      <c r="CA988" t="str">
        <f t="shared" si="501"/>
        <v>low acid</v>
      </c>
    </row>
    <row r="989" spans="1:79">
      <c r="A989" t="s">
        <v>590</v>
      </c>
      <c r="B989" t="s">
        <v>565</v>
      </c>
      <c r="C989" t="s">
        <v>564</v>
      </c>
      <c r="D989" t="s">
        <v>609</v>
      </c>
      <c r="E989" t="s">
        <v>77</v>
      </c>
      <c r="F989" t="s">
        <v>32</v>
      </c>
      <c r="G989">
        <v>40</v>
      </c>
      <c r="H989">
        <v>49</v>
      </c>
      <c r="I989" t="b">
        <v>0</v>
      </c>
      <c r="J989" t="s">
        <v>33</v>
      </c>
      <c r="K989" t="s">
        <v>33</v>
      </c>
      <c r="L989">
        <v>12</v>
      </c>
      <c r="M989" s="4">
        <v>120</v>
      </c>
      <c r="N989" t="e">
        <f>(#REF!*Y989)/(T989*X989*O989)</f>
        <v>#REF!</v>
      </c>
      <c r="O989">
        <v>3</v>
      </c>
      <c r="P989" t="s">
        <v>33</v>
      </c>
      <c r="Q989" s="1">
        <f t="shared" ref="Q989:Q1006" si="513">IFERROR(X989/Z989, "NA")</f>
        <v>4.715277777777778E-2</v>
      </c>
      <c r="R989" t="s">
        <v>183</v>
      </c>
      <c r="S989" t="s">
        <v>612</v>
      </c>
      <c r="T989">
        <v>4</v>
      </c>
      <c r="U989">
        <v>3</v>
      </c>
      <c r="V989">
        <v>2.6</v>
      </c>
      <c r="W989">
        <v>1.5900000000000001E-2</v>
      </c>
      <c r="X989">
        <f>IFERROR(((PI())*(((V989*10^-1)/2)^2)*(U989*10^-1)), "NA")</f>
        <v>1.5927874753700257E-2</v>
      </c>
      <c r="Y989">
        <v>8.3333299999999999E-2</v>
      </c>
      <c r="Z989" s="3">
        <f t="shared" si="511"/>
        <v>0.33779292555711882</v>
      </c>
      <c r="AA989" t="s">
        <v>33</v>
      </c>
      <c r="AB989">
        <f t="shared" ref="AB989:AB995" si="514">IFERROR(((X989*M989)/Z989), "NA")</f>
        <v>5.6583333333333341</v>
      </c>
      <c r="AC989" s="1" t="str">
        <f t="shared" si="509"/>
        <v>NA</v>
      </c>
      <c r="AE989" s="3">
        <f t="shared" si="510"/>
        <v>11.24424</v>
      </c>
      <c r="AF989">
        <v>67.900000000000006</v>
      </c>
      <c r="AG989" s="1" t="str">
        <f>IFERROR((N989*P989*Q989), "NA")</f>
        <v>NA</v>
      </c>
      <c r="AH989" s="1" t="str">
        <f>IFERROR((AG989*U989*AI989), "NA")</f>
        <v>NA</v>
      </c>
      <c r="AI989" s="1">
        <v>1</v>
      </c>
      <c r="AJ989" s="11" t="s">
        <v>31</v>
      </c>
      <c r="AK989">
        <v>1150</v>
      </c>
      <c r="AL989" t="s">
        <v>551</v>
      </c>
      <c r="AM989" t="s">
        <v>86</v>
      </c>
      <c r="AN989" t="s">
        <v>186</v>
      </c>
      <c r="AO989" t="s">
        <v>794</v>
      </c>
      <c r="AP989">
        <v>5.92</v>
      </c>
      <c r="AQ989" t="s">
        <v>33</v>
      </c>
      <c r="AR989" t="s">
        <v>33</v>
      </c>
      <c r="AS989">
        <v>6</v>
      </c>
      <c r="AT989">
        <f>AS989-AU989</f>
        <v>5.38</v>
      </c>
      <c r="AU989" s="6">
        <v>0.62</v>
      </c>
      <c r="AV989" t="b">
        <v>1</v>
      </c>
      <c r="AW989" t="s">
        <v>626</v>
      </c>
      <c r="AX989" t="s">
        <v>627</v>
      </c>
      <c r="AY989" t="s">
        <v>631</v>
      </c>
      <c r="AZ989" t="s">
        <v>33</v>
      </c>
      <c r="BA989" s="18" t="s">
        <v>800</v>
      </c>
      <c r="BB989" s="3" t="b">
        <v>0</v>
      </c>
      <c r="BC989" t="s">
        <v>81</v>
      </c>
      <c r="BD989">
        <v>20</v>
      </c>
      <c r="BE989" t="s">
        <v>80</v>
      </c>
      <c r="BF989">
        <v>20</v>
      </c>
      <c r="BG989" t="s">
        <v>695</v>
      </c>
      <c r="BH989" t="s">
        <v>32</v>
      </c>
      <c r="BI989" t="s">
        <v>31</v>
      </c>
      <c r="BJ989">
        <f t="shared" si="512"/>
        <v>0.62</v>
      </c>
      <c r="BK989" s="3">
        <f t="shared" si="487"/>
        <v>-0.20760831050174613</v>
      </c>
      <c r="BL989">
        <v>2</v>
      </c>
      <c r="BM989" s="3">
        <f t="shared" si="504"/>
        <v>1.2585384172311092</v>
      </c>
      <c r="BN989" t="s">
        <v>33</v>
      </c>
      <c r="BO989" s="3">
        <f t="shared" si="500"/>
        <v>18.135870967741933</v>
      </c>
      <c r="BP989" t="s">
        <v>33</v>
      </c>
      <c r="BQ989" t="s">
        <v>33</v>
      </c>
      <c r="BR989" t="s">
        <v>33</v>
      </c>
      <c r="BS989" t="s">
        <v>33</v>
      </c>
      <c r="BT989" t="s">
        <v>32</v>
      </c>
      <c r="BU989" s="15" t="s">
        <v>207</v>
      </c>
      <c r="BV989">
        <v>2014</v>
      </c>
      <c r="BW989" t="s">
        <v>242</v>
      </c>
      <c r="BX989" t="s">
        <v>78</v>
      </c>
      <c r="BY989" s="13" t="s">
        <v>678</v>
      </c>
      <c r="CA989" t="str">
        <f t="shared" si="501"/>
        <v>low acid</v>
      </c>
    </row>
    <row r="990" spans="1:79">
      <c r="A990" t="s">
        <v>392</v>
      </c>
      <c r="B990" t="s">
        <v>565</v>
      </c>
      <c r="C990" t="s">
        <v>563</v>
      </c>
      <c r="D990" t="s">
        <v>118</v>
      </c>
      <c r="E990" t="s">
        <v>77</v>
      </c>
      <c r="F990" t="s">
        <v>32</v>
      </c>
      <c r="G990">
        <v>25</v>
      </c>
      <c r="H990">
        <v>36</v>
      </c>
      <c r="I990" t="b">
        <v>0</v>
      </c>
      <c r="J990" t="s">
        <v>33</v>
      </c>
      <c r="K990" t="s">
        <v>33</v>
      </c>
      <c r="L990">
        <v>30</v>
      </c>
      <c r="M990" s="4">
        <v>200</v>
      </c>
      <c r="N990" s="3" t="str">
        <f>IFERROR(AF990/((T990*X990/Y990)*O990*AI990),"NA")</f>
        <v>NA</v>
      </c>
      <c r="O990">
        <v>4</v>
      </c>
      <c r="P990" t="s">
        <v>33</v>
      </c>
      <c r="Q990" s="8">
        <f t="shared" si="513"/>
        <v>4.6875000000000007E-2</v>
      </c>
      <c r="R990" t="s">
        <v>183</v>
      </c>
      <c r="S990" t="s">
        <v>613</v>
      </c>
      <c r="T990" s="11">
        <v>8</v>
      </c>
      <c r="U990">
        <v>2.9</v>
      </c>
      <c r="V990">
        <v>2.2999999999999998</v>
      </c>
      <c r="W990">
        <v>1.2E-2</v>
      </c>
      <c r="X990" s="8">
        <f>IFERROR(((PI())*(((V990*10^-1)/2)^2)*(U990*10^-1)), "NA")</f>
        <v>1.204879322468025E-2</v>
      </c>
      <c r="Y990" t="s">
        <v>33</v>
      </c>
      <c r="Z990" s="3">
        <f t="shared" si="511"/>
        <v>0.25704092212651197</v>
      </c>
      <c r="AA990" t="s">
        <v>33</v>
      </c>
      <c r="AB990" s="6">
        <f t="shared" si="514"/>
        <v>9.375</v>
      </c>
      <c r="AC990" t="str">
        <f t="shared" si="509"/>
        <v>NA</v>
      </c>
      <c r="AD990" s="4">
        <f>AB990*T990*AI990</f>
        <v>75</v>
      </c>
      <c r="AE990" s="3">
        <f t="shared" si="510"/>
        <v>1144.8</v>
      </c>
      <c r="AF990">
        <v>300</v>
      </c>
      <c r="AG990" t="str">
        <f>IFERROR((M990*O990*P990), "NA")</f>
        <v>NA</v>
      </c>
      <c r="AH990" t="str">
        <f>IFERROR((AG990*T990*AI990), "NA")</f>
        <v>NA</v>
      </c>
      <c r="AI990">
        <v>1</v>
      </c>
      <c r="AJ990" t="s">
        <v>31</v>
      </c>
      <c r="AK990">
        <v>4240</v>
      </c>
      <c r="AL990" t="s">
        <v>238</v>
      </c>
      <c r="AM990" t="s">
        <v>86</v>
      </c>
      <c r="AN990" t="s">
        <v>205</v>
      </c>
      <c r="AO990" t="s">
        <v>789</v>
      </c>
      <c r="AP990">
        <v>3.56</v>
      </c>
      <c r="AQ990" t="s">
        <v>33</v>
      </c>
      <c r="AR990" t="s">
        <v>33</v>
      </c>
      <c r="AS990" s="6">
        <f>LOG(10^8)</f>
        <v>8</v>
      </c>
      <c r="AT990" s="3">
        <f>IFERROR(AS990-AU990,"NA")</f>
        <v>5.3860000000000001</v>
      </c>
      <c r="AU990" s="6">
        <v>2.6139999999999999</v>
      </c>
      <c r="AV990" t="b">
        <v>1</v>
      </c>
      <c r="AW990" t="s">
        <v>123</v>
      </c>
      <c r="AX990" t="s">
        <v>393</v>
      </c>
      <c r="AY990" t="s">
        <v>394</v>
      </c>
      <c r="AZ990" t="s">
        <v>33</v>
      </c>
      <c r="BA990" s="18" t="s">
        <v>579</v>
      </c>
      <c r="BB990" t="b">
        <v>1</v>
      </c>
      <c r="BC990" t="s">
        <v>81</v>
      </c>
      <c r="BD990">
        <v>72</v>
      </c>
      <c r="BE990" t="s">
        <v>80</v>
      </c>
      <c r="BF990" s="11">
        <v>72</v>
      </c>
      <c r="BG990" t="s">
        <v>395</v>
      </c>
      <c r="BH990" t="s">
        <v>31</v>
      </c>
      <c r="BI990" t="s">
        <v>31</v>
      </c>
      <c r="BJ990" s="3">
        <f t="shared" si="512"/>
        <v>2.6139999999999999</v>
      </c>
      <c r="BK990" s="3">
        <f t="shared" si="487"/>
        <v>0.41730558324452549</v>
      </c>
      <c r="BL990">
        <v>2</v>
      </c>
      <c r="BM990" s="3">
        <f t="shared" si="504"/>
        <v>2.6414240375071945</v>
      </c>
      <c r="BN990" t="s">
        <v>33</v>
      </c>
      <c r="BO990" s="3">
        <f t="shared" si="500"/>
        <v>437.94950267788829</v>
      </c>
      <c r="BP990" t="s">
        <v>33</v>
      </c>
      <c r="BQ990" t="s">
        <v>33</v>
      </c>
      <c r="BR990" t="s">
        <v>33</v>
      </c>
      <c r="BS990" t="s">
        <v>33</v>
      </c>
      <c r="BT990" t="s">
        <v>31</v>
      </c>
      <c r="BU990" t="s">
        <v>240</v>
      </c>
      <c r="BV990">
        <v>2005</v>
      </c>
      <c r="BW990" t="s">
        <v>396</v>
      </c>
      <c r="BX990" t="s">
        <v>78</v>
      </c>
      <c r="BY990" t="s">
        <v>33</v>
      </c>
      <c r="BZ990" t="s">
        <v>33</v>
      </c>
      <c r="CA990" t="str">
        <f t="shared" si="501"/>
        <v>high acid</v>
      </c>
    </row>
    <row r="991" spans="1:79">
      <c r="A991" t="s">
        <v>534</v>
      </c>
      <c r="B991" t="s">
        <v>565</v>
      </c>
      <c r="C991" t="s">
        <v>564</v>
      </c>
      <c r="D991" t="s">
        <v>243</v>
      </c>
      <c r="E991" t="s">
        <v>77</v>
      </c>
      <c r="F991" t="s">
        <v>32</v>
      </c>
      <c r="G991">
        <v>40</v>
      </c>
      <c r="H991">
        <v>50.2</v>
      </c>
      <c r="I991" t="b">
        <v>0</v>
      </c>
      <c r="J991" t="s">
        <v>33</v>
      </c>
      <c r="K991" t="s">
        <v>33</v>
      </c>
      <c r="L991">
        <v>18</v>
      </c>
      <c r="M991" s="4">
        <v>120</v>
      </c>
      <c r="N991" s="3">
        <f>IFERROR(AF991/((T991*X991/Y991)*O991*AI991),"NA")</f>
        <v>300.8352803347791</v>
      </c>
      <c r="O991">
        <v>3</v>
      </c>
      <c r="P991" t="s">
        <v>33</v>
      </c>
      <c r="Q991" s="8">
        <f t="shared" si="513"/>
        <v>9.5833333333333326E-2</v>
      </c>
      <c r="R991" t="s">
        <v>183</v>
      </c>
      <c r="S991" t="s">
        <v>612</v>
      </c>
      <c r="T991" s="11">
        <v>4</v>
      </c>
      <c r="U991">
        <v>3</v>
      </c>
      <c r="V991">
        <v>2.6</v>
      </c>
      <c r="W991">
        <v>1.5900000000000001E-2</v>
      </c>
      <c r="X991" s="8">
        <f>IFERROR(((PI())*(((V991*10^-1)/2)^2)*(U991*10^-1)), "NA")</f>
        <v>1.5927874753700257E-2</v>
      </c>
      <c r="Y991" s="6">
        <f>25/60</f>
        <v>0.41666666666666669</v>
      </c>
      <c r="Z991" s="3">
        <f t="shared" si="511"/>
        <v>0.166203910473394</v>
      </c>
      <c r="AA991" t="s">
        <v>33</v>
      </c>
      <c r="AB991" s="6">
        <f t="shared" si="514"/>
        <v>11.499999999999998</v>
      </c>
      <c r="AC991" t="str">
        <f t="shared" si="509"/>
        <v>NA</v>
      </c>
      <c r="AD991" s="4">
        <f>IFERROR(AB991*T991*AI991, "NA")</f>
        <v>45.999999999999993</v>
      </c>
      <c r="AE991" s="3">
        <f t="shared" si="510"/>
        <v>41.135039999999996</v>
      </c>
      <c r="AF991">
        <v>138</v>
      </c>
      <c r="AG991" t="str">
        <f>IFERROR((M991*O991*P991), "NA")</f>
        <v>NA</v>
      </c>
      <c r="AH991" t="str">
        <f>IFERROR((AG991*T991*AI991), "NA")</f>
        <v>NA</v>
      </c>
      <c r="AI991" s="11">
        <v>1</v>
      </c>
      <c r="AJ991" t="s">
        <v>31</v>
      </c>
      <c r="AK991">
        <v>920</v>
      </c>
      <c r="AL991" t="s">
        <v>551</v>
      </c>
      <c r="AM991" t="s">
        <v>86</v>
      </c>
      <c r="AN991" t="s">
        <v>186</v>
      </c>
      <c r="AO991" t="s">
        <v>794</v>
      </c>
      <c r="AP991">
        <v>5.92</v>
      </c>
      <c r="AQ991" t="s">
        <v>33</v>
      </c>
      <c r="AR991" t="s">
        <v>33</v>
      </c>
      <c r="AS991" s="6">
        <f>LOG(1.4*10^6)</f>
        <v>6.1461280356782382</v>
      </c>
      <c r="AT991" s="3">
        <f>IFERROR(AS991-AU991,"NA")</f>
        <v>5.3891280356782385</v>
      </c>
      <c r="AU991" s="6">
        <v>0.75700000000000001</v>
      </c>
      <c r="AV991" t="b">
        <v>1</v>
      </c>
      <c r="AW991" t="s">
        <v>29</v>
      </c>
      <c r="AX991" t="s">
        <v>30</v>
      </c>
      <c r="AY991" t="s">
        <v>244</v>
      </c>
      <c r="AZ991" t="s">
        <v>33</v>
      </c>
      <c r="BA991" s="18" t="s">
        <v>798</v>
      </c>
      <c r="BB991" t="b">
        <v>0</v>
      </c>
      <c r="BC991" t="s">
        <v>81</v>
      </c>
      <c r="BD991">
        <v>20</v>
      </c>
      <c r="BE991" t="s">
        <v>80</v>
      </c>
      <c r="BF991" s="11">
        <v>20</v>
      </c>
      <c r="BG991" t="s">
        <v>245</v>
      </c>
      <c r="BH991" t="s">
        <v>31</v>
      </c>
      <c r="BI991" t="s">
        <v>31</v>
      </c>
      <c r="BJ991" s="3">
        <f t="shared" si="512"/>
        <v>0.75700000000000001</v>
      </c>
      <c r="BK991" s="3">
        <f t="shared" si="487"/>
        <v>-0.12090412049992724</v>
      </c>
      <c r="BL991">
        <v>2</v>
      </c>
      <c r="BM991" s="3">
        <f t="shared" si="504"/>
        <v>1.7351160444533311</v>
      </c>
      <c r="BN991" t="s">
        <v>33</v>
      </c>
      <c r="BO991" s="3">
        <f t="shared" si="500"/>
        <v>54.339550858652572</v>
      </c>
      <c r="BP991" t="s">
        <v>33</v>
      </c>
      <c r="BQ991" t="s">
        <v>33</v>
      </c>
      <c r="BR991" t="s">
        <v>33</v>
      </c>
      <c r="BS991" t="s">
        <v>33</v>
      </c>
      <c r="BT991" t="s">
        <v>32</v>
      </c>
      <c r="BU991" t="s">
        <v>207</v>
      </c>
      <c r="BV991">
        <v>2014</v>
      </c>
      <c r="BW991" s="2" t="s">
        <v>242</v>
      </c>
      <c r="BX991" t="s">
        <v>78</v>
      </c>
      <c r="BY991" t="s">
        <v>33</v>
      </c>
      <c r="BZ991" t="s">
        <v>33</v>
      </c>
      <c r="CA991" t="str">
        <f t="shared" si="501"/>
        <v>low acid</v>
      </c>
    </row>
    <row r="992" spans="1:79">
      <c r="A992" t="s">
        <v>386</v>
      </c>
      <c r="B992" t="s">
        <v>566</v>
      </c>
      <c r="C992" t="s">
        <v>563</v>
      </c>
      <c r="D992" t="s">
        <v>387</v>
      </c>
      <c r="E992" t="s">
        <v>77</v>
      </c>
      <c r="F992" t="s">
        <v>31</v>
      </c>
      <c r="G992">
        <v>25</v>
      </c>
      <c r="H992">
        <v>34</v>
      </c>
      <c r="I992" t="b">
        <v>0</v>
      </c>
      <c r="J992" t="s">
        <v>33</v>
      </c>
      <c r="K992" t="s">
        <v>33</v>
      </c>
      <c r="L992">
        <v>15</v>
      </c>
      <c r="M992" s="4">
        <v>10</v>
      </c>
      <c r="N992" s="3">
        <f>IFERROR(AF992/((T992*X992/Y992)*O992*AI992),"NA")</f>
        <v>10.112359550561798</v>
      </c>
      <c r="O992">
        <v>100</v>
      </c>
      <c r="P992" t="s">
        <v>33</v>
      </c>
      <c r="Q992" s="8">
        <f t="shared" si="513"/>
        <v>2.0000000000000004</v>
      </c>
      <c r="R992" t="s">
        <v>183</v>
      </c>
      <c r="S992" t="s">
        <v>612</v>
      </c>
      <c r="T992" s="11">
        <v>1</v>
      </c>
      <c r="U992">
        <v>2.5</v>
      </c>
      <c r="V992" t="s">
        <v>33</v>
      </c>
      <c r="W992" t="s">
        <v>33</v>
      </c>
      <c r="X992" s="8">
        <f>(0.18*2+0.44*0.8)/2</f>
        <v>0.35599999999999998</v>
      </c>
      <c r="Y992">
        <v>0.18</v>
      </c>
      <c r="Z992" s="3">
        <f t="shared" si="511"/>
        <v>0.17799999999999996</v>
      </c>
      <c r="AA992">
        <v>20</v>
      </c>
      <c r="AB992" s="6">
        <f t="shared" si="514"/>
        <v>20.000000000000004</v>
      </c>
      <c r="AC992" t="str">
        <f t="shared" si="509"/>
        <v>NA</v>
      </c>
      <c r="AD992" s="4">
        <f>IFERROR(AB992*T992*AI992, "NA")</f>
        <v>20.000000000000004</v>
      </c>
      <c r="AE992" s="3">
        <f t="shared" si="510"/>
        <v>2.1150000000000002</v>
      </c>
      <c r="AF992">
        <v>2000</v>
      </c>
      <c r="AG992" t="str">
        <f>IFERROR((M992*O992*P992), "NA")</f>
        <v>NA</v>
      </c>
      <c r="AH992" t="str">
        <f>IFERROR((AG992*T992*AI992), "NA")</f>
        <v>NA</v>
      </c>
      <c r="AI992" s="11">
        <v>1</v>
      </c>
      <c r="AJ992" t="s">
        <v>31</v>
      </c>
      <c r="AK992" s="11">
        <v>4.7</v>
      </c>
      <c r="AL992" t="s">
        <v>492</v>
      </c>
      <c r="AM992" t="s">
        <v>103</v>
      </c>
      <c r="AN992" t="s">
        <v>130</v>
      </c>
      <c r="AO992" t="s">
        <v>795</v>
      </c>
      <c r="AP992">
        <f>(7+7.4)/2</f>
        <v>7.2</v>
      </c>
      <c r="AQ992" t="s">
        <v>33</v>
      </c>
      <c r="AR992" t="s">
        <v>33</v>
      </c>
      <c r="AS992" s="6">
        <f>LOG(10^7)</f>
        <v>7</v>
      </c>
      <c r="AT992" s="3">
        <f>IFERROR(AS992-AU992,"NA")</f>
        <v>5.39</v>
      </c>
      <c r="AU992" s="6">
        <v>1.61</v>
      </c>
      <c r="AV992" t="b">
        <v>1</v>
      </c>
      <c r="AW992" t="s">
        <v>29</v>
      </c>
      <c r="AX992" t="s">
        <v>30</v>
      </c>
      <c r="AY992" t="s">
        <v>361</v>
      </c>
      <c r="AZ992" t="s">
        <v>33</v>
      </c>
      <c r="BA992" s="18" t="s">
        <v>798</v>
      </c>
      <c r="BB992" t="b">
        <v>0</v>
      </c>
      <c r="BC992" t="s">
        <v>81</v>
      </c>
      <c r="BD992">
        <v>17</v>
      </c>
      <c r="BE992" t="s">
        <v>80</v>
      </c>
      <c r="BF992" s="11">
        <v>24</v>
      </c>
      <c r="BG992" t="s">
        <v>245</v>
      </c>
      <c r="BH992" t="s">
        <v>31</v>
      </c>
      <c r="BI992" t="s">
        <v>31</v>
      </c>
      <c r="BJ992" s="3">
        <f t="shared" si="512"/>
        <v>1.61</v>
      </c>
      <c r="BK992" s="3">
        <f t="shared" si="487"/>
        <v>0.20682587603184974</v>
      </c>
      <c r="BL992">
        <v>2</v>
      </c>
      <c r="BM992" s="3">
        <f t="shared" si="504"/>
        <v>0.11848449567921146</v>
      </c>
      <c r="BN992" t="s">
        <v>33</v>
      </c>
      <c r="BO992" s="3">
        <f t="shared" si="500"/>
        <v>1.313664596273292</v>
      </c>
      <c r="BP992" t="s">
        <v>33</v>
      </c>
      <c r="BQ992" t="s">
        <v>33</v>
      </c>
      <c r="BR992" t="s">
        <v>33</v>
      </c>
      <c r="BS992" t="s">
        <v>33</v>
      </c>
      <c r="BT992" t="s">
        <v>32</v>
      </c>
      <c r="BU992" t="s">
        <v>388</v>
      </c>
      <c r="BV992" s="11">
        <v>2017</v>
      </c>
      <c r="BW992" t="s">
        <v>389</v>
      </c>
      <c r="BX992" t="s">
        <v>78</v>
      </c>
      <c r="BY992" t="s">
        <v>390</v>
      </c>
      <c r="BZ992" t="s">
        <v>33</v>
      </c>
      <c r="CA992" t="str">
        <f t="shared" si="501"/>
        <v>low acid</v>
      </c>
    </row>
    <row r="993" spans="1:79">
      <c r="A993" t="s">
        <v>587</v>
      </c>
      <c r="B993" t="s">
        <v>565</v>
      </c>
      <c r="C993" t="s">
        <v>563</v>
      </c>
      <c r="D993" t="s">
        <v>118</v>
      </c>
      <c r="E993" t="s">
        <v>77</v>
      </c>
      <c r="F993" t="s">
        <v>32</v>
      </c>
      <c r="G993">
        <v>20</v>
      </c>
      <c r="H993">
        <v>20</v>
      </c>
      <c r="I993" t="b">
        <v>1</v>
      </c>
      <c r="J993" t="s">
        <v>33</v>
      </c>
      <c r="K993" t="s">
        <v>33</v>
      </c>
      <c r="L993">
        <v>30</v>
      </c>
      <c r="M993" s="4">
        <v>100</v>
      </c>
      <c r="N993" t="e">
        <f>(#REF!*Y993)/(T993*X993*O993)</f>
        <v>#REF!</v>
      </c>
      <c r="O993">
        <v>2</v>
      </c>
      <c r="P993" t="s">
        <v>33</v>
      </c>
      <c r="Q993" s="1">
        <f t="shared" si="513"/>
        <v>0.5</v>
      </c>
      <c r="R993" t="s">
        <v>183</v>
      </c>
      <c r="S993" t="s">
        <v>613</v>
      </c>
      <c r="T993">
        <v>6</v>
      </c>
      <c r="U993">
        <v>2.92</v>
      </c>
      <c r="V993">
        <v>2.2999999999999998</v>
      </c>
      <c r="W993" t="s">
        <v>33</v>
      </c>
      <c r="X993">
        <f t="shared" ref="X993:X1000" si="515">IFERROR(((PI())*(((V993*10^-1)/2)^2)*(U993*10^-1)), "NA")</f>
        <v>1.2131888350367701E-2</v>
      </c>
      <c r="Y993">
        <v>1.4</v>
      </c>
      <c r="Z993" s="3">
        <f t="shared" si="511"/>
        <v>2.4263776700735401E-2</v>
      </c>
      <c r="AA993" t="s">
        <v>33</v>
      </c>
      <c r="AB993">
        <f t="shared" si="514"/>
        <v>50</v>
      </c>
      <c r="AC993" s="1" t="str">
        <f t="shared" si="509"/>
        <v>NA</v>
      </c>
      <c r="AE993" s="3">
        <f t="shared" si="510"/>
        <v>3348</v>
      </c>
      <c r="AF993">
        <v>600</v>
      </c>
      <c r="AG993" s="1" t="str">
        <f>IFERROR((N993*P993*Q993), "NA")</f>
        <v>NA</v>
      </c>
      <c r="AH993" s="1" t="str">
        <f>IFERROR((AG993*U993*AI993), "NA")</f>
        <v>NA</v>
      </c>
      <c r="AI993" s="1">
        <v>1</v>
      </c>
      <c r="AJ993" s="11" t="s">
        <v>31</v>
      </c>
      <c r="AK993">
        <v>6200</v>
      </c>
      <c r="AL993" t="s">
        <v>561</v>
      </c>
      <c r="AM993" s="3" t="s">
        <v>786</v>
      </c>
      <c r="AN993" t="s">
        <v>186</v>
      </c>
      <c r="AO993" t="s">
        <v>793</v>
      </c>
      <c r="AP993">
        <v>7.6</v>
      </c>
      <c r="AQ993" t="s">
        <v>33</v>
      </c>
      <c r="AR993" t="s">
        <v>33</v>
      </c>
      <c r="AS993">
        <v>8</v>
      </c>
      <c r="AT993">
        <f>AS993-AU993</f>
        <v>5.3900000000000006</v>
      </c>
      <c r="AU993" s="6">
        <v>2.61</v>
      </c>
      <c r="AV993" t="b">
        <v>1</v>
      </c>
      <c r="AW993" t="s">
        <v>626</v>
      </c>
      <c r="AX993" t="s">
        <v>627</v>
      </c>
      <c r="AY993" t="s">
        <v>622</v>
      </c>
      <c r="AZ993" t="s">
        <v>33</v>
      </c>
      <c r="BA993" s="18" t="s">
        <v>800</v>
      </c>
      <c r="BB993" s="3" t="b">
        <v>0</v>
      </c>
      <c r="BC993" t="s">
        <v>81</v>
      </c>
      <c r="BD993">
        <v>13</v>
      </c>
      <c r="BE993" t="s">
        <v>80</v>
      </c>
      <c r="BF993">
        <v>48</v>
      </c>
      <c r="BG993" t="s">
        <v>568</v>
      </c>
      <c r="BH993" t="s">
        <v>31</v>
      </c>
      <c r="BI993" t="s">
        <v>31</v>
      </c>
      <c r="BJ993">
        <f t="shared" si="512"/>
        <v>2.61</v>
      </c>
      <c r="BK993" s="3">
        <f t="shared" si="487"/>
        <v>0.41664050733828095</v>
      </c>
      <c r="BL993">
        <v>2</v>
      </c>
      <c r="BM993" s="3">
        <f t="shared" si="504"/>
        <v>3.1081449419829417</v>
      </c>
      <c r="BN993" t="s">
        <v>33</v>
      </c>
      <c r="BO993" s="3">
        <f t="shared" si="500"/>
        <v>1282.7586206896553</v>
      </c>
      <c r="BP993" t="s">
        <v>33</v>
      </c>
      <c r="BQ993" t="s">
        <v>33</v>
      </c>
      <c r="BR993" t="s">
        <v>33</v>
      </c>
      <c r="BS993" t="s">
        <v>33</v>
      </c>
      <c r="BT993" t="s">
        <v>31</v>
      </c>
      <c r="BU993" t="s">
        <v>344</v>
      </c>
      <c r="BV993">
        <v>2007</v>
      </c>
      <c r="BW993" t="s">
        <v>345</v>
      </c>
      <c r="BX993" t="s">
        <v>78</v>
      </c>
      <c r="BY993" s="13" t="s">
        <v>676</v>
      </c>
      <c r="CA993" t="str">
        <f t="shared" si="501"/>
        <v>low acid</v>
      </c>
    </row>
    <row r="994" spans="1:79">
      <c r="A994" t="s">
        <v>144</v>
      </c>
      <c r="B994" t="s">
        <v>565</v>
      </c>
      <c r="C994" t="s">
        <v>563</v>
      </c>
      <c r="D994" t="s">
        <v>118</v>
      </c>
      <c r="E994" t="s">
        <v>77</v>
      </c>
      <c r="F994" t="s">
        <v>32</v>
      </c>
      <c r="G994">
        <v>10</v>
      </c>
      <c r="H994" t="s">
        <v>33</v>
      </c>
      <c r="I994" t="b">
        <v>0</v>
      </c>
      <c r="J994" t="s">
        <v>33</v>
      </c>
      <c r="K994" t="s">
        <v>33</v>
      </c>
      <c r="L994">
        <v>17</v>
      </c>
      <c r="M994" s="4">
        <v>500</v>
      </c>
      <c r="N994" s="3">
        <f>IFERROR(AF994/((T994*X994/Y994)*O994*AI994),"NA")</f>
        <v>403.45211511753826</v>
      </c>
      <c r="O994">
        <v>3</v>
      </c>
      <c r="P994" t="s">
        <v>33</v>
      </c>
      <c r="Q994" s="8">
        <f t="shared" si="513"/>
        <v>1.1666666666666667E-2</v>
      </c>
      <c r="R994" t="s">
        <v>183</v>
      </c>
      <c r="S994" t="s">
        <v>613</v>
      </c>
      <c r="T994" s="11">
        <v>6</v>
      </c>
      <c r="U994">
        <v>2.9</v>
      </c>
      <c r="V994">
        <v>2.2999999999999998</v>
      </c>
      <c r="W994" t="s">
        <v>33</v>
      </c>
      <c r="X994">
        <f t="shared" si="515"/>
        <v>1.204879322468025E-2</v>
      </c>
      <c r="Y994" s="8">
        <f>50/60</f>
        <v>0.83333333333333337</v>
      </c>
      <c r="Z994" s="9">
        <f t="shared" si="511"/>
        <v>1.0327537049725928</v>
      </c>
      <c r="AA994" t="s">
        <v>33</v>
      </c>
      <c r="AB994" s="6">
        <f t="shared" si="514"/>
        <v>5.8333333333333339</v>
      </c>
      <c r="AC994" t="str">
        <f t="shared" si="509"/>
        <v>NA</v>
      </c>
      <c r="AD994" s="4">
        <f>IFERROR(AB994*T994*AI994, "NA")</f>
        <v>35</v>
      </c>
      <c r="AE994" s="3">
        <f t="shared" si="510"/>
        <v>110.45579999999998</v>
      </c>
      <c r="AF994">
        <v>105</v>
      </c>
      <c r="AG994" t="str">
        <f>IFERROR((M994*O994*P994), "NA")</f>
        <v>NA</v>
      </c>
      <c r="AH994" t="str">
        <f>IFERROR((AG994*T994*AI994), "NA")</f>
        <v>NA</v>
      </c>
      <c r="AI994" s="11">
        <v>1</v>
      </c>
      <c r="AJ994" t="s">
        <v>31</v>
      </c>
      <c r="AK994">
        <v>3640</v>
      </c>
      <c r="AL994" t="s">
        <v>145</v>
      </c>
      <c r="AM994" t="s">
        <v>86</v>
      </c>
      <c r="AN994" t="s">
        <v>205</v>
      </c>
      <c r="AO994" t="s">
        <v>789</v>
      </c>
      <c r="AP994">
        <v>3.19</v>
      </c>
      <c r="AQ994" t="s">
        <v>33</v>
      </c>
      <c r="AR994" t="s">
        <v>33</v>
      </c>
      <c r="AS994" s="3">
        <v>6.0609999999999999</v>
      </c>
      <c r="AT994" s="3">
        <f>IFERROR(AS994-AU994,"NA")</f>
        <v>5.391</v>
      </c>
      <c r="AU994" s="6">
        <f>0.67</f>
        <v>0.67</v>
      </c>
      <c r="AV994" t="b">
        <v>1</v>
      </c>
      <c r="AW994" t="s">
        <v>92</v>
      </c>
      <c r="AX994" t="s">
        <v>93</v>
      </c>
      <c r="AY994" t="s">
        <v>137</v>
      </c>
      <c r="AZ994" t="s">
        <v>33</v>
      </c>
      <c r="BA994" s="18" t="s">
        <v>801</v>
      </c>
      <c r="BB994" t="b">
        <v>0</v>
      </c>
      <c r="BC994" t="s">
        <v>81</v>
      </c>
      <c r="BD994">
        <f>(48+24)/2</f>
        <v>36</v>
      </c>
      <c r="BE994" t="s">
        <v>80</v>
      </c>
      <c r="BF994" s="11">
        <f>(48+24)/2</f>
        <v>36</v>
      </c>
      <c r="BG994" t="s">
        <v>139</v>
      </c>
      <c r="BH994" t="s">
        <v>31</v>
      </c>
      <c r="BI994" t="s">
        <v>31</v>
      </c>
      <c r="BJ994">
        <f t="shared" si="512"/>
        <v>0.67</v>
      </c>
      <c r="BK994" s="3">
        <f t="shared" si="487"/>
        <v>-0.17392519729917355</v>
      </c>
      <c r="BL994">
        <v>2</v>
      </c>
      <c r="BM994" s="3">
        <f>LOG(BO994)</f>
        <v>2.2171137227747155</v>
      </c>
      <c r="BN994" t="s">
        <v>33</v>
      </c>
      <c r="BO994" s="3">
        <f t="shared" si="500"/>
        <v>164.85940298507458</v>
      </c>
      <c r="BP994" t="s">
        <v>33</v>
      </c>
      <c r="BQ994" t="s">
        <v>33</v>
      </c>
      <c r="BR994" t="s">
        <v>33</v>
      </c>
      <c r="BS994" t="s">
        <v>33</v>
      </c>
      <c r="BT994" t="s">
        <v>31</v>
      </c>
      <c r="BU994" t="s">
        <v>135</v>
      </c>
      <c r="BV994">
        <v>2010</v>
      </c>
      <c r="BW994" t="s">
        <v>140</v>
      </c>
      <c r="BX994" t="s">
        <v>78</v>
      </c>
      <c r="BY994" t="s">
        <v>33</v>
      </c>
      <c r="BZ994" t="s">
        <v>148</v>
      </c>
      <c r="CA994" t="str">
        <f t="shared" si="501"/>
        <v>high acid</v>
      </c>
    </row>
    <row r="995" spans="1:79">
      <c r="A995" t="s">
        <v>225</v>
      </c>
      <c r="B995" t="s">
        <v>565</v>
      </c>
      <c r="C995" t="s">
        <v>563</v>
      </c>
      <c r="D995" t="s">
        <v>33</v>
      </c>
      <c r="E995" t="s">
        <v>77</v>
      </c>
      <c r="F995" t="s">
        <v>32</v>
      </c>
      <c r="G995">
        <v>30</v>
      </c>
      <c r="H995">
        <v>61</v>
      </c>
      <c r="I995" t="b">
        <v>1</v>
      </c>
      <c r="J995" t="s">
        <v>33</v>
      </c>
      <c r="K995" t="s">
        <v>33</v>
      </c>
      <c r="L995">
        <v>25</v>
      </c>
      <c r="M995" s="4">
        <v>500</v>
      </c>
      <c r="N995" s="3">
        <f>IFERROR(AF995/((T995*X995/Y995)*O995*AI995),"NA")</f>
        <v>521.04864189465479</v>
      </c>
      <c r="O995">
        <v>2</v>
      </c>
      <c r="P995" t="s">
        <v>33</v>
      </c>
      <c r="Q995" s="8">
        <f t="shared" si="513"/>
        <v>1.3333333333333332E-2</v>
      </c>
      <c r="R995" t="s">
        <v>183</v>
      </c>
      <c r="S995" t="s">
        <v>613</v>
      </c>
      <c r="T995" s="11">
        <v>6</v>
      </c>
      <c r="U995">
        <v>2.2999999999999998</v>
      </c>
      <c r="V995">
        <v>2.2000000000000002</v>
      </c>
      <c r="W995" t="s">
        <v>33</v>
      </c>
      <c r="X995" s="8">
        <f t="shared" si="515"/>
        <v>8.7430523549403959E-3</v>
      </c>
      <c r="Y995" s="6">
        <f>41/60</f>
        <v>0.68333333333333335</v>
      </c>
      <c r="Z995" s="3">
        <f t="shared" si="511"/>
        <v>0.65572892662052973</v>
      </c>
      <c r="AA995" s="3">
        <f>40/6</f>
        <v>6.666666666666667</v>
      </c>
      <c r="AB995" s="6">
        <f t="shared" si="514"/>
        <v>6.6666666666666661</v>
      </c>
      <c r="AC995" t="str">
        <f t="shared" si="509"/>
        <v>NA</v>
      </c>
      <c r="AD995" s="4">
        <f>AB995*T995*AI995</f>
        <v>40</v>
      </c>
      <c r="AE995" s="3">
        <f t="shared" si="510"/>
        <v>199.99999999999997</v>
      </c>
      <c r="AF995">
        <v>80</v>
      </c>
      <c r="AG995" t="str">
        <f>IFERROR((M995*O995*P995), "NA")</f>
        <v>NA</v>
      </c>
      <c r="AH995" t="str">
        <f>IFERROR((AG995*T995*AI995), "NA")</f>
        <v>NA</v>
      </c>
      <c r="AI995" s="11">
        <v>1</v>
      </c>
      <c r="AJ995" t="s">
        <v>31</v>
      </c>
      <c r="AK995">
        <v>4000</v>
      </c>
      <c r="AL995" t="s">
        <v>546</v>
      </c>
      <c r="AM995" t="s">
        <v>103</v>
      </c>
      <c r="AN995" t="s">
        <v>130</v>
      </c>
      <c r="AO995" t="s">
        <v>795</v>
      </c>
      <c r="AP995">
        <v>5</v>
      </c>
      <c r="AQ995" t="s">
        <v>33</v>
      </c>
      <c r="AR995" t="s">
        <v>33</v>
      </c>
      <c r="AS995" s="6">
        <v>8.1</v>
      </c>
      <c r="AT995" s="3">
        <f>IFERROR(AS995-AU995,"NA")</f>
        <v>5.3999999999999995</v>
      </c>
      <c r="AU995" s="6">
        <v>2.7</v>
      </c>
      <c r="AV995" t="b">
        <v>1</v>
      </c>
      <c r="AW995" t="s">
        <v>29</v>
      </c>
      <c r="AX995" t="s">
        <v>30</v>
      </c>
      <c r="AY995" t="s">
        <v>226</v>
      </c>
      <c r="AZ995" t="s">
        <v>33</v>
      </c>
      <c r="BA995" s="18" t="s">
        <v>798</v>
      </c>
      <c r="BB995" t="b">
        <v>0</v>
      </c>
      <c r="BC995" t="s">
        <v>81</v>
      </c>
      <c r="BD995">
        <v>14</v>
      </c>
      <c r="BE995" t="s">
        <v>80</v>
      </c>
      <c r="BF995" s="11">
        <v>120</v>
      </c>
      <c r="BG995" t="s">
        <v>139</v>
      </c>
      <c r="BH995" t="s">
        <v>31</v>
      </c>
      <c r="BI995" t="s">
        <v>31</v>
      </c>
      <c r="BJ995" s="3">
        <f t="shared" si="512"/>
        <v>2.7</v>
      </c>
      <c r="BK995" s="3">
        <f t="shared" si="487"/>
        <v>0.43136376415898736</v>
      </c>
      <c r="BL995">
        <v>2</v>
      </c>
      <c r="BM995" s="3">
        <f t="shared" ref="BM995:BM1023" si="516">IFERROR(LOG(BO995),"NA")</f>
        <v>1.8696662315049939</v>
      </c>
      <c r="BN995" t="s">
        <v>33</v>
      </c>
      <c r="BO995" s="3">
        <f t="shared" si="500"/>
        <v>74.074074074074062</v>
      </c>
      <c r="BP995" t="s">
        <v>33</v>
      </c>
      <c r="BQ995" t="s">
        <v>33</v>
      </c>
      <c r="BR995" t="s">
        <v>33</v>
      </c>
      <c r="BS995" t="s">
        <v>33</v>
      </c>
      <c r="BT995" t="s">
        <v>31</v>
      </c>
      <c r="BU995" t="s">
        <v>227</v>
      </c>
      <c r="BV995">
        <v>2001</v>
      </c>
      <c r="BW995" t="s">
        <v>228</v>
      </c>
      <c r="BX995" t="s">
        <v>78</v>
      </c>
      <c r="BY995" t="s">
        <v>33</v>
      </c>
      <c r="BZ995" t="s">
        <v>33</v>
      </c>
      <c r="CA995" t="str">
        <f t="shared" si="501"/>
        <v>low acid</v>
      </c>
    </row>
    <row r="996" spans="1:79">
      <c r="A996" t="s">
        <v>451</v>
      </c>
      <c r="B996" t="s">
        <v>565</v>
      </c>
      <c r="C996" t="s">
        <v>563</v>
      </c>
      <c r="D996" t="s">
        <v>182</v>
      </c>
      <c r="E996" t="s">
        <v>77</v>
      </c>
      <c r="F996" t="s">
        <v>32</v>
      </c>
      <c r="G996">
        <v>18</v>
      </c>
      <c r="H996">
        <v>48</v>
      </c>
      <c r="I996" t="b">
        <v>1</v>
      </c>
      <c r="J996" t="s">
        <v>33</v>
      </c>
      <c r="K996" t="s">
        <v>33</v>
      </c>
      <c r="L996">
        <v>22</v>
      </c>
      <c r="M996" s="4" t="s">
        <v>33</v>
      </c>
      <c r="N996" s="3">
        <f>IFERROR(AF996/((T996*X996/Y996)*O996*AI996),"NA")</f>
        <v>330.20830099655922</v>
      </c>
      <c r="O996">
        <v>10</v>
      </c>
      <c r="P996">
        <f>0.047/2</f>
        <v>2.35E-2</v>
      </c>
      <c r="Q996" s="8">
        <f t="shared" si="513"/>
        <v>2.3318614270936316E-2</v>
      </c>
      <c r="R996" t="s">
        <v>183</v>
      </c>
      <c r="S996" t="s">
        <v>613</v>
      </c>
      <c r="T996" s="11">
        <v>2</v>
      </c>
      <c r="U996">
        <v>5.6</v>
      </c>
      <c r="V996">
        <v>4.5</v>
      </c>
      <c r="W996" t="s">
        <v>33</v>
      </c>
      <c r="X996" s="9">
        <f t="shared" si="515"/>
        <v>8.9064151729270638E-2</v>
      </c>
      <c r="Y996" s="6">
        <f>13750/3600</f>
        <v>3.8194444444444446</v>
      </c>
      <c r="Z996" s="3">
        <f>IFERROR(X996*N996*O996*T996*AI996/AF996, "NA")</f>
        <v>3.8194444444444438</v>
      </c>
      <c r="AA996" t="s">
        <v>33</v>
      </c>
      <c r="AB996" s="4">
        <f>IFERROR(((X996*N996)/Y996), "NA")</f>
        <v>7.6999999999999984</v>
      </c>
      <c r="AC996" s="4">
        <f>IFERROR(N996*P996,"NA")</f>
        <v>7.7598950734191412</v>
      </c>
      <c r="AD996" s="4">
        <f>IFERROR(AB996*T996*AI996, "NA")</f>
        <v>15.399999999999997</v>
      </c>
      <c r="AE996" s="3">
        <f>IFERROR(((L996^2)*N996*O996*AK996*10^-6*Q996*T996*AI996), "NA")</f>
        <v>171.43280000000001</v>
      </c>
      <c r="AF996">
        <v>154</v>
      </c>
      <c r="AG996" s="4">
        <f>IFERROR((N996*O996*P996), "NA")</f>
        <v>77.598950734191419</v>
      </c>
      <c r="AH996" s="4">
        <f>IFERROR((AG996*T996*AI996), "NA")</f>
        <v>155.19790146838284</v>
      </c>
      <c r="AI996" s="11">
        <v>1</v>
      </c>
      <c r="AJ996" t="s">
        <v>31</v>
      </c>
      <c r="AK996">
        <v>2300</v>
      </c>
      <c r="AL996" t="s">
        <v>805</v>
      </c>
      <c r="AM996" t="s">
        <v>515</v>
      </c>
      <c r="AN996" t="s">
        <v>205</v>
      </c>
      <c r="AO996" t="s">
        <v>788</v>
      </c>
      <c r="AP996">
        <v>3.68</v>
      </c>
      <c r="AQ996" t="s">
        <v>33</v>
      </c>
      <c r="AR996" t="s">
        <v>33</v>
      </c>
      <c r="AS996">
        <f>LOG(10^8)</f>
        <v>8</v>
      </c>
      <c r="AT996" s="3">
        <f>IFERROR(AS996-AU996,"NA")</f>
        <v>5.4</v>
      </c>
      <c r="AU996" s="6">
        <v>2.6</v>
      </c>
      <c r="AV996" t="b">
        <v>1</v>
      </c>
      <c r="AW996" t="s">
        <v>123</v>
      </c>
      <c r="AX996" t="s">
        <v>462</v>
      </c>
      <c r="AY996" t="s">
        <v>520</v>
      </c>
      <c r="AZ996" t="s">
        <v>33</v>
      </c>
      <c r="BA996" s="18" t="s">
        <v>579</v>
      </c>
      <c r="BB996" t="b">
        <v>1</v>
      </c>
      <c r="BC996" t="s">
        <v>81</v>
      </c>
      <c r="BD996" t="s">
        <v>33</v>
      </c>
      <c r="BE996" t="s">
        <v>80</v>
      </c>
      <c r="BF996" t="s">
        <v>33</v>
      </c>
      <c r="BG996" t="s">
        <v>395</v>
      </c>
      <c r="BH996" t="s">
        <v>31</v>
      </c>
      <c r="BI996" t="s">
        <v>31</v>
      </c>
      <c r="BJ996" s="3">
        <f t="shared" si="512"/>
        <v>2.6</v>
      </c>
      <c r="BK996" s="3">
        <f t="shared" si="487"/>
        <v>0.41497334797081797</v>
      </c>
      <c r="BL996">
        <v>2</v>
      </c>
      <c r="BM996" s="3">
        <f t="shared" si="516"/>
        <v>1.8191205705276505</v>
      </c>
      <c r="BN996" t="s">
        <v>33</v>
      </c>
      <c r="BO996" s="3">
        <f t="shared" si="500"/>
        <v>65.935692307692307</v>
      </c>
      <c r="BP996" t="s">
        <v>33</v>
      </c>
      <c r="BQ996" t="s">
        <v>33</v>
      </c>
      <c r="BR996" t="s">
        <v>33</v>
      </c>
      <c r="BS996" t="s">
        <v>33</v>
      </c>
      <c r="BT996" t="s">
        <v>32</v>
      </c>
      <c r="BU996" t="s">
        <v>484</v>
      </c>
      <c r="BV996">
        <v>2015</v>
      </c>
      <c r="BW996" t="s">
        <v>485</v>
      </c>
      <c r="BX996" t="s">
        <v>78</v>
      </c>
      <c r="BY996" t="s">
        <v>486</v>
      </c>
      <c r="BZ996" t="s">
        <v>780</v>
      </c>
      <c r="CA996" t="str">
        <f t="shared" si="501"/>
        <v>high acid</v>
      </c>
    </row>
    <row r="997" spans="1:79">
      <c r="A997" t="s">
        <v>591</v>
      </c>
      <c r="B997" t="s">
        <v>565</v>
      </c>
      <c r="C997" t="s">
        <v>563</v>
      </c>
      <c r="D997" t="s">
        <v>118</v>
      </c>
      <c r="E997" t="s">
        <v>77</v>
      </c>
      <c r="F997" t="s">
        <v>32</v>
      </c>
      <c r="G997">
        <f>AVERAGE(8.5,12.5)</f>
        <v>10.5</v>
      </c>
      <c r="H997">
        <v>15</v>
      </c>
      <c r="I997" t="b">
        <v>1</v>
      </c>
      <c r="J997" t="s">
        <v>33</v>
      </c>
      <c r="K997" t="s">
        <v>33</v>
      </c>
      <c r="L997">
        <v>31</v>
      </c>
      <c r="M997" s="4">
        <v>200</v>
      </c>
      <c r="N997" t="e">
        <f>(#REF!*Y997)/(T997*X997*O997)</f>
        <v>#REF!</v>
      </c>
      <c r="O997">
        <v>2</v>
      </c>
      <c r="P997" t="s">
        <v>33</v>
      </c>
      <c r="Q997" s="1">
        <f t="shared" si="513"/>
        <v>1.2250000000000002E-2</v>
      </c>
      <c r="R997" t="s">
        <v>183</v>
      </c>
      <c r="S997" t="s">
        <v>612</v>
      </c>
      <c r="T997">
        <v>4</v>
      </c>
      <c r="U997">
        <v>2.9</v>
      </c>
      <c r="V997">
        <v>2.2999999999999998</v>
      </c>
      <c r="W997">
        <v>1.21E-2</v>
      </c>
      <c r="X997">
        <f t="shared" si="515"/>
        <v>1.204879322468025E-2</v>
      </c>
      <c r="Y997">
        <v>1</v>
      </c>
      <c r="Z997" s="3">
        <f t="shared" ref="Z997:Z1011" si="517">IFERROR(X997*M997*O997*T997*AI997/AF997, "NA")</f>
        <v>0.98357495711675502</v>
      </c>
      <c r="AA997" t="s">
        <v>33</v>
      </c>
      <c r="AB997">
        <f t="shared" ref="AB997:AB1006" si="518">IFERROR(((X997*M997)/Z997), "NA")</f>
        <v>2.4500000000000002</v>
      </c>
      <c r="AC997" s="1" t="str">
        <f t="shared" ref="AC997:AC1014" si="519">IFERROR(M997*P997,"NA")</f>
        <v>NA</v>
      </c>
      <c r="AE997" s="3">
        <f t="shared" ref="AE997:AE1014" si="520">IFERROR(((L997^2)*M997*O997*AK997*10^-6*Q997*T997*AI997), "NA")</f>
        <v>83.624413320000016</v>
      </c>
      <c r="AF997">
        <v>19.600000000000001</v>
      </c>
      <c r="AG997" s="1" t="str">
        <f>IFERROR((N997*P997*Q997), "NA")</f>
        <v>NA</v>
      </c>
      <c r="AH997" s="1" t="str">
        <f>IFERROR((AG997*U997*AI997), "NA")</f>
        <v>NA</v>
      </c>
      <c r="AI997" s="1">
        <v>1</v>
      </c>
      <c r="AJ997" s="11" t="s">
        <v>31</v>
      </c>
      <c r="AK997">
        <v>4439.7</v>
      </c>
      <c r="AL997" t="s">
        <v>156</v>
      </c>
      <c r="AM997" t="s">
        <v>157</v>
      </c>
      <c r="AN997" t="s">
        <v>186</v>
      </c>
      <c r="AO997" t="s">
        <v>792</v>
      </c>
      <c r="AP997">
        <v>6.66</v>
      </c>
      <c r="AQ997" t="s">
        <v>33</v>
      </c>
      <c r="AR997" t="s">
        <v>33</v>
      </c>
      <c r="AS997">
        <v>6</v>
      </c>
      <c r="AT997">
        <v>5.4</v>
      </c>
      <c r="AU997" s="6">
        <f>AS997-AT997</f>
        <v>0.59999999999999964</v>
      </c>
      <c r="AV997" t="b">
        <v>1</v>
      </c>
      <c r="AW997" t="s">
        <v>632</v>
      </c>
      <c r="AX997" t="s">
        <v>33</v>
      </c>
      <c r="AY997" t="s">
        <v>33</v>
      </c>
      <c r="AZ997" t="s">
        <v>33</v>
      </c>
      <c r="BA997" s="18" t="s">
        <v>803</v>
      </c>
      <c r="BB997" s="3" t="b">
        <v>0</v>
      </c>
      <c r="BC997" t="s">
        <v>81</v>
      </c>
      <c r="BD997">
        <v>48</v>
      </c>
      <c r="BE997" t="s">
        <v>80</v>
      </c>
      <c r="BF997">
        <v>48</v>
      </c>
      <c r="BG997" t="s">
        <v>645</v>
      </c>
      <c r="BH997" t="s">
        <v>31</v>
      </c>
      <c r="BI997" t="s">
        <v>32</v>
      </c>
      <c r="BJ997">
        <f t="shared" si="512"/>
        <v>0.59999999999999964</v>
      </c>
      <c r="BK997" s="3">
        <f t="shared" si="487"/>
        <v>-0.22184874961635662</v>
      </c>
      <c r="BL997">
        <v>2</v>
      </c>
      <c r="BM997" s="3">
        <f t="shared" si="516"/>
        <v>2.1441818335428442</v>
      </c>
      <c r="BN997" t="s">
        <v>33</v>
      </c>
      <c r="BO997" s="3">
        <f t="shared" si="500"/>
        <v>139.3740222000001</v>
      </c>
      <c r="BP997" t="s">
        <v>33</v>
      </c>
      <c r="BQ997" t="s">
        <v>33</v>
      </c>
      <c r="BR997" t="s">
        <v>33</v>
      </c>
      <c r="BS997" t="s">
        <v>33</v>
      </c>
      <c r="BT997" t="s">
        <v>32</v>
      </c>
      <c r="BU997" s="15" t="s">
        <v>657</v>
      </c>
      <c r="BV997">
        <v>2008</v>
      </c>
      <c r="BW997" t="s">
        <v>658</v>
      </c>
      <c r="BX997" t="s">
        <v>78</v>
      </c>
      <c r="BY997" s="13" t="s">
        <v>679</v>
      </c>
      <c r="CA997" t="str">
        <f t="shared" si="501"/>
        <v>low acid</v>
      </c>
    </row>
    <row r="998" spans="1:79">
      <c r="A998" t="s">
        <v>605</v>
      </c>
      <c r="B998" t="s">
        <v>565</v>
      </c>
      <c r="C998" t="s">
        <v>563</v>
      </c>
      <c r="D998" t="s">
        <v>118</v>
      </c>
      <c r="E998" t="s">
        <v>77</v>
      </c>
      <c r="F998" t="s">
        <v>33</v>
      </c>
      <c r="G998" t="s">
        <v>33</v>
      </c>
      <c r="H998" t="s">
        <v>33</v>
      </c>
      <c r="I998" t="b">
        <v>0</v>
      </c>
      <c r="J998" t="s">
        <v>33</v>
      </c>
      <c r="K998" t="s">
        <v>33</v>
      </c>
      <c r="L998">
        <v>17</v>
      </c>
      <c r="M998" s="4">
        <v>500</v>
      </c>
      <c r="N998" t="e">
        <f>(#REF!*Y998)/(T998*X998*O998)</f>
        <v>#REF!</v>
      </c>
      <c r="O998">
        <v>3</v>
      </c>
      <c r="P998" t="s">
        <v>33</v>
      </c>
      <c r="Q998" s="1">
        <f t="shared" si="513"/>
        <v>1.4555555555555556E-2</v>
      </c>
      <c r="R998" t="s">
        <v>183</v>
      </c>
      <c r="S998" t="s">
        <v>613</v>
      </c>
      <c r="T998">
        <v>6</v>
      </c>
      <c r="U998">
        <v>2.9</v>
      </c>
      <c r="V998">
        <v>2.2999999999999998</v>
      </c>
      <c r="W998" t="s">
        <v>33</v>
      </c>
      <c r="X998">
        <f t="shared" si="515"/>
        <v>1.204879322468025E-2</v>
      </c>
      <c r="Y998">
        <v>0.83333299999999999</v>
      </c>
      <c r="Z998" s="3">
        <f t="shared" si="517"/>
        <v>0.82777968719177286</v>
      </c>
      <c r="AA998" t="s">
        <v>33</v>
      </c>
      <c r="AB998">
        <f t="shared" si="518"/>
        <v>7.2777777777777786</v>
      </c>
      <c r="AC998" s="1" t="str">
        <f t="shared" si="519"/>
        <v>NA</v>
      </c>
      <c r="AE998" s="3">
        <f t="shared" si="520"/>
        <v>44.295029999999997</v>
      </c>
      <c r="AF998">
        <v>131</v>
      </c>
      <c r="AG998" s="1" t="str">
        <f>IFERROR((N998*P998*Q998), "NA")</f>
        <v>NA</v>
      </c>
      <c r="AH998" s="1" t="str">
        <f>IFERROR((AG998*U998*AI998), "NA")</f>
        <v>NA</v>
      </c>
      <c r="AI998" s="1">
        <v>1</v>
      </c>
      <c r="AJ998" s="11" t="s">
        <v>31</v>
      </c>
      <c r="AK998">
        <f>1.17*10^3</f>
        <v>1170</v>
      </c>
      <c r="AL998" t="s">
        <v>138</v>
      </c>
      <c r="AM998" t="s">
        <v>86</v>
      </c>
      <c r="AN998" t="s">
        <v>205</v>
      </c>
      <c r="AO998" t="s">
        <v>789</v>
      </c>
      <c r="AP998">
        <v>3.85</v>
      </c>
      <c r="AQ998" t="s">
        <v>33</v>
      </c>
      <c r="AR998" t="s">
        <v>33</v>
      </c>
      <c r="AS998">
        <v>7.52</v>
      </c>
      <c r="AT998">
        <v>5.4</v>
      </c>
      <c r="AU998" s="6">
        <f>AS998-AT998</f>
        <v>2.1199999999999992</v>
      </c>
      <c r="AV998" t="b">
        <v>1</v>
      </c>
      <c r="AW998" t="s">
        <v>626</v>
      </c>
      <c r="AX998" t="s">
        <v>627</v>
      </c>
      <c r="AY998">
        <v>95047</v>
      </c>
      <c r="AZ998" t="s">
        <v>33</v>
      </c>
      <c r="BA998" s="18" t="s">
        <v>800</v>
      </c>
      <c r="BB998" s="3" t="b">
        <v>0</v>
      </c>
      <c r="BC998" t="s">
        <v>81</v>
      </c>
      <c r="BD998">
        <f>AVERAGE(24,48)</f>
        <v>36</v>
      </c>
      <c r="BE998" t="s">
        <v>80</v>
      </c>
      <c r="BF998">
        <v>48</v>
      </c>
      <c r="BG998" t="s">
        <v>647</v>
      </c>
      <c r="BH998" t="s">
        <v>31</v>
      </c>
      <c r="BI998" t="s">
        <v>31</v>
      </c>
      <c r="BJ998" s="3">
        <f t="shared" si="512"/>
        <v>2.1199999999999992</v>
      </c>
      <c r="BK998" s="3">
        <f t="shared" si="487"/>
        <v>0.32633586092875128</v>
      </c>
      <c r="BL998">
        <v>2</v>
      </c>
      <c r="BM998" s="3">
        <f t="shared" si="516"/>
        <v>1.3200191392297225</v>
      </c>
      <c r="BN998" t="s">
        <v>33</v>
      </c>
      <c r="BO998" s="3">
        <f t="shared" si="500"/>
        <v>20.893882075471705</v>
      </c>
      <c r="BP998" t="s">
        <v>33</v>
      </c>
      <c r="BQ998" t="s">
        <v>33</v>
      </c>
      <c r="BR998" t="s">
        <v>33</v>
      </c>
      <c r="BS998" t="s">
        <v>33</v>
      </c>
      <c r="BT998" t="s">
        <v>31</v>
      </c>
      <c r="BU998" s="13" t="s">
        <v>135</v>
      </c>
      <c r="BV998" s="14">
        <v>2009</v>
      </c>
      <c r="BW998" s="13" t="s">
        <v>136</v>
      </c>
      <c r="BX998" t="s">
        <v>78</v>
      </c>
      <c r="BY998" s="13" t="s">
        <v>692</v>
      </c>
      <c r="CA998" t="str">
        <f t="shared" si="501"/>
        <v>high acid</v>
      </c>
    </row>
    <row r="999" spans="1:79">
      <c r="A999" t="s">
        <v>232</v>
      </c>
      <c r="B999" t="s">
        <v>565</v>
      </c>
      <c r="C999" t="s">
        <v>563</v>
      </c>
      <c r="D999" t="s">
        <v>33</v>
      </c>
      <c r="E999" t="s">
        <v>77</v>
      </c>
      <c r="F999" t="s">
        <v>32</v>
      </c>
      <c r="G999">
        <v>30</v>
      </c>
      <c r="H999">
        <v>61</v>
      </c>
      <c r="I999" t="b">
        <v>1</v>
      </c>
      <c r="J999" t="s">
        <v>33</v>
      </c>
      <c r="K999" t="s">
        <v>33</v>
      </c>
      <c r="L999">
        <v>35</v>
      </c>
      <c r="M999" s="4">
        <v>250</v>
      </c>
      <c r="N999" s="3">
        <f>IFERROR(AF999/((T999*X999/Y999)*O999*AI999),"NA")</f>
        <v>260.5243209473274</v>
      </c>
      <c r="O999">
        <v>4</v>
      </c>
      <c r="P999" t="s">
        <v>33</v>
      </c>
      <c r="Q999" s="8">
        <f t="shared" si="513"/>
        <v>1.3333333333333332E-2</v>
      </c>
      <c r="R999" t="s">
        <v>183</v>
      </c>
      <c r="S999" t="s">
        <v>613</v>
      </c>
      <c r="T999" s="11">
        <v>6</v>
      </c>
      <c r="U999">
        <v>2.2999999999999998</v>
      </c>
      <c r="V999">
        <v>2.2000000000000002</v>
      </c>
      <c r="W999" t="s">
        <v>33</v>
      </c>
      <c r="X999" s="8">
        <f t="shared" si="515"/>
        <v>8.7430523549403959E-3</v>
      </c>
      <c r="Y999" s="6">
        <f>41/60</f>
        <v>0.68333333333333335</v>
      </c>
      <c r="Z999" s="3">
        <f t="shared" si="517"/>
        <v>0.65572892662052973</v>
      </c>
      <c r="AA999" s="3">
        <f>20/6</f>
        <v>3.3333333333333335</v>
      </c>
      <c r="AB999" s="6">
        <f t="shared" si="518"/>
        <v>3.333333333333333</v>
      </c>
      <c r="AC999" t="str">
        <f t="shared" si="519"/>
        <v>NA</v>
      </c>
      <c r="AD999" s="4">
        <f>AB999*T999*AI999</f>
        <v>20</v>
      </c>
      <c r="AE999" s="3">
        <f t="shared" si="520"/>
        <v>392</v>
      </c>
      <c r="AF999">
        <v>80</v>
      </c>
      <c r="AG999" t="str">
        <f>IFERROR((M999*O999*P999), "NA")</f>
        <v>NA</v>
      </c>
      <c r="AH999" t="str">
        <f>IFERROR((AG999*T999*AI999), "NA")</f>
        <v>NA</v>
      </c>
      <c r="AI999">
        <v>1</v>
      </c>
      <c r="AJ999" t="s">
        <v>31</v>
      </c>
      <c r="AK999">
        <v>4000</v>
      </c>
      <c r="AL999" t="s">
        <v>546</v>
      </c>
      <c r="AM999" t="s">
        <v>103</v>
      </c>
      <c r="AN999" t="s">
        <v>130</v>
      </c>
      <c r="AO999" t="s">
        <v>795</v>
      </c>
      <c r="AP999">
        <v>5</v>
      </c>
      <c r="AQ999" t="s">
        <v>33</v>
      </c>
      <c r="AR999" t="s">
        <v>33</v>
      </c>
      <c r="AS999" s="6">
        <v>8.3000000000000007</v>
      </c>
      <c r="AT999" s="3">
        <f>IFERROR(AS999-AU999,"NA")</f>
        <v>5.4</v>
      </c>
      <c r="AU999" s="6">
        <v>2.9</v>
      </c>
      <c r="AV999" t="b">
        <v>1</v>
      </c>
      <c r="AW999" t="s">
        <v>233</v>
      </c>
      <c r="AX999" t="s">
        <v>234</v>
      </c>
      <c r="AY999" t="s">
        <v>235</v>
      </c>
      <c r="AZ999" t="s">
        <v>33</v>
      </c>
      <c r="BA999" s="18" t="s">
        <v>579</v>
      </c>
      <c r="BB999" t="b">
        <v>1</v>
      </c>
      <c r="BC999" t="s">
        <v>81</v>
      </c>
      <c r="BD999">
        <v>17</v>
      </c>
      <c r="BE999" t="s">
        <v>80</v>
      </c>
      <c r="BF999" s="11">
        <v>120</v>
      </c>
      <c r="BG999" t="s">
        <v>395</v>
      </c>
      <c r="BH999" t="s">
        <v>31</v>
      </c>
      <c r="BI999" t="s">
        <v>32</v>
      </c>
      <c r="BJ999" s="3">
        <f t="shared" si="512"/>
        <v>2.9</v>
      </c>
      <c r="BK999" s="3">
        <f t="shared" si="487"/>
        <v>0.46239799789895608</v>
      </c>
      <c r="BL999">
        <v>2</v>
      </c>
      <c r="BM999" s="3">
        <f t="shared" si="516"/>
        <v>2.1308880691215011</v>
      </c>
      <c r="BN999" t="s">
        <v>33</v>
      </c>
      <c r="BO999" s="3">
        <f t="shared" si="500"/>
        <v>135.17241379310346</v>
      </c>
      <c r="BP999" t="s">
        <v>33</v>
      </c>
      <c r="BQ999" t="s">
        <v>33</v>
      </c>
      <c r="BR999" t="s">
        <v>33</v>
      </c>
      <c r="BS999" t="s">
        <v>33</v>
      </c>
      <c r="BT999" t="s">
        <v>31</v>
      </c>
      <c r="BU999" t="s">
        <v>227</v>
      </c>
      <c r="BV999">
        <v>2001</v>
      </c>
      <c r="BW999" t="s">
        <v>228</v>
      </c>
      <c r="BX999" t="s">
        <v>78</v>
      </c>
      <c r="BY999" t="s">
        <v>33</v>
      </c>
      <c r="BZ999" t="s">
        <v>33</v>
      </c>
      <c r="CA999" t="str">
        <f t="shared" si="501"/>
        <v>low acid</v>
      </c>
    </row>
    <row r="1000" spans="1:79">
      <c r="A1000" t="s">
        <v>383</v>
      </c>
      <c r="B1000" t="s">
        <v>565</v>
      </c>
      <c r="C1000" t="s">
        <v>563</v>
      </c>
      <c r="D1000" t="s">
        <v>378</v>
      </c>
      <c r="E1000" t="s">
        <v>77</v>
      </c>
      <c r="F1000" t="s">
        <v>32</v>
      </c>
      <c r="G1000">
        <v>30</v>
      </c>
      <c r="H1000">
        <v>35</v>
      </c>
      <c r="I1000" t="b">
        <v>1</v>
      </c>
      <c r="J1000">
        <v>6750</v>
      </c>
      <c r="K1000">
        <v>20</v>
      </c>
      <c r="L1000">
        <v>25</v>
      </c>
      <c r="M1000" s="4">
        <v>250</v>
      </c>
      <c r="N1000" s="3">
        <f>IFERROR(AF1000/((T1000*X1000/Y1000)*O1000*AI1000),"NA")</f>
        <v>251.11113243387931</v>
      </c>
      <c r="O1000">
        <v>2</v>
      </c>
      <c r="P1000" t="s">
        <v>33</v>
      </c>
      <c r="Q1000" s="8">
        <f t="shared" si="513"/>
        <v>1.4200000000000001E-2</v>
      </c>
      <c r="R1000" t="s">
        <v>183</v>
      </c>
      <c r="S1000" t="s">
        <v>612</v>
      </c>
      <c r="T1000" s="11">
        <v>6</v>
      </c>
      <c r="U1000">
        <v>2.7</v>
      </c>
      <c r="V1000">
        <v>2</v>
      </c>
      <c r="W1000">
        <v>8.5000000000000006E-3</v>
      </c>
      <c r="X1000" s="8">
        <f t="shared" si="515"/>
        <v>8.4823001646924419E-3</v>
      </c>
      <c r="Y1000">
        <f>36/60</f>
        <v>0.6</v>
      </c>
      <c r="Z1000" s="3">
        <f t="shared" si="517"/>
        <v>0.59734508202059444</v>
      </c>
      <c r="AA1000">
        <f>21.3/6</f>
        <v>3.5500000000000003</v>
      </c>
      <c r="AB1000" s="6">
        <f t="shared" si="518"/>
        <v>3.5500000000000003</v>
      </c>
      <c r="AC1000" t="str">
        <f t="shared" si="519"/>
        <v>NA</v>
      </c>
      <c r="AD1000" s="4">
        <f>IFERROR(AB1000*T1000*AI1000, "NA")</f>
        <v>21.3</v>
      </c>
      <c r="AE1000" s="3">
        <f t="shared" si="520"/>
        <v>106.5</v>
      </c>
      <c r="AF1000">
        <f>AA1000*O1000*T1000*AI1000</f>
        <v>42.6</v>
      </c>
      <c r="AG1000" t="str">
        <f>IFERROR((M1000*O1000*P1000), "NA")</f>
        <v>NA</v>
      </c>
      <c r="AH1000" t="str">
        <f>IFERROR((AG1000*T1000*AI1000), "NA")</f>
        <v>NA</v>
      </c>
      <c r="AI1000" s="1">
        <v>1</v>
      </c>
      <c r="AJ1000" t="s">
        <v>31</v>
      </c>
      <c r="AK1000">
        <v>4000</v>
      </c>
      <c r="AL1000" t="s">
        <v>545</v>
      </c>
      <c r="AM1000" t="s">
        <v>103</v>
      </c>
      <c r="AN1000" t="s">
        <v>130</v>
      </c>
      <c r="AO1000" t="s">
        <v>795</v>
      </c>
      <c r="AP1000">
        <v>7</v>
      </c>
      <c r="AQ1000" t="s">
        <v>33</v>
      </c>
      <c r="AR1000" t="s">
        <v>33</v>
      </c>
      <c r="AS1000" s="6">
        <f>LOG(10^8)</f>
        <v>8</v>
      </c>
      <c r="AT1000" s="3">
        <f>IFERROR(AS1000-AU1000,"NA")</f>
        <v>5.407</v>
      </c>
      <c r="AU1000" s="6">
        <v>2.593</v>
      </c>
      <c r="AV1000" t="b">
        <v>1</v>
      </c>
      <c r="AW1000" t="s">
        <v>29</v>
      </c>
      <c r="AX1000" t="s">
        <v>30</v>
      </c>
      <c r="AY1000" t="s">
        <v>226</v>
      </c>
      <c r="AZ1000" t="s">
        <v>33</v>
      </c>
      <c r="BA1000" s="18" t="s">
        <v>798</v>
      </c>
      <c r="BB1000" t="b">
        <v>0</v>
      </c>
      <c r="BC1000" t="s">
        <v>81</v>
      </c>
      <c r="BD1000">
        <v>14</v>
      </c>
      <c r="BE1000" t="s">
        <v>80</v>
      </c>
      <c r="BF1000" s="11">
        <v>48</v>
      </c>
      <c r="BG1000" t="s">
        <v>139</v>
      </c>
      <c r="BH1000" t="s">
        <v>31</v>
      </c>
      <c r="BI1000" t="s">
        <v>31</v>
      </c>
      <c r="BJ1000" s="3">
        <f t="shared" si="512"/>
        <v>2.593</v>
      </c>
      <c r="BK1000" s="3">
        <f t="shared" si="487"/>
        <v>0.41380251676935148</v>
      </c>
      <c r="BL1000">
        <v>2</v>
      </c>
      <c r="BM1000" s="3">
        <f t="shared" si="516"/>
        <v>1.6135470910054051</v>
      </c>
      <c r="BN1000" t="s">
        <v>33</v>
      </c>
      <c r="BO1000" s="3">
        <f t="shared" si="500"/>
        <v>41.072117238719628</v>
      </c>
      <c r="BP1000" t="s">
        <v>33</v>
      </c>
      <c r="BQ1000" t="s">
        <v>33</v>
      </c>
      <c r="BR1000" t="s">
        <v>33</v>
      </c>
      <c r="BS1000" t="s">
        <v>33</v>
      </c>
      <c r="BT1000" t="s">
        <v>32</v>
      </c>
      <c r="BU1000" t="s">
        <v>227</v>
      </c>
      <c r="BV1000">
        <v>2004</v>
      </c>
      <c r="BW1000" t="s">
        <v>382</v>
      </c>
      <c r="BX1000" t="s">
        <v>78</v>
      </c>
      <c r="BY1000" t="s">
        <v>33</v>
      </c>
      <c r="BZ1000" t="s">
        <v>33</v>
      </c>
      <c r="CA1000" t="str">
        <f t="shared" si="501"/>
        <v>low acid</v>
      </c>
    </row>
    <row r="1001" spans="1:79">
      <c r="A1001" t="s">
        <v>592</v>
      </c>
      <c r="B1001" t="s">
        <v>566</v>
      </c>
      <c r="C1001" t="s">
        <v>563</v>
      </c>
      <c r="D1001" t="s">
        <v>607</v>
      </c>
      <c r="E1001" t="s">
        <v>77</v>
      </c>
      <c r="F1001" t="s">
        <v>32</v>
      </c>
      <c r="G1001" t="s">
        <v>33</v>
      </c>
      <c r="H1001">
        <v>35</v>
      </c>
      <c r="I1001" t="b">
        <v>0</v>
      </c>
      <c r="J1001">
        <v>30000</v>
      </c>
      <c r="K1001">
        <v>200</v>
      </c>
      <c r="L1001">
        <v>25</v>
      </c>
      <c r="M1001" s="4">
        <v>1</v>
      </c>
      <c r="N1001" t="e">
        <f>(#REF!*Y1001)/(T1001*X1001*O1001)</f>
        <v>#REF!</v>
      </c>
      <c r="O1001">
        <v>3</v>
      </c>
      <c r="P1001" t="s">
        <v>33</v>
      </c>
      <c r="Q1001" s="1">
        <f t="shared" si="513"/>
        <v>50.693333333333342</v>
      </c>
      <c r="R1001" t="s">
        <v>183</v>
      </c>
      <c r="S1001" t="s">
        <v>33</v>
      </c>
      <c r="T1001">
        <v>1</v>
      </c>
      <c r="U1001">
        <v>2.5</v>
      </c>
      <c r="V1001" t="s">
        <v>33</v>
      </c>
      <c r="W1001">
        <v>0.50249999999999995</v>
      </c>
      <c r="X1001">
        <f>W1001</f>
        <v>0.50249999999999995</v>
      </c>
      <c r="Y1001" t="s">
        <v>33</v>
      </c>
      <c r="Z1001" s="3">
        <f t="shared" si="517"/>
        <v>9.9125460284060999E-3</v>
      </c>
      <c r="AA1001" t="s">
        <v>33</v>
      </c>
      <c r="AB1001">
        <f t="shared" si="518"/>
        <v>50.693333333333342</v>
      </c>
      <c r="AC1001" s="1" t="str">
        <f t="shared" si="519"/>
        <v>NA</v>
      </c>
      <c r="AE1001" s="3">
        <f t="shared" si="520"/>
        <v>95.050000000000011</v>
      </c>
      <c r="AF1001">
        <v>152.08000000000001</v>
      </c>
      <c r="AG1001" s="1" t="str">
        <f>IFERROR((N1001*P1001*Q1001), "NA")</f>
        <v>NA</v>
      </c>
      <c r="AH1001" s="1" t="str">
        <f>IFERROR((AG1001*U1001*AI1001), "NA")</f>
        <v>NA</v>
      </c>
      <c r="AI1001" s="1">
        <v>1</v>
      </c>
      <c r="AJ1001" s="11" t="s">
        <v>31</v>
      </c>
      <c r="AK1001">
        <v>1000</v>
      </c>
      <c r="AL1001" t="s">
        <v>614</v>
      </c>
      <c r="AM1001" s="3" t="s">
        <v>103</v>
      </c>
      <c r="AN1001" t="s">
        <v>130</v>
      </c>
      <c r="AO1001" t="s">
        <v>795</v>
      </c>
      <c r="AP1001">
        <v>5.5</v>
      </c>
      <c r="AQ1001" t="s">
        <v>33</v>
      </c>
      <c r="AR1001" t="s">
        <v>33</v>
      </c>
      <c r="AS1001">
        <v>8</v>
      </c>
      <c r="AT1001">
        <f>AS1001-AU1001</f>
        <v>5.41</v>
      </c>
      <c r="AU1001" s="6">
        <v>2.59</v>
      </c>
      <c r="AV1001" t="b">
        <v>1</v>
      </c>
      <c r="AW1001" t="s">
        <v>626</v>
      </c>
      <c r="AX1001" t="s">
        <v>627</v>
      </c>
      <c r="AY1001" t="s">
        <v>633</v>
      </c>
      <c r="AZ1001" t="s">
        <v>33</v>
      </c>
      <c r="BA1001" s="18" t="s">
        <v>800</v>
      </c>
      <c r="BB1001" s="3" t="b">
        <v>0</v>
      </c>
      <c r="BC1001" t="s">
        <v>81</v>
      </c>
      <c r="BD1001">
        <v>24</v>
      </c>
      <c r="BE1001" t="s">
        <v>80</v>
      </c>
      <c r="BF1001">
        <v>48</v>
      </c>
      <c r="BG1001" t="s">
        <v>569</v>
      </c>
      <c r="BH1001" t="s">
        <v>31</v>
      </c>
      <c r="BI1001" t="s">
        <v>31</v>
      </c>
      <c r="BJ1001">
        <f t="shared" si="512"/>
        <v>2.59</v>
      </c>
      <c r="BK1001" s="3">
        <f t="shared" si="487"/>
        <v>0.4132997640812518</v>
      </c>
      <c r="BL1001">
        <v>2</v>
      </c>
      <c r="BM1001" s="3">
        <f t="shared" si="516"/>
        <v>1.5646523571202102</v>
      </c>
      <c r="BN1001" t="s">
        <v>33</v>
      </c>
      <c r="BO1001" s="3">
        <f t="shared" si="500"/>
        <v>36.698841698841704</v>
      </c>
      <c r="BP1001" t="s">
        <v>33</v>
      </c>
      <c r="BQ1001" t="s">
        <v>33</v>
      </c>
      <c r="BR1001" t="s">
        <v>33</v>
      </c>
      <c r="BS1001" t="s">
        <v>33</v>
      </c>
      <c r="BT1001" t="s">
        <v>31</v>
      </c>
      <c r="BU1001" s="15" t="s">
        <v>255</v>
      </c>
      <c r="BV1001">
        <v>2010</v>
      </c>
      <c r="BW1001" t="s">
        <v>659</v>
      </c>
      <c r="BX1001" t="s">
        <v>78</v>
      </c>
      <c r="BY1001" s="13" t="s">
        <v>680</v>
      </c>
      <c r="CA1001" t="str">
        <f t="shared" si="501"/>
        <v>low acid</v>
      </c>
    </row>
    <row r="1002" spans="1:79">
      <c r="A1002" t="s">
        <v>589</v>
      </c>
      <c r="B1002" t="s">
        <v>566</v>
      </c>
      <c r="C1002" t="s">
        <v>563</v>
      </c>
      <c r="D1002" t="s">
        <v>33</v>
      </c>
      <c r="E1002" t="s">
        <v>77</v>
      </c>
      <c r="F1002" t="s">
        <v>33</v>
      </c>
      <c r="G1002" t="s">
        <v>33</v>
      </c>
      <c r="H1002">
        <v>35</v>
      </c>
      <c r="I1002" t="b">
        <v>0</v>
      </c>
      <c r="J1002" t="s">
        <v>33</v>
      </c>
      <c r="K1002" t="s">
        <v>33</v>
      </c>
      <c r="L1002">
        <v>25</v>
      </c>
      <c r="M1002" s="4">
        <v>1</v>
      </c>
      <c r="N1002" t="e">
        <f>(#REF!*Y1002)/(T1002*X1002*O1002)</f>
        <v>#REF!</v>
      </c>
      <c r="O1002">
        <v>2</v>
      </c>
      <c r="P1002" t="s">
        <v>33</v>
      </c>
      <c r="Q1002" s="1">
        <f t="shared" si="513"/>
        <v>200.6</v>
      </c>
      <c r="R1002" t="s">
        <v>183</v>
      </c>
      <c r="S1002" t="s">
        <v>613</v>
      </c>
      <c r="T1002">
        <v>1</v>
      </c>
      <c r="U1002">
        <v>2.5</v>
      </c>
      <c r="V1002" t="s">
        <v>33</v>
      </c>
      <c r="W1002">
        <v>0.50249999999999995</v>
      </c>
      <c r="X1002">
        <f>W1002</f>
        <v>0.50249999999999995</v>
      </c>
      <c r="Y1002" t="s">
        <v>33</v>
      </c>
      <c r="Z1002" s="3">
        <f t="shared" si="517"/>
        <v>2.5049850448654034E-3</v>
      </c>
      <c r="AA1002" t="s">
        <v>33</v>
      </c>
      <c r="AB1002">
        <f t="shared" si="518"/>
        <v>200.6</v>
      </c>
      <c r="AC1002" s="1" t="str">
        <f t="shared" si="519"/>
        <v>NA</v>
      </c>
      <c r="AE1002" s="3">
        <f t="shared" si="520"/>
        <v>501.5</v>
      </c>
      <c r="AF1002">
        <v>401.2</v>
      </c>
      <c r="AG1002" s="1" t="str">
        <f>IFERROR((N1002*P1002*Q1002), "NA")</f>
        <v>NA</v>
      </c>
      <c r="AH1002" s="1" t="str">
        <f>IFERROR((AG1002*U1002*AI1002), "NA")</f>
        <v>NA</v>
      </c>
      <c r="AI1002" s="1">
        <v>1</v>
      </c>
      <c r="AJ1002" s="11" t="s">
        <v>31</v>
      </c>
      <c r="AK1002">
        <v>2000</v>
      </c>
      <c r="AL1002" t="s">
        <v>616</v>
      </c>
      <c r="AM1002" s="3" t="s">
        <v>103</v>
      </c>
      <c r="AN1002" t="s">
        <v>130</v>
      </c>
      <c r="AO1002" t="s">
        <v>795</v>
      </c>
      <c r="AP1002">
        <v>7</v>
      </c>
      <c r="AQ1002" t="s">
        <v>33</v>
      </c>
      <c r="AR1002" t="s">
        <v>33</v>
      </c>
      <c r="AS1002">
        <v>9</v>
      </c>
      <c r="AT1002">
        <f>AS1002-AU1002</f>
        <v>5.41</v>
      </c>
      <c r="AU1002" s="6">
        <v>3.59</v>
      </c>
      <c r="AV1002" t="b">
        <v>1</v>
      </c>
      <c r="AW1002" t="s">
        <v>617</v>
      </c>
      <c r="AX1002" t="s">
        <v>33</v>
      </c>
      <c r="AY1002" t="s">
        <v>629</v>
      </c>
      <c r="AZ1002" t="s">
        <v>630</v>
      </c>
      <c r="BA1002" s="18" t="s">
        <v>802</v>
      </c>
      <c r="BB1002" s="3" t="b">
        <v>0</v>
      </c>
      <c r="BC1002" t="s">
        <v>81</v>
      </c>
      <c r="BD1002">
        <v>24</v>
      </c>
      <c r="BE1002" t="s">
        <v>80</v>
      </c>
      <c r="BF1002">
        <v>24</v>
      </c>
      <c r="BG1002" t="s">
        <v>644</v>
      </c>
      <c r="BH1002" t="s">
        <v>31</v>
      </c>
      <c r="BI1002" t="s">
        <v>31</v>
      </c>
      <c r="BJ1002">
        <f t="shared" si="512"/>
        <v>3.59</v>
      </c>
      <c r="BK1002" s="3">
        <f t="shared" si="487"/>
        <v>0.55509444857831913</v>
      </c>
      <c r="BL1002">
        <v>2</v>
      </c>
      <c r="BM1002" s="3">
        <f t="shared" si="516"/>
        <v>2.1451764887781177</v>
      </c>
      <c r="BN1002" t="s">
        <v>33</v>
      </c>
      <c r="BO1002" s="3">
        <f t="shared" si="500"/>
        <v>139.69359331476323</v>
      </c>
      <c r="BP1002" t="s">
        <v>33</v>
      </c>
      <c r="BQ1002" t="s">
        <v>33</v>
      </c>
      <c r="BR1002" t="s">
        <v>33</v>
      </c>
      <c r="BS1002" t="s">
        <v>33</v>
      </c>
      <c r="BT1002" t="s">
        <v>31</v>
      </c>
      <c r="BU1002" s="15" t="s">
        <v>655</v>
      </c>
      <c r="BV1002">
        <v>2003</v>
      </c>
      <c r="BW1002" t="s">
        <v>656</v>
      </c>
      <c r="BX1002" t="s">
        <v>78</v>
      </c>
      <c r="BY1002" s="13" t="s">
        <v>677</v>
      </c>
      <c r="CA1002" t="str">
        <f t="shared" si="501"/>
        <v>low acid</v>
      </c>
    </row>
    <row r="1003" spans="1:79">
      <c r="A1003" t="s">
        <v>397</v>
      </c>
      <c r="B1003" t="s">
        <v>565</v>
      </c>
      <c r="C1003" t="s">
        <v>563</v>
      </c>
      <c r="D1003" t="s">
        <v>118</v>
      </c>
      <c r="E1003" t="s">
        <v>77</v>
      </c>
      <c r="F1003" t="s">
        <v>32</v>
      </c>
      <c r="G1003">
        <v>25</v>
      </c>
      <c r="H1003">
        <v>36</v>
      </c>
      <c r="I1003" t="b">
        <v>0</v>
      </c>
      <c r="J1003" t="s">
        <v>33</v>
      </c>
      <c r="K1003" t="s">
        <v>33</v>
      </c>
      <c r="L1003">
        <v>30</v>
      </c>
      <c r="M1003" s="4">
        <v>200</v>
      </c>
      <c r="N1003" s="3" t="str">
        <f>IFERROR(AF1003/((T1003*X1003/Y1003)*O1003*AI1003),"NA")</f>
        <v>NA</v>
      </c>
      <c r="O1003">
        <v>4</v>
      </c>
      <c r="P1003" t="s">
        <v>33</v>
      </c>
      <c r="Q1003" s="8">
        <f t="shared" si="513"/>
        <v>4.6875000000000007E-2</v>
      </c>
      <c r="R1003" t="s">
        <v>183</v>
      </c>
      <c r="S1003" t="s">
        <v>613</v>
      </c>
      <c r="T1003" s="11">
        <v>8</v>
      </c>
      <c r="U1003">
        <v>2.9</v>
      </c>
      <c r="V1003">
        <v>2.2999999999999998</v>
      </c>
      <c r="W1003">
        <v>1.2E-2</v>
      </c>
      <c r="X1003" s="8">
        <f>IFERROR(((PI())*(((V1003*10^-1)/2)^2)*(U1003*10^-1)), "NA")</f>
        <v>1.204879322468025E-2</v>
      </c>
      <c r="Y1003" t="s">
        <v>33</v>
      </c>
      <c r="Z1003" s="3">
        <f t="shared" si="517"/>
        <v>0.25704092212651197</v>
      </c>
      <c r="AA1003" t="s">
        <v>33</v>
      </c>
      <c r="AB1003" s="6">
        <f t="shared" si="518"/>
        <v>9.375</v>
      </c>
      <c r="AC1003" t="str">
        <f t="shared" si="519"/>
        <v>NA</v>
      </c>
      <c r="AD1003" s="4">
        <f>AB1003*T1003*AI1003</f>
        <v>75</v>
      </c>
      <c r="AE1003" s="3">
        <f t="shared" si="520"/>
        <v>1144.8</v>
      </c>
      <c r="AF1003">
        <v>300</v>
      </c>
      <c r="AG1003" t="str">
        <f>IFERROR((M1003*O1003*P1003), "NA")</f>
        <v>NA</v>
      </c>
      <c r="AH1003" t="str">
        <f>IFERROR((AG1003*T1003*AI1003), "NA")</f>
        <v>NA</v>
      </c>
      <c r="AI1003">
        <v>1</v>
      </c>
      <c r="AJ1003" t="s">
        <v>31</v>
      </c>
      <c r="AK1003">
        <v>4240</v>
      </c>
      <c r="AL1003" t="s">
        <v>238</v>
      </c>
      <c r="AM1003" t="s">
        <v>86</v>
      </c>
      <c r="AN1003" t="s">
        <v>205</v>
      </c>
      <c r="AO1003" t="s">
        <v>789</v>
      </c>
      <c r="AP1003">
        <v>3.56</v>
      </c>
      <c r="AQ1003" t="s">
        <v>33</v>
      </c>
      <c r="AR1003" t="s">
        <v>33</v>
      </c>
      <c r="AS1003" s="6">
        <f>LOG(10^8)</f>
        <v>8</v>
      </c>
      <c r="AT1003" s="3">
        <f>IFERROR(AS1003-AU1003,"NA")</f>
        <v>5.4109999999999996</v>
      </c>
      <c r="AU1003" s="6">
        <v>2.589</v>
      </c>
      <c r="AV1003" t="b">
        <v>1</v>
      </c>
      <c r="AW1003" t="s">
        <v>123</v>
      </c>
      <c r="AX1003" t="s">
        <v>393</v>
      </c>
      <c r="AY1003" t="s">
        <v>394</v>
      </c>
      <c r="AZ1003" t="s">
        <v>33</v>
      </c>
      <c r="BA1003" s="18" t="s">
        <v>579</v>
      </c>
      <c r="BB1003" t="b">
        <v>1</v>
      </c>
      <c r="BC1003" t="s">
        <v>81</v>
      </c>
      <c r="BD1003">
        <v>72</v>
      </c>
      <c r="BE1003" t="s">
        <v>80</v>
      </c>
      <c r="BF1003" s="11">
        <v>72</v>
      </c>
      <c r="BG1003" t="s">
        <v>395</v>
      </c>
      <c r="BH1003" t="s">
        <v>31</v>
      </c>
      <c r="BI1003" t="s">
        <v>31</v>
      </c>
      <c r="BJ1003" s="3">
        <f t="shared" si="512"/>
        <v>2.589</v>
      </c>
      <c r="BK1003" s="3">
        <f t="shared" si="487"/>
        <v>0.413132050434872</v>
      </c>
      <c r="BL1003">
        <v>2</v>
      </c>
      <c r="BM1003" s="3">
        <f t="shared" si="516"/>
        <v>2.6455975703168479</v>
      </c>
      <c r="BN1003" t="s">
        <v>33</v>
      </c>
      <c r="BO1003" s="3">
        <f t="shared" si="500"/>
        <v>442.17844727694091</v>
      </c>
      <c r="BP1003" t="s">
        <v>33</v>
      </c>
      <c r="BQ1003" t="s">
        <v>33</v>
      </c>
      <c r="BR1003" t="s">
        <v>33</v>
      </c>
      <c r="BS1003" t="s">
        <v>33</v>
      </c>
      <c r="BT1003" t="s">
        <v>31</v>
      </c>
      <c r="BU1003" t="s">
        <v>240</v>
      </c>
      <c r="BV1003">
        <v>2005</v>
      </c>
      <c r="BW1003" t="s">
        <v>396</v>
      </c>
      <c r="BX1003" t="s">
        <v>78</v>
      </c>
      <c r="BY1003" t="s">
        <v>33</v>
      </c>
      <c r="BZ1003" t="s">
        <v>33</v>
      </c>
      <c r="CA1003" t="str">
        <f t="shared" si="501"/>
        <v>high acid</v>
      </c>
    </row>
    <row r="1004" spans="1:79">
      <c r="A1004" t="s">
        <v>398</v>
      </c>
      <c r="B1004" t="s">
        <v>565</v>
      </c>
      <c r="C1004" t="s">
        <v>563</v>
      </c>
      <c r="D1004" t="s">
        <v>118</v>
      </c>
      <c r="E1004" t="s">
        <v>77</v>
      </c>
      <c r="F1004" t="s">
        <v>32</v>
      </c>
      <c r="G1004">
        <v>25</v>
      </c>
      <c r="H1004">
        <v>36</v>
      </c>
      <c r="I1004" t="b">
        <v>0</v>
      </c>
      <c r="J1004" t="s">
        <v>33</v>
      </c>
      <c r="K1004" t="s">
        <v>33</v>
      </c>
      <c r="L1004">
        <v>30</v>
      </c>
      <c r="M1004" s="4">
        <v>200</v>
      </c>
      <c r="N1004" s="3" t="str">
        <f>IFERROR(AF1004/((T1004*X1004/Y1004)*O1004*AI1004),"NA")</f>
        <v>NA</v>
      </c>
      <c r="O1004">
        <v>4</v>
      </c>
      <c r="P1004" t="s">
        <v>33</v>
      </c>
      <c r="Q1004" s="8">
        <f t="shared" si="513"/>
        <v>4.6875000000000007E-2</v>
      </c>
      <c r="R1004" t="s">
        <v>183</v>
      </c>
      <c r="S1004" t="s">
        <v>613</v>
      </c>
      <c r="T1004" s="11">
        <v>8</v>
      </c>
      <c r="U1004">
        <v>2.9</v>
      </c>
      <c r="V1004">
        <v>2.2999999999999998</v>
      </c>
      <c r="W1004">
        <v>1.2E-2</v>
      </c>
      <c r="X1004" s="8">
        <f>IFERROR(((PI())*(((V1004*10^-1)/2)^2)*(U1004*10^-1)), "NA")</f>
        <v>1.204879322468025E-2</v>
      </c>
      <c r="Y1004" t="s">
        <v>33</v>
      </c>
      <c r="Z1004" s="3">
        <f t="shared" si="517"/>
        <v>0.25704092212651197</v>
      </c>
      <c r="AA1004" t="s">
        <v>33</v>
      </c>
      <c r="AB1004" s="6">
        <f t="shared" si="518"/>
        <v>9.375</v>
      </c>
      <c r="AC1004" t="str">
        <f t="shared" si="519"/>
        <v>NA</v>
      </c>
      <c r="AD1004" s="4">
        <f>AB1004*T1004*AI1004</f>
        <v>75</v>
      </c>
      <c r="AE1004" s="3">
        <f t="shared" si="520"/>
        <v>1144.8</v>
      </c>
      <c r="AF1004">
        <v>300</v>
      </c>
      <c r="AG1004" t="str">
        <f>IFERROR((M1004*O1004*P1004), "NA")</f>
        <v>NA</v>
      </c>
      <c r="AH1004" t="str">
        <f>IFERROR((AG1004*T1004*AI1004), "NA")</f>
        <v>NA</v>
      </c>
      <c r="AI1004">
        <v>1</v>
      </c>
      <c r="AJ1004" t="s">
        <v>31</v>
      </c>
      <c r="AK1004">
        <v>4240</v>
      </c>
      <c r="AL1004" t="s">
        <v>238</v>
      </c>
      <c r="AM1004" t="s">
        <v>86</v>
      </c>
      <c r="AN1004" t="s">
        <v>205</v>
      </c>
      <c r="AO1004" t="s">
        <v>789</v>
      </c>
      <c r="AP1004">
        <v>3.56</v>
      </c>
      <c r="AQ1004" t="s">
        <v>33</v>
      </c>
      <c r="AR1004" t="s">
        <v>33</v>
      </c>
      <c r="AS1004" s="6">
        <f>LOG(10^8)</f>
        <v>8</v>
      </c>
      <c r="AT1004" s="3">
        <f>IFERROR(AS1004-AU1004,"NA")</f>
        <v>5.4180000000000001</v>
      </c>
      <c r="AU1004" s="6">
        <v>2.5819999999999999</v>
      </c>
      <c r="AV1004" t="b">
        <v>1</v>
      </c>
      <c r="AW1004" t="s">
        <v>123</v>
      </c>
      <c r="AX1004" t="s">
        <v>393</v>
      </c>
      <c r="AY1004" t="s">
        <v>394</v>
      </c>
      <c r="AZ1004" t="s">
        <v>33</v>
      </c>
      <c r="BA1004" s="18" t="s">
        <v>579</v>
      </c>
      <c r="BB1004" t="b">
        <v>1</v>
      </c>
      <c r="BC1004" t="s">
        <v>81</v>
      </c>
      <c r="BD1004">
        <v>72</v>
      </c>
      <c r="BE1004" t="s">
        <v>80</v>
      </c>
      <c r="BF1004" s="11">
        <v>72</v>
      </c>
      <c r="BG1004" t="s">
        <v>395</v>
      </c>
      <c r="BH1004" t="s">
        <v>31</v>
      </c>
      <c r="BI1004" t="s">
        <v>31</v>
      </c>
      <c r="BJ1004" s="3">
        <f t="shared" si="512"/>
        <v>2.5819999999999999</v>
      </c>
      <c r="BK1004" s="3">
        <f t="shared" si="487"/>
        <v>0.41195623793040148</v>
      </c>
      <c r="BL1004">
        <v>2</v>
      </c>
      <c r="BM1004" s="3">
        <f t="shared" si="516"/>
        <v>2.6467733828213182</v>
      </c>
      <c r="BN1004" t="s">
        <v>33</v>
      </c>
      <c r="BO1004" s="3">
        <f t="shared" si="500"/>
        <v>443.37722695584819</v>
      </c>
      <c r="BP1004" t="s">
        <v>33</v>
      </c>
      <c r="BQ1004" t="s">
        <v>33</v>
      </c>
      <c r="BR1004" t="s">
        <v>33</v>
      </c>
      <c r="BS1004" t="s">
        <v>33</v>
      </c>
      <c r="BT1004" t="s">
        <v>31</v>
      </c>
      <c r="BU1004" t="s">
        <v>240</v>
      </c>
      <c r="BV1004">
        <v>2005</v>
      </c>
      <c r="BW1004" t="s">
        <v>396</v>
      </c>
      <c r="BX1004" t="s">
        <v>78</v>
      </c>
      <c r="BY1004" t="s">
        <v>33</v>
      </c>
      <c r="BZ1004" t="s">
        <v>33</v>
      </c>
      <c r="CA1004" t="str">
        <f t="shared" si="501"/>
        <v>high acid</v>
      </c>
    </row>
    <row r="1005" spans="1:79">
      <c r="A1005" t="s">
        <v>590</v>
      </c>
      <c r="B1005" t="s">
        <v>565</v>
      </c>
      <c r="C1005" t="s">
        <v>564</v>
      </c>
      <c r="D1005" t="s">
        <v>609</v>
      </c>
      <c r="E1005" t="s">
        <v>77</v>
      </c>
      <c r="F1005" t="s">
        <v>32</v>
      </c>
      <c r="G1005">
        <v>40</v>
      </c>
      <c r="H1005">
        <v>49</v>
      </c>
      <c r="I1005" t="b">
        <v>0</v>
      </c>
      <c r="J1005" t="s">
        <v>33</v>
      </c>
      <c r="K1005" t="s">
        <v>33</v>
      </c>
      <c r="L1005">
        <v>15</v>
      </c>
      <c r="M1005" s="4">
        <v>120</v>
      </c>
      <c r="N1005" t="e">
        <f>(#REF!*Y1005)/(T1005*X1005*O1005)</f>
        <v>#REF!</v>
      </c>
      <c r="O1005">
        <v>3</v>
      </c>
      <c r="P1005" t="s">
        <v>33</v>
      </c>
      <c r="Q1005" s="1">
        <f t="shared" si="513"/>
        <v>3.770833333333333E-2</v>
      </c>
      <c r="R1005" t="s">
        <v>183</v>
      </c>
      <c r="S1005" t="s">
        <v>612</v>
      </c>
      <c r="T1005">
        <v>4</v>
      </c>
      <c r="U1005">
        <v>3</v>
      </c>
      <c r="V1005">
        <v>2.6</v>
      </c>
      <c r="W1005">
        <v>1.5900000000000001E-2</v>
      </c>
      <c r="X1005">
        <f>IFERROR(((PI())*(((V1005*10^-1)/2)^2)*(U1005*10^-1)), "NA")</f>
        <v>1.5927874753700257E-2</v>
      </c>
      <c r="Y1005">
        <v>8.3333299999999999E-2</v>
      </c>
      <c r="Z1005" s="3">
        <f t="shared" si="517"/>
        <v>0.42239667855116708</v>
      </c>
      <c r="AA1005" t="s">
        <v>33</v>
      </c>
      <c r="AB1005">
        <f t="shared" si="518"/>
        <v>4.5249999999999995</v>
      </c>
      <c r="AC1005" s="1" t="str">
        <f t="shared" si="519"/>
        <v>NA</v>
      </c>
      <c r="AE1005" s="3">
        <f t="shared" si="520"/>
        <v>14.050124999999998</v>
      </c>
      <c r="AF1005">
        <v>54.3</v>
      </c>
      <c r="AG1005" s="1" t="str">
        <f>IFERROR((N1005*P1005*Q1005), "NA")</f>
        <v>NA</v>
      </c>
      <c r="AH1005" s="1" t="str">
        <f>IFERROR((AG1005*U1005*AI1005), "NA")</f>
        <v>NA</v>
      </c>
      <c r="AI1005" s="1">
        <v>1</v>
      </c>
      <c r="AJ1005" s="11" t="s">
        <v>31</v>
      </c>
      <c r="AK1005">
        <v>1150</v>
      </c>
      <c r="AL1005" t="s">
        <v>551</v>
      </c>
      <c r="AM1005" t="s">
        <v>86</v>
      </c>
      <c r="AN1005" t="s">
        <v>186</v>
      </c>
      <c r="AO1005" t="s">
        <v>794</v>
      </c>
      <c r="AP1005">
        <v>5.92</v>
      </c>
      <c r="AQ1005" t="s">
        <v>33</v>
      </c>
      <c r="AR1005" t="s">
        <v>33</v>
      </c>
      <c r="AS1005">
        <v>6</v>
      </c>
      <c r="AT1005">
        <f>AS1005-AU1005</f>
        <v>5.42</v>
      </c>
      <c r="AU1005" s="6">
        <v>0.57999999999999996</v>
      </c>
      <c r="AV1005" t="b">
        <v>1</v>
      </c>
      <c r="AW1005" t="s">
        <v>626</v>
      </c>
      <c r="AX1005" t="s">
        <v>627</v>
      </c>
      <c r="AY1005" t="s">
        <v>631</v>
      </c>
      <c r="AZ1005" t="s">
        <v>33</v>
      </c>
      <c r="BA1005" s="18" t="s">
        <v>800</v>
      </c>
      <c r="BB1005" s="3" t="b">
        <v>0</v>
      </c>
      <c r="BC1005" t="s">
        <v>81</v>
      </c>
      <c r="BD1005">
        <v>20</v>
      </c>
      <c r="BE1005" t="s">
        <v>80</v>
      </c>
      <c r="BF1005">
        <v>20</v>
      </c>
      <c r="BG1005" t="s">
        <v>695</v>
      </c>
      <c r="BH1005" t="s">
        <v>32</v>
      </c>
      <c r="BI1005" t="s">
        <v>31</v>
      </c>
      <c r="BJ1005">
        <f t="shared" si="512"/>
        <v>0.57999999999999996</v>
      </c>
      <c r="BK1005" s="3">
        <f t="shared" si="487"/>
        <v>-0.23657200643706275</v>
      </c>
      <c r="BL1005">
        <v>2</v>
      </c>
      <c r="BM1005" s="3">
        <f t="shared" si="516"/>
        <v>1.3842521944908839</v>
      </c>
      <c r="BN1005" t="s">
        <v>33</v>
      </c>
      <c r="BO1005" s="3">
        <f t="shared" si="500"/>
        <v>24.22435344827586</v>
      </c>
      <c r="BP1005" t="s">
        <v>33</v>
      </c>
      <c r="BQ1005" t="s">
        <v>33</v>
      </c>
      <c r="BR1005" t="s">
        <v>33</v>
      </c>
      <c r="BS1005" t="s">
        <v>33</v>
      </c>
      <c r="BT1005" t="s">
        <v>32</v>
      </c>
      <c r="BU1005" s="15" t="s">
        <v>207</v>
      </c>
      <c r="BV1005">
        <v>2014</v>
      </c>
      <c r="BW1005" t="s">
        <v>242</v>
      </c>
      <c r="BX1005" t="s">
        <v>78</v>
      </c>
      <c r="BY1005" s="13" t="s">
        <v>678</v>
      </c>
      <c r="CA1005" t="str">
        <f t="shared" si="501"/>
        <v>low acid</v>
      </c>
    </row>
    <row r="1006" spans="1:79">
      <c r="A1006" t="s">
        <v>146</v>
      </c>
      <c r="B1006" t="s">
        <v>565</v>
      </c>
      <c r="C1006" t="s">
        <v>563</v>
      </c>
      <c r="D1006" t="s">
        <v>118</v>
      </c>
      <c r="E1006" t="s">
        <v>77</v>
      </c>
      <c r="F1006" t="s">
        <v>32</v>
      </c>
      <c r="G1006">
        <v>10</v>
      </c>
      <c r="H1006" t="s">
        <v>33</v>
      </c>
      <c r="I1006" t="b">
        <v>0</v>
      </c>
      <c r="J1006" t="s">
        <v>33</v>
      </c>
      <c r="K1006" t="s">
        <v>33</v>
      </c>
      <c r="L1006">
        <v>23</v>
      </c>
      <c r="M1006" s="4">
        <v>500</v>
      </c>
      <c r="N1006" s="3">
        <f>IFERROR(AF1006/((T1006*X1006/Y1006)*O1006*AI1006),"NA")</f>
        <v>503.35454362283343</v>
      </c>
      <c r="O1006">
        <v>3</v>
      </c>
      <c r="P1006" t="s">
        <v>33</v>
      </c>
      <c r="Q1006" s="8">
        <f t="shared" si="513"/>
        <v>1.4555555555555556E-2</v>
      </c>
      <c r="R1006" t="s">
        <v>183</v>
      </c>
      <c r="S1006" t="s">
        <v>613</v>
      </c>
      <c r="T1006" s="11">
        <v>6</v>
      </c>
      <c r="U1006">
        <v>2.9</v>
      </c>
      <c r="V1006">
        <v>2.2999999999999998</v>
      </c>
      <c r="W1006">
        <v>0.36420000000000002</v>
      </c>
      <c r="X1006" s="8">
        <f>IFERROR(((PI())*(((V1006*10^-1)/2)^2)*(U1006*10^-1)), "NA")</f>
        <v>1.204879322468025E-2</v>
      </c>
      <c r="Y1006" s="6">
        <f>50/60</f>
        <v>0.83333333333333337</v>
      </c>
      <c r="Z1006" s="3">
        <f t="shared" si="517"/>
        <v>0.82777968719177286</v>
      </c>
      <c r="AA1006" t="s">
        <v>33</v>
      </c>
      <c r="AB1006" s="6">
        <f t="shared" si="518"/>
        <v>7.2777777777777786</v>
      </c>
      <c r="AC1006" t="str">
        <f t="shared" si="519"/>
        <v>NA</v>
      </c>
      <c r="AD1006" s="4">
        <f>AB1006*T1006*AI1006</f>
        <v>43.666666666666671</v>
      </c>
      <c r="AE1006" s="3">
        <f t="shared" si="520"/>
        <v>238.38855999999998</v>
      </c>
      <c r="AF1006">
        <v>131</v>
      </c>
      <c r="AG1006" t="str">
        <f>IFERROR((M1006*O1006*P1006), "NA")</f>
        <v>NA</v>
      </c>
      <c r="AH1006" t="str">
        <f>IFERROR((AG1006*T1006*AI1006), "NA")</f>
        <v>NA</v>
      </c>
      <c r="AI1006">
        <v>1</v>
      </c>
      <c r="AJ1006" t="s">
        <v>31</v>
      </c>
      <c r="AK1006">
        <v>3440</v>
      </c>
      <c r="AL1006" t="s">
        <v>145</v>
      </c>
      <c r="AM1006" t="s">
        <v>86</v>
      </c>
      <c r="AN1006" t="s">
        <v>205</v>
      </c>
      <c r="AO1006" t="s">
        <v>789</v>
      </c>
      <c r="AP1006">
        <v>3.19</v>
      </c>
      <c r="AQ1006" t="s">
        <v>33</v>
      </c>
      <c r="AR1006" t="s">
        <v>33</v>
      </c>
      <c r="AS1006" s="3">
        <v>7.6529999999999996</v>
      </c>
      <c r="AT1006" s="3">
        <f>IFERROR(AS1006-AU1006,"NA")</f>
        <v>5.4329999999999998</v>
      </c>
      <c r="AU1006" s="6">
        <v>2.2200000000000002</v>
      </c>
      <c r="AV1006" t="b">
        <v>1</v>
      </c>
      <c r="AW1006" t="s">
        <v>29</v>
      </c>
      <c r="AX1006" t="s">
        <v>30</v>
      </c>
      <c r="AY1006" t="s">
        <v>33</v>
      </c>
      <c r="AZ1006" t="s">
        <v>134</v>
      </c>
      <c r="BA1006" s="18" t="s">
        <v>798</v>
      </c>
      <c r="BB1006" t="b">
        <v>0</v>
      </c>
      <c r="BC1006" t="s">
        <v>81</v>
      </c>
      <c r="BD1006">
        <f>(48+24)/2</f>
        <v>36</v>
      </c>
      <c r="BE1006" t="s">
        <v>80</v>
      </c>
      <c r="BF1006" s="11">
        <f>(48+24)/2</f>
        <v>36</v>
      </c>
      <c r="BG1006" t="s">
        <v>139</v>
      </c>
      <c r="BH1006" t="s">
        <v>31</v>
      </c>
      <c r="BI1006" t="s">
        <v>31</v>
      </c>
      <c r="BJ1006" s="3">
        <f t="shared" si="512"/>
        <v>2.2200000000000002</v>
      </c>
      <c r="BK1006" s="3">
        <f t="shared" si="487"/>
        <v>0.34635297445063867</v>
      </c>
      <c r="BL1006">
        <v>2</v>
      </c>
      <c r="BM1006" s="3">
        <f t="shared" si="516"/>
        <v>2.0309324358118412</v>
      </c>
      <c r="BN1006" t="s">
        <v>33</v>
      </c>
      <c r="BO1006" s="3">
        <f t="shared" si="500"/>
        <v>107.38223423423422</v>
      </c>
      <c r="BP1006" t="s">
        <v>33</v>
      </c>
      <c r="BQ1006" t="s">
        <v>33</v>
      </c>
      <c r="BR1006" t="s">
        <v>33</v>
      </c>
      <c r="BS1006" t="s">
        <v>33</v>
      </c>
      <c r="BT1006" t="s">
        <v>31</v>
      </c>
      <c r="BU1006" t="s">
        <v>135</v>
      </c>
      <c r="BV1006">
        <v>2010</v>
      </c>
      <c r="BW1006" s="1" t="s">
        <v>140</v>
      </c>
      <c r="BX1006" t="s">
        <v>78</v>
      </c>
      <c r="BY1006" t="s">
        <v>33</v>
      </c>
      <c r="BZ1006" t="s">
        <v>33</v>
      </c>
      <c r="CA1006" t="str">
        <f t="shared" si="501"/>
        <v>high acid</v>
      </c>
    </row>
    <row r="1007" spans="1:79">
      <c r="A1007" t="s">
        <v>733</v>
      </c>
      <c r="B1007" t="s">
        <v>566</v>
      </c>
      <c r="C1007" t="s">
        <v>563</v>
      </c>
      <c r="D1007" t="s">
        <v>699</v>
      </c>
      <c r="E1007" t="s">
        <v>77</v>
      </c>
      <c r="F1007" t="s">
        <v>32</v>
      </c>
      <c r="G1007">
        <v>20</v>
      </c>
      <c r="H1007">
        <v>41</v>
      </c>
      <c r="I1007" t="b">
        <v>1</v>
      </c>
      <c r="J1007" t="s">
        <v>33</v>
      </c>
      <c r="K1007" t="s">
        <v>33</v>
      </c>
      <c r="L1007">
        <v>20</v>
      </c>
      <c r="M1007" s="4">
        <v>30</v>
      </c>
      <c r="N1007" s="3">
        <f>IFERROR(AF1007/((T1007*X1007/Y1007)*O1007*AI1007),"NA")</f>
        <v>29.861111111111104</v>
      </c>
      <c r="O1007">
        <v>5</v>
      </c>
      <c r="P1007">
        <v>0.43</v>
      </c>
      <c r="Q1007" s="8">
        <f>IFERROR(X1007/Y1007, "NA")</f>
        <v>0.43200000000000011</v>
      </c>
      <c r="R1007" t="s">
        <v>183</v>
      </c>
      <c r="S1007" t="s">
        <v>612</v>
      </c>
      <c r="T1007" s="11">
        <v>1</v>
      </c>
      <c r="U1007">
        <v>4</v>
      </c>
      <c r="V1007" t="s">
        <v>33</v>
      </c>
      <c r="W1007">
        <f>0.4*3*0.5</f>
        <v>0.60000000000000009</v>
      </c>
      <c r="X1007" s="9">
        <f>W1007</f>
        <v>0.60000000000000009</v>
      </c>
      <c r="Y1007" s="6">
        <f>5000/3600</f>
        <v>1.3888888888888888</v>
      </c>
      <c r="Z1007" s="3">
        <f t="shared" si="517"/>
        <v>1.3953488372093026</v>
      </c>
      <c r="AA1007" t="s">
        <v>33</v>
      </c>
      <c r="AB1007" s="4">
        <f>IFERROR(((X1007*M1007)/Y1007), "NA")</f>
        <v>12.960000000000003</v>
      </c>
      <c r="AC1007" s="4">
        <f t="shared" si="519"/>
        <v>12.9</v>
      </c>
      <c r="AD1007" s="4">
        <f>AB1007*T1007*AI1007</f>
        <v>12.960000000000003</v>
      </c>
      <c r="AE1007" s="3">
        <f t="shared" si="520"/>
        <v>51.840000000000011</v>
      </c>
      <c r="AF1007">
        <v>64.5</v>
      </c>
      <c r="AG1007" s="4">
        <f>IFERROR((M1007*O1007*P1007), "NA")</f>
        <v>64.5</v>
      </c>
      <c r="AH1007" s="4">
        <f>IFERROR((AG1007*T1007*AI1007), "NA")</f>
        <v>64.5</v>
      </c>
      <c r="AI1007">
        <v>1</v>
      </c>
      <c r="AJ1007" s="11" t="s">
        <v>31</v>
      </c>
      <c r="AK1007">
        <v>2000</v>
      </c>
      <c r="AL1007" t="s">
        <v>784</v>
      </c>
      <c r="AM1007" t="s">
        <v>103</v>
      </c>
      <c r="AN1007" t="s">
        <v>130</v>
      </c>
      <c r="AO1007" t="s">
        <v>795</v>
      </c>
      <c r="AP1007">
        <v>7</v>
      </c>
      <c r="AQ1007" t="s">
        <v>33</v>
      </c>
      <c r="AR1007" t="s">
        <v>33</v>
      </c>
      <c r="AS1007" s="6">
        <f>LOG(AVERAGE(10^8, 10^9))</f>
        <v>8.7403626894942441</v>
      </c>
      <c r="AT1007" s="3">
        <f>IFERROR(AS1007-AU1007,"NA")</f>
        <v>5.4363626894942438</v>
      </c>
      <c r="AU1007" s="6">
        <v>3.3039999999999998</v>
      </c>
      <c r="AV1007" t="b">
        <v>1</v>
      </c>
      <c r="AW1007" t="s">
        <v>172</v>
      </c>
      <c r="AX1007" t="s">
        <v>173</v>
      </c>
      <c r="AY1007">
        <v>28.040400000000002</v>
      </c>
      <c r="AZ1007" t="s">
        <v>33</v>
      </c>
      <c r="BA1007" s="18" t="s">
        <v>799</v>
      </c>
      <c r="BB1007" s="3" t="b">
        <v>0</v>
      </c>
      <c r="BC1007" t="s">
        <v>81</v>
      </c>
      <c r="BD1007">
        <v>24</v>
      </c>
      <c r="BE1007" t="s">
        <v>80</v>
      </c>
      <c r="BF1007">
        <v>48</v>
      </c>
      <c r="BG1007" t="s">
        <v>734</v>
      </c>
      <c r="BH1007" t="s">
        <v>31</v>
      </c>
      <c r="BI1007" t="s">
        <v>31</v>
      </c>
      <c r="BJ1007" s="3">
        <f t="shared" si="512"/>
        <v>3.3039999999999998</v>
      </c>
      <c r="BK1007" s="3">
        <f t="shared" ref="BK1007:BK1069" si="521">LOG10(BJ1007)</f>
        <v>0.51904003864834458</v>
      </c>
      <c r="BL1007">
        <v>2</v>
      </c>
      <c r="BM1007" s="3">
        <f t="shared" si="516"/>
        <v>1.1956249542141923</v>
      </c>
      <c r="BN1007" t="s">
        <v>33</v>
      </c>
      <c r="BO1007" s="3">
        <f t="shared" si="500"/>
        <v>15.690072639225185</v>
      </c>
      <c r="BP1007" t="s">
        <v>33</v>
      </c>
      <c r="BQ1007" t="s">
        <v>33</v>
      </c>
      <c r="BR1007" t="s">
        <v>33</v>
      </c>
      <c r="BS1007" t="s">
        <v>33</v>
      </c>
      <c r="BT1007" t="s">
        <v>32</v>
      </c>
      <c r="BU1007" t="s">
        <v>709</v>
      </c>
      <c r="BV1007">
        <v>2024</v>
      </c>
      <c r="BW1007" t="s">
        <v>710</v>
      </c>
      <c r="BX1007" t="s">
        <v>78</v>
      </c>
      <c r="BY1007" t="s">
        <v>711</v>
      </c>
      <c r="CA1007" t="str">
        <f t="shared" si="501"/>
        <v>low acid</v>
      </c>
    </row>
    <row r="1008" spans="1:79">
      <c r="A1008" t="s">
        <v>600</v>
      </c>
      <c r="B1008" t="s">
        <v>566</v>
      </c>
      <c r="C1008" t="s">
        <v>563</v>
      </c>
      <c r="D1008" t="s">
        <v>33</v>
      </c>
      <c r="E1008" t="s">
        <v>77</v>
      </c>
      <c r="F1008" t="s">
        <v>33</v>
      </c>
      <c r="G1008" t="s">
        <v>33</v>
      </c>
      <c r="H1008">
        <v>35</v>
      </c>
      <c r="I1008" t="b">
        <v>0</v>
      </c>
      <c r="J1008" t="s">
        <v>33</v>
      </c>
      <c r="K1008" t="s">
        <v>33</v>
      </c>
      <c r="L1008">
        <v>28</v>
      </c>
      <c r="M1008" s="4">
        <v>1</v>
      </c>
      <c r="N1008" t="e">
        <f>(#REF!*Y1008)/(T1008*X1008*O1008)</f>
        <v>#REF!</v>
      </c>
      <c r="O1008">
        <v>2</v>
      </c>
      <c r="P1008" t="s">
        <v>33</v>
      </c>
      <c r="Q1008" s="1">
        <f t="shared" ref="Q1008:Q1013" si="522">IFERROR(X1008/Z1008, "NA")</f>
        <v>25.275000000000002</v>
      </c>
      <c r="R1008" t="s">
        <v>183</v>
      </c>
      <c r="S1008" t="s">
        <v>33</v>
      </c>
      <c r="T1008">
        <v>1</v>
      </c>
      <c r="U1008">
        <v>2.5</v>
      </c>
      <c r="V1008" t="s">
        <v>33</v>
      </c>
      <c r="W1008">
        <v>0.50249999999999995</v>
      </c>
      <c r="X1008">
        <f>W1008</f>
        <v>0.50249999999999995</v>
      </c>
      <c r="Y1008" t="s">
        <v>33</v>
      </c>
      <c r="Z1008" s="3">
        <f t="shared" si="517"/>
        <v>1.9881305637982193E-2</v>
      </c>
      <c r="AA1008" t="s">
        <v>33</v>
      </c>
      <c r="AB1008">
        <f>IFERROR(((X1008*M1008)/Z1008), "NA")</f>
        <v>25.275000000000002</v>
      </c>
      <c r="AC1008" s="1" t="str">
        <f t="shared" si="519"/>
        <v>NA</v>
      </c>
      <c r="AE1008" s="3">
        <f t="shared" si="520"/>
        <v>79.2624</v>
      </c>
      <c r="AF1008">
        <v>50.55</v>
      </c>
      <c r="AG1008" s="1" t="str">
        <f>IFERROR((N1008*P1008*Q1008), "NA")</f>
        <v>NA</v>
      </c>
      <c r="AH1008" s="1" t="str">
        <f>IFERROR((AG1008*U1008*AI1008), "NA")</f>
        <v>NA</v>
      </c>
      <c r="AI1008" s="1">
        <v>1</v>
      </c>
      <c r="AJ1008" s="11" t="s">
        <v>31</v>
      </c>
      <c r="AK1008">
        <v>2000</v>
      </c>
      <c r="AL1008" t="s">
        <v>784</v>
      </c>
      <c r="AM1008" s="3" t="s">
        <v>103</v>
      </c>
      <c r="AN1008" t="s">
        <v>130</v>
      </c>
      <c r="AO1008" t="s">
        <v>795</v>
      </c>
      <c r="AP1008">
        <v>7</v>
      </c>
      <c r="AQ1008" t="s">
        <v>33</v>
      </c>
      <c r="AR1008" t="s">
        <v>33</v>
      </c>
      <c r="AS1008">
        <v>8</v>
      </c>
      <c r="AT1008">
        <f>AS1008-AU1008</f>
        <v>5.4399999999999995</v>
      </c>
      <c r="AU1008" s="6">
        <v>2.56</v>
      </c>
      <c r="AV1008" t="b">
        <v>1</v>
      </c>
      <c r="AW1008" t="s">
        <v>626</v>
      </c>
      <c r="AX1008" t="s">
        <v>627</v>
      </c>
      <c r="AY1008" t="s">
        <v>640</v>
      </c>
      <c r="AZ1008" t="s">
        <v>33</v>
      </c>
      <c r="BA1008" s="18" t="s">
        <v>800</v>
      </c>
      <c r="BB1008" s="3" t="b">
        <v>0</v>
      </c>
      <c r="BC1008" t="s">
        <v>81</v>
      </c>
      <c r="BD1008">
        <f>AVERAGE(24,30)</f>
        <v>27</v>
      </c>
      <c r="BE1008" t="s">
        <v>80</v>
      </c>
      <c r="BF1008">
        <v>24</v>
      </c>
      <c r="BG1008" t="s">
        <v>568</v>
      </c>
      <c r="BH1008" t="s">
        <v>31</v>
      </c>
      <c r="BI1008" t="s">
        <v>31</v>
      </c>
      <c r="BJ1008" s="3">
        <f t="shared" si="512"/>
        <v>2.56</v>
      </c>
      <c r="BK1008" s="3">
        <f t="shared" si="521"/>
        <v>0.40823996531184958</v>
      </c>
      <c r="BL1008">
        <v>2</v>
      </c>
      <c r="BM1008" s="3">
        <f t="shared" si="516"/>
        <v>1.49082725296359</v>
      </c>
      <c r="BN1008" t="s">
        <v>33</v>
      </c>
      <c r="BO1008" s="3">
        <f t="shared" si="500"/>
        <v>30.961874999999999</v>
      </c>
      <c r="BP1008" t="s">
        <v>33</v>
      </c>
      <c r="BQ1008" t="s">
        <v>33</v>
      </c>
      <c r="BR1008" t="s">
        <v>33</v>
      </c>
      <c r="BS1008" t="s">
        <v>33</v>
      </c>
      <c r="BT1008" t="s">
        <v>31</v>
      </c>
      <c r="BU1008" t="s">
        <v>666</v>
      </c>
      <c r="BV1008" s="14">
        <v>2006</v>
      </c>
      <c r="BW1008" t="s">
        <v>667</v>
      </c>
      <c r="BX1008" t="s">
        <v>78</v>
      </c>
      <c r="BY1008" s="13" t="s">
        <v>688</v>
      </c>
      <c r="CA1008" t="str">
        <f t="shared" si="501"/>
        <v>low acid</v>
      </c>
    </row>
    <row r="1009" spans="1:79">
      <c r="A1009" t="s">
        <v>601</v>
      </c>
      <c r="B1009" t="s">
        <v>566</v>
      </c>
      <c r="C1009" t="s">
        <v>563</v>
      </c>
      <c r="D1009" t="s">
        <v>611</v>
      </c>
      <c r="E1009" t="s">
        <v>77</v>
      </c>
      <c r="F1009" t="s">
        <v>32</v>
      </c>
      <c r="G1009" t="s">
        <v>33</v>
      </c>
      <c r="H1009" t="s">
        <v>33</v>
      </c>
      <c r="I1009" t="b">
        <v>0</v>
      </c>
      <c r="J1009" t="s">
        <v>33</v>
      </c>
      <c r="K1009" t="s">
        <v>33</v>
      </c>
      <c r="L1009">
        <v>40</v>
      </c>
      <c r="M1009" s="4">
        <v>15</v>
      </c>
      <c r="N1009" t="e">
        <f>(#REF!*Y1009)/(T1009*X1009*O1009)</f>
        <v>#REF!</v>
      </c>
      <c r="O1009">
        <v>1</v>
      </c>
      <c r="P1009" t="s">
        <v>33</v>
      </c>
      <c r="Q1009" s="1">
        <f t="shared" si="522"/>
        <v>10</v>
      </c>
      <c r="R1009" t="s">
        <v>33</v>
      </c>
      <c r="S1009" t="s">
        <v>33</v>
      </c>
      <c r="T1009">
        <v>1</v>
      </c>
      <c r="U1009">
        <v>2.5</v>
      </c>
      <c r="V1009" t="s">
        <v>33</v>
      </c>
      <c r="W1009">
        <v>1.75</v>
      </c>
      <c r="X1009">
        <f>W1009</f>
        <v>1.75</v>
      </c>
      <c r="Y1009">
        <v>0.19666666999999999</v>
      </c>
      <c r="Z1009" s="3">
        <f t="shared" si="517"/>
        <v>0.17499999999999999</v>
      </c>
      <c r="AA1009" t="s">
        <v>33</v>
      </c>
      <c r="AB1009">
        <f>IFERROR(((X1009*M1009)/Z1009), "NA")</f>
        <v>150</v>
      </c>
      <c r="AC1009" s="1" t="str">
        <f t="shared" si="519"/>
        <v>NA</v>
      </c>
      <c r="AE1009" s="3">
        <f t="shared" si="520"/>
        <v>1008</v>
      </c>
      <c r="AF1009">
        <v>150</v>
      </c>
      <c r="AG1009" s="1" t="str">
        <f>IFERROR((N1009*P1009*Q1009), "NA")</f>
        <v>NA</v>
      </c>
      <c r="AH1009" s="1" t="str">
        <f>IFERROR((O1009*Q1009*R1009), "NA")</f>
        <v>NA</v>
      </c>
      <c r="AI1009" s="1">
        <v>1</v>
      </c>
      <c r="AJ1009" s="11" t="s">
        <v>31</v>
      </c>
      <c r="AK1009">
        <v>4200</v>
      </c>
      <c r="AL1009" t="s">
        <v>238</v>
      </c>
      <c r="AM1009" t="s">
        <v>86</v>
      </c>
      <c r="AN1009" t="s">
        <v>205</v>
      </c>
      <c r="AO1009" t="s">
        <v>789</v>
      </c>
      <c r="AP1009">
        <v>3.7</v>
      </c>
      <c r="AQ1009" t="s">
        <v>33</v>
      </c>
      <c r="AR1009" t="s">
        <v>33</v>
      </c>
      <c r="AS1009">
        <v>11</v>
      </c>
      <c r="AT1009">
        <f>AS1009-AU1009</f>
        <v>5.44</v>
      </c>
      <c r="AU1009" s="6">
        <v>5.56</v>
      </c>
      <c r="AV1009" t="b">
        <v>1</v>
      </c>
      <c r="AW1009" t="s">
        <v>626</v>
      </c>
      <c r="AX1009" t="s">
        <v>627</v>
      </c>
      <c r="AY1009" t="s">
        <v>641</v>
      </c>
      <c r="AZ1009" t="s">
        <v>33</v>
      </c>
      <c r="BA1009" s="18" t="s">
        <v>800</v>
      </c>
      <c r="BB1009" s="3" t="b">
        <v>0</v>
      </c>
      <c r="BC1009" t="s">
        <v>81</v>
      </c>
      <c r="BD1009">
        <v>24</v>
      </c>
      <c r="BE1009" t="s">
        <v>80</v>
      </c>
      <c r="BF1009">
        <v>24</v>
      </c>
      <c r="BG1009" t="s">
        <v>568</v>
      </c>
      <c r="BH1009" t="s">
        <v>31</v>
      </c>
      <c r="BI1009" t="s">
        <v>32</v>
      </c>
      <c r="BJ1009" s="3">
        <f t="shared" si="512"/>
        <v>5.56</v>
      </c>
      <c r="BK1009" s="3">
        <f t="shared" si="521"/>
        <v>0.74507479158205747</v>
      </c>
      <c r="BL1009">
        <v>2</v>
      </c>
      <c r="BM1009" s="3">
        <f t="shared" si="516"/>
        <v>2.2583857405274492</v>
      </c>
      <c r="BN1009" t="s">
        <v>33</v>
      </c>
      <c r="BO1009" s="3">
        <f t="shared" si="500"/>
        <v>181.294964028777</v>
      </c>
      <c r="BP1009" t="s">
        <v>33</v>
      </c>
      <c r="BQ1009" t="s">
        <v>33</v>
      </c>
      <c r="BR1009" t="s">
        <v>33</v>
      </c>
      <c r="BS1009" t="s">
        <v>33</v>
      </c>
      <c r="BT1009" t="s">
        <v>31</v>
      </c>
      <c r="BU1009" t="s">
        <v>668</v>
      </c>
      <c r="BV1009" s="14">
        <v>2009</v>
      </c>
      <c r="BW1009" t="s">
        <v>669</v>
      </c>
      <c r="BX1009" t="s">
        <v>78</v>
      </c>
      <c r="BY1009" s="13" t="s">
        <v>689</v>
      </c>
      <c r="CA1009" t="str">
        <f t="shared" si="501"/>
        <v>high acid</v>
      </c>
    </row>
    <row r="1010" spans="1:79">
      <c r="A1010" t="s">
        <v>397</v>
      </c>
      <c r="B1010" t="s">
        <v>565</v>
      </c>
      <c r="C1010" t="s">
        <v>563</v>
      </c>
      <c r="D1010" t="s">
        <v>118</v>
      </c>
      <c r="E1010" t="s">
        <v>77</v>
      </c>
      <c r="F1010" t="s">
        <v>32</v>
      </c>
      <c r="G1010">
        <v>25</v>
      </c>
      <c r="H1010">
        <v>36</v>
      </c>
      <c r="I1010" t="b">
        <v>0</v>
      </c>
      <c r="J1010" t="s">
        <v>33</v>
      </c>
      <c r="K1010" t="s">
        <v>33</v>
      </c>
      <c r="L1010">
        <v>30</v>
      </c>
      <c r="M1010" s="4">
        <v>150</v>
      </c>
      <c r="N1010" s="3" t="str">
        <f>IFERROR(AF1010/((T1010*X1010/Y1010)*O1010*AI1010),"NA")</f>
        <v>NA</v>
      </c>
      <c r="O1010">
        <v>4</v>
      </c>
      <c r="P1010" t="s">
        <v>33</v>
      </c>
      <c r="Q1010" s="8">
        <f t="shared" si="522"/>
        <v>6.25E-2</v>
      </c>
      <c r="R1010" t="s">
        <v>183</v>
      </c>
      <c r="S1010" t="s">
        <v>613</v>
      </c>
      <c r="T1010" s="11">
        <v>8</v>
      </c>
      <c r="U1010">
        <v>2.9</v>
      </c>
      <c r="V1010">
        <v>2.2999999999999998</v>
      </c>
      <c r="W1010">
        <v>1.2E-2</v>
      </c>
      <c r="X1010" s="8">
        <f>IFERROR(((PI())*(((V1010*10^-1)/2)^2)*(U1010*10^-1)), "NA")</f>
        <v>1.204879322468025E-2</v>
      </c>
      <c r="Y1010" t="s">
        <v>33</v>
      </c>
      <c r="Z1010" s="3">
        <f t="shared" si="517"/>
        <v>0.19278069159488401</v>
      </c>
      <c r="AA1010" t="s">
        <v>33</v>
      </c>
      <c r="AB1010" s="6">
        <f>IFERROR(((X1010*M1010)/Z1010), "NA")</f>
        <v>9.375</v>
      </c>
      <c r="AC1010" t="str">
        <f t="shared" si="519"/>
        <v>NA</v>
      </c>
      <c r="AD1010" s="4">
        <f>AB1010*T1010*AI1010</f>
        <v>75</v>
      </c>
      <c r="AE1010" s="3">
        <f t="shared" si="520"/>
        <v>1144.8</v>
      </c>
      <c r="AF1010">
        <v>300</v>
      </c>
      <c r="AG1010" t="str">
        <f>IFERROR((M1010*O1010*P1010), "NA")</f>
        <v>NA</v>
      </c>
      <c r="AH1010" t="str">
        <f>IFERROR((AG1010*T1010*AI1010), "NA")</f>
        <v>NA</v>
      </c>
      <c r="AI1010">
        <v>1</v>
      </c>
      <c r="AJ1010" t="s">
        <v>31</v>
      </c>
      <c r="AK1010">
        <v>4240</v>
      </c>
      <c r="AL1010" t="s">
        <v>238</v>
      </c>
      <c r="AM1010" t="s">
        <v>86</v>
      </c>
      <c r="AN1010" t="s">
        <v>205</v>
      </c>
      <c r="AO1010" t="s">
        <v>789</v>
      </c>
      <c r="AP1010">
        <v>3.56</v>
      </c>
      <c r="AQ1010" t="s">
        <v>33</v>
      </c>
      <c r="AR1010" t="s">
        <v>33</v>
      </c>
      <c r="AS1010" s="6">
        <f>LOG(10^8)</f>
        <v>8</v>
      </c>
      <c r="AT1010" s="3">
        <f>IFERROR(AS1010-AU1010,"NA")</f>
        <v>5.4459999999999997</v>
      </c>
      <c r="AU1010" s="6">
        <v>2.5539999999999998</v>
      </c>
      <c r="AV1010" t="b">
        <v>1</v>
      </c>
      <c r="AW1010" t="s">
        <v>123</v>
      </c>
      <c r="AX1010" t="s">
        <v>393</v>
      </c>
      <c r="AY1010" t="s">
        <v>394</v>
      </c>
      <c r="AZ1010" t="s">
        <v>33</v>
      </c>
      <c r="BA1010" s="18" t="s">
        <v>579</v>
      </c>
      <c r="BB1010" t="b">
        <v>1</v>
      </c>
      <c r="BC1010" t="s">
        <v>81</v>
      </c>
      <c r="BD1010">
        <v>72</v>
      </c>
      <c r="BE1010" t="s">
        <v>80</v>
      </c>
      <c r="BF1010" s="11">
        <v>72</v>
      </c>
      <c r="BG1010" t="s">
        <v>395</v>
      </c>
      <c r="BH1010" t="s">
        <v>31</v>
      </c>
      <c r="BI1010" t="s">
        <v>31</v>
      </c>
      <c r="BJ1010" s="3">
        <f t="shared" si="512"/>
        <v>2.5539999999999998</v>
      </c>
      <c r="BK1010" s="3">
        <f t="shared" si="521"/>
        <v>0.40722089292739644</v>
      </c>
      <c r="BL1010">
        <v>2</v>
      </c>
      <c r="BM1010" s="3">
        <f t="shared" si="516"/>
        <v>2.6515087278243237</v>
      </c>
      <c r="BN1010" t="s">
        <v>33</v>
      </c>
      <c r="BO1010" s="3">
        <f t="shared" si="500"/>
        <v>448.2380579483164</v>
      </c>
      <c r="BP1010" t="s">
        <v>33</v>
      </c>
      <c r="BQ1010" t="s">
        <v>33</v>
      </c>
      <c r="BR1010" t="s">
        <v>33</v>
      </c>
      <c r="BS1010" t="s">
        <v>33</v>
      </c>
      <c r="BT1010" t="s">
        <v>31</v>
      </c>
      <c r="BU1010" t="s">
        <v>240</v>
      </c>
      <c r="BV1010">
        <v>2005</v>
      </c>
      <c r="BW1010" t="s">
        <v>396</v>
      </c>
      <c r="BX1010" t="s">
        <v>78</v>
      </c>
      <c r="BY1010" t="s">
        <v>33</v>
      </c>
      <c r="BZ1010" t="s">
        <v>33</v>
      </c>
      <c r="CA1010" t="str">
        <f t="shared" si="501"/>
        <v>high acid</v>
      </c>
    </row>
    <row r="1011" spans="1:79">
      <c r="A1011" t="s">
        <v>325</v>
      </c>
      <c r="B1011" t="s">
        <v>565</v>
      </c>
      <c r="C1011" t="s">
        <v>563</v>
      </c>
      <c r="D1011" t="s">
        <v>304</v>
      </c>
      <c r="E1011" t="s">
        <v>77</v>
      </c>
      <c r="F1011" t="s">
        <v>32</v>
      </c>
      <c r="G1011">
        <v>30</v>
      </c>
      <c r="H1011">
        <v>31.1</v>
      </c>
      <c r="I1011" t="b">
        <v>1</v>
      </c>
      <c r="J1011">
        <v>12600</v>
      </c>
      <c r="K1011">
        <v>50.4</v>
      </c>
      <c r="L1011">
        <v>37.6</v>
      </c>
      <c r="M1011" s="4">
        <v>304</v>
      </c>
      <c r="N1011" s="3">
        <f>IFERROR(AF1011/((T1011*X1011/Y1011)*O1011*AI1011),"NA")</f>
        <v>291.26394814203059</v>
      </c>
      <c r="O1011">
        <v>1</v>
      </c>
      <c r="P1011">
        <v>2.4E-2</v>
      </c>
      <c r="Q1011" s="8">
        <f t="shared" si="522"/>
        <v>2.3026315789473683E-2</v>
      </c>
      <c r="R1011" t="s">
        <v>183</v>
      </c>
      <c r="S1011" t="s">
        <v>612</v>
      </c>
      <c r="T1011" s="11">
        <v>1</v>
      </c>
      <c r="U1011">
        <v>3.4</v>
      </c>
      <c r="V1011">
        <v>3</v>
      </c>
      <c r="W1011">
        <v>2.4E-2</v>
      </c>
      <c r="X1011" s="8">
        <f>IFERROR(((PI())*(((V1011*10^-1)/2)^2)*(U1011*10^-1)), "NA")</f>
        <v>2.4033183799961926E-2</v>
      </c>
      <c r="Y1011" s="6">
        <f>1</f>
        <v>1</v>
      </c>
      <c r="Z1011" s="3">
        <f t="shared" si="517"/>
        <v>1.0437268393126322</v>
      </c>
      <c r="AA1011">
        <v>7.3</v>
      </c>
      <c r="AB1011" s="6">
        <f>IFERROR(((X1011*M1011)/Z1011), "NA")</f>
        <v>7</v>
      </c>
      <c r="AC1011">
        <f t="shared" si="519"/>
        <v>7.2960000000000003</v>
      </c>
      <c r="AD1011" s="4">
        <f>IFERROR(AB1011*T1011*AI1011, "NA")</f>
        <v>7</v>
      </c>
      <c r="AE1011" s="3">
        <f t="shared" si="520"/>
        <v>9.8963199999999993</v>
      </c>
      <c r="AF1011">
        <v>7</v>
      </c>
      <c r="AG1011">
        <f>IFERROR((M1011*O1011*P1011), "NA")</f>
        <v>7.2960000000000003</v>
      </c>
      <c r="AH1011">
        <f>IFERROR((AG1011*T1011*AI1011), "NA")</f>
        <v>7.2960000000000003</v>
      </c>
      <c r="AI1011" s="11">
        <v>1</v>
      </c>
      <c r="AJ1011" t="s">
        <v>31</v>
      </c>
      <c r="AK1011">
        <v>1000</v>
      </c>
      <c r="AL1011" t="s">
        <v>169</v>
      </c>
      <c r="AM1011" t="s">
        <v>103</v>
      </c>
      <c r="AN1011" t="s">
        <v>305</v>
      </c>
      <c r="AO1011" t="s">
        <v>790</v>
      </c>
      <c r="AP1011">
        <v>4.5</v>
      </c>
      <c r="AQ1011" t="s">
        <v>33</v>
      </c>
      <c r="AR1011" t="s">
        <v>33</v>
      </c>
      <c r="AS1011" s="6">
        <f>LOG(3*10^7)</f>
        <v>7.4771212547196626</v>
      </c>
      <c r="AT1011" s="3">
        <f>IFERROR(AS1011-AU1011,"NA")</f>
        <v>5.4471212547196632</v>
      </c>
      <c r="AU1011" s="6">
        <v>2.0299999999999998</v>
      </c>
      <c r="AV1011" t="b">
        <v>1</v>
      </c>
      <c r="AW1011" t="s">
        <v>123</v>
      </c>
      <c r="AX1011" t="s">
        <v>88</v>
      </c>
      <c r="AY1011" t="s">
        <v>306</v>
      </c>
      <c r="AZ1011" t="s">
        <v>33</v>
      </c>
      <c r="BA1011" s="18" t="s">
        <v>579</v>
      </c>
      <c r="BB1011" t="b">
        <v>1</v>
      </c>
      <c r="BC1011" t="s">
        <v>81</v>
      </c>
      <c r="BD1011">
        <v>48</v>
      </c>
      <c r="BE1011" t="s">
        <v>80</v>
      </c>
      <c r="BF1011" s="11">
        <v>120</v>
      </c>
      <c r="BG1011" t="s">
        <v>395</v>
      </c>
      <c r="BH1011" t="s">
        <v>31</v>
      </c>
      <c r="BI1011" t="s">
        <v>31</v>
      </c>
      <c r="BJ1011" s="3">
        <f t="shared" si="512"/>
        <v>2.0299999999999998</v>
      </c>
      <c r="BK1011" s="3">
        <f t="shared" si="521"/>
        <v>0.30749603791321289</v>
      </c>
      <c r="BL1011">
        <v>2</v>
      </c>
      <c r="BM1011" s="3">
        <f t="shared" si="516"/>
        <v>0.68797769195636604</v>
      </c>
      <c r="BN1011" t="s">
        <v>33</v>
      </c>
      <c r="BO1011" s="3">
        <f t="shared" si="500"/>
        <v>4.8750344827586209</v>
      </c>
      <c r="BP1011" t="s">
        <v>33</v>
      </c>
      <c r="BQ1011" t="s">
        <v>33</v>
      </c>
      <c r="BR1011" t="s">
        <v>33</v>
      </c>
      <c r="BS1011" t="s">
        <v>33</v>
      </c>
      <c r="BT1011" t="s">
        <v>32</v>
      </c>
      <c r="BU1011" t="s">
        <v>323</v>
      </c>
      <c r="BV1011">
        <v>2003</v>
      </c>
      <c r="BW1011" s="2" t="s">
        <v>322</v>
      </c>
      <c r="BX1011" t="s">
        <v>78</v>
      </c>
      <c r="BY1011" t="s">
        <v>33</v>
      </c>
      <c r="BZ1011" t="s">
        <v>33</v>
      </c>
      <c r="CA1011" t="str">
        <f t="shared" si="501"/>
        <v>high acid</v>
      </c>
    </row>
    <row r="1012" spans="1:79">
      <c r="A1012" t="s">
        <v>594</v>
      </c>
      <c r="B1012" t="s">
        <v>566</v>
      </c>
      <c r="C1012" t="s">
        <v>563</v>
      </c>
      <c r="D1012" t="s">
        <v>33</v>
      </c>
      <c r="E1012" t="s">
        <v>77</v>
      </c>
      <c r="F1012" t="s">
        <v>32</v>
      </c>
      <c r="G1012" t="s">
        <v>33</v>
      </c>
      <c r="H1012">
        <v>30</v>
      </c>
      <c r="I1012" t="b">
        <v>1</v>
      </c>
      <c r="J1012" t="s">
        <v>33</v>
      </c>
      <c r="K1012" t="s">
        <v>33</v>
      </c>
      <c r="L1012">
        <v>30</v>
      </c>
      <c r="M1012" s="4">
        <v>2</v>
      </c>
      <c r="N1012" t="e">
        <f>(#REF!*Y1012)/(T1012*X1012*O1012)</f>
        <v>#REF!</v>
      </c>
      <c r="O1012">
        <v>2</v>
      </c>
      <c r="P1012" t="s">
        <v>33</v>
      </c>
      <c r="Q1012" s="1">
        <f t="shared" si="522"/>
        <v>7.1</v>
      </c>
      <c r="R1012" t="s">
        <v>183</v>
      </c>
      <c r="S1012" t="s">
        <v>613</v>
      </c>
      <c r="T1012">
        <v>1</v>
      </c>
      <c r="U1012">
        <v>5</v>
      </c>
      <c r="V1012" t="s">
        <v>33</v>
      </c>
      <c r="W1012">
        <v>0.71</v>
      </c>
      <c r="X1012">
        <f>W1012</f>
        <v>0.71</v>
      </c>
      <c r="Y1012">
        <v>0.1</v>
      </c>
      <c r="Z1012" s="3">
        <f>Y1012</f>
        <v>0.1</v>
      </c>
      <c r="AA1012" s="3">
        <v>14.8409893992932</v>
      </c>
      <c r="AB1012">
        <f>IFERROR(((X1012*M1012)/Y1012), "NA")</f>
        <v>14.2</v>
      </c>
      <c r="AC1012" s="1" t="str">
        <f t="shared" si="519"/>
        <v>NA</v>
      </c>
      <c r="AE1012" s="3">
        <f t="shared" si="520"/>
        <v>787.24799999999993</v>
      </c>
      <c r="AF1012" t="s">
        <v>33</v>
      </c>
      <c r="AG1012" s="1">
        <f>IFERROR((M1012*O1012*Q1012), "NA")</f>
        <v>28.4</v>
      </c>
      <c r="AH1012" s="1">
        <f>IFERROR((AG1012*U1012*AI1012), "NA")</f>
        <v>568</v>
      </c>
      <c r="AI1012" s="1">
        <v>4</v>
      </c>
      <c r="AJ1012" s="11" t="s">
        <v>31</v>
      </c>
      <c r="AK1012">
        <f>7700</f>
        <v>7700</v>
      </c>
      <c r="AL1012" t="s">
        <v>561</v>
      </c>
      <c r="AM1012" s="3" t="s">
        <v>786</v>
      </c>
      <c r="AN1012" t="s">
        <v>186</v>
      </c>
      <c r="AO1012" t="s">
        <v>793</v>
      </c>
      <c r="AP1012" t="s">
        <v>33</v>
      </c>
      <c r="AQ1012" t="s">
        <v>33</v>
      </c>
      <c r="AR1012" t="s">
        <v>33</v>
      </c>
      <c r="AS1012">
        <v>8</v>
      </c>
      <c r="AT1012">
        <f>AS1012-AU1012</f>
        <v>5.45</v>
      </c>
      <c r="AU1012" s="6">
        <v>2.5499999999999998</v>
      </c>
      <c r="AV1012" t="b">
        <v>1</v>
      </c>
      <c r="AW1012" t="s">
        <v>617</v>
      </c>
      <c r="AX1012" t="s">
        <v>624</v>
      </c>
      <c r="AY1012" t="s">
        <v>622</v>
      </c>
      <c r="AZ1012" t="s">
        <v>33</v>
      </c>
      <c r="BA1012" s="18" t="s">
        <v>802</v>
      </c>
      <c r="BB1012" s="3" t="b">
        <v>0</v>
      </c>
      <c r="BC1012" t="s">
        <v>81</v>
      </c>
      <c r="BD1012">
        <v>18</v>
      </c>
      <c r="BE1012" t="s">
        <v>80</v>
      </c>
      <c r="BF1012">
        <v>24</v>
      </c>
      <c r="BG1012" t="s">
        <v>696</v>
      </c>
      <c r="BH1012" t="s">
        <v>32</v>
      </c>
      <c r="BI1012" t="s">
        <v>31</v>
      </c>
      <c r="BJ1012">
        <f t="shared" si="512"/>
        <v>2.5499999999999998</v>
      </c>
      <c r="BK1012" s="3">
        <f t="shared" si="521"/>
        <v>0.40654018043395512</v>
      </c>
      <c r="BL1012">
        <v>2</v>
      </c>
      <c r="BM1012" s="3">
        <f t="shared" si="516"/>
        <v>2.4895713855528516</v>
      </c>
      <c r="BN1012" t="s">
        <v>33</v>
      </c>
      <c r="BO1012" s="3">
        <f t="shared" si="500"/>
        <v>308.72470588235296</v>
      </c>
      <c r="BP1012" t="s">
        <v>33</v>
      </c>
      <c r="BQ1012" t="s">
        <v>33</v>
      </c>
      <c r="BR1012" t="s">
        <v>33</v>
      </c>
      <c r="BS1012" t="s">
        <v>33</v>
      </c>
      <c r="BT1012" t="s">
        <v>31</v>
      </c>
      <c r="BU1012" t="s">
        <v>338</v>
      </c>
      <c r="BV1012">
        <v>2006</v>
      </c>
      <c r="BW1012" t="s">
        <v>339</v>
      </c>
      <c r="BX1012" t="s">
        <v>78</v>
      </c>
      <c r="BY1012" s="13" t="s">
        <v>682</v>
      </c>
      <c r="CA1012" t="str">
        <f t="shared" si="501"/>
        <v>low acid</v>
      </c>
    </row>
    <row r="1013" spans="1:79">
      <c r="A1013" t="s">
        <v>589</v>
      </c>
      <c r="B1013" t="s">
        <v>566</v>
      </c>
      <c r="C1013" t="s">
        <v>563</v>
      </c>
      <c r="D1013" t="s">
        <v>33</v>
      </c>
      <c r="E1013" t="s">
        <v>77</v>
      </c>
      <c r="F1013" t="s">
        <v>33</v>
      </c>
      <c r="G1013" t="s">
        <v>33</v>
      </c>
      <c r="H1013">
        <v>35</v>
      </c>
      <c r="I1013" t="b">
        <v>0</v>
      </c>
      <c r="J1013" t="s">
        <v>33</v>
      </c>
      <c r="K1013" t="s">
        <v>33</v>
      </c>
      <c r="L1013">
        <v>12</v>
      </c>
      <c r="M1013" s="4">
        <v>1</v>
      </c>
      <c r="N1013" t="e">
        <f>(#REF!*Y1013)/(T1013*X1013*O1013)</f>
        <v>#REF!</v>
      </c>
      <c r="O1013">
        <v>2</v>
      </c>
      <c r="P1013" t="s">
        <v>33</v>
      </c>
      <c r="Q1013" s="1">
        <f t="shared" si="522"/>
        <v>398</v>
      </c>
      <c r="R1013" t="s">
        <v>183</v>
      </c>
      <c r="S1013" t="s">
        <v>613</v>
      </c>
      <c r="T1013">
        <v>1</v>
      </c>
      <c r="U1013">
        <v>2.5</v>
      </c>
      <c r="V1013" t="s">
        <v>33</v>
      </c>
      <c r="W1013">
        <v>0.50249999999999995</v>
      </c>
      <c r="X1013">
        <f>W1013</f>
        <v>0.50249999999999995</v>
      </c>
      <c r="Y1013" t="s">
        <v>33</v>
      </c>
      <c r="Z1013" s="3">
        <f>IFERROR(X1013*M1013*O1013*T1013*AI1013/AF1013, "NA")</f>
        <v>1.2625628140703516E-3</v>
      </c>
      <c r="AA1013" t="s">
        <v>33</v>
      </c>
      <c r="AB1013">
        <f>IFERROR(((X1013*M1013)/Z1013), "NA")</f>
        <v>398</v>
      </c>
      <c r="AC1013" s="1" t="str">
        <f t="shared" si="519"/>
        <v>NA</v>
      </c>
      <c r="AE1013" s="3">
        <f t="shared" si="520"/>
        <v>229.24799999999999</v>
      </c>
      <c r="AF1013">
        <v>796</v>
      </c>
      <c r="AG1013" s="1" t="str">
        <f>IFERROR((N1013*P1013*Q1013), "NA")</f>
        <v>NA</v>
      </c>
      <c r="AH1013" s="1" t="str">
        <f>IFERROR((AG1013*U1013*AI1013), "NA")</f>
        <v>NA</v>
      </c>
      <c r="AI1013" s="1">
        <v>1</v>
      </c>
      <c r="AJ1013" s="11" t="s">
        <v>31</v>
      </c>
      <c r="AK1013">
        <v>2000</v>
      </c>
      <c r="AL1013" t="s">
        <v>616</v>
      </c>
      <c r="AM1013" s="3" t="s">
        <v>103</v>
      </c>
      <c r="AN1013" t="s">
        <v>130</v>
      </c>
      <c r="AO1013" t="s">
        <v>795</v>
      </c>
      <c r="AP1013">
        <v>7</v>
      </c>
      <c r="AQ1013" t="s">
        <v>33</v>
      </c>
      <c r="AR1013" t="s">
        <v>33</v>
      </c>
      <c r="AS1013">
        <v>9</v>
      </c>
      <c r="AT1013">
        <f>AS1013-AU1013</f>
        <v>5.45</v>
      </c>
      <c r="AU1013" s="6">
        <v>3.55</v>
      </c>
      <c r="AV1013" t="b">
        <v>1</v>
      </c>
      <c r="AW1013" t="s">
        <v>617</v>
      </c>
      <c r="AX1013" t="s">
        <v>33</v>
      </c>
      <c r="AY1013" t="s">
        <v>629</v>
      </c>
      <c r="AZ1013" t="s">
        <v>630</v>
      </c>
      <c r="BA1013" s="18" t="s">
        <v>802</v>
      </c>
      <c r="BB1013" s="3" t="b">
        <v>0</v>
      </c>
      <c r="BC1013" t="s">
        <v>81</v>
      </c>
      <c r="BD1013">
        <v>24</v>
      </c>
      <c r="BE1013" t="s">
        <v>80</v>
      </c>
      <c r="BF1013">
        <v>24</v>
      </c>
      <c r="BG1013" t="s">
        <v>644</v>
      </c>
      <c r="BH1013" t="s">
        <v>31</v>
      </c>
      <c r="BI1013" t="s">
        <v>31</v>
      </c>
      <c r="BJ1013">
        <f t="shared" si="512"/>
        <v>3.55</v>
      </c>
      <c r="BK1013" s="3">
        <f t="shared" si="521"/>
        <v>0.5502283530550941</v>
      </c>
      <c r="BL1013">
        <v>2</v>
      </c>
      <c r="BM1013" s="3">
        <f t="shared" si="516"/>
        <v>1.8100772024418059</v>
      </c>
      <c r="BN1013" t="s">
        <v>33</v>
      </c>
      <c r="BO1013" s="3">
        <f t="shared" si="500"/>
        <v>64.576901408450709</v>
      </c>
      <c r="BP1013" t="s">
        <v>33</v>
      </c>
      <c r="BQ1013" t="s">
        <v>33</v>
      </c>
      <c r="BR1013" t="s">
        <v>33</v>
      </c>
      <c r="BS1013" t="s">
        <v>33</v>
      </c>
      <c r="BT1013" t="s">
        <v>31</v>
      </c>
      <c r="BU1013" s="15" t="s">
        <v>655</v>
      </c>
      <c r="BV1013">
        <v>2003</v>
      </c>
      <c r="BW1013" t="s">
        <v>656</v>
      </c>
      <c r="BX1013" t="s">
        <v>78</v>
      </c>
      <c r="BY1013" s="13" t="s">
        <v>677</v>
      </c>
      <c r="CA1013" t="str">
        <f t="shared" si="501"/>
        <v>low acid</v>
      </c>
    </row>
    <row r="1014" spans="1:79">
      <c r="A1014" t="s">
        <v>758</v>
      </c>
      <c r="B1014" t="s">
        <v>565</v>
      </c>
      <c r="C1014" t="s">
        <v>563</v>
      </c>
      <c r="D1014" t="s">
        <v>759</v>
      </c>
      <c r="E1014" t="s">
        <v>77</v>
      </c>
      <c r="F1014" t="s">
        <v>32</v>
      </c>
      <c r="G1014">
        <v>30</v>
      </c>
      <c r="H1014" t="s">
        <v>33</v>
      </c>
      <c r="I1014" t="b">
        <v>0</v>
      </c>
      <c r="J1014" t="s">
        <v>33</v>
      </c>
      <c r="K1014" t="s">
        <v>33</v>
      </c>
      <c r="L1014">
        <v>21.4</v>
      </c>
      <c r="M1014" s="4">
        <v>140</v>
      </c>
      <c r="N1014" s="3" t="str">
        <f>IFERROR(AF1014/((T1014*X1014/Y1014)*O1014*AI1014),"NA")</f>
        <v>NA</v>
      </c>
      <c r="O1014">
        <v>20</v>
      </c>
      <c r="P1014">
        <v>9.4E-2</v>
      </c>
      <c r="Q1014" s="8">
        <f>IFERROR(X1014/Y1014, "NA")</f>
        <v>4.7123889803846894E-2</v>
      </c>
      <c r="R1014" t="s">
        <v>183</v>
      </c>
      <c r="S1014" t="s">
        <v>612</v>
      </c>
      <c r="T1014" s="11">
        <v>2</v>
      </c>
      <c r="U1014">
        <v>10</v>
      </c>
      <c r="V1014">
        <v>10</v>
      </c>
      <c r="W1014">
        <f>1.57/2</f>
        <v>0.78500000000000003</v>
      </c>
      <c r="X1014">
        <f>IFERROR(((PI())*(((V1014*10^-1)/2)^2)*(U1014*10^-1)), "NA")</f>
        <v>0.78539816339744828</v>
      </c>
      <c r="Y1014" s="6">
        <f>60000/3600</f>
        <v>16.666666666666668</v>
      </c>
      <c r="Z1014" s="3" t="str">
        <f>IFERROR(X1014*M1014*O1014*T1014*AI1014/AF1014, "NA")</f>
        <v>NA</v>
      </c>
      <c r="AA1014" t="s">
        <v>33</v>
      </c>
      <c r="AB1014" s="4">
        <f>IFERROR(((X1014*M1014)/Y1014), "NA")</f>
        <v>6.5973445725385647</v>
      </c>
      <c r="AC1014" s="4">
        <f t="shared" si="519"/>
        <v>13.16</v>
      </c>
      <c r="AD1014" s="4">
        <f>AB1014*T1014*AI1014</f>
        <v>13.194689145077129</v>
      </c>
      <c r="AE1014" s="3">
        <f t="shared" si="520"/>
        <v>194.81470846995578</v>
      </c>
      <c r="AF1014" t="s">
        <v>33</v>
      </c>
      <c r="AG1014" s="4">
        <f>IFERROR((M1014*O1014*P1014), "NA")</f>
        <v>263.2</v>
      </c>
      <c r="AH1014" s="4">
        <f>IFERROR((AG1014*T1014*AI1014), "NA")</f>
        <v>526.4</v>
      </c>
      <c r="AI1014">
        <v>1</v>
      </c>
      <c r="AJ1014" s="11" t="s">
        <v>31</v>
      </c>
      <c r="AK1014">
        <v>1612</v>
      </c>
      <c r="AL1014" t="s">
        <v>760</v>
      </c>
      <c r="AM1014" t="s">
        <v>103</v>
      </c>
      <c r="AN1014" t="s">
        <v>130</v>
      </c>
      <c r="AO1014" t="s">
        <v>795</v>
      </c>
      <c r="AP1014">
        <v>6.5</v>
      </c>
      <c r="AQ1014" t="s">
        <v>33</v>
      </c>
      <c r="AR1014" t="s">
        <v>33</v>
      </c>
      <c r="AS1014">
        <v>6</v>
      </c>
      <c r="AT1014" s="3">
        <f>IFERROR(AS1014-AU1014,"NA")</f>
        <v>5.4569999999999999</v>
      </c>
      <c r="AU1014" s="6">
        <v>0.54300000000000004</v>
      </c>
      <c r="AV1014" t="b">
        <v>1</v>
      </c>
      <c r="AW1014" t="s">
        <v>470</v>
      </c>
      <c r="AX1014" t="s">
        <v>464</v>
      </c>
      <c r="AY1014" t="s">
        <v>33</v>
      </c>
      <c r="AZ1014" t="s">
        <v>33</v>
      </c>
      <c r="BA1014" s="18" t="s">
        <v>579</v>
      </c>
      <c r="BB1014" s="3" t="b">
        <v>1</v>
      </c>
      <c r="BC1014" t="s">
        <v>81</v>
      </c>
      <c r="BD1014">
        <v>24</v>
      </c>
      <c r="BE1014" t="s">
        <v>80</v>
      </c>
      <c r="BF1014">
        <v>24</v>
      </c>
      <c r="BG1014" t="s">
        <v>139</v>
      </c>
      <c r="BH1014" t="s">
        <v>31</v>
      </c>
      <c r="BI1014" t="s">
        <v>31</v>
      </c>
      <c r="BJ1014" s="3">
        <f t="shared" si="512"/>
        <v>0.54300000000000004</v>
      </c>
      <c r="BK1014" s="3">
        <f t="shared" si="521"/>
        <v>-0.26520017041115301</v>
      </c>
      <c r="BL1014">
        <v>2</v>
      </c>
      <c r="BM1014" s="3">
        <f t="shared" si="516"/>
        <v>2.5548219133346217</v>
      </c>
      <c r="BN1014" t="s">
        <v>33</v>
      </c>
      <c r="BO1014" s="3">
        <f t="shared" si="500"/>
        <v>358.77478539586696</v>
      </c>
      <c r="BP1014" t="s">
        <v>33</v>
      </c>
      <c r="BQ1014" t="s">
        <v>33</v>
      </c>
      <c r="BR1014" t="s">
        <v>33</v>
      </c>
      <c r="BS1014" t="s">
        <v>33</v>
      </c>
      <c r="BT1014" t="s">
        <v>32</v>
      </c>
      <c r="BU1014" t="s">
        <v>761</v>
      </c>
      <c r="BV1014">
        <v>2024</v>
      </c>
      <c r="BW1014" t="s">
        <v>762</v>
      </c>
      <c r="BX1014" t="s">
        <v>78</v>
      </c>
      <c r="BY1014" t="s">
        <v>763</v>
      </c>
      <c r="CA1014" t="str">
        <f t="shared" si="501"/>
        <v>low acid</v>
      </c>
    </row>
    <row r="1015" spans="1:79">
      <c r="A1015" t="s">
        <v>455</v>
      </c>
      <c r="B1015" t="s">
        <v>565</v>
      </c>
      <c r="C1015" t="s">
        <v>563</v>
      </c>
      <c r="D1015" t="s">
        <v>182</v>
      </c>
      <c r="E1015" t="s">
        <v>77</v>
      </c>
      <c r="F1015" t="s">
        <v>32</v>
      </c>
      <c r="G1015">
        <v>18</v>
      </c>
      <c r="H1015">
        <v>47</v>
      </c>
      <c r="I1015" t="b">
        <v>1</v>
      </c>
      <c r="J1015" t="s">
        <v>33</v>
      </c>
      <c r="K1015" t="s">
        <v>33</v>
      </c>
      <c r="L1015">
        <v>27</v>
      </c>
      <c r="M1015" s="4" t="s">
        <v>33</v>
      </c>
      <c r="N1015" s="3">
        <f>IFERROR(AF1015/((T1015*X1015/Y1015)*O1015*AI1015),"NA")</f>
        <v>220.85360391328314</v>
      </c>
      <c r="O1015">
        <v>10</v>
      </c>
      <c r="P1015">
        <f>0.047/2</f>
        <v>2.35E-2</v>
      </c>
      <c r="Q1015" s="8">
        <f>IFERROR(X1015/Z1015, "NA")</f>
        <v>2.3318614270936313E-2</v>
      </c>
      <c r="R1015" t="s">
        <v>183</v>
      </c>
      <c r="S1015" t="s">
        <v>613</v>
      </c>
      <c r="T1015" s="11">
        <v>2</v>
      </c>
      <c r="U1015">
        <v>5.6</v>
      </c>
      <c r="V1015">
        <v>4.5</v>
      </c>
      <c r="W1015" t="s">
        <v>33</v>
      </c>
      <c r="X1015" s="9">
        <f>IFERROR(((PI())*(((V1015*10^-1)/2)^2)*(U1015*10^-1)), "NA")</f>
        <v>8.9064151729270638E-2</v>
      </c>
      <c r="Y1015" s="6">
        <f>13750/3600</f>
        <v>3.8194444444444446</v>
      </c>
      <c r="Z1015" s="3">
        <f>IFERROR(X1015*N1015*O1015*T1015*AI1015/AF1015, "NA")</f>
        <v>3.8194444444444442</v>
      </c>
      <c r="AA1015" t="s">
        <v>33</v>
      </c>
      <c r="AB1015" s="4">
        <f>IFERROR(((X1015*N1015)/Y1015), "NA")</f>
        <v>5.1499999999999995</v>
      </c>
      <c r="AC1015" s="4">
        <f>IFERROR(N1015*P1015,"NA")</f>
        <v>5.190059691962154</v>
      </c>
      <c r="AD1015" s="4">
        <f>IFERROR(AB1015*T1015*AI1015, "NA")</f>
        <v>10.299999999999999</v>
      </c>
      <c r="AE1015" s="3">
        <f>IFERROR(((L1015^2)*N1015*O1015*AK1015*10^-6*Q1015*T1015*AI1015), "NA")</f>
        <v>172.70010000000002</v>
      </c>
      <c r="AF1015">
        <v>103</v>
      </c>
      <c r="AG1015" s="4">
        <f>IFERROR((N1015*O1015*P1015), "NA")</f>
        <v>51.900596919621535</v>
      </c>
      <c r="AH1015" s="4">
        <f>IFERROR((AG1015*T1015*AI1015), "NA")</f>
        <v>103.80119383924307</v>
      </c>
      <c r="AI1015" s="11">
        <v>1</v>
      </c>
      <c r="AJ1015" t="s">
        <v>31</v>
      </c>
      <c r="AK1015">
        <v>2300</v>
      </c>
      <c r="AL1015" t="s">
        <v>805</v>
      </c>
      <c r="AM1015" t="s">
        <v>515</v>
      </c>
      <c r="AN1015" t="s">
        <v>205</v>
      </c>
      <c r="AO1015" t="s">
        <v>788</v>
      </c>
      <c r="AP1015">
        <v>3.68</v>
      </c>
      <c r="AQ1015" t="s">
        <v>33</v>
      </c>
      <c r="AR1015" t="s">
        <v>33</v>
      </c>
      <c r="AS1015">
        <f>LOG(10^8)</f>
        <v>8</v>
      </c>
      <c r="AT1015" s="3">
        <f>IFERROR(AS1015-AU1015,"NA")</f>
        <v>5.46</v>
      </c>
      <c r="AU1015" s="6">
        <v>2.54</v>
      </c>
      <c r="AV1015" t="b">
        <v>1</v>
      </c>
      <c r="AW1015" t="s">
        <v>233</v>
      </c>
      <c r="AX1015" t="s">
        <v>234</v>
      </c>
      <c r="AY1015" t="s">
        <v>473</v>
      </c>
      <c r="AZ1015" t="s">
        <v>33</v>
      </c>
      <c r="BA1015" s="18" t="s">
        <v>579</v>
      </c>
      <c r="BB1015" t="b">
        <v>1</v>
      </c>
      <c r="BC1015" t="s">
        <v>81</v>
      </c>
      <c r="BD1015" t="s">
        <v>33</v>
      </c>
      <c r="BE1015" t="s">
        <v>80</v>
      </c>
      <c r="BF1015" t="s">
        <v>33</v>
      </c>
      <c r="BG1015" t="s">
        <v>395</v>
      </c>
      <c r="BH1015" t="s">
        <v>31</v>
      </c>
      <c r="BI1015" t="s">
        <v>31</v>
      </c>
      <c r="BJ1015" s="3">
        <f t="shared" si="512"/>
        <v>2.54</v>
      </c>
      <c r="BK1015" s="3">
        <f t="shared" si="521"/>
        <v>0.40483371661993806</v>
      </c>
      <c r="BL1015">
        <v>2</v>
      </c>
      <c r="BM1015" s="3">
        <f t="shared" si="516"/>
        <v>1.8324588724208017</v>
      </c>
      <c r="BN1015" t="s">
        <v>33</v>
      </c>
      <c r="BO1015" s="3">
        <f t="shared" si="500"/>
        <v>67.992165354330709</v>
      </c>
      <c r="BP1015" t="s">
        <v>33</v>
      </c>
      <c r="BQ1015" t="s">
        <v>33</v>
      </c>
      <c r="BR1015" t="s">
        <v>33</v>
      </c>
      <c r="BS1015" t="s">
        <v>33</v>
      </c>
      <c r="BT1015" t="s">
        <v>32</v>
      </c>
      <c r="BU1015" t="s">
        <v>484</v>
      </c>
      <c r="BV1015">
        <v>2015</v>
      </c>
      <c r="BW1015" t="s">
        <v>485</v>
      </c>
      <c r="BX1015" t="s">
        <v>78</v>
      </c>
      <c r="BY1015" t="s">
        <v>486</v>
      </c>
      <c r="CA1015" t="str">
        <f t="shared" si="501"/>
        <v>high acid</v>
      </c>
    </row>
    <row r="1016" spans="1:79">
      <c r="A1016" t="s">
        <v>584</v>
      </c>
      <c r="B1016" t="s">
        <v>566</v>
      </c>
      <c r="C1016" t="s">
        <v>563</v>
      </c>
      <c r="D1016" t="s">
        <v>607</v>
      </c>
      <c r="E1016" t="s">
        <v>77</v>
      </c>
      <c r="F1016" t="s">
        <v>33</v>
      </c>
      <c r="G1016">
        <v>20</v>
      </c>
      <c r="H1016">
        <v>35</v>
      </c>
      <c r="I1016" t="b">
        <v>0</v>
      </c>
      <c r="J1016">
        <v>1000</v>
      </c>
      <c r="K1016">
        <v>200</v>
      </c>
      <c r="L1016">
        <v>25</v>
      </c>
      <c r="M1016" s="4">
        <v>1</v>
      </c>
      <c r="N1016" t="e">
        <f>(#REF!*Y1016)/(T1016*X1016*O1016)</f>
        <v>#REF!</v>
      </c>
      <c r="O1016">
        <v>3</v>
      </c>
      <c r="P1016" t="s">
        <v>33</v>
      </c>
      <c r="Q1016" s="1">
        <f>IFERROR(X1016/Z1016, "NA")</f>
        <v>25.000000000000004</v>
      </c>
      <c r="R1016" t="s">
        <v>183</v>
      </c>
      <c r="S1016" t="s">
        <v>33</v>
      </c>
      <c r="T1016">
        <v>1</v>
      </c>
      <c r="U1016">
        <v>2.5</v>
      </c>
      <c r="V1016" t="s">
        <v>33</v>
      </c>
      <c r="W1016">
        <v>0.50249999999999995</v>
      </c>
      <c r="X1016">
        <f>W1016</f>
        <v>0.50249999999999995</v>
      </c>
      <c r="Y1016" t="s">
        <v>33</v>
      </c>
      <c r="Z1016" s="3">
        <f>IFERROR(X1016*M1016*O1016*T1016*AI1016/AF1016, "NA")</f>
        <v>2.0099999999999996E-2</v>
      </c>
      <c r="AA1016" t="s">
        <v>33</v>
      </c>
      <c r="AB1016">
        <f>IFERROR(((X1016*M1016)/Z1016), "NA")</f>
        <v>25.000000000000004</v>
      </c>
      <c r="AC1016" s="1" t="str">
        <f t="shared" ref="AC1016:AC1046" si="523">IFERROR(M1016*P1016,"NA")</f>
        <v>NA</v>
      </c>
      <c r="AE1016" s="3">
        <f t="shared" ref="AE1016:AE1047" si="524">IFERROR(((L1016^2)*M1016*O1016*AK1016*10^-6*Q1016*T1016*AI1016), "NA")</f>
        <v>46.875000000000007</v>
      </c>
      <c r="AF1016">
        <v>75</v>
      </c>
      <c r="AG1016" s="1" t="str">
        <f>IFERROR((N1016*P1016*Q1016), "NA")</f>
        <v>NA</v>
      </c>
      <c r="AH1016" s="1" t="str">
        <f>IFERROR((AG1016*U1016*AI1016), "NA")</f>
        <v>NA</v>
      </c>
      <c r="AI1016" s="1">
        <v>1</v>
      </c>
      <c r="AJ1016" s="11" t="s">
        <v>31</v>
      </c>
      <c r="AK1016">
        <v>1000</v>
      </c>
      <c r="AL1016" t="s">
        <v>614</v>
      </c>
      <c r="AM1016" s="3" t="s">
        <v>103</v>
      </c>
      <c r="AN1016" t="s">
        <v>305</v>
      </c>
      <c r="AO1016" t="s">
        <v>790</v>
      </c>
      <c r="AP1016">
        <v>3.5</v>
      </c>
      <c r="AQ1016" t="s">
        <v>33</v>
      </c>
      <c r="AR1016" t="s">
        <v>33</v>
      </c>
      <c r="AS1016">
        <v>8</v>
      </c>
      <c r="AT1016">
        <f>AS1016-AU1016</f>
        <v>5.46</v>
      </c>
      <c r="AU1016" s="6">
        <v>2.54</v>
      </c>
      <c r="AV1016" t="b">
        <v>1</v>
      </c>
      <c r="AW1016" t="s">
        <v>617</v>
      </c>
      <c r="AX1016" t="s">
        <v>33</v>
      </c>
      <c r="AY1016" t="s">
        <v>623</v>
      </c>
      <c r="AZ1016" t="s">
        <v>621</v>
      </c>
      <c r="BA1016" s="18" t="s">
        <v>802</v>
      </c>
      <c r="BB1016" s="3" t="b">
        <v>0</v>
      </c>
      <c r="BC1016" t="s">
        <v>81</v>
      </c>
      <c r="BD1016">
        <v>18</v>
      </c>
      <c r="BE1016" t="s">
        <v>80</v>
      </c>
      <c r="BF1016">
        <v>24</v>
      </c>
      <c r="BG1016" t="s">
        <v>569</v>
      </c>
      <c r="BH1016" t="s">
        <v>31</v>
      </c>
      <c r="BI1016" t="s">
        <v>31</v>
      </c>
      <c r="BJ1016">
        <f t="shared" si="512"/>
        <v>2.54</v>
      </c>
      <c r="BK1016" s="3">
        <f t="shared" si="521"/>
        <v>0.40483371661993806</v>
      </c>
      <c r="BL1016">
        <v>2</v>
      </c>
      <c r="BM1016" s="3">
        <f t="shared" si="516"/>
        <v>1.2661075641158372</v>
      </c>
      <c r="BN1016" t="s">
        <v>33</v>
      </c>
      <c r="BO1016" s="3">
        <f t="shared" si="500"/>
        <v>18.454724409448822</v>
      </c>
      <c r="BP1016" t="s">
        <v>33</v>
      </c>
      <c r="BQ1016" t="s">
        <v>33</v>
      </c>
      <c r="BR1016" t="s">
        <v>33</v>
      </c>
      <c r="BS1016" t="s">
        <v>33</v>
      </c>
      <c r="BT1016" t="s">
        <v>31</v>
      </c>
      <c r="BU1016" t="s">
        <v>255</v>
      </c>
      <c r="BV1016">
        <v>2010</v>
      </c>
      <c r="BW1016" t="s">
        <v>651</v>
      </c>
      <c r="BX1016" t="s">
        <v>78</v>
      </c>
      <c r="BY1016" s="13" t="s">
        <v>674</v>
      </c>
      <c r="CA1016" t="str">
        <f t="shared" si="501"/>
        <v>high acid</v>
      </c>
    </row>
    <row r="1017" spans="1:79">
      <c r="A1017" t="s">
        <v>224</v>
      </c>
      <c r="B1017" t="s">
        <v>565</v>
      </c>
      <c r="C1017" t="s">
        <v>563</v>
      </c>
      <c r="D1017" t="s">
        <v>118</v>
      </c>
      <c r="E1017" t="s">
        <v>77</v>
      </c>
      <c r="F1017" t="s">
        <v>32</v>
      </c>
      <c r="G1017">
        <v>5</v>
      </c>
      <c r="H1017">
        <v>30.3</v>
      </c>
      <c r="I1017" t="b">
        <v>0</v>
      </c>
      <c r="J1017" t="s">
        <v>33</v>
      </c>
      <c r="K1017" t="s">
        <v>33</v>
      </c>
      <c r="L1017">
        <v>35</v>
      </c>
      <c r="M1017" s="4">
        <v>250</v>
      </c>
      <c r="N1017" s="3">
        <f>IFERROR(AF1017/((T1017*X1017/Y1017)*O1017*AI1017),"NA")</f>
        <v>5366.3671133845755</v>
      </c>
      <c r="O1017">
        <v>4</v>
      </c>
      <c r="P1017" t="s">
        <v>33</v>
      </c>
      <c r="Q1017">
        <f>IFERROR(X1017/Z1017, "NA")</f>
        <v>0.15625</v>
      </c>
      <c r="R1017" t="s">
        <v>183</v>
      </c>
      <c r="S1017" t="s">
        <v>613</v>
      </c>
      <c r="T1017" s="11">
        <v>8</v>
      </c>
      <c r="U1017">
        <v>2.92</v>
      </c>
      <c r="V1017">
        <v>2.2999999999999998</v>
      </c>
      <c r="W1017">
        <v>1.21E-2</v>
      </c>
      <c r="X1017" s="8">
        <f>IFERROR(((PI())*(((V1017*10^-1)/2)^2)*(U1017*10^-1)), "NA")</f>
        <v>1.2131888350367701E-2</v>
      </c>
      <c r="Y1017" s="6">
        <f>100/60</f>
        <v>1.6666666666666667</v>
      </c>
      <c r="Z1017" s="3">
        <f>IFERROR(X1017*M1017*O1017*T1017*AI1017/AF1017, "NA")</f>
        <v>7.7644085442353281E-2</v>
      </c>
      <c r="AA1017" t="s">
        <v>33</v>
      </c>
      <c r="AB1017" s="6">
        <f>IFERROR(((X1017*M1017)/Z1017), "NA")</f>
        <v>39.0625</v>
      </c>
      <c r="AC1017" t="str">
        <f t="shared" si="523"/>
        <v>NA</v>
      </c>
      <c r="AD1017" s="4">
        <f>AB1017*T1017*AI1017</f>
        <v>312.5</v>
      </c>
      <c r="AE1017" s="3">
        <f t="shared" si="524"/>
        <v>5604.375</v>
      </c>
      <c r="AF1017">
        <v>1250</v>
      </c>
      <c r="AG1017" t="str">
        <f>IFERROR((M1017*O1017*P1017), "NA")</f>
        <v>NA</v>
      </c>
      <c r="AH1017" t="str">
        <f>IFERROR((AG1017*T1017*AI1017), "NA")</f>
        <v>NA</v>
      </c>
      <c r="AI1017">
        <v>1</v>
      </c>
      <c r="AJ1017" t="s">
        <v>31</v>
      </c>
      <c r="AK1017">
        <v>3660</v>
      </c>
      <c r="AL1017" t="s">
        <v>541</v>
      </c>
      <c r="AM1017" t="s">
        <v>86</v>
      </c>
      <c r="AN1017" t="s">
        <v>186</v>
      </c>
      <c r="AO1017" t="s">
        <v>794</v>
      </c>
      <c r="AP1017">
        <v>5.46</v>
      </c>
      <c r="AQ1017" t="s">
        <v>33</v>
      </c>
      <c r="AR1017" t="s">
        <v>33</v>
      </c>
      <c r="AS1017" s="6">
        <f>LOG((10^7+10^8)/2)</f>
        <v>7.7403626894942441</v>
      </c>
      <c r="AT1017" s="3">
        <f>IFERROR(AS1017-AU1017,"NA")</f>
        <v>5.4673626894942444</v>
      </c>
      <c r="AU1017" s="6">
        <v>2.2730000000000001</v>
      </c>
      <c r="AV1017" t="b">
        <v>1</v>
      </c>
      <c r="AW1017" t="s">
        <v>92</v>
      </c>
      <c r="AX1017" t="s">
        <v>93</v>
      </c>
      <c r="AY1017" s="10">
        <v>1131</v>
      </c>
      <c r="AZ1017" t="s">
        <v>33</v>
      </c>
      <c r="BA1017" s="18" t="s">
        <v>801</v>
      </c>
      <c r="BB1017" t="b">
        <v>0</v>
      </c>
      <c r="BC1017" t="s">
        <v>81</v>
      </c>
      <c r="BD1017">
        <f>(16+14)/2</f>
        <v>15</v>
      </c>
      <c r="BE1017" t="s">
        <v>80</v>
      </c>
      <c r="BF1017" t="s">
        <v>33</v>
      </c>
      <c r="BG1017" t="s">
        <v>573</v>
      </c>
      <c r="BH1017" t="s">
        <v>31</v>
      </c>
      <c r="BI1017" t="s">
        <v>31</v>
      </c>
      <c r="BJ1017" s="3">
        <f t="shared" si="512"/>
        <v>2.2730000000000001</v>
      </c>
      <c r="BK1017" s="3">
        <f t="shared" si="521"/>
        <v>0.35659943572497083</v>
      </c>
      <c r="BL1017">
        <v>2</v>
      </c>
      <c r="BM1017" s="3">
        <f t="shared" si="516"/>
        <v>3.3919277513780477</v>
      </c>
      <c r="BN1017" t="s">
        <v>33</v>
      </c>
      <c r="BO1017" s="3">
        <f t="shared" si="500"/>
        <v>2465.6291245050593</v>
      </c>
      <c r="BP1017" t="s">
        <v>33</v>
      </c>
      <c r="BQ1017" t="s">
        <v>33</v>
      </c>
      <c r="BR1017" t="s">
        <v>33</v>
      </c>
      <c r="BS1017" t="s">
        <v>33</v>
      </c>
      <c r="BT1017" t="s">
        <v>31</v>
      </c>
      <c r="BU1017" t="s">
        <v>219</v>
      </c>
      <c r="BV1017">
        <v>2007</v>
      </c>
      <c r="BW1017" t="s">
        <v>218</v>
      </c>
      <c r="BX1017" t="s">
        <v>78</v>
      </c>
      <c r="BY1017" t="s">
        <v>33</v>
      </c>
      <c r="BZ1017" t="s">
        <v>33</v>
      </c>
      <c r="CA1017" t="str">
        <f t="shared" si="501"/>
        <v>low acid</v>
      </c>
    </row>
    <row r="1018" spans="1:79">
      <c r="A1018" t="s">
        <v>311</v>
      </c>
      <c r="B1018" t="s">
        <v>565</v>
      </c>
      <c r="C1018" t="s">
        <v>563</v>
      </c>
      <c r="D1018" t="s">
        <v>33</v>
      </c>
      <c r="E1018" t="s">
        <v>77</v>
      </c>
      <c r="F1018" t="s">
        <v>32</v>
      </c>
      <c r="G1018">
        <v>5</v>
      </c>
      <c r="H1018">
        <v>52</v>
      </c>
      <c r="I1018" t="b">
        <v>0</v>
      </c>
      <c r="J1018" t="s">
        <v>33</v>
      </c>
      <c r="K1018" t="s">
        <v>33</v>
      </c>
      <c r="L1018">
        <v>50</v>
      </c>
      <c r="M1018" s="4">
        <v>60</v>
      </c>
      <c r="N1018" s="3">
        <f>IFERROR(AF1018/((T1018*X1018/Y1018)*O1018*AI1018),"NA")</f>
        <v>59.523809523809526</v>
      </c>
      <c r="O1018">
        <v>3.5</v>
      </c>
      <c r="P1018" t="s">
        <v>33</v>
      </c>
      <c r="Q1018">
        <f>IFERROR(X1018/Z1018, "NA")</f>
        <v>3.7500000000000006E-2</v>
      </c>
      <c r="R1018" t="s">
        <v>278</v>
      </c>
      <c r="S1018" t="s">
        <v>613</v>
      </c>
      <c r="T1018" s="11">
        <v>2</v>
      </c>
      <c r="U1018" t="s">
        <v>33</v>
      </c>
      <c r="V1018" t="s">
        <v>33</v>
      </c>
      <c r="W1018">
        <v>1.26E-2</v>
      </c>
      <c r="X1018" s="8">
        <f t="shared" ref="X1018:X1023" si="525">W1018</f>
        <v>1.26E-2</v>
      </c>
      <c r="Y1018" s="6">
        <f>20/60</f>
        <v>0.33333333333333331</v>
      </c>
      <c r="Z1018" s="3">
        <f>IFERROR(X1018*M1018*O1018*T1018*AI1018/AF1018, "NA")</f>
        <v>0.33599999999999997</v>
      </c>
      <c r="AA1018">
        <f>4.5/2</f>
        <v>2.25</v>
      </c>
      <c r="AB1018" s="6">
        <f>IFERROR(((X1018*M1018)/Y1018), "NA")</f>
        <v>2.2680000000000002</v>
      </c>
      <c r="AC1018" t="str">
        <f t="shared" si="523"/>
        <v>NA</v>
      </c>
      <c r="AD1018" s="4">
        <f>IFERROR(AB1018*T1018*AI1018, "NA")</f>
        <v>4.5360000000000005</v>
      </c>
      <c r="AE1018" s="3">
        <f t="shared" si="524"/>
        <v>92.925000000000011</v>
      </c>
      <c r="AF1018">
        <f>AA1018*O1018*T1018</f>
        <v>15.75</v>
      </c>
      <c r="AG1018" t="str">
        <f>IFERROR((M1018*O1018*P1018), "NA")</f>
        <v>NA</v>
      </c>
      <c r="AH1018" t="str">
        <f>IFERROR((AG1018*T1018*AI1018), "NA")</f>
        <v>NA</v>
      </c>
      <c r="AI1018">
        <v>1</v>
      </c>
      <c r="AJ1018" t="s">
        <v>31</v>
      </c>
      <c r="AK1018">
        <v>2360</v>
      </c>
      <c r="AL1018" t="s">
        <v>149</v>
      </c>
      <c r="AM1018" t="s">
        <v>86</v>
      </c>
      <c r="AN1018" t="s">
        <v>205</v>
      </c>
      <c r="AO1018" t="s">
        <v>789</v>
      </c>
      <c r="AP1018">
        <v>3.8</v>
      </c>
      <c r="AQ1018" t="s">
        <v>33</v>
      </c>
      <c r="AR1018" t="s">
        <v>33</v>
      </c>
      <c r="AS1018" s="3">
        <f>LOG(10^6)</f>
        <v>6</v>
      </c>
      <c r="AT1018" s="3">
        <f>IFERROR(AS1018-AU1018,"NA")</f>
        <v>5.4719999999999995</v>
      </c>
      <c r="AU1018" s="6">
        <v>0.52800000000000002</v>
      </c>
      <c r="AV1018" t="b">
        <v>1</v>
      </c>
      <c r="AW1018" t="s">
        <v>29</v>
      </c>
      <c r="AX1018" t="s">
        <v>30</v>
      </c>
      <c r="AY1018" t="s">
        <v>307</v>
      </c>
      <c r="AZ1018" t="s">
        <v>33</v>
      </c>
      <c r="BA1018" s="18" t="s">
        <v>798</v>
      </c>
      <c r="BB1018" t="b">
        <v>0</v>
      </c>
      <c r="BC1018" t="s">
        <v>81</v>
      </c>
      <c r="BD1018">
        <v>18</v>
      </c>
      <c r="BE1018" t="s">
        <v>80</v>
      </c>
      <c r="BF1018" s="11">
        <v>48</v>
      </c>
      <c r="BG1018" t="s">
        <v>308</v>
      </c>
      <c r="BH1018" t="s">
        <v>31</v>
      </c>
      <c r="BI1018" t="s">
        <v>31</v>
      </c>
      <c r="BJ1018" s="3">
        <f t="shared" si="512"/>
        <v>0.52800000000000002</v>
      </c>
      <c r="BK1018" s="3">
        <f t="shared" si="521"/>
        <v>-0.27736607746618774</v>
      </c>
      <c r="BL1018">
        <v>2</v>
      </c>
      <c r="BM1018" s="3">
        <f t="shared" si="516"/>
        <v>2.2454986472339513</v>
      </c>
      <c r="BN1018" t="s">
        <v>33</v>
      </c>
      <c r="BO1018" s="3">
        <f t="shared" si="500"/>
        <v>175.99431818181819</v>
      </c>
      <c r="BP1018" t="s">
        <v>33</v>
      </c>
      <c r="BQ1018" t="s">
        <v>33</v>
      </c>
      <c r="BR1018" t="s">
        <v>33</v>
      </c>
      <c r="BS1018" t="s">
        <v>33</v>
      </c>
      <c r="BT1018" t="s">
        <v>31</v>
      </c>
      <c r="BU1018" t="s">
        <v>309</v>
      </c>
      <c r="BV1018">
        <v>2011</v>
      </c>
      <c r="BW1018" s="2" t="s">
        <v>312</v>
      </c>
      <c r="BX1018" t="s">
        <v>78</v>
      </c>
      <c r="BY1018" t="s">
        <v>310</v>
      </c>
      <c r="BZ1018" t="s">
        <v>33</v>
      </c>
      <c r="CA1018" t="str">
        <f t="shared" si="501"/>
        <v>high acid</v>
      </c>
    </row>
    <row r="1019" spans="1:79">
      <c r="A1019" t="s">
        <v>764</v>
      </c>
      <c r="B1019" t="s">
        <v>566</v>
      </c>
      <c r="C1019" t="s">
        <v>563</v>
      </c>
      <c r="D1019" t="s">
        <v>765</v>
      </c>
      <c r="E1019" t="s">
        <v>77</v>
      </c>
      <c r="F1019" t="s">
        <v>31</v>
      </c>
      <c r="G1019">
        <v>22</v>
      </c>
      <c r="H1019">
        <v>34</v>
      </c>
      <c r="I1019" t="b">
        <v>0</v>
      </c>
      <c r="J1019" t="s">
        <v>33</v>
      </c>
      <c r="K1019" t="s">
        <v>33</v>
      </c>
      <c r="L1019">
        <v>16</v>
      </c>
      <c r="M1019" s="4">
        <f>N1019</f>
        <v>34.737654320987659</v>
      </c>
      <c r="N1019" s="3">
        <f>IFERROR(AF1019/((T1019*X1019/Y1019)*O1019*AI1019),"NA")</f>
        <v>34.737654320987659</v>
      </c>
      <c r="O1019">
        <v>3</v>
      </c>
      <c r="P1019">
        <v>4.3</v>
      </c>
      <c r="Q1019" s="8">
        <f>IFERROR(X1019/Y1019, "NA")</f>
        <v>4.3199999999999994</v>
      </c>
      <c r="R1019" t="s">
        <v>183</v>
      </c>
      <c r="S1019" t="s">
        <v>33</v>
      </c>
      <c r="T1019" s="11">
        <v>1</v>
      </c>
      <c r="U1019">
        <v>8.1000000000000003E-2</v>
      </c>
      <c r="V1019" t="s">
        <v>33</v>
      </c>
      <c r="W1019">
        <v>7.1999999999999998E-3</v>
      </c>
      <c r="X1019">
        <f t="shared" si="525"/>
        <v>7.1999999999999998E-3</v>
      </c>
      <c r="Y1019" s="6">
        <f>0.1/60</f>
        <v>1.6666666666666668E-3</v>
      </c>
      <c r="Z1019" s="6">
        <f>Y1019</f>
        <v>1.6666666666666668E-3</v>
      </c>
      <c r="AA1019" t="s">
        <v>33</v>
      </c>
      <c r="AB1019" s="4">
        <f>IFERROR(((X1019*M1019)/Y1019), "NA")</f>
        <v>150.06666666666666</v>
      </c>
      <c r="AC1019" s="4">
        <f t="shared" si="523"/>
        <v>149.37191358024694</v>
      </c>
      <c r="AD1019" s="4">
        <f>AB1019*T1019*AI1019</f>
        <v>150.06666666666666</v>
      </c>
      <c r="AE1019" s="3">
        <f t="shared" si="524"/>
        <v>345.75359999999995</v>
      </c>
      <c r="AF1019">
        <v>450.2</v>
      </c>
      <c r="AG1019" s="4">
        <f>IFERROR((M1019*O1019*P1019), "NA")</f>
        <v>448.11574074074076</v>
      </c>
      <c r="AH1019" s="4">
        <f>IFERROR((AG1019*T1019*AI1019), "NA")</f>
        <v>448.11574074074076</v>
      </c>
      <c r="AI1019">
        <v>1</v>
      </c>
      <c r="AJ1019" s="11" t="s">
        <v>31</v>
      </c>
      <c r="AK1019">
        <v>3000</v>
      </c>
      <c r="AL1019" t="s">
        <v>169</v>
      </c>
      <c r="AM1019" t="s">
        <v>103</v>
      </c>
      <c r="AN1019" t="s">
        <v>130</v>
      </c>
      <c r="AO1019" t="s">
        <v>795</v>
      </c>
      <c r="AP1019">
        <v>7.3</v>
      </c>
      <c r="AQ1019" t="s">
        <v>33</v>
      </c>
      <c r="AR1019" t="s">
        <v>33</v>
      </c>
      <c r="AS1019">
        <v>7</v>
      </c>
      <c r="AT1019" s="3">
        <f>IFERROR(AS1019-AU1019,"NA")</f>
        <v>5.4790000000000001</v>
      </c>
      <c r="AU1019" s="6">
        <v>1.5209999999999999</v>
      </c>
      <c r="AV1019" t="b">
        <v>1</v>
      </c>
      <c r="AW1019" t="s">
        <v>29</v>
      </c>
      <c r="AX1019" t="s">
        <v>30</v>
      </c>
      <c r="AY1019" t="s">
        <v>766</v>
      </c>
      <c r="AZ1019" t="s">
        <v>33</v>
      </c>
      <c r="BA1019" s="18" t="s">
        <v>798</v>
      </c>
      <c r="BB1019" s="3" t="b">
        <v>0</v>
      </c>
      <c r="BC1019" t="s">
        <v>81</v>
      </c>
      <c r="BD1019">
        <v>16</v>
      </c>
      <c r="BE1019" t="s">
        <v>80</v>
      </c>
      <c r="BF1019">
        <v>24</v>
      </c>
      <c r="BG1019" t="s">
        <v>569</v>
      </c>
      <c r="BH1019" t="s">
        <v>31</v>
      </c>
      <c r="BI1019" t="s">
        <v>31</v>
      </c>
      <c r="BJ1019" s="3">
        <f t="shared" si="512"/>
        <v>1.5209999999999999</v>
      </c>
      <c r="BK1019" s="3">
        <f t="shared" si="521"/>
        <v>0.18212921405299839</v>
      </c>
      <c r="BL1019">
        <v>2</v>
      </c>
      <c r="BM1019" s="3">
        <f t="shared" si="516"/>
        <v>2.3566374966430148</v>
      </c>
      <c r="BN1019" t="s">
        <v>33</v>
      </c>
      <c r="BO1019" s="3">
        <f t="shared" si="500"/>
        <v>227.31992110453646</v>
      </c>
      <c r="BP1019" t="s">
        <v>33</v>
      </c>
      <c r="BQ1019" t="s">
        <v>33</v>
      </c>
      <c r="BR1019" t="s">
        <v>33</v>
      </c>
      <c r="BS1019" t="s">
        <v>33</v>
      </c>
      <c r="BT1019" t="s">
        <v>31</v>
      </c>
      <c r="BU1019" t="s">
        <v>767</v>
      </c>
      <c r="BV1019">
        <v>2021</v>
      </c>
      <c r="BW1019" t="s">
        <v>768</v>
      </c>
      <c r="BX1019" t="s">
        <v>78</v>
      </c>
      <c r="BY1019" t="s">
        <v>769</v>
      </c>
      <c r="CA1019" t="str">
        <f t="shared" si="501"/>
        <v>low acid</v>
      </c>
    </row>
    <row r="1020" spans="1:79">
      <c r="A1020" t="s">
        <v>589</v>
      </c>
      <c r="B1020" t="s">
        <v>566</v>
      </c>
      <c r="C1020" t="s">
        <v>563</v>
      </c>
      <c r="D1020" t="s">
        <v>33</v>
      </c>
      <c r="E1020" t="s">
        <v>77</v>
      </c>
      <c r="F1020" t="s">
        <v>33</v>
      </c>
      <c r="G1020" t="s">
        <v>33</v>
      </c>
      <c r="H1020">
        <v>35</v>
      </c>
      <c r="I1020" t="b">
        <v>0</v>
      </c>
      <c r="J1020" t="s">
        <v>33</v>
      </c>
      <c r="K1020" t="s">
        <v>33</v>
      </c>
      <c r="L1020">
        <v>22</v>
      </c>
      <c r="M1020" s="4">
        <v>1</v>
      </c>
      <c r="N1020" t="e">
        <f>(#REF!*Y1020)/(T1020*X1020*O1020)</f>
        <v>#REF!</v>
      </c>
      <c r="O1020">
        <v>2</v>
      </c>
      <c r="P1020" t="s">
        <v>33</v>
      </c>
      <c r="Q1020" s="1">
        <f t="shared" ref="Q1020:Q1054" si="526">IFERROR(X1020/Z1020, "NA")</f>
        <v>95.75</v>
      </c>
      <c r="R1020" t="s">
        <v>183</v>
      </c>
      <c r="S1020" t="s">
        <v>613</v>
      </c>
      <c r="T1020">
        <v>1</v>
      </c>
      <c r="U1020">
        <v>2.5</v>
      </c>
      <c r="V1020" t="s">
        <v>33</v>
      </c>
      <c r="W1020">
        <v>0.50249999999999995</v>
      </c>
      <c r="X1020">
        <f t="shared" si="525"/>
        <v>0.50249999999999995</v>
      </c>
      <c r="Y1020" t="s">
        <v>33</v>
      </c>
      <c r="Z1020" s="3">
        <f t="shared" ref="Z1020:Z1043" si="527">IFERROR(X1020*M1020*O1020*T1020*AI1020/AF1020, "NA")</f>
        <v>5.2480417754569185E-3</v>
      </c>
      <c r="AA1020" t="s">
        <v>33</v>
      </c>
      <c r="AB1020">
        <f>IFERROR(((X1020*M1020)/Z1020), "NA")</f>
        <v>95.75</v>
      </c>
      <c r="AC1020" s="1" t="str">
        <f t="shared" si="523"/>
        <v>NA</v>
      </c>
      <c r="AE1020" s="3">
        <f t="shared" si="524"/>
        <v>185.37199999999999</v>
      </c>
      <c r="AF1020">
        <v>191.5</v>
      </c>
      <c r="AG1020" s="1" t="str">
        <f>IFERROR((N1020*P1020*Q1020), "NA")</f>
        <v>NA</v>
      </c>
      <c r="AH1020" s="1" t="str">
        <f>IFERROR((AG1020*U1020*AI1020), "NA")</f>
        <v>NA</v>
      </c>
      <c r="AI1020" s="1">
        <v>1</v>
      </c>
      <c r="AJ1020" s="11" t="s">
        <v>31</v>
      </c>
      <c r="AK1020">
        <v>2000</v>
      </c>
      <c r="AL1020" t="s">
        <v>616</v>
      </c>
      <c r="AM1020" s="3" t="s">
        <v>103</v>
      </c>
      <c r="AN1020" t="s">
        <v>130</v>
      </c>
      <c r="AO1020" t="s">
        <v>795</v>
      </c>
      <c r="AP1020">
        <v>7</v>
      </c>
      <c r="AQ1020" t="s">
        <v>33</v>
      </c>
      <c r="AR1020" t="s">
        <v>33</v>
      </c>
      <c r="AS1020">
        <v>9</v>
      </c>
      <c r="AT1020">
        <f>AS1020-AU1020</f>
        <v>5.48</v>
      </c>
      <c r="AU1020" s="6">
        <v>3.52</v>
      </c>
      <c r="AV1020" t="b">
        <v>1</v>
      </c>
      <c r="AW1020" t="s">
        <v>617</v>
      </c>
      <c r="AX1020" t="s">
        <v>33</v>
      </c>
      <c r="AY1020" t="s">
        <v>628</v>
      </c>
      <c r="AZ1020" t="s">
        <v>619</v>
      </c>
      <c r="BA1020" s="18" t="s">
        <v>802</v>
      </c>
      <c r="BB1020" s="3" t="b">
        <v>0</v>
      </c>
      <c r="BC1020" t="s">
        <v>81</v>
      </c>
      <c r="BD1020">
        <v>24</v>
      </c>
      <c r="BE1020" t="s">
        <v>80</v>
      </c>
      <c r="BF1020">
        <v>24</v>
      </c>
      <c r="BG1020" t="s">
        <v>644</v>
      </c>
      <c r="BH1020" t="s">
        <v>31</v>
      </c>
      <c r="BI1020" t="s">
        <v>31</v>
      </c>
      <c r="BJ1020">
        <f t="shared" si="512"/>
        <v>3.52</v>
      </c>
      <c r="BK1020" s="3">
        <f t="shared" si="521"/>
        <v>0.54654266347813107</v>
      </c>
      <c r="BL1020">
        <v>2</v>
      </c>
      <c r="BM1020" s="3">
        <f t="shared" si="516"/>
        <v>1.7215014721349042</v>
      </c>
      <c r="BN1020" t="s">
        <v>33</v>
      </c>
      <c r="BO1020" s="3">
        <f t="shared" si="500"/>
        <v>52.662499999999994</v>
      </c>
      <c r="BP1020" t="s">
        <v>33</v>
      </c>
      <c r="BQ1020" t="s">
        <v>33</v>
      </c>
      <c r="BR1020" t="s">
        <v>33</v>
      </c>
      <c r="BS1020" t="s">
        <v>33</v>
      </c>
      <c r="BT1020" t="s">
        <v>31</v>
      </c>
      <c r="BU1020" s="15" t="s">
        <v>655</v>
      </c>
      <c r="BV1020">
        <v>2003</v>
      </c>
      <c r="BW1020" t="s">
        <v>656</v>
      </c>
      <c r="BX1020" t="s">
        <v>78</v>
      </c>
      <c r="BY1020" s="13" t="s">
        <v>677</v>
      </c>
      <c r="CA1020" t="str">
        <f t="shared" si="501"/>
        <v>low acid</v>
      </c>
    </row>
    <row r="1021" spans="1:79">
      <c r="A1021" t="s">
        <v>589</v>
      </c>
      <c r="B1021" t="s">
        <v>566</v>
      </c>
      <c r="C1021" t="s">
        <v>563</v>
      </c>
      <c r="D1021" t="s">
        <v>33</v>
      </c>
      <c r="E1021" t="s">
        <v>77</v>
      </c>
      <c r="F1021" t="s">
        <v>33</v>
      </c>
      <c r="G1021" t="s">
        <v>33</v>
      </c>
      <c r="H1021">
        <v>35</v>
      </c>
      <c r="I1021" t="b">
        <v>0</v>
      </c>
      <c r="J1021" t="s">
        <v>33</v>
      </c>
      <c r="K1021" t="s">
        <v>33</v>
      </c>
      <c r="L1021">
        <v>25</v>
      </c>
      <c r="M1021" s="4">
        <v>1</v>
      </c>
      <c r="N1021" t="e">
        <f>(#REF!*Y1021)/(T1021*X1021*O1021)</f>
        <v>#REF!</v>
      </c>
      <c r="O1021">
        <v>2</v>
      </c>
      <c r="P1021" t="s">
        <v>33</v>
      </c>
      <c r="Q1021" s="1">
        <f t="shared" si="526"/>
        <v>95.8</v>
      </c>
      <c r="R1021" t="s">
        <v>183</v>
      </c>
      <c r="S1021" t="s">
        <v>613</v>
      </c>
      <c r="T1021">
        <v>1</v>
      </c>
      <c r="U1021">
        <v>2.5</v>
      </c>
      <c r="V1021" t="s">
        <v>33</v>
      </c>
      <c r="W1021">
        <v>0.50249999999999995</v>
      </c>
      <c r="X1021">
        <f t="shared" si="525"/>
        <v>0.50249999999999995</v>
      </c>
      <c r="Y1021" t="s">
        <v>33</v>
      </c>
      <c r="Z1021" s="3">
        <f t="shared" si="527"/>
        <v>5.2453027139874736E-3</v>
      </c>
      <c r="AA1021" t="s">
        <v>33</v>
      </c>
      <c r="AB1021">
        <f>IFERROR(((X1021*M1021)/Z1021), "NA")</f>
        <v>95.8</v>
      </c>
      <c r="AC1021" s="1" t="str">
        <f t="shared" si="523"/>
        <v>NA</v>
      </c>
      <c r="AE1021" s="3">
        <f t="shared" si="524"/>
        <v>239.5</v>
      </c>
      <c r="AF1021">
        <v>191.6</v>
      </c>
      <c r="AG1021" s="1" t="str">
        <f>IFERROR((N1021*P1021*Q1021), "NA")</f>
        <v>NA</v>
      </c>
      <c r="AH1021" s="1" t="str">
        <f>IFERROR((AG1021*U1021*AI1021), "NA")</f>
        <v>NA</v>
      </c>
      <c r="AI1021" s="1">
        <v>1</v>
      </c>
      <c r="AJ1021" s="11" t="s">
        <v>31</v>
      </c>
      <c r="AK1021">
        <v>2000</v>
      </c>
      <c r="AL1021" t="s">
        <v>616</v>
      </c>
      <c r="AM1021" s="3" t="s">
        <v>103</v>
      </c>
      <c r="AN1021" t="s">
        <v>130</v>
      </c>
      <c r="AO1021" t="s">
        <v>795</v>
      </c>
      <c r="AP1021">
        <v>7</v>
      </c>
      <c r="AQ1021" t="s">
        <v>33</v>
      </c>
      <c r="AR1021" t="s">
        <v>33</v>
      </c>
      <c r="AS1021">
        <v>9</v>
      </c>
      <c r="AT1021">
        <f>AS1021-AU1021</f>
        <v>5.48</v>
      </c>
      <c r="AU1021" s="6">
        <v>3.52</v>
      </c>
      <c r="AV1021" t="b">
        <v>1</v>
      </c>
      <c r="AW1021" t="s">
        <v>617</v>
      </c>
      <c r="AX1021" t="s">
        <v>33</v>
      </c>
      <c r="AY1021" t="s">
        <v>628</v>
      </c>
      <c r="AZ1021" t="s">
        <v>619</v>
      </c>
      <c r="BA1021" s="18" t="s">
        <v>802</v>
      </c>
      <c r="BB1021" s="3" t="b">
        <v>0</v>
      </c>
      <c r="BC1021" t="s">
        <v>81</v>
      </c>
      <c r="BD1021">
        <v>24</v>
      </c>
      <c r="BE1021" t="s">
        <v>80</v>
      </c>
      <c r="BF1021">
        <v>24</v>
      </c>
      <c r="BG1021" t="s">
        <v>644</v>
      </c>
      <c r="BH1021" t="s">
        <v>31</v>
      </c>
      <c r="BI1021" t="s">
        <v>31</v>
      </c>
      <c r="BJ1021">
        <f t="shared" si="512"/>
        <v>3.52</v>
      </c>
      <c r="BK1021" s="3">
        <f t="shared" si="521"/>
        <v>0.54654266347813107</v>
      </c>
      <c r="BL1021">
        <v>2</v>
      </c>
      <c r="BM1021" s="3">
        <f t="shared" si="516"/>
        <v>1.832762854272451</v>
      </c>
      <c r="BN1021" t="s">
        <v>33</v>
      </c>
      <c r="BO1021" s="3">
        <f t="shared" si="500"/>
        <v>68.039772727272734</v>
      </c>
      <c r="BP1021" t="s">
        <v>33</v>
      </c>
      <c r="BQ1021" t="s">
        <v>33</v>
      </c>
      <c r="BR1021" t="s">
        <v>33</v>
      </c>
      <c r="BS1021" t="s">
        <v>33</v>
      </c>
      <c r="BT1021" t="s">
        <v>31</v>
      </c>
      <c r="BU1021" s="15" t="s">
        <v>655</v>
      </c>
      <c r="BV1021">
        <v>2003</v>
      </c>
      <c r="BW1021" t="s">
        <v>656</v>
      </c>
      <c r="BX1021" t="s">
        <v>78</v>
      </c>
      <c r="BY1021" s="13" t="s">
        <v>677</v>
      </c>
      <c r="CA1021" t="str">
        <f t="shared" si="501"/>
        <v>low acid</v>
      </c>
    </row>
    <row r="1022" spans="1:79">
      <c r="A1022" t="s">
        <v>597</v>
      </c>
      <c r="B1022" t="s">
        <v>565</v>
      </c>
      <c r="C1022" t="s">
        <v>563</v>
      </c>
      <c r="D1022" t="s">
        <v>33</v>
      </c>
      <c r="E1022" t="s">
        <v>77</v>
      </c>
      <c r="F1022" t="s">
        <v>33</v>
      </c>
      <c r="G1022">
        <v>20</v>
      </c>
      <c r="H1022">
        <v>35</v>
      </c>
      <c r="I1022" t="b">
        <v>0</v>
      </c>
      <c r="J1022" t="s">
        <v>33</v>
      </c>
      <c r="K1022" t="s">
        <v>33</v>
      </c>
      <c r="L1022">
        <v>22</v>
      </c>
      <c r="M1022" s="4">
        <v>1</v>
      </c>
      <c r="N1022" t="e">
        <f>(#REF!*Y1022)/(T1022*X1022*O1022)</f>
        <v>#REF!</v>
      </c>
      <c r="O1022">
        <v>2</v>
      </c>
      <c r="P1022" t="s">
        <v>33</v>
      </c>
      <c r="Q1022" s="1">
        <f t="shared" si="526"/>
        <v>196.75</v>
      </c>
      <c r="R1022" t="s">
        <v>183</v>
      </c>
      <c r="S1022" t="s">
        <v>33</v>
      </c>
      <c r="T1022">
        <v>1</v>
      </c>
      <c r="U1022">
        <v>2.5</v>
      </c>
      <c r="V1022" t="s">
        <v>33</v>
      </c>
      <c r="W1022">
        <v>0.50249999999999995</v>
      </c>
      <c r="X1022">
        <f t="shared" si="525"/>
        <v>0.50249999999999995</v>
      </c>
      <c r="Y1022" t="s">
        <v>33</v>
      </c>
      <c r="Z1022" s="3">
        <f t="shared" si="527"/>
        <v>2.5540025412960606E-3</v>
      </c>
      <c r="AA1022" t="s">
        <v>33</v>
      </c>
      <c r="AB1022">
        <f>IFERROR(((X1022*M1022)/Z1022), "NA")</f>
        <v>196.75</v>
      </c>
      <c r="AC1022" s="1" t="str">
        <f t="shared" si="523"/>
        <v>NA</v>
      </c>
      <c r="AE1022" s="3">
        <f t="shared" si="524"/>
        <v>380.90800000000002</v>
      </c>
      <c r="AF1022">
        <v>393.5</v>
      </c>
      <c r="AG1022" s="1" t="str">
        <f>IFERROR((N1022*P1022*Q1022), "NA")</f>
        <v>NA</v>
      </c>
      <c r="AH1022" s="1" t="str">
        <f>IFERROR((AG1022*U1022*AI1022), "NA")</f>
        <v>NA</v>
      </c>
      <c r="AI1022" s="1">
        <v>1</v>
      </c>
      <c r="AJ1022" s="11" t="s">
        <v>31</v>
      </c>
      <c r="AK1022">
        <v>2000</v>
      </c>
      <c r="AL1022" t="s">
        <v>784</v>
      </c>
      <c r="AM1022" s="3" t="s">
        <v>103</v>
      </c>
      <c r="AN1022" t="s">
        <v>130</v>
      </c>
      <c r="AO1022" t="s">
        <v>795</v>
      </c>
      <c r="AP1022">
        <v>7</v>
      </c>
      <c r="AQ1022" t="s">
        <v>33</v>
      </c>
      <c r="AR1022" t="s">
        <v>33</v>
      </c>
      <c r="AS1022">
        <v>9</v>
      </c>
      <c r="AT1022">
        <f>AS1022-AU1022</f>
        <v>5.48</v>
      </c>
      <c r="AU1022" s="6">
        <v>3.52</v>
      </c>
      <c r="AV1022" t="b">
        <v>1</v>
      </c>
      <c r="AW1022" t="s">
        <v>617</v>
      </c>
      <c r="AX1022" t="s">
        <v>635</v>
      </c>
      <c r="AY1022" t="s">
        <v>636</v>
      </c>
      <c r="AZ1022" t="s">
        <v>33</v>
      </c>
      <c r="BA1022" s="18" t="s">
        <v>802</v>
      </c>
      <c r="BB1022" s="3" t="b">
        <v>0</v>
      </c>
      <c r="BC1022" t="s">
        <v>81</v>
      </c>
      <c r="BD1022">
        <v>24</v>
      </c>
      <c r="BE1022" t="s">
        <v>80</v>
      </c>
      <c r="BF1022">
        <v>24</v>
      </c>
      <c r="BG1022" t="s">
        <v>644</v>
      </c>
      <c r="BH1022" t="s">
        <v>31</v>
      </c>
      <c r="BI1022" t="s">
        <v>31</v>
      </c>
      <c r="BJ1022">
        <f t="shared" si="512"/>
        <v>3.52</v>
      </c>
      <c r="BK1022" s="3">
        <f t="shared" si="521"/>
        <v>0.54654266347813107</v>
      </c>
      <c r="BL1022">
        <v>2</v>
      </c>
      <c r="BM1022" s="3">
        <f t="shared" si="516"/>
        <v>2.0342774305253459</v>
      </c>
      <c r="BN1022" t="s">
        <v>33</v>
      </c>
      <c r="BO1022" s="3">
        <f t="shared" si="500"/>
        <v>108.21250000000001</v>
      </c>
      <c r="BP1022" t="s">
        <v>33</v>
      </c>
      <c r="BQ1022" t="s">
        <v>33</v>
      </c>
      <c r="BR1022" t="s">
        <v>33</v>
      </c>
      <c r="BS1022" t="s">
        <v>33</v>
      </c>
      <c r="BT1022" t="s">
        <v>31</v>
      </c>
      <c r="BU1022" t="s">
        <v>664</v>
      </c>
      <c r="BV1022">
        <v>2000</v>
      </c>
      <c r="BW1022" t="s">
        <v>665</v>
      </c>
      <c r="BX1022" t="s">
        <v>78</v>
      </c>
      <c r="BY1022" s="13" t="s">
        <v>685</v>
      </c>
      <c r="CA1022" t="str">
        <f t="shared" si="501"/>
        <v>low acid</v>
      </c>
    </row>
    <row r="1023" spans="1:79">
      <c r="A1023" t="s">
        <v>589</v>
      </c>
      <c r="B1023" t="s">
        <v>566</v>
      </c>
      <c r="C1023" t="s">
        <v>563</v>
      </c>
      <c r="D1023" t="s">
        <v>33</v>
      </c>
      <c r="E1023" t="s">
        <v>77</v>
      </c>
      <c r="F1023" t="s">
        <v>33</v>
      </c>
      <c r="G1023" t="s">
        <v>33</v>
      </c>
      <c r="H1023">
        <v>35</v>
      </c>
      <c r="I1023" t="b">
        <v>0</v>
      </c>
      <c r="J1023" t="s">
        <v>33</v>
      </c>
      <c r="K1023" t="s">
        <v>33</v>
      </c>
      <c r="L1023">
        <v>15</v>
      </c>
      <c r="M1023" s="4">
        <v>1</v>
      </c>
      <c r="N1023" t="e">
        <f>(#REF!*Y1023)/(T1023*X1023*O1023)</f>
        <v>#REF!</v>
      </c>
      <c r="O1023">
        <v>2</v>
      </c>
      <c r="P1023" t="s">
        <v>33</v>
      </c>
      <c r="Q1023" s="1">
        <f t="shared" si="526"/>
        <v>395</v>
      </c>
      <c r="R1023" t="s">
        <v>183</v>
      </c>
      <c r="S1023" t="s">
        <v>613</v>
      </c>
      <c r="T1023">
        <v>1</v>
      </c>
      <c r="U1023">
        <v>2.5</v>
      </c>
      <c r="V1023" t="s">
        <v>33</v>
      </c>
      <c r="W1023">
        <v>0.50249999999999995</v>
      </c>
      <c r="X1023">
        <f t="shared" si="525"/>
        <v>0.50249999999999995</v>
      </c>
      <c r="Y1023" t="s">
        <v>33</v>
      </c>
      <c r="Z1023" s="3">
        <f t="shared" si="527"/>
        <v>1.2721518987341772E-3</v>
      </c>
      <c r="AA1023" t="s">
        <v>33</v>
      </c>
      <c r="AB1023">
        <f>IFERROR(((X1023*M1023)/Z1023), "NA")</f>
        <v>395</v>
      </c>
      <c r="AC1023" s="1" t="str">
        <f t="shared" si="523"/>
        <v>NA</v>
      </c>
      <c r="AE1023" s="3">
        <f t="shared" si="524"/>
        <v>355.49999999999994</v>
      </c>
      <c r="AF1023">
        <v>790</v>
      </c>
      <c r="AG1023" s="1" t="str">
        <f>IFERROR((N1023*P1023*Q1023), "NA")</f>
        <v>NA</v>
      </c>
      <c r="AH1023" s="1" t="str">
        <f>IFERROR((AG1023*U1023*AI1023), "NA")</f>
        <v>NA</v>
      </c>
      <c r="AI1023" s="1">
        <v>1</v>
      </c>
      <c r="AJ1023" s="11" t="s">
        <v>31</v>
      </c>
      <c r="AK1023">
        <v>2000</v>
      </c>
      <c r="AL1023" t="s">
        <v>616</v>
      </c>
      <c r="AM1023" s="3" t="s">
        <v>103</v>
      </c>
      <c r="AN1023" t="s">
        <v>130</v>
      </c>
      <c r="AO1023" t="s">
        <v>795</v>
      </c>
      <c r="AP1023">
        <v>7</v>
      </c>
      <c r="AQ1023" t="s">
        <v>33</v>
      </c>
      <c r="AR1023" t="s">
        <v>33</v>
      </c>
      <c r="AS1023">
        <v>9</v>
      </c>
      <c r="AT1023">
        <f>AS1023-AU1023</f>
        <v>5.49</v>
      </c>
      <c r="AU1023" s="6">
        <v>3.51</v>
      </c>
      <c r="AV1023" t="b">
        <v>1</v>
      </c>
      <c r="AW1023" t="s">
        <v>617</v>
      </c>
      <c r="AX1023" t="s">
        <v>33</v>
      </c>
      <c r="AY1023" t="s">
        <v>629</v>
      </c>
      <c r="AZ1023" t="s">
        <v>630</v>
      </c>
      <c r="BA1023" s="18" t="s">
        <v>802</v>
      </c>
      <c r="BB1023" s="3" t="b">
        <v>0</v>
      </c>
      <c r="BC1023" t="s">
        <v>81</v>
      </c>
      <c r="BD1023">
        <v>24</v>
      </c>
      <c r="BE1023" t="s">
        <v>80</v>
      </c>
      <c r="BF1023">
        <v>24</v>
      </c>
      <c r="BG1023" t="s">
        <v>644</v>
      </c>
      <c r="BH1023" t="s">
        <v>31</v>
      </c>
      <c r="BI1023" t="s">
        <v>31</v>
      </c>
      <c r="BJ1023">
        <f t="shared" si="512"/>
        <v>3.51</v>
      </c>
      <c r="BK1023" s="3">
        <f t="shared" si="521"/>
        <v>0.54530711646582408</v>
      </c>
      <c r="BL1023">
        <v>2</v>
      </c>
      <c r="BM1023" s="3">
        <f t="shared" si="516"/>
        <v>2.005532488599961</v>
      </c>
      <c r="BN1023" t="s">
        <v>33</v>
      </c>
      <c r="BO1023" s="3">
        <f t="shared" si="500"/>
        <v>101.28205128205127</v>
      </c>
      <c r="BP1023" t="s">
        <v>33</v>
      </c>
      <c r="BQ1023" t="s">
        <v>33</v>
      </c>
      <c r="BR1023" t="s">
        <v>33</v>
      </c>
      <c r="BS1023" t="s">
        <v>33</v>
      </c>
      <c r="BT1023" t="s">
        <v>31</v>
      </c>
      <c r="BU1023" s="15" t="s">
        <v>655</v>
      </c>
      <c r="BV1023">
        <v>2003</v>
      </c>
      <c r="BW1023" t="s">
        <v>656</v>
      </c>
      <c r="BX1023" t="s">
        <v>78</v>
      </c>
      <c r="BY1023" s="13" t="s">
        <v>677</v>
      </c>
      <c r="CA1023" t="str">
        <f t="shared" si="501"/>
        <v>low acid</v>
      </c>
    </row>
    <row r="1024" spans="1:79">
      <c r="A1024" t="s">
        <v>104</v>
      </c>
      <c r="B1024" t="s">
        <v>565</v>
      </c>
      <c r="C1024" t="s">
        <v>563</v>
      </c>
      <c r="D1024" t="s">
        <v>118</v>
      </c>
      <c r="E1024" t="s">
        <v>77</v>
      </c>
      <c r="F1024" t="s">
        <v>32</v>
      </c>
      <c r="G1024">
        <v>23</v>
      </c>
      <c r="H1024">
        <v>40</v>
      </c>
      <c r="I1024" t="b">
        <v>0</v>
      </c>
      <c r="J1024" t="s">
        <v>33</v>
      </c>
      <c r="K1024" t="s">
        <v>33</v>
      </c>
      <c r="L1024">
        <v>25</v>
      </c>
      <c r="M1024" s="4">
        <v>667</v>
      </c>
      <c r="N1024" s="3">
        <f>IFERROR(AF1024/((T1024*X1024/Y1024)*O1024*AI1024),"NA")</f>
        <v>663.96690945057719</v>
      </c>
      <c r="O1024">
        <v>3</v>
      </c>
      <c r="P1024" t="s">
        <v>33</v>
      </c>
      <c r="Q1024" s="8">
        <f t="shared" si="526"/>
        <v>5.9970014992503755E-3</v>
      </c>
      <c r="R1024" t="s">
        <v>183</v>
      </c>
      <c r="S1024" t="s">
        <v>613</v>
      </c>
      <c r="T1024" s="11">
        <v>4</v>
      </c>
      <c r="U1024">
        <v>2.9</v>
      </c>
      <c r="V1024">
        <v>2.2999999999999998</v>
      </c>
      <c r="W1024" t="s">
        <v>33</v>
      </c>
      <c r="X1024">
        <f>IFERROR(((PI())*(((V1024*10^-1)/2)^2)*(U1024*10^-1)), "NA")</f>
        <v>1.204879322468025E-2</v>
      </c>
      <c r="Y1024">
        <v>2</v>
      </c>
      <c r="Z1024" s="9">
        <f t="shared" si="527"/>
        <v>2.0091362702154316</v>
      </c>
      <c r="AA1024" t="s">
        <v>33</v>
      </c>
      <c r="AB1024" s="6">
        <f>IFERROR(((X1024*M1024)/Z1024), "NA")</f>
        <v>4</v>
      </c>
      <c r="AC1024" t="str">
        <f t="shared" si="523"/>
        <v>NA</v>
      </c>
      <c r="AD1024" s="4">
        <f>IFERROR(AB1024*T1024*AI1024, "NA")</f>
        <v>16</v>
      </c>
      <c r="AE1024">
        <f t="shared" si="524"/>
        <v>138.00000000000003</v>
      </c>
      <c r="AF1024">
        <v>48</v>
      </c>
      <c r="AG1024" t="str">
        <f>IFERROR((M1024*O1024*P1024), "NA")</f>
        <v>NA</v>
      </c>
      <c r="AH1024" t="str">
        <f>IFERROR((AG1024*T1024*AI1024), "NA")</f>
        <v>NA</v>
      </c>
      <c r="AI1024" s="11">
        <v>1</v>
      </c>
      <c r="AJ1024" t="s">
        <v>31</v>
      </c>
      <c r="AK1024">
        <v>4600</v>
      </c>
      <c r="AL1024" t="s">
        <v>204</v>
      </c>
      <c r="AM1024" t="s">
        <v>785</v>
      </c>
      <c r="AN1024" t="s">
        <v>205</v>
      </c>
      <c r="AO1024" t="s">
        <v>791</v>
      </c>
      <c r="AP1024">
        <v>4.2</v>
      </c>
      <c r="AQ1024" t="s">
        <v>33</v>
      </c>
      <c r="AR1024" t="s">
        <v>33</v>
      </c>
      <c r="AS1024" s="3">
        <v>8</v>
      </c>
      <c r="AT1024" s="3">
        <f>IFERROR(AS1024-AU1024,"NA")</f>
        <v>4.62</v>
      </c>
      <c r="AU1024" s="6">
        <v>3.38</v>
      </c>
      <c r="AV1024" t="b">
        <v>1</v>
      </c>
      <c r="AW1024" t="s">
        <v>92</v>
      </c>
      <c r="AX1024" t="s">
        <v>93</v>
      </c>
      <c r="AY1024" t="s">
        <v>94</v>
      </c>
      <c r="AZ1024" t="s">
        <v>33</v>
      </c>
      <c r="BA1024" s="18" t="s">
        <v>801</v>
      </c>
      <c r="BB1024" t="b">
        <v>0</v>
      </c>
      <c r="BC1024" t="s">
        <v>81</v>
      </c>
      <c r="BD1024">
        <v>18</v>
      </c>
      <c r="BE1024" t="s">
        <v>80</v>
      </c>
      <c r="BF1024" t="s">
        <v>33</v>
      </c>
      <c r="BG1024" t="s">
        <v>568</v>
      </c>
      <c r="BH1024" t="s">
        <v>31</v>
      </c>
      <c r="BI1024" t="s">
        <v>31</v>
      </c>
      <c r="BJ1024">
        <f t="shared" si="512"/>
        <v>3.38</v>
      </c>
      <c r="BK1024" s="3">
        <f t="shared" si="521"/>
        <v>0.52891670027765469</v>
      </c>
      <c r="BL1024">
        <v>2</v>
      </c>
      <c r="BM1024" s="3">
        <f>LOG(BO1024)</f>
        <v>1.6109623861235818</v>
      </c>
      <c r="BN1024" t="s">
        <v>33</v>
      </c>
      <c r="BO1024" s="3">
        <f t="shared" si="500"/>
        <v>40.828402366863912</v>
      </c>
      <c r="BP1024" t="s">
        <v>33</v>
      </c>
      <c r="BQ1024" t="s">
        <v>33</v>
      </c>
      <c r="BR1024" t="s">
        <v>33</v>
      </c>
      <c r="BS1024" t="s">
        <v>33</v>
      </c>
      <c r="BT1024" t="s">
        <v>32</v>
      </c>
      <c r="BU1024" t="s">
        <v>116</v>
      </c>
      <c r="BV1024">
        <v>2011</v>
      </c>
      <c r="BW1024" t="s">
        <v>91</v>
      </c>
      <c r="BX1024" t="s">
        <v>78</v>
      </c>
      <c r="BY1024" t="s">
        <v>33</v>
      </c>
      <c r="BZ1024" t="s">
        <v>113</v>
      </c>
      <c r="CA1024" t="str">
        <f t="shared" si="501"/>
        <v>high acid</v>
      </c>
    </row>
    <row r="1025" spans="1:79">
      <c r="A1025" t="s">
        <v>414</v>
      </c>
      <c r="B1025" t="s">
        <v>565</v>
      </c>
      <c r="C1025" t="s">
        <v>563</v>
      </c>
      <c r="D1025" t="s">
        <v>118</v>
      </c>
      <c r="E1025" t="s">
        <v>77</v>
      </c>
      <c r="F1025" t="s">
        <v>32</v>
      </c>
      <c r="G1025">
        <v>22</v>
      </c>
      <c r="H1025">
        <v>35</v>
      </c>
      <c r="I1025" t="b">
        <v>0</v>
      </c>
      <c r="J1025" t="s">
        <v>33</v>
      </c>
      <c r="K1025" t="s">
        <v>33</v>
      </c>
      <c r="L1025">
        <v>20</v>
      </c>
      <c r="M1025" s="4">
        <v>1000</v>
      </c>
      <c r="N1025" s="3">
        <f>IFERROR(AF1025/((T1025*X1025/Y1025)*O1025*AI1025),"NA")</f>
        <v>1000.1191061872564</v>
      </c>
      <c r="O1025">
        <v>3</v>
      </c>
      <c r="P1025" t="s">
        <v>33</v>
      </c>
      <c r="Q1025" s="8">
        <f t="shared" si="526"/>
        <v>1.2133333333333333E-2</v>
      </c>
      <c r="R1025" t="s">
        <v>183</v>
      </c>
      <c r="S1025" t="s">
        <v>613</v>
      </c>
      <c r="T1025" s="11">
        <v>4</v>
      </c>
      <c r="U1025">
        <v>2.92</v>
      </c>
      <c r="V1025">
        <v>2.2999999999999998</v>
      </c>
      <c r="W1025" t="s">
        <v>33</v>
      </c>
      <c r="X1025" s="9">
        <f>IFERROR(((PI())*(((V1025*10^-1)/2)^2)*(U1025*10^-1)), "NA")</f>
        <v>1.2131888350367701E-2</v>
      </c>
      <c r="Y1025" s="6">
        <f>1</f>
        <v>1</v>
      </c>
      <c r="Z1025" s="3">
        <f t="shared" si="527"/>
        <v>0.99988090799733798</v>
      </c>
      <c r="AA1025" t="s">
        <v>33</v>
      </c>
      <c r="AB1025" s="6">
        <f>IFERROR(((X1025*M1025)/Y1025), "NA")</f>
        <v>12.131888350367701</v>
      </c>
      <c r="AC1025" t="str">
        <f t="shared" si="523"/>
        <v>NA</v>
      </c>
      <c r="AD1025" s="4">
        <f>IFERROR(AB1025*T1025*AI1025, "NA")</f>
        <v>48.527553401470804</v>
      </c>
      <c r="AE1025" s="3">
        <f t="shared" si="524"/>
        <v>116.47999999999999</v>
      </c>
      <c r="AF1025">
        <v>145.6</v>
      </c>
      <c r="AG1025" t="str">
        <f>IFERROR((M1025*O1025*P1025), "NA")</f>
        <v>NA</v>
      </c>
      <c r="AH1025" t="str">
        <f>IFERROR((AG1025*T1025*AI1025), "NA")</f>
        <v>NA</v>
      </c>
      <c r="AI1025" s="11">
        <v>1</v>
      </c>
      <c r="AJ1025" t="s">
        <v>31</v>
      </c>
      <c r="AK1025">
        <v>2000</v>
      </c>
      <c r="AL1025" t="s">
        <v>114</v>
      </c>
      <c r="AM1025" t="s">
        <v>103</v>
      </c>
      <c r="AN1025" t="s">
        <v>130</v>
      </c>
      <c r="AO1025" t="s">
        <v>795</v>
      </c>
      <c r="AP1025" t="s">
        <v>33</v>
      </c>
      <c r="AQ1025" t="s">
        <v>33</v>
      </c>
      <c r="AR1025" t="s">
        <v>33</v>
      </c>
      <c r="AS1025" s="3">
        <f>LOG(10^7)</f>
        <v>7</v>
      </c>
      <c r="AT1025" s="3">
        <f>IFERROR(AS1025-AU1025,"NA")</f>
        <v>5.4939999999999998</v>
      </c>
      <c r="AU1025" s="6">
        <v>1.506</v>
      </c>
      <c r="AV1025" t="b">
        <v>1</v>
      </c>
      <c r="AW1025" t="s">
        <v>123</v>
      </c>
      <c r="AX1025" t="s">
        <v>180</v>
      </c>
      <c r="AY1025" t="s">
        <v>129</v>
      </c>
      <c r="AZ1025" t="s">
        <v>33</v>
      </c>
      <c r="BA1025" s="18" t="s">
        <v>579</v>
      </c>
      <c r="BB1025" t="b">
        <v>1</v>
      </c>
      <c r="BC1025" t="s">
        <v>81</v>
      </c>
      <c r="BD1025">
        <v>16</v>
      </c>
      <c r="BE1025" t="s">
        <v>80</v>
      </c>
      <c r="BF1025" s="11">
        <v>24</v>
      </c>
      <c r="BG1025" t="s">
        <v>395</v>
      </c>
      <c r="BH1025" t="s">
        <v>31</v>
      </c>
      <c r="BI1025" t="s">
        <v>31</v>
      </c>
      <c r="BJ1025" s="3">
        <f t="shared" si="512"/>
        <v>1.506</v>
      </c>
      <c r="BK1025" s="3">
        <f t="shared" si="521"/>
        <v>0.17782497186468177</v>
      </c>
      <c r="BL1025">
        <v>2</v>
      </c>
      <c r="BM1025" s="3">
        <f t="shared" ref="BM1025:BM1040" si="528">IFERROR(LOG(BO1025),"NA")</f>
        <v>1.8884263901042802</v>
      </c>
      <c r="BN1025" t="s">
        <v>33</v>
      </c>
      <c r="BO1025" s="3">
        <f t="shared" si="500"/>
        <v>77.343957503320041</v>
      </c>
      <c r="BP1025" t="s">
        <v>33</v>
      </c>
      <c r="BQ1025" t="s">
        <v>33</v>
      </c>
      <c r="BR1025" t="s">
        <v>33</v>
      </c>
      <c r="BS1025" t="s">
        <v>33</v>
      </c>
      <c r="BT1025" t="s">
        <v>32</v>
      </c>
      <c r="BU1025" t="s">
        <v>412</v>
      </c>
      <c r="BV1025">
        <v>2002</v>
      </c>
      <c r="BW1025" t="s">
        <v>403</v>
      </c>
      <c r="BX1025" t="s">
        <v>78</v>
      </c>
      <c r="BY1025" t="s">
        <v>33</v>
      </c>
      <c r="BZ1025" t="s">
        <v>33</v>
      </c>
      <c r="CA1025" t="str">
        <f t="shared" si="501"/>
        <v>low acid</v>
      </c>
    </row>
    <row r="1026" spans="1:79">
      <c r="A1026" t="s">
        <v>487</v>
      </c>
      <c r="B1026" t="s">
        <v>566</v>
      </c>
      <c r="C1026" t="s">
        <v>564</v>
      </c>
      <c r="D1026" t="s">
        <v>321</v>
      </c>
      <c r="E1026" t="s">
        <v>77</v>
      </c>
      <c r="F1026" t="s">
        <v>32</v>
      </c>
      <c r="G1026">
        <v>4</v>
      </c>
      <c r="H1026" t="s">
        <v>33</v>
      </c>
      <c r="I1026" t="b">
        <v>0</v>
      </c>
      <c r="J1026" t="s">
        <v>33</v>
      </c>
      <c r="K1026" t="s">
        <v>33</v>
      </c>
      <c r="L1026">
        <v>15</v>
      </c>
      <c r="M1026" s="4">
        <v>10</v>
      </c>
      <c r="N1026" s="3">
        <f>IFERROR(AF1026/((T1026*X1026/Y1026)*O1026*AI1026),"NA")</f>
        <v>10</v>
      </c>
      <c r="O1026">
        <v>1.5</v>
      </c>
      <c r="P1026" s="3">
        <f>6/(52.5/60)</f>
        <v>6.8571428571428568</v>
      </c>
      <c r="Q1026" s="8">
        <f t="shared" si="526"/>
        <v>6.8571428571428559</v>
      </c>
      <c r="R1026" t="s">
        <v>278</v>
      </c>
      <c r="S1026" t="s">
        <v>613</v>
      </c>
      <c r="T1026" s="11">
        <v>1</v>
      </c>
      <c r="U1026">
        <v>100</v>
      </c>
      <c r="V1026" t="s">
        <v>33</v>
      </c>
      <c r="W1026">
        <v>6</v>
      </c>
      <c r="X1026" s="9">
        <f>W1026</f>
        <v>6</v>
      </c>
      <c r="Y1026" s="6">
        <f>52.5/60</f>
        <v>0.875</v>
      </c>
      <c r="Z1026" s="3">
        <f t="shared" si="527"/>
        <v>0.87500000000000011</v>
      </c>
      <c r="AA1026" t="s">
        <v>33</v>
      </c>
      <c r="AB1026" s="4">
        <f>IFERROR(((X1026*M1026)/Y1026), "NA")</f>
        <v>68.571428571428569</v>
      </c>
      <c r="AC1026" s="4">
        <f t="shared" si="523"/>
        <v>68.571428571428569</v>
      </c>
      <c r="AD1026" s="4">
        <f>AB1026*T1026*AI1026</f>
        <v>1449</v>
      </c>
      <c r="AE1026" s="3">
        <f t="shared" si="524"/>
        <v>2494.0912499999995</v>
      </c>
      <c r="AF1026">
        <f>1449*O1026</f>
        <v>2173.5</v>
      </c>
      <c r="AG1026" s="4">
        <f>IFERROR((M1026*O1026*P1026), "NA")</f>
        <v>102.85714285714285</v>
      </c>
      <c r="AH1026" s="4">
        <f>IFERROR((AG1026*T1026*AI1026), "NA")</f>
        <v>2173.5</v>
      </c>
      <c r="AI1026" s="3">
        <f>AF1026/(AG1026*T1026)</f>
        <v>21.131250000000001</v>
      </c>
      <c r="AJ1026" s="11" t="s">
        <v>32</v>
      </c>
      <c r="AK1026">
        <v>5100</v>
      </c>
      <c r="AL1026" t="s">
        <v>319</v>
      </c>
      <c r="AM1026" t="s">
        <v>86</v>
      </c>
      <c r="AN1026" t="s">
        <v>186</v>
      </c>
      <c r="AO1026" t="s">
        <v>794</v>
      </c>
      <c r="AP1026">
        <v>6.05</v>
      </c>
      <c r="AQ1026" t="s">
        <v>33</v>
      </c>
      <c r="AR1026" t="s">
        <v>33</v>
      </c>
      <c r="AS1026" s="6">
        <f>LOG((10^7+10^8)/2)</f>
        <v>7.7403626894942441</v>
      </c>
      <c r="AT1026" s="3">
        <f>IFERROR(AS1026-AU1026,"NA")</f>
        <v>5.4973626894942438</v>
      </c>
      <c r="AU1026" s="6">
        <v>2.2429999999999999</v>
      </c>
      <c r="AV1026" t="b">
        <v>1</v>
      </c>
      <c r="AW1026" t="s">
        <v>29</v>
      </c>
      <c r="AX1026" t="s">
        <v>30</v>
      </c>
      <c r="AY1026" t="s">
        <v>320</v>
      </c>
      <c r="AZ1026" t="s">
        <v>33</v>
      </c>
      <c r="BA1026" s="18" t="s">
        <v>798</v>
      </c>
      <c r="BB1026" s="3" t="b">
        <v>0</v>
      </c>
      <c r="BC1026" t="s">
        <v>81</v>
      </c>
      <c r="BD1026">
        <v>12</v>
      </c>
      <c r="BE1026" t="s">
        <v>80</v>
      </c>
      <c r="BF1026" t="s">
        <v>33</v>
      </c>
      <c r="BG1026" t="s">
        <v>488</v>
      </c>
      <c r="BH1026" t="s">
        <v>31</v>
      </c>
      <c r="BI1026" t="s">
        <v>31</v>
      </c>
      <c r="BJ1026" s="3">
        <f t="shared" si="512"/>
        <v>2.2429999999999999</v>
      </c>
      <c r="BK1026" s="3">
        <f t="shared" si="521"/>
        <v>0.35082927358296773</v>
      </c>
      <c r="BL1026">
        <v>2</v>
      </c>
      <c r="BM1026" s="3">
        <f t="shared" si="528"/>
        <v>3.0460830651531867</v>
      </c>
      <c r="BN1026" t="s">
        <v>33</v>
      </c>
      <c r="BO1026" s="3">
        <f t="shared" ref="BO1026:BO1089" si="529">IFERROR((AE1026/BJ1026),"NA")</f>
        <v>1111.9443825234059</v>
      </c>
      <c r="BP1026" t="s">
        <v>33</v>
      </c>
      <c r="BQ1026" t="s">
        <v>33</v>
      </c>
      <c r="BR1026" t="s">
        <v>33</v>
      </c>
      <c r="BS1026" t="s">
        <v>33</v>
      </c>
      <c r="BT1026" t="s">
        <v>31</v>
      </c>
      <c r="BU1026" t="s">
        <v>318</v>
      </c>
      <c r="BV1026">
        <v>2005</v>
      </c>
      <c r="BW1026" t="s">
        <v>489</v>
      </c>
      <c r="BX1026" t="s">
        <v>78</v>
      </c>
      <c r="BY1026" t="s">
        <v>33</v>
      </c>
      <c r="BZ1026" t="s">
        <v>490</v>
      </c>
      <c r="CA1026" t="str">
        <f t="shared" si="501"/>
        <v>low acid</v>
      </c>
    </row>
    <row r="1027" spans="1:79">
      <c r="A1027" t="s">
        <v>505</v>
      </c>
      <c r="B1027" t="s">
        <v>565</v>
      </c>
      <c r="C1027" t="s">
        <v>563</v>
      </c>
      <c r="D1027" t="s">
        <v>118</v>
      </c>
      <c r="E1027" t="s">
        <v>77</v>
      </c>
      <c r="F1027" t="s">
        <v>32</v>
      </c>
      <c r="G1027">
        <v>15</v>
      </c>
      <c r="H1027">
        <v>30</v>
      </c>
      <c r="I1027" t="b">
        <v>0</v>
      </c>
      <c r="J1027" t="s">
        <v>33</v>
      </c>
      <c r="K1027" t="s">
        <v>33</v>
      </c>
      <c r="L1027">
        <v>20</v>
      </c>
      <c r="M1027" s="4">
        <v>200</v>
      </c>
      <c r="N1027" s="3" t="str">
        <f>IFERROR(AF1027/((T1027*X1027/Y1027)*O1027*AI1027),"NA")</f>
        <v>NA</v>
      </c>
      <c r="O1027">
        <v>2</v>
      </c>
      <c r="P1027" s="9" t="s">
        <v>33</v>
      </c>
      <c r="Q1027" s="8">
        <f t="shared" si="526"/>
        <v>0.16666666666666666</v>
      </c>
      <c r="R1027" t="s">
        <v>183</v>
      </c>
      <c r="S1027" t="s">
        <v>613</v>
      </c>
      <c r="T1027" s="11">
        <v>6</v>
      </c>
      <c r="U1027">
        <v>2.92</v>
      </c>
      <c r="V1027">
        <v>2.2999999999999998</v>
      </c>
      <c r="W1027" t="s">
        <v>33</v>
      </c>
      <c r="X1027" s="9">
        <f>IFERROR(((PI())*(((V1027*10^-1)/2)^2)*(U1027*10^-1)), "NA")</f>
        <v>1.2131888350367701E-2</v>
      </c>
      <c r="Y1027" s="6" t="s">
        <v>33</v>
      </c>
      <c r="Z1027" s="3">
        <f t="shared" si="527"/>
        <v>7.2791330102206203E-2</v>
      </c>
      <c r="AA1027" t="s">
        <v>33</v>
      </c>
      <c r="AB1027" s="4" t="str">
        <f>IFERROR(((X1027*M1027)/Y1027), "NA")</f>
        <v>NA</v>
      </c>
      <c r="AC1027" s="4" t="str">
        <f t="shared" si="523"/>
        <v>NA</v>
      </c>
      <c r="AD1027" s="4" t="e">
        <f>AB1027*T1027*AI1027</f>
        <v>#VALUE!</v>
      </c>
      <c r="AE1027" s="3">
        <f t="shared" si="524"/>
        <v>320</v>
      </c>
      <c r="AF1027">
        <v>400</v>
      </c>
      <c r="AG1027" s="4" t="str">
        <f>IFERROR((M1027*O1027*P1027), "NA")</f>
        <v>NA</v>
      </c>
      <c r="AH1027" s="4" t="str">
        <f>IFERROR((AG1027*T1027*AI1027), "NA")</f>
        <v>NA</v>
      </c>
      <c r="AI1027">
        <v>1</v>
      </c>
      <c r="AJ1027" t="s">
        <v>31</v>
      </c>
      <c r="AK1027">
        <v>2000</v>
      </c>
      <c r="AL1027" t="s">
        <v>506</v>
      </c>
      <c r="AM1027" s="3" t="s">
        <v>103</v>
      </c>
      <c r="AN1027" t="s">
        <v>130</v>
      </c>
      <c r="AO1027" t="s">
        <v>795</v>
      </c>
      <c r="AP1027">
        <v>7.2</v>
      </c>
      <c r="AQ1027" t="s">
        <v>33</v>
      </c>
      <c r="AR1027" t="s">
        <v>33</v>
      </c>
      <c r="AS1027" s="6">
        <f>LOG(10^8)</f>
        <v>8</v>
      </c>
      <c r="AT1027" s="3">
        <f>IFERROR(AS1027-AU1027,"NA")</f>
        <v>5.4980000000000002</v>
      </c>
      <c r="AU1027" s="6">
        <v>2.5019999999999998</v>
      </c>
      <c r="AV1027" t="b">
        <v>1</v>
      </c>
      <c r="AW1027" t="s">
        <v>172</v>
      </c>
      <c r="AX1027" t="s">
        <v>173</v>
      </c>
      <c r="AY1027" t="s">
        <v>213</v>
      </c>
      <c r="AZ1027" t="s">
        <v>33</v>
      </c>
      <c r="BA1027" s="18" t="s">
        <v>799</v>
      </c>
      <c r="BB1027" s="3" t="b">
        <v>0</v>
      </c>
      <c r="BC1027" t="s">
        <v>81</v>
      </c>
      <c r="BD1027">
        <v>16</v>
      </c>
      <c r="BE1027" t="s">
        <v>80</v>
      </c>
      <c r="BF1027" s="11">
        <v>48</v>
      </c>
      <c r="BG1027" t="s">
        <v>522</v>
      </c>
      <c r="BH1027" t="s">
        <v>31</v>
      </c>
      <c r="BI1027" t="s">
        <v>31</v>
      </c>
      <c r="BJ1027" s="3">
        <f t="shared" si="512"/>
        <v>2.5019999999999998</v>
      </c>
      <c r="BK1027" s="3">
        <f t="shared" si="521"/>
        <v>0.39828730535740109</v>
      </c>
      <c r="BL1027">
        <v>2</v>
      </c>
      <c r="BM1027" s="3">
        <f t="shared" si="528"/>
        <v>2.1068626729625048</v>
      </c>
      <c r="BN1027" t="s">
        <v>33</v>
      </c>
      <c r="BO1027" s="3">
        <f t="shared" si="529"/>
        <v>127.89768185451639</v>
      </c>
      <c r="BP1027" t="s">
        <v>33</v>
      </c>
      <c r="BQ1027" t="s">
        <v>33</v>
      </c>
      <c r="BR1027" t="s">
        <v>33</v>
      </c>
      <c r="BS1027" t="s">
        <v>33</v>
      </c>
      <c r="BT1027" t="s">
        <v>31</v>
      </c>
      <c r="BU1027" t="s">
        <v>344</v>
      </c>
      <c r="BV1027">
        <v>2014</v>
      </c>
      <c r="BW1027" t="s">
        <v>507</v>
      </c>
      <c r="BX1027" t="s">
        <v>78</v>
      </c>
      <c r="BY1027" t="s">
        <v>33</v>
      </c>
      <c r="BZ1027" t="s">
        <v>33</v>
      </c>
      <c r="CA1027" t="str">
        <f t="shared" ref="CA1027:CA1090" si="530">IF(OR(AN1027="low acidic liquid medium", AN1027="low acidic food product"), "low acid",
    IF(OR(AN1027="high acidic food product", AN1027="high acidic liquid medium"), "high acid", "NA"))</f>
        <v>low acid</v>
      </c>
    </row>
    <row r="1028" spans="1:79">
      <c r="A1028" t="s">
        <v>595</v>
      </c>
      <c r="B1028" t="s">
        <v>565</v>
      </c>
      <c r="C1028" t="s">
        <v>564</v>
      </c>
      <c r="D1028" t="s">
        <v>609</v>
      </c>
      <c r="E1028" t="s">
        <v>77</v>
      </c>
      <c r="F1028" t="s">
        <v>32</v>
      </c>
      <c r="G1028">
        <v>30</v>
      </c>
      <c r="H1028">
        <v>38.200000000000003</v>
      </c>
      <c r="I1028" t="b">
        <v>0</v>
      </c>
      <c r="J1028" t="s">
        <v>33</v>
      </c>
      <c r="K1028" t="s">
        <v>33</v>
      </c>
      <c r="L1028">
        <v>12</v>
      </c>
      <c r="M1028" s="4">
        <v>120</v>
      </c>
      <c r="N1028" t="e">
        <f>(#REF!*Y1028)/(T1028*X1028*O1028)</f>
        <v>#REF!</v>
      </c>
      <c r="O1028">
        <v>3</v>
      </c>
      <c r="P1028" t="s">
        <v>33</v>
      </c>
      <c r="Q1028" s="1">
        <f t="shared" si="526"/>
        <v>4.1666666666666664E-2</v>
      </c>
      <c r="R1028" t="s">
        <v>183</v>
      </c>
      <c r="S1028" t="s">
        <v>612</v>
      </c>
      <c r="T1028">
        <v>4</v>
      </c>
      <c r="U1028">
        <v>3</v>
      </c>
      <c r="V1028">
        <v>2.6</v>
      </c>
      <c r="W1028" t="s">
        <v>33</v>
      </c>
      <c r="X1028">
        <f>IFERROR(((PI())*(((V1028*10^-1)/2)^2)*(U1028*10^-1)), "NA")</f>
        <v>1.5927874753700257E-2</v>
      </c>
      <c r="Y1028">
        <v>0.126667</v>
      </c>
      <c r="Z1028" s="3">
        <f t="shared" si="527"/>
        <v>0.38226899408880616</v>
      </c>
      <c r="AA1028" t="s">
        <v>33</v>
      </c>
      <c r="AB1028">
        <f t="shared" ref="AB1028:AB1042" si="531">IFERROR(((X1028*M1028)/Z1028), "NA")</f>
        <v>5</v>
      </c>
      <c r="AC1028" s="1" t="str">
        <f t="shared" si="523"/>
        <v>NA</v>
      </c>
      <c r="AE1028" s="3">
        <f t="shared" si="524"/>
        <v>8.4671999999999983</v>
      </c>
      <c r="AF1028">
        <v>60</v>
      </c>
      <c r="AG1028" s="1" t="str">
        <f>IFERROR((N1028*P1028*Q1028), "NA")</f>
        <v>NA</v>
      </c>
      <c r="AH1028" s="1" t="str">
        <f>IFERROR((AG1028*U1028*AI1028), "NA")</f>
        <v>NA</v>
      </c>
      <c r="AI1028" s="1">
        <v>1</v>
      </c>
      <c r="AJ1028" s="11" t="s">
        <v>31</v>
      </c>
      <c r="AK1028">
        <v>980</v>
      </c>
      <c r="AL1028" t="s">
        <v>551</v>
      </c>
      <c r="AM1028" t="s">
        <v>86</v>
      </c>
      <c r="AN1028" t="s">
        <v>186</v>
      </c>
      <c r="AO1028" t="s">
        <v>794</v>
      </c>
      <c r="AP1028">
        <v>5.98</v>
      </c>
      <c r="AQ1028" t="s">
        <v>33</v>
      </c>
      <c r="AR1028" t="s">
        <v>33</v>
      </c>
      <c r="AS1028">
        <v>6</v>
      </c>
      <c r="AT1028">
        <f>AS1028-AU1028</f>
        <v>5.5</v>
      </c>
      <c r="AU1028" s="6">
        <v>0.5</v>
      </c>
      <c r="AV1028" t="b">
        <v>1</v>
      </c>
      <c r="AW1028" t="s">
        <v>626</v>
      </c>
      <c r="AX1028" t="s">
        <v>627</v>
      </c>
      <c r="AY1028" t="s">
        <v>631</v>
      </c>
      <c r="AZ1028" t="s">
        <v>33</v>
      </c>
      <c r="BA1028" s="18" t="s">
        <v>800</v>
      </c>
      <c r="BB1028" s="3" t="b">
        <v>0</v>
      </c>
      <c r="BC1028" t="s">
        <v>81</v>
      </c>
      <c r="BD1028">
        <v>20</v>
      </c>
      <c r="BE1028" t="s">
        <v>80</v>
      </c>
      <c r="BF1028">
        <v>20</v>
      </c>
      <c r="BG1028" t="s">
        <v>695</v>
      </c>
      <c r="BH1028" t="s">
        <v>32</v>
      </c>
      <c r="BI1028" t="s">
        <v>31</v>
      </c>
      <c r="BJ1028">
        <f t="shared" si="512"/>
        <v>0.5</v>
      </c>
      <c r="BK1028" s="3">
        <f t="shared" si="521"/>
        <v>-0.3010299956639812</v>
      </c>
      <c r="BL1028">
        <v>2</v>
      </c>
      <c r="BM1028" s="3">
        <f t="shared" si="528"/>
        <v>1.2287698138353693</v>
      </c>
      <c r="BN1028" t="s">
        <v>33</v>
      </c>
      <c r="BO1028" s="3">
        <f t="shared" si="529"/>
        <v>16.934399999999997</v>
      </c>
      <c r="BP1028" t="s">
        <v>33</v>
      </c>
      <c r="BQ1028" t="s">
        <v>33</v>
      </c>
      <c r="BR1028" t="s">
        <v>33</v>
      </c>
      <c r="BS1028" t="s">
        <v>33</v>
      </c>
      <c r="BT1028" t="s">
        <v>32</v>
      </c>
      <c r="BU1028" t="s">
        <v>207</v>
      </c>
      <c r="BV1028">
        <v>2014</v>
      </c>
      <c r="BW1028" t="s">
        <v>208</v>
      </c>
      <c r="BX1028" t="s">
        <v>78</v>
      </c>
      <c r="BY1028" s="13" t="s">
        <v>683</v>
      </c>
      <c r="CA1028" t="str">
        <f t="shared" si="530"/>
        <v>low acid</v>
      </c>
    </row>
    <row r="1029" spans="1:79">
      <c r="A1029" t="s">
        <v>595</v>
      </c>
      <c r="B1029" t="s">
        <v>565</v>
      </c>
      <c r="C1029" t="s">
        <v>564</v>
      </c>
      <c r="D1029" t="s">
        <v>609</v>
      </c>
      <c r="E1029" t="s">
        <v>77</v>
      </c>
      <c r="F1029" t="s">
        <v>32</v>
      </c>
      <c r="G1029">
        <v>30</v>
      </c>
      <c r="H1029">
        <v>38.200000000000003</v>
      </c>
      <c r="I1029" t="b">
        <v>0</v>
      </c>
      <c r="J1029" t="s">
        <v>33</v>
      </c>
      <c r="K1029" t="s">
        <v>33</v>
      </c>
      <c r="L1029">
        <v>18</v>
      </c>
      <c r="M1029" s="4">
        <v>120</v>
      </c>
      <c r="N1029" t="e">
        <f>(#REF!*Y1029)/(T1029*X1029*O1029)</f>
        <v>#REF!</v>
      </c>
      <c r="O1029">
        <v>3</v>
      </c>
      <c r="P1029" t="s">
        <v>33</v>
      </c>
      <c r="Q1029" s="1">
        <f t="shared" si="526"/>
        <v>2.0833333333333332E-2</v>
      </c>
      <c r="R1029" t="s">
        <v>183</v>
      </c>
      <c r="S1029" t="s">
        <v>612</v>
      </c>
      <c r="T1029">
        <v>4</v>
      </c>
      <c r="U1029">
        <v>3</v>
      </c>
      <c r="V1029">
        <v>2.6</v>
      </c>
      <c r="W1029" t="s">
        <v>33</v>
      </c>
      <c r="X1029">
        <f>IFERROR(((PI())*(((V1029*10^-1)/2)^2)*(U1029*10^-1)), "NA")</f>
        <v>1.5927874753700257E-2</v>
      </c>
      <c r="Y1029">
        <v>0.126667</v>
      </c>
      <c r="Z1029" s="3">
        <f t="shared" si="527"/>
        <v>0.76453798817761232</v>
      </c>
      <c r="AA1029" t="s">
        <v>33</v>
      </c>
      <c r="AB1029">
        <f t="shared" si="531"/>
        <v>2.5</v>
      </c>
      <c r="AC1029" s="1" t="str">
        <f t="shared" si="523"/>
        <v>NA</v>
      </c>
      <c r="AE1029" s="3">
        <f t="shared" si="524"/>
        <v>9.525599999999999</v>
      </c>
      <c r="AF1029">
        <v>30</v>
      </c>
      <c r="AG1029" s="1" t="str">
        <f>IFERROR((N1029*P1029*Q1029), "NA")</f>
        <v>NA</v>
      </c>
      <c r="AH1029" s="1" t="str">
        <f>IFERROR((AG1029*U1029*AI1029), "NA")</f>
        <v>NA</v>
      </c>
      <c r="AI1029" s="1">
        <v>1</v>
      </c>
      <c r="AJ1029" s="11" t="s">
        <v>31</v>
      </c>
      <c r="AK1029">
        <v>980</v>
      </c>
      <c r="AL1029" t="s">
        <v>551</v>
      </c>
      <c r="AM1029" t="s">
        <v>86</v>
      </c>
      <c r="AN1029" t="s">
        <v>186</v>
      </c>
      <c r="AO1029" t="s">
        <v>794</v>
      </c>
      <c r="AP1029">
        <v>5.98</v>
      </c>
      <c r="AQ1029" t="s">
        <v>33</v>
      </c>
      <c r="AR1029" t="s">
        <v>33</v>
      </c>
      <c r="AS1029">
        <v>6</v>
      </c>
      <c r="AT1029">
        <f>AS1029-AU1029</f>
        <v>5.5</v>
      </c>
      <c r="AU1029" s="6">
        <v>0.5</v>
      </c>
      <c r="AV1029" t="b">
        <v>1</v>
      </c>
      <c r="AW1029" t="s">
        <v>626</v>
      </c>
      <c r="AX1029" t="s">
        <v>627</v>
      </c>
      <c r="AY1029" t="s">
        <v>631</v>
      </c>
      <c r="AZ1029" t="s">
        <v>33</v>
      </c>
      <c r="BA1029" s="18" t="s">
        <v>800</v>
      </c>
      <c r="BB1029" s="3" t="b">
        <v>0</v>
      </c>
      <c r="BC1029" t="s">
        <v>81</v>
      </c>
      <c r="BD1029">
        <v>20</v>
      </c>
      <c r="BE1029" t="s">
        <v>80</v>
      </c>
      <c r="BF1029">
        <v>20</v>
      </c>
      <c r="BG1029" t="s">
        <v>695</v>
      </c>
      <c r="BH1029" t="s">
        <v>32</v>
      </c>
      <c r="BI1029" t="s">
        <v>31</v>
      </c>
      <c r="BJ1029">
        <f t="shared" si="512"/>
        <v>0.5</v>
      </c>
      <c r="BK1029" s="3">
        <f t="shared" si="521"/>
        <v>-0.3010299956639812</v>
      </c>
      <c r="BL1029">
        <v>2</v>
      </c>
      <c r="BM1029" s="3">
        <f t="shared" si="528"/>
        <v>1.2799223362827505</v>
      </c>
      <c r="BN1029" t="s">
        <v>33</v>
      </c>
      <c r="BO1029" s="3">
        <f t="shared" si="529"/>
        <v>19.051199999999998</v>
      </c>
      <c r="BP1029" t="s">
        <v>33</v>
      </c>
      <c r="BQ1029" t="s">
        <v>33</v>
      </c>
      <c r="BR1029" t="s">
        <v>33</v>
      </c>
      <c r="BS1029" t="s">
        <v>33</v>
      </c>
      <c r="BT1029" t="s">
        <v>32</v>
      </c>
      <c r="BU1029" t="s">
        <v>207</v>
      </c>
      <c r="BV1029">
        <v>2014</v>
      </c>
      <c r="BW1029" t="s">
        <v>208</v>
      </c>
      <c r="BX1029" t="s">
        <v>78</v>
      </c>
      <c r="BY1029" s="13" t="s">
        <v>683</v>
      </c>
      <c r="CA1029" t="str">
        <f t="shared" si="530"/>
        <v>low acid</v>
      </c>
    </row>
    <row r="1030" spans="1:79">
      <c r="A1030" t="s">
        <v>595</v>
      </c>
      <c r="B1030" t="s">
        <v>565</v>
      </c>
      <c r="C1030" t="s">
        <v>564</v>
      </c>
      <c r="D1030" t="s">
        <v>609</v>
      </c>
      <c r="E1030" t="s">
        <v>77</v>
      </c>
      <c r="F1030" t="s">
        <v>32</v>
      </c>
      <c r="G1030">
        <v>30</v>
      </c>
      <c r="H1030">
        <v>38.200000000000003</v>
      </c>
      <c r="I1030" t="b">
        <v>0</v>
      </c>
      <c r="J1030" t="s">
        <v>33</v>
      </c>
      <c r="K1030" t="s">
        <v>33</v>
      </c>
      <c r="L1030">
        <v>24</v>
      </c>
      <c r="M1030" s="4">
        <v>120</v>
      </c>
      <c r="N1030" t="e">
        <f>(#REF!*Y1030)/(T1030*X1030*O1030)</f>
        <v>#REF!</v>
      </c>
      <c r="O1030">
        <v>3</v>
      </c>
      <c r="P1030" t="s">
        <v>33</v>
      </c>
      <c r="Q1030" s="1">
        <f t="shared" si="526"/>
        <v>2.0833333333333332E-2</v>
      </c>
      <c r="R1030" t="s">
        <v>183</v>
      </c>
      <c r="S1030" t="s">
        <v>612</v>
      </c>
      <c r="T1030">
        <v>4</v>
      </c>
      <c r="U1030">
        <v>3</v>
      </c>
      <c r="V1030">
        <v>2.6</v>
      </c>
      <c r="W1030" t="s">
        <v>33</v>
      </c>
      <c r="X1030">
        <f>IFERROR(((PI())*(((V1030*10^-1)/2)^2)*(U1030*10^-1)), "NA")</f>
        <v>1.5927874753700257E-2</v>
      </c>
      <c r="Y1030">
        <v>0.126667</v>
      </c>
      <c r="Z1030" s="3">
        <f t="shared" si="527"/>
        <v>0.76453798817761232</v>
      </c>
      <c r="AA1030" t="s">
        <v>33</v>
      </c>
      <c r="AB1030">
        <f t="shared" si="531"/>
        <v>2.5</v>
      </c>
      <c r="AC1030" s="1" t="str">
        <f t="shared" si="523"/>
        <v>NA</v>
      </c>
      <c r="AE1030" s="3">
        <f t="shared" si="524"/>
        <v>16.934399999999997</v>
      </c>
      <c r="AF1030">
        <v>30</v>
      </c>
      <c r="AG1030" s="1" t="str">
        <f>IFERROR((N1030*P1030*Q1030), "NA")</f>
        <v>NA</v>
      </c>
      <c r="AH1030" s="1" t="str">
        <f>IFERROR((AG1030*U1030*AI1030), "NA")</f>
        <v>NA</v>
      </c>
      <c r="AI1030" s="1">
        <v>1</v>
      </c>
      <c r="AJ1030" s="11" t="s">
        <v>31</v>
      </c>
      <c r="AK1030">
        <v>980</v>
      </c>
      <c r="AL1030" t="s">
        <v>551</v>
      </c>
      <c r="AM1030" t="s">
        <v>86</v>
      </c>
      <c r="AN1030" t="s">
        <v>186</v>
      </c>
      <c r="AO1030" t="s">
        <v>794</v>
      </c>
      <c r="AP1030">
        <v>5.98</v>
      </c>
      <c r="AQ1030" t="s">
        <v>33</v>
      </c>
      <c r="AR1030" t="s">
        <v>33</v>
      </c>
      <c r="AS1030">
        <v>6</v>
      </c>
      <c r="AT1030">
        <f>AS1030-AU1030</f>
        <v>5.5</v>
      </c>
      <c r="AU1030" s="6">
        <v>0.5</v>
      </c>
      <c r="AV1030" t="b">
        <v>1</v>
      </c>
      <c r="AW1030" t="s">
        <v>626</v>
      </c>
      <c r="AX1030" t="s">
        <v>627</v>
      </c>
      <c r="AY1030" t="s">
        <v>631</v>
      </c>
      <c r="AZ1030" t="s">
        <v>33</v>
      </c>
      <c r="BA1030" s="18" t="s">
        <v>800</v>
      </c>
      <c r="BB1030" s="3" t="b">
        <v>0</v>
      </c>
      <c r="BC1030" t="s">
        <v>81</v>
      </c>
      <c r="BD1030">
        <v>20</v>
      </c>
      <c r="BE1030" t="s">
        <v>80</v>
      </c>
      <c r="BF1030">
        <v>20</v>
      </c>
      <c r="BG1030" t="s">
        <v>695</v>
      </c>
      <c r="BH1030" t="s">
        <v>32</v>
      </c>
      <c r="BI1030" t="s">
        <v>31</v>
      </c>
      <c r="BJ1030">
        <f t="shared" si="512"/>
        <v>0.5</v>
      </c>
      <c r="BK1030" s="3">
        <f t="shared" si="521"/>
        <v>-0.3010299956639812</v>
      </c>
      <c r="BL1030">
        <v>2</v>
      </c>
      <c r="BM1030" s="3">
        <f t="shared" si="528"/>
        <v>1.5297998094993503</v>
      </c>
      <c r="BN1030" t="s">
        <v>33</v>
      </c>
      <c r="BO1030" s="3">
        <f t="shared" si="529"/>
        <v>33.868799999999993</v>
      </c>
      <c r="BP1030" t="s">
        <v>33</v>
      </c>
      <c r="BQ1030" t="s">
        <v>33</v>
      </c>
      <c r="BR1030" t="s">
        <v>33</v>
      </c>
      <c r="BS1030" t="s">
        <v>33</v>
      </c>
      <c r="BT1030" t="s">
        <v>32</v>
      </c>
      <c r="BU1030" t="s">
        <v>207</v>
      </c>
      <c r="BV1030">
        <v>2014</v>
      </c>
      <c r="BW1030" t="s">
        <v>208</v>
      </c>
      <c r="BX1030" t="s">
        <v>78</v>
      </c>
      <c r="BY1030" s="13" t="s">
        <v>683</v>
      </c>
      <c r="CA1030" t="str">
        <f t="shared" si="530"/>
        <v>low acid</v>
      </c>
    </row>
    <row r="1031" spans="1:79">
      <c r="A1031" t="s">
        <v>584</v>
      </c>
      <c r="B1031" t="s">
        <v>566</v>
      </c>
      <c r="C1031" t="s">
        <v>563</v>
      </c>
      <c r="D1031" t="s">
        <v>607</v>
      </c>
      <c r="E1031" t="s">
        <v>77</v>
      </c>
      <c r="F1031" t="s">
        <v>33</v>
      </c>
      <c r="G1031">
        <v>20</v>
      </c>
      <c r="H1031">
        <v>35</v>
      </c>
      <c r="I1031" t="b">
        <v>0</v>
      </c>
      <c r="J1031">
        <v>1000</v>
      </c>
      <c r="K1031">
        <v>200</v>
      </c>
      <c r="L1031">
        <v>20</v>
      </c>
      <c r="M1031" s="4">
        <v>1</v>
      </c>
      <c r="N1031" t="e">
        <f>(#REF!*Y1031)/(T1031*X1031*O1031)</f>
        <v>#REF!</v>
      </c>
      <c r="O1031">
        <v>3</v>
      </c>
      <c r="P1031" t="s">
        <v>33</v>
      </c>
      <c r="Q1031" s="1">
        <f t="shared" si="526"/>
        <v>50.000000000000007</v>
      </c>
      <c r="R1031" t="s">
        <v>183</v>
      </c>
      <c r="S1031" t="s">
        <v>33</v>
      </c>
      <c r="T1031">
        <v>1</v>
      </c>
      <c r="U1031">
        <v>2.5</v>
      </c>
      <c r="V1031" t="s">
        <v>33</v>
      </c>
      <c r="W1031">
        <v>0.50249999999999995</v>
      </c>
      <c r="X1031">
        <f>W1031</f>
        <v>0.50249999999999995</v>
      </c>
      <c r="Y1031" t="s">
        <v>33</v>
      </c>
      <c r="Z1031" s="3">
        <f t="shared" si="527"/>
        <v>1.0049999999999998E-2</v>
      </c>
      <c r="AA1031" t="s">
        <v>33</v>
      </c>
      <c r="AB1031">
        <f t="shared" si="531"/>
        <v>50.000000000000007</v>
      </c>
      <c r="AC1031" s="1" t="str">
        <f t="shared" si="523"/>
        <v>NA</v>
      </c>
      <c r="AE1031" s="3">
        <f t="shared" si="524"/>
        <v>60.000000000000007</v>
      </c>
      <c r="AF1031">
        <v>150</v>
      </c>
      <c r="AG1031" s="1" t="str">
        <f>IFERROR((N1031*P1031*Q1031), "NA")</f>
        <v>NA</v>
      </c>
      <c r="AH1031" s="1" t="str">
        <f>IFERROR((AG1031*U1031*AI1031), "NA")</f>
        <v>NA</v>
      </c>
      <c r="AI1031" s="1">
        <v>1</v>
      </c>
      <c r="AJ1031" s="11" t="s">
        <v>31</v>
      </c>
      <c r="AK1031">
        <v>1000</v>
      </c>
      <c r="AL1031" t="s">
        <v>614</v>
      </c>
      <c r="AM1031" s="3" t="s">
        <v>103</v>
      </c>
      <c r="AN1031" t="s">
        <v>305</v>
      </c>
      <c r="AO1031" t="s">
        <v>790</v>
      </c>
      <c r="AP1031">
        <v>3.5</v>
      </c>
      <c r="AQ1031" t="s">
        <v>33</v>
      </c>
      <c r="AR1031" t="s">
        <v>33</v>
      </c>
      <c r="AS1031">
        <v>8</v>
      </c>
      <c r="AT1031">
        <f>AS1031-AU1031</f>
        <v>5.5</v>
      </c>
      <c r="AU1031" s="6">
        <v>2.5</v>
      </c>
      <c r="AV1031" t="b">
        <v>1</v>
      </c>
      <c r="AW1031" t="s">
        <v>617</v>
      </c>
      <c r="AX1031" t="s">
        <v>33</v>
      </c>
      <c r="AY1031" t="s">
        <v>623</v>
      </c>
      <c r="AZ1031" t="s">
        <v>621</v>
      </c>
      <c r="BA1031" s="18" t="s">
        <v>802</v>
      </c>
      <c r="BB1031" s="3" t="b">
        <v>0</v>
      </c>
      <c r="BC1031" t="s">
        <v>81</v>
      </c>
      <c r="BD1031">
        <v>18</v>
      </c>
      <c r="BE1031" t="s">
        <v>80</v>
      </c>
      <c r="BF1031">
        <v>24</v>
      </c>
      <c r="BG1031" t="s">
        <v>569</v>
      </c>
      <c r="BH1031" t="s">
        <v>31</v>
      </c>
      <c r="BI1031" t="s">
        <v>31</v>
      </c>
      <c r="BJ1031">
        <f t="shared" si="512"/>
        <v>2.5</v>
      </c>
      <c r="BK1031" s="3">
        <f t="shared" si="521"/>
        <v>0.3979400086720376</v>
      </c>
      <c r="BL1031">
        <v>2</v>
      </c>
      <c r="BM1031" s="3">
        <f t="shared" si="528"/>
        <v>1.3802112417116061</v>
      </c>
      <c r="BN1031" t="s">
        <v>33</v>
      </c>
      <c r="BO1031" s="3">
        <f t="shared" si="529"/>
        <v>24.000000000000004</v>
      </c>
      <c r="BP1031" t="s">
        <v>33</v>
      </c>
      <c r="BQ1031" t="s">
        <v>33</v>
      </c>
      <c r="BR1031" t="s">
        <v>33</v>
      </c>
      <c r="BS1031" t="s">
        <v>33</v>
      </c>
      <c r="BT1031" t="s">
        <v>31</v>
      </c>
      <c r="BU1031" t="s">
        <v>255</v>
      </c>
      <c r="BV1031">
        <v>2010</v>
      </c>
      <c r="BW1031" t="s">
        <v>651</v>
      </c>
      <c r="BX1031" t="s">
        <v>78</v>
      </c>
      <c r="BY1031" s="13" t="s">
        <v>674</v>
      </c>
      <c r="CA1031" t="str">
        <f t="shared" si="530"/>
        <v>high acid</v>
      </c>
    </row>
    <row r="1032" spans="1:79">
      <c r="A1032" t="s">
        <v>197</v>
      </c>
      <c r="B1032" t="s">
        <v>565</v>
      </c>
      <c r="C1032" t="s">
        <v>563</v>
      </c>
      <c r="D1032" t="s">
        <v>118</v>
      </c>
      <c r="E1032" t="s">
        <v>77</v>
      </c>
      <c r="F1032" t="s">
        <v>32</v>
      </c>
      <c r="G1032">
        <v>23</v>
      </c>
      <c r="H1032">
        <v>56</v>
      </c>
      <c r="I1032" t="b">
        <v>0</v>
      </c>
      <c r="J1032" t="s">
        <v>33</v>
      </c>
      <c r="K1032" t="s">
        <v>33</v>
      </c>
      <c r="L1032">
        <v>25</v>
      </c>
      <c r="M1032" s="4">
        <v>1000</v>
      </c>
      <c r="N1032" s="3">
        <f>IFERROR(AF1032/((T1032*X1032/Y1032)*O1032*AI1032),"NA")</f>
        <v>995.95036417586573</v>
      </c>
      <c r="O1032">
        <v>3</v>
      </c>
      <c r="P1032" t="s">
        <v>33</v>
      </c>
      <c r="Q1032">
        <f t="shared" si="526"/>
        <v>1.2E-2</v>
      </c>
      <c r="R1032" t="s">
        <v>183</v>
      </c>
      <c r="S1032" t="s">
        <v>613</v>
      </c>
      <c r="T1032" s="11">
        <v>4</v>
      </c>
      <c r="U1032">
        <v>2.9</v>
      </c>
      <c r="V1032">
        <v>2.2999999999999998</v>
      </c>
      <c r="W1032" t="s">
        <v>33</v>
      </c>
      <c r="X1032" s="8">
        <f>IFERROR(((PI())*(((V1032*10^-1)/2)^2)*(U1032*10^-1)), "NA")</f>
        <v>1.204879322468025E-2</v>
      </c>
      <c r="Y1032">
        <v>1</v>
      </c>
      <c r="Z1032" s="3">
        <f t="shared" si="527"/>
        <v>1.0040661020566874</v>
      </c>
      <c r="AA1032" t="s">
        <v>33</v>
      </c>
      <c r="AB1032" s="6">
        <f t="shared" si="531"/>
        <v>12.000000000000002</v>
      </c>
      <c r="AC1032" t="str">
        <f t="shared" si="523"/>
        <v>NA</v>
      </c>
      <c r="AD1032" s="4">
        <f>IFERROR(AB1032*T1032*AI1032, "NA")</f>
        <v>48.000000000000007</v>
      </c>
      <c r="AE1032" s="3">
        <f t="shared" si="524"/>
        <v>189</v>
      </c>
      <c r="AF1032">
        <v>144</v>
      </c>
      <c r="AG1032" t="str">
        <f>IFERROR((M1032*O1032*P1032), "NA")</f>
        <v>NA</v>
      </c>
      <c r="AH1032" t="str">
        <f>IFERROR((AG1032*T1032*AI1032), "NA")</f>
        <v>NA</v>
      </c>
      <c r="AI1032" s="11">
        <v>1</v>
      </c>
      <c r="AJ1032" t="s">
        <v>31</v>
      </c>
      <c r="AK1032">
        <v>2100</v>
      </c>
      <c r="AL1032" t="s">
        <v>114</v>
      </c>
      <c r="AM1032" t="s">
        <v>103</v>
      </c>
      <c r="AN1032" t="s">
        <v>130</v>
      </c>
      <c r="AO1032" t="s">
        <v>795</v>
      </c>
      <c r="AP1032">
        <v>7</v>
      </c>
      <c r="AQ1032" t="s">
        <v>33</v>
      </c>
      <c r="AR1032" t="s">
        <v>33</v>
      </c>
      <c r="AS1032">
        <f>LOG(10^8)</f>
        <v>8</v>
      </c>
      <c r="AT1032" s="3">
        <f>IFERROR(AS1032-AU1032,"NA")</f>
        <v>5.5009999999999994</v>
      </c>
      <c r="AU1032" s="6">
        <v>2.4990000000000001</v>
      </c>
      <c r="AV1032" t="b">
        <v>1</v>
      </c>
      <c r="AW1032" t="s">
        <v>92</v>
      </c>
      <c r="AX1032" t="s">
        <v>93</v>
      </c>
      <c r="AY1032" t="s">
        <v>98</v>
      </c>
      <c r="AZ1032" t="s">
        <v>33</v>
      </c>
      <c r="BA1032" s="18" t="s">
        <v>801</v>
      </c>
      <c r="BB1032" t="b">
        <v>0</v>
      </c>
      <c r="BC1032" t="s">
        <v>81</v>
      </c>
      <c r="BD1032">
        <v>18</v>
      </c>
      <c r="BE1032" t="s">
        <v>80</v>
      </c>
      <c r="BF1032" t="s">
        <v>33</v>
      </c>
      <c r="BG1032" t="s">
        <v>568</v>
      </c>
      <c r="BH1032" t="s">
        <v>31</v>
      </c>
      <c r="BI1032" t="s">
        <v>31</v>
      </c>
      <c r="BJ1032" s="3">
        <f t="shared" si="512"/>
        <v>2.4990000000000001</v>
      </c>
      <c r="BK1032" s="3">
        <f t="shared" si="521"/>
        <v>0.39776625612645006</v>
      </c>
      <c r="BL1032">
        <v>2</v>
      </c>
      <c r="BM1032" s="3">
        <f t="shared" si="528"/>
        <v>1.8786955480467942</v>
      </c>
      <c r="BN1032" t="s">
        <v>33</v>
      </c>
      <c r="BO1032" s="3">
        <f t="shared" si="529"/>
        <v>75.630252100840337</v>
      </c>
      <c r="BP1032" t="s">
        <v>33</v>
      </c>
      <c r="BQ1032" t="s">
        <v>33</v>
      </c>
      <c r="BR1032" t="s">
        <v>33</v>
      </c>
      <c r="BS1032" t="s">
        <v>33</v>
      </c>
      <c r="BT1032" t="s">
        <v>31</v>
      </c>
      <c r="BU1032" t="s">
        <v>187</v>
      </c>
      <c r="BV1032">
        <v>2003</v>
      </c>
      <c r="BW1032" t="s">
        <v>192</v>
      </c>
      <c r="BX1032" t="s">
        <v>78</v>
      </c>
      <c r="BY1032" t="s">
        <v>33</v>
      </c>
      <c r="BZ1032" t="s">
        <v>33</v>
      </c>
      <c r="CA1032" t="str">
        <f t="shared" si="530"/>
        <v>low acid</v>
      </c>
    </row>
    <row r="1033" spans="1:79">
      <c r="A1033" t="s">
        <v>153</v>
      </c>
      <c r="B1033" t="s">
        <v>565</v>
      </c>
      <c r="C1033" t="s">
        <v>563</v>
      </c>
      <c r="D1033" t="s">
        <v>118</v>
      </c>
      <c r="E1033" t="s">
        <v>77</v>
      </c>
      <c r="F1033" t="s">
        <v>32</v>
      </c>
      <c r="G1033">
        <v>5</v>
      </c>
      <c r="H1033">
        <v>50</v>
      </c>
      <c r="I1033" t="b">
        <v>0</v>
      </c>
      <c r="J1033" t="s">
        <v>33</v>
      </c>
      <c r="K1033" t="s">
        <v>33</v>
      </c>
      <c r="L1033">
        <v>25</v>
      </c>
      <c r="M1033" s="4">
        <v>1500</v>
      </c>
      <c r="N1033" s="3">
        <f>IFERROR(AF1033/((T1033*X1033/Y1033)*O1033*AI1033),"NA")</f>
        <v>1500.8418682372421</v>
      </c>
      <c r="O1033">
        <v>2</v>
      </c>
      <c r="P1033" t="s">
        <v>33</v>
      </c>
      <c r="Q1033" s="8">
        <f t="shared" si="526"/>
        <v>1.2055555555555557E-2</v>
      </c>
      <c r="R1033" t="s">
        <v>183</v>
      </c>
      <c r="S1033" t="s">
        <v>613</v>
      </c>
      <c r="T1033" s="11">
        <v>6</v>
      </c>
      <c r="U1033">
        <v>2.9</v>
      </c>
      <c r="V1033">
        <v>2.2999999999999998</v>
      </c>
      <c r="W1033" t="s">
        <v>33</v>
      </c>
      <c r="X1033" s="8">
        <f>IFERROR(((PI())*(((V1033*10^-1)/2)^2)*(U1033*10^-1)), "NA")</f>
        <v>1.204879322468025E-2</v>
      </c>
      <c r="Y1033" s="6">
        <f>60/60</f>
        <v>1</v>
      </c>
      <c r="Z1033" s="3">
        <f t="shared" si="527"/>
        <v>0.99943906932831561</v>
      </c>
      <c r="AA1033" t="s">
        <v>33</v>
      </c>
      <c r="AB1033" s="6">
        <f t="shared" si="531"/>
        <v>18.083333333333336</v>
      </c>
      <c r="AC1033" t="str">
        <f t="shared" si="523"/>
        <v>NA</v>
      </c>
      <c r="AD1033" s="4">
        <f>AB1033*T1033*AI1033</f>
        <v>108.50000000000001</v>
      </c>
      <c r="AE1033" s="3">
        <f t="shared" si="524"/>
        <v>218.08500000000004</v>
      </c>
      <c r="AF1033">
        <v>217</v>
      </c>
      <c r="AG1033" t="str">
        <f>IFERROR((M1033*O1033*P1033), "NA")</f>
        <v>NA</v>
      </c>
      <c r="AH1033" t="str">
        <f>IFERROR((AG1033*T1033*AI1033), "NA")</f>
        <v>NA</v>
      </c>
      <c r="AI1033">
        <v>1</v>
      </c>
      <c r="AJ1033" t="s">
        <v>31</v>
      </c>
      <c r="AK1033">
        <v>1608</v>
      </c>
      <c r="AL1033" t="s">
        <v>149</v>
      </c>
      <c r="AM1033" t="s">
        <v>86</v>
      </c>
      <c r="AN1033" t="s">
        <v>205</v>
      </c>
      <c r="AO1033" t="s">
        <v>789</v>
      </c>
      <c r="AP1033">
        <v>3.41</v>
      </c>
      <c r="AQ1033" t="s">
        <v>33</v>
      </c>
      <c r="AR1033" t="s">
        <v>33</v>
      </c>
      <c r="AS1033" s="3">
        <v>9</v>
      </c>
      <c r="AT1033" s="3">
        <f>IFERROR(AS1033-AU1033,"NA")</f>
        <v>5.51</v>
      </c>
      <c r="AU1033" s="6">
        <v>3.49</v>
      </c>
      <c r="AV1033" t="b">
        <v>1</v>
      </c>
      <c r="AW1033" t="s">
        <v>29</v>
      </c>
      <c r="AX1033" t="s">
        <v>30</v>
      </c>
      <c r="AY1033" t="s">
        <v>33</v>
      </c>
      <c r="AZ1033" t="s">
        <v>134</v>
      </c>
      <c r="BA1033" s="18" t="s">
        <v>798</v>
      </c>
      <c r="BB1033" t="b">
        <v>0</v>
      </c>
      <c r="BC1033" t="s">
        <v>81</v>
      </c>
      <c r="BD1033">
        <f>18</f>
        <v>18</v>
      </c>
      <c r="BE1033" t="s">
        <v>80</v>
      </c>
      <c r="BF1033" s="11">
        <v>24</v>
      </c>
      <c r="BG1033" t="s">
        <v>262</v>
      </c>
      <c r="BH1033" t="s">
        <v>31</v>
      </c>
      <c r="BI1033" t="s">
        <v>31</v>
      </c>
      <c r="BJ1033" s="3">
        <f t="shared" si="512"/>
        <v>3.49</v>
      </c>
      <c r="BK1033" s="3">
        <f t="shared" si="521"/>
        <v>0.5428254269591799</v>
      </c>
      <c r="BL1033">
        <v>2</v>
      </c>
      <c r="BM1033" s="3">
        <f t="shared" si="528"/>
        <v>1.7958003686458575</v>
      </c>
      <c r="BN1033" t="s">
        <v>33</v>
      </c>
      <c r="BO1033" s="3">
        <f t="shared" si="529"/>
        <v>62.488538681948434</v>
      </c>
      <c r="BP1033" t="s">
        <v>33</v>
      </c>
      <c r="BQ1033" t="s">
        <v>33</v>
      </c>
      <c r="BR1033" t="s">
        <v>33</v>
      </c>
      <c r="BS1033" t="s">
        <v>33</v>
      </c>
      <c r="BT1033" t="s">
        <v>31</v>
      </c>
      <c r="BU1033" t="s">
        <v>190</v>
      </c>
      <c r="BV1033">
        <v>2021</v>
      </c>
      <c r="BW1033" s="5" t="s">
        <v>191</v>
      </c>
      <c r="BX1033" t="s">
        <v>78</v>
      </c>
      <c r="BY1033" t="s">
        <v>33</v>
      </c>
      <c r="BZ1033" t="s">
        <v>150</v>
      </c>
      <c r="CA1033" t="str">
        <f t="shared" si="530"/>
        <v>high acid</v>
      </c>
    </row>
    <row r="1034" spans="1:79">
      <c r="A1034" t="s">
        <v>354</v>
      </c>
      <c r="B1034" t="s">
        <v>565</v>
      </c>
      <c r="C1034" t="s">
        <v>563</v>
      </c>
      <c r="D1034" t="s">
        <v>118</v>
      </c>
      <c r="E1034" t="s">
        <v>77</v>
      </c>
      <c r="F1034" t="s">
        <v>32</v>
      </c>
      <c r="G1034">
        <v>20</v>
      </c>
      <c r="H1034">
        <v>38</v>
      </c>
      <c r="I1034" t="b">
        <v>0</v>
      </c>
      <c r="J1034" t="s">
        <v>33</v>
      </c>
      <c r="K1034" t="s">
        <v>33</v>
      </c>
      <c r="L1034">
        <v>22</v>
      </c>
      <c r="M1034" s="4">
        <v>800</v>
      </c>
      <c r="N1034" s="3">
        <f>IFERROR(AF1034/((T1034*X1034/Y1034)*O1034*AI1034),"NA")</f>
        <v>798.65912581555494</v>
      </c>
      <c r="O1034">
        <v>4</v>
      </c>
      <c r="P1034">
        <v>1.4999999999999999E-2</v>
      </c>
      <c r="Q1034" s="8">
        <f t="shared" si="526"/>
        <v>8.6458333333333352E-3</v>
      </c>
      <c r="R1034" t="s">
        <v>183</v>
      </c>
      <c r="S1034" t="s">
        <v>613</v>
      </c>
      <c r="T1034" s="11">
        <v>6</v>
      </c>
      <c r="U1034">
        <v>2.92</v>
      </c>
      <c r="V1034">
        <v>2.38</v>
      </c>
      <c r="W1034" t="s">
        <v>33</v>
      </c>
      <c r="X1034" s="8">
        <f>IFERROR(((PI())*(((V1034*10^-1)/2)^2)*(U1034*10^-1)), "NA")</f>
        <v>1.2990523321705635E-2</v>
      </c>
      <c r="Y1034">
        <v>1.5</v>
      </c>
      <c r="Z1034" s="3">
        <f t="shared" si="527"/>
        <v>1.5025183601008925</v>
      </c>
      <c r="AA1034" t="s">
        <v>33</v>
      </c>
      <c r="AB1034" s="6">
        <f t="shared" si="531"/>
        <v>6.916666666666667</v>
      </c>
      <c r="AC1034">
        <f t="shared" si="523"/>
        <v>12</v>
      </c>
      <c r="AD1034" s="4">
        <f>AB1034*T1034*AI1034</f>
        <v>41.5</v>
      </c>
      <c r="AE1034" s="3">
        <f t="shared" si="524"/>
        <v>208.89440000000005</v>
      </c>
      <c r="AF1034" s="3">
        <v>166</v>
      </c>
      <c r="AG1034">
        <f>IFERROR((M1034*O1034*P1034), "NA")</f>
        <v>48</v>
      </c>
      <c r="AH1034">
        <f>IFERROR((AG1034*T1034*AI1034), "NA")</f>
        <v>288</v>
      </c>
      <c r="AI1034">
        <v>1</v>
      </c>
      <c r="AJ1034" t="s">
        <v>31</v>
      </c>
      <c r="AK1034">
        <v>2600</v>
      </c>
      <c r="AL1034" t="s">
        <v>351</v>
      </c>
      <c r="AM1034" t="s">
        <v>86</v>
      </c>
      <c r="AN1034" t="s">
        <v>205</v>
      </c>
      <c r="AO1034" t="s">
        <v>789</v>
      </c>
      <c r="AP1034">
        <v>3.7</v>
      </c>
      <c r="AQ1034" t="s">
        <v>33</v>
      </c>
      <c r="AR1034" t="s">
        <v>33</v>
      </c>
      <c r="AS1034" s="6">
        <v>6.5</v>
      </c>
      <c r="AT1034" s="3">
        <f>IFERROR(AS1034-AU1034,"NA")</f>
        <v>5.5149999999999997</v>
      </c>
      <c r="AU1034" s="6">
        <v>0.98499999999999999</v>
      </c>
      <c r="AV1034" t="b">
        <v>1</v>
      </c>
      <c r="AW1034" t="s">
        <v>29</v>
      </c>
      <c r="AX1034" t="s">
        <v>30</v>
      </c>
      <c r="AY1034" t="s">
        <v>33</v>
      </c>
      <c r="AZ1034" t="s">
        <v>134</v>
      </c>
      <c r="BA1034" s="18" t="s">
        <v>798</v>
      </c>
      <c r="BB1034" t="b">
        <v>0</v>
      </c>
      <c r="BC1034" t="s">
        <v>81</v>
      </c>
      <c r="BD1034">
        <v>12</v>
      </c>
      <c r="BE1034" t="s">
        <v>80</v>
      </c>
      <c r="BF1034" s="11">
        <v>24</v>
      </c>
      <c r="BG1034" t="s">
        <v>352</v>
      </c>
      <c r="BH1034" t="s">
        <v>31</v>
      </c>
      <c r="BI1034" t="s">
        <v>31</v>
      </c>
      <c r="BJ1034" s="3">
        <f t="shared" si="512"/>
        <v>0.98499999999999999</v>
      </c>
      <c r="BK1034" s="3">
        <f t="shared" si="521"/>
        <v>-6.5637695023882739E-3</v>
      </c>
      <c r="BL1034">
        <v>2</v>
      </c>
      <c r="BM1034" s="3">
        <f t="shared" si="528"/>
        <v>2.3264905671576739</v>
      </c>
      <c r="BN1034" t="s">
        <v>33</v>
      </c>
      <c r="BO1034" s="3">
        <f t="shared" si="529"/>
        <v>212.07553299492392</v>
      </c>
      <c r="BP1034" t="s">
        <v>33</v>
      </c>
      <c r="BQ1034" t="s">
        <v>33</v>
      </c>
      <c r="BR1034" t="s">
        <v>33</v>
      </c>
      <c r="BS1034" t="s">
        <v>33</v>
      </c>
      <c r="BT1034" t="s">
        <v>31</v>
      </c>
      <c r="BU1034" t="s">
        <v>163</v>
      </c>
      <c r="BV1034">
        <v>2000</v>
      </c>
      <c r="BW1034" t="s">
        <v>353</v>
      </c>
      <c r="BX1034" t="s">
        <v>78</v>
      </c>
      <c r="BY1034" t="s">
        <v>33</v>
      </c>
      <c r="BZ1034" t="s">
        <v>529</v>
      </c>
      <c r="CA1034" t="str">
        <f t="shared" si="530"/>
        <v>high acid</v>
      </c>
    </row>
    <row r="1035" spans="1:79">
      <c r="A1035" t="s">
        <v>605</v>
      </c>
      <c r="B1035" t="s">
        <v>565</v>
      </c>
      <c r="C1035" t="s">
        <v>563</v>
      </c>
      <c r="D1035" t="s">
        <v>118</v>
      </c>
      <c r="E1035" t="s">
        <v>77</v>
      </c>
      <c r="F1035" t="s">
        <v>33</v>
      </c>
      <c r="G1035" t="s">
        <v>33</v>
      </c>
      <c r="H1035" t="s">
        <v>33</v>
      </c>
      <c r="I1035" t="b">
        <v>0</v>
      </c>
      <c r="J1035" t="s">
        <v>33</v>
      </c>
      <c r="K1035" t="s">
        <v>33</v>
      </c>
      <c r="L1035">
        <v>17</v>
      </c>
      <c r="M1035" s="4">
        <v>500</v>
      </c>
      <c r="N1035" t="e">
        <f>(#REF!*Y1035)/(T1035*X1035*O1035)</f>
        <v>#REF!</v>
      </c>
      <c r="O1035">
        <v>3</v>
      </c>
      <c r="P1035" t="s">
        <v>33</v>
      </c>
      <c r="Q1035" s="1">
        <f t="shared" si="526"/>
        <v>1.1666666666666667E-2</v>
      </c>
      <c r="R1035" t="s">
        <v>183</v>
      </c>
      <c r="S1035" t="s">
        <v>613</v>
      </c>
      <c r="T1035">
        <v>6</v>
      </c>
      <c r="U1035">
        <v>2.9</v>
      </c>
      <c r="V1035">
        <v>2.2999999999999998</v>
      </c>
      <c r="W1035" t="s">
        <v>33</v>
      </c>
      <c r="X1035">
        <f>IFERROR(((PI())*(((V1035*10^-1)/2)^2)*(U1035*10^-1)), "NA")</f>
        <v>1.204879322468025E-2</v>
      </c>
      <c r="Y1035">
        <v>0.83333299999999999</v>
      </c>
      <c r="Z1035" s="3">
        <f t="shared" si="527"/>
        <v>1.0327537049725928</v>
      </c>
      <c r="AA1035" t="s">
        <v>33</v>
      </c>
      <c r="AB1035">
        <f t="shared" si="531"/>
        <v>5.8333333333333339</v>
      </c>
      <c r="AC1035" s="1" t="str">
        <f t="shared" si="523"/>
        <v>NA</v>
      </c>
      <c r="AE1035" s="3">
        <f t="shared" si="524"/>
        <v>35.50365</v>
      </c>
      <c r="AF1035">
        <v>105</v>
      </c>
      <c r="AG1035" s="1" t="str">
        <f>IFERROR((N1035*P1035*Q1035), "NA")</f>
        <v>NA</v>
      </c>
      <c r="AH1035" s="1" t="str">
        <f>IFERROR((AG1035*U1035*AI1035), "NA")</f>
        <v>NA</v>
      </c>
      <c r="AI1035" s="1">
        <v>1</v>
      </c>
      <c r="AJ1035" s="11" t="s">
        <v>31</v>
      </c>
      <c r="AK1035">
        <f>1.17*10^3</f>
        <v>1170</v>
      </c>
      <c r="AL1035" t="s">
        <v>138</v>
      </c>
      <c r="AM1035" t="s">
        <v>86</v>
      </c>
      <c r="AN1035" t="s">
        <v>205</v>
      </c>
      <c r="AO1035" t="s">
        <v>789</v>
      </c>
      <c r="AP1035">
        <v>3.85</v>
      </c>
      <c r="AQ1035" t="s">
        <v>33</v>
      </c>
      <c r="AR1035" t="s">
        <v>33</v>
      </c>
      <c r="AS1035">
        <v>7.78</v>
      </c>
      <c r="AT1035">
        <v>5.52</v>
      </c>
      <c r="AU1035" s="6">
        <f>AS1035-AT1035</f>
        <v>2.2600000000000007</v>
      </c>
      <c r="AV1035" t="b">
        <v>1</v>
      </c>
      <c r="AW1035" t="s">
        <v>632</v>
      </c>
      <c r="AX1035" t="s">
        <v>639</v>
      </c>
      <c r="AY1035" t="s">
        <v>33</v>
      </c>
      <c r="AZ1035" t="s">
        <v>33</v>
      </c>
      <c r="BA1035" s="18" t="s">
        <v>803</v>
      </c>
      <c r="BB1035" s="3" t="b">
        <v>0</v>
      </c>
      <c r="BC1035" t="s">
        <v>81</v>
      </c>
      <c r="BD1035">
        <f>AVERAGE(24,48)</f>
        <v>36</v>
      </c>
      <c r="BE1035" t="s">
        <v>80</v>
      </c>
      <c r="BF1035">
        <v>48</v>
      </c>
      <c r="BG1035" t="s">
        <v>647</v>
      </c>
      <c r="BH1035" t="s">
        <v>31</v>
      </c>
      <c r="BI1035" t="s">
        <v>31</v>
      </c>
      <c r="BJ1035" s="3">
        <f t="shared" si="512"/>
        <v>2.2600000000000007</v>
      </c>
      <c r="BK1035" s="3">
        <f t="shared" si="521"/>
        <v>0.35410843914740103</v>
      </c>
      <c r="BL1035">
        <v>2</v>
      </c>
      <c r="BM1035" s="3">
        <f t="shared" si="528"/>
        <v>1.1961645644252465</v>
      </c>
      <c r="BN1035" t="s">
        <v>33</v>
      </c>
      <c r="BO1035" s="3">
        <f t="shared" si="529"/>
        <v>15.709579646017694</v>
      </c>
      <c r="BP1035" t="s">
        <v>33</v>
      </c>
      <c r="BQ1035" t="s">
        <v>33</v>
      </c>
      <c r="BR1035" t="s">
        <v>33</v>
      </c>
      <c r="BS1035" t="s">
        <v>33</v>
      </c>
      <c r="BT1035" t="s">
        <v>31</v>
      </c>
      <c r="BU1035" s="13" t="s">
        <v>135</v>
      </c>
      <c r="BV1035" s="14">
        <v>2009</v>
      </c>
      <c r="BW1035" s="13" t="s">
        <v>136</v>
      </c>
      <c r="BX1035" t="s">
        <v>78</v>
      </c>
      <c r="BY1035" s="13" t="s">
        <v>692</v>
      </c>
      <c r="CA1035" t="str">
        <f t="shared" si="530"/>
        <v>high acid</v>
      </c>
    </row>
    <row r="1036" spans="1:79">
      <c r="A1036" t="s">
        <v>582</v>
      </c>
      <c r="B1036" t="s">
        <v>566</v>
      </c>
      <c r="C1036" t="s">
        <v>563</v>
      </c>
      <c r="D1036" t="s">
        <v>606</v>
      </c>
      <c r="E1036" t="s">
        <v>77</v>
      </c>
      <c r="F1036" t="s">
        <v>32</v>
      </c>
      <c r="G1036">
        <v>25</v>
      </c>
      <c r="H1036" t="s">
        <v>33</v>
      </c>
      <c r="I1036" t="b">
        <v>0</v>
      </c>
      <c r="J1036" t="s">
        <v>33</v>
      </c>
      <c r="K1036" t="s">
        <v>33</v>
      </c>
      <c r="L1036">
        <v>25</v>
      </c>
      <c r="M1036" s="4">
        <v>1000</v>
      </c>
      <c r="N1036" t="e">
        <f>(#REF!*Y1036)/(T1036*X1036*O1036)</f>
        <v>#REF!</v>
      </c>
      <c r="O1036">
        <v>40</v>
      </c>
      <c r="P1036" t="s">
        <v>33</v>
      </c>
      <c r="Q1036" s="1">
        <f t="shared" si="526"/>
        <v>3.0000000000000002E-2</v>
      </c>
      <c r="R1036" t="s">
        <v>183</v>
      </c>
      <c r="S1036" t="s">
        <v>613</v>
      </c>
      <c r="T1036">
        <v>1</v>
      </c>
      <c r="U1036">
        <v>3</v>
      </c>
      <c r="V1036" t="s">
        <v>33</v>
      </c>
      <c r="W1036">
        <v>0.02</v>
      </c>
      <c r="X1036">
        <f>W1036</f>
        <v>0.02</v>
      </c>
      <c r="Y1036">
        <v>0.66666700000000001</v>
      </c>
      <c r="Z1036" s="3">
        <f t="shared" si="527"/>
        <v>0.66666666666666663</v>
      </c>
      <c r="AA1036" t="s">
        <v>33</v>
      </c>
      <c r="AB1036">
        <f t="shared" si="531"/>
        <v>30</v>
      </c>
      <c r="AC1036" s="1" t="str">
        <f t="shared" si="523"/>
        <v>NA</v>
      </c>
      <c r="AE1036" s="3">
        <f t="shared" si="524"/>
        <v>135</v>
      </c>
      <c r="AF1036">
        <v>1200</v>
      </c>
      <c r="AG1036" s="1" t="str">
        <f>IFERROR((N1036*P1036*Q1036), "NA")</f>
        <v>NA</v>
      </c>
      <c r="AH1036" s="1" t="str">
        <f>IFERROR((AG1036*U1036*AI1036), "NA")</f>
        <v>NA</v>
      </c>
      <c r="AI1036" s="1">
        <v>1</v>
      </c>
      <c r="AJ1036" s="11" t="s">
        <v>31</v>
      </c>
      <c r="AK1036">
        <v>180</v>
      </c>
      <c r="AL1036" t="s">
        <v>614</v>
      </c>
      <c r="AM1036" s="3" t="s">
        <v>103</v>
      </c>
      <c r="AN1036" t="s">
        <v>130</v>
      </c>
      <c r="AO1036" t="s">
        <v>795</v>
      </c>
      <c r="AP1036">
        <v>6.9</v>
      </c>
      <c r="AQ1036" t="s">
        <v>33</v>
      </c>
      <c r="AR1036" t="s">
        <v>33</v>
      </c>
      <c r="AS1036">
        <v>9</v>
      </c>
      <c r="AT1036">
        <f>AS1036-AU1036</f>
        <v>5.52</v>
      </c>
      <c r="AU1036" s="6">
        <v>3.48</v>
      </c>
      <c r="AV1036" t="b">
        <v>1</v>
      </c>
      <c r="AW1036" t="s">
        <v>617</v>
      </c>
      <c r="AX1036" t="s">
        <v>33</v>
      </c>
      <c r="AY1036" t="s">
        <v>620</v>
      </c>
      <c r="AZ1036" t="s">
        <v>621</v>
      </c>
      <c r="BA1036" s="18" t="s">
        <v>802</v>
      </c>
      <c r="BB1036" s="3" t="b">
        <v>0</v>
      </c>
      <c r="BC1036" t="s">
        <v>81</v>
      </c>
      <c r="BD1036">
        <v>48</v>
      </c>
      <c r="BE1036" t="s">
        <v>80</v>
      </c>
      <c r="BF1036">
        <v>48</v>
      </c>
      <c r="BG1036" t="s">
        <v>569</v>
      </c>
      <c r="BH1036" t="s">
        <v>31</v>
      </c>
      <c r="BI1036" t="s">
        <v>31</v>
      </c>
      <c r="BJ1036">
        <f t="shared" si="512"/>
        <v>3.48</v>
      </c>
      <c r="BK1036" s="3">
        <f t="shared" si="521"/>
        <v>0.54157924394658097</v>
      </c>
      <c r="BL1036">
        <v>2</v>
      </c>
      <c r="BM1036" s="3">
        <f t="shared" si="528"/>
        <v>1.5887545245484251</v>
      </c>
      <c r="BN1036" t="s">
        <v>33</v>
      </c>
      <c r="BO1036" s="3">
        <f t="shared" si="529"/>
        <v>38.793103448275865</v>
      </c>
      <c r="BP1036" t="s">
        <v>33</v>
      </c>
      <c r="BQ1036" t="s">
        <v>33</v>
      </c>
      <c r="BR1036" t="s">
        <v>33</v>
      </c>
      <c r="BS1036" t="s">
        <v>33</v>
      </c>
      <c r="BT1036" t="s">
        <v>32</v>
      </c>
      <c r="BU1036" t="s">
        <v>649</v>
      </c>
      <c r="BV1036" s="14">
        <v>2016</v>
      </c>
      <c r="BW1036" t="s">
        <v>650</v>
      </c>
      <c r="BX1036" t="s">
        <v>78</v>
      </c>
      <c r="BY1036" s="13" t="s">
        <v>672</v>
      </c>
      <c r="CA1036" t="str">
        <f t="shared" si="530"/>
        <v>low acid</v>
      </c>
    </row>
    <row r="1037" spans="1:79">
      <c r="A1037" t="s">
        <v>343</v>
      </c>
      <c r="B1037" t="s">
        <v>566</v>
      </c>
      <c r="C1037" t="s">
        <v>563</v>
      </c>
      <c r="D1037" t="s">
        <v>33</v>
      </c>
      <c r="E1037" t="s">
        <v>77</v>
      </c>
      <c r="F1037" t="s">
        <v>32</v>
      </c>
      <c r="G1037">
        <v>20</v>
      </c>
      <c r="H1037">
        <v>23</v>
      </c>
      <c r="I1037" t="b">
        <v>0</v>
      </c>
      <c r="J1037" t="s">
        <v>33</v>
      </c>
      <c r="K1037" t="s">
        <v>33</v>
      </c>
      <c r="L1037">
        <v>20</v>
      </c>
      <c r="M1037" s="4">
        <v>2</v>
      </c>
      <c r="N1037" s="3">
        <f>IFERROR(AF1037/((T1037*X1037/Y1037)*O1037*AI1037),"NA")</f>
        <v>2.1126760563380285</v>
      </c>
      <c r="O1037">
        <v>2</v>
      </c>
      <c r="P1037" t="s">
        <v>33</v>
      </c>
      <c r="Q1037" s="8">
        <f t="shared" si="526"/>
        <v>7.5</v>
      </c>
      <c r="R1037" t="s">
        <v>183</v>
      </c>
      <c r="S1037" t="s">
        <v>613</v>
      </c>
      <c r="T1037" s="11">
        <v>1</v>
      </c>
      <c r="U1037">
        <v>5</v>
      </c>
      <c r="V1037" t="s">
        <v>33</v>
      </c>
      <c r="W1037">
        <v>0.71</v>
      </c>
      <c r="X1037" s="8">
        <f>W1037</f>
        <v>0.71</v>
      </c>
      <c r="Y1037">
        <f>6/60</f>
        <v>0.1</v>
      </c>
      <c r="Z1037" s="3">
        <f t="shared" si="527"/>
        <v>9.4666666666666663E-2</v>
      </c>
      <c r="AA1037">
        <v>15</v>
      </c>
      <c r="AB1037" s="6">
        <f t="shared" si="531"/>
        <v>15</v>
      </c>
      <c r="AC1037" t="str">
        <f t="shared" si="523"/>
        <v>NA</v>
      </c>
      <c r="AD1037" s="4">
        <f>AB1037*T1037*AI1037</f>
        <v>90</v>
      </c>
      <c r="AE1037" s="3">
        <f t="shared" si="524"/>
        <v>421.19999999999993</v>
      </c>
      <c r="AF1037">
        <v>180</v>
      </c>
      <c r="AG1037" t="str">
        <f>IFERROR((M1037*O1037*P1037), "NA")</f>
        <v>NA</v>
      </c>
      <c r="AH1037" t="str">
        <f>IFERROR((AG1037*T1037*AI1037), "NA")</f>
        <v>NA</v>
      </c>
      <c r="AI1037">
        <v>6</v>
      </c>
      <c r="AJ1037" s="11" t="s">
        <v>32</v>
      </c>
      <c r="AK1037">
        <v>5850</v>
      </c>
      <c r="AL1037" t="s">
        <v>562</v>
      </c>
      <c r="AM1037" s="3" t="s">
        <v>786</v>
      </c>
      <c r="AN1037" t="s">
        <v>186</v>
      </c>
      <c r="AO1037" t="s">
        <v>793</v>
      </c>
      <c r="AP1037" t="s">
        <v>33</v>
      </c>
      <c r="AQ1037" t="s">
        <v>33</v>
      </c>
      <c r="AR1037" t="s">
        <v>33</v>
      </c>
      <c r="AS1037" s="6">
        <f>LOG(10^8)</f>
        <v>8</v>
      </c>
      <c r="AT1037" s="3">
        <f>IFERROR(AS1037-AU1037,"NA")</f>
        <v>5.5209999999999999</v>
      </c>
      <c r="AU1037" s="6">
        <v>2.4790000000000001</v>
      </c>
      <c r="AV1037" t="b">
        <v>1</v>
      </c>
      <c r="AW1037" t="s">
        <v>29</v>
      </c>
      <c r="AX1037" t="s">
        <v>30</v>
      </c>
      <c r="AY1037" t="s">
        <v>33</v>
      </c>
      <c r="AZ1037" t="s">
        <v>134</v>
      </c>
      <c r="BA1037" s="18" t="s">
        <v>798</v>
      </c>
      <c r="BB1037" t="b">
        <v>0</v>
      </c>
      <c r="BC1037" t="s">
        <v>81</v>
      </c>
      <c r="BD1037">
        <v>18</v>
      </c>
      <c r="BE1037" t="s">
        <v>80</v>
      </c>
      <c r="BF1037" s="11">
        <v>21</v>
      </c>
      <c r="BG1037" t="s">
        <v>694</v>
      </c>
      <c r="BH1037" t="s">
        <v>31</v>
      </c>
      <c r="BI1037" t="s">
        <v>31</v>
      </c>
      <c r="BJ1037" s="3">
        <f t="shared" si="512"/>
        <v>2.4790000000000001</v>
      </c>
      <c r="BK1037" s="3">
        <f t="shared" si="521"/>
        <v>0.39427652676782143</v>
      </c>
      <c r="BL1037">
        <v>2</v>
      </c>
      <c r="BM1037" s="3">
        <f t="shared" si="528"/>
        <v>2.2302118357456275</v>
      </c>
      <c r="BN1037" t="s">
        <v>33</v>
      </c>
      <c r="BO1037" s="3">
        <f t="shared" si="529"/>
        <v>169.90722065348928</v>
      </c>
      <c r="BP1037" t="s">
        <v>33</v>
      </c>
      <c r="BQ1037" t="s">
        <v>33</v>
      </c>
      <c r="BR1037" t="s">
        <v>33</v>
      </c>
      <c r="BS1037" t="s">
        <v>33</v>
      </c>
      <c r="BT1037" t="s">
        <v>31</v>
      </c>
      <c r="BU1037" t="s">
        <v>338</v>
      </c>
      <c r="BV1037">
        <v>2005</v>
      </c>
      <c r="BW1037" s="2" t="s">
        <v>342</v>
      </c>
      <c r="BX1037" t="s">
        <v>78</v>
      </c>
      <c r="BY1037" t="s">
        <v>340</v>
      </c>
      <c r="BZ1037" t="s">
        <v>33</v>
      </c>
      <c r="CA1037" t="str">
        <f t="shared" si="530"/>
        <v>low acid</v>
      </c>
    </row>
    <row r="1038" spans="1:79">
      <c r="A1038" t="s">
        <v>533</v>
      </c>
      <c r="B1038" t="s">
        <v>565</v>
      </c>
      <c r="C1038" t="s">
        <v>564</v>
      </c>
      <c r="D1038" t="s">
        <v>209</v>
      </c>
      <c r="E1038" t="s">
        <v>77</v>
      </c>
      <c r="F1038" t="s">
        <v>32</v>
      </c>
      <c r="G1038">
        <v>30</v>
      </c>
      <c r="H1038">
        <v>38.200000000000003</v>
      </c>
      <c r="I1038" t="b">
        <v>0</v>
      </c>
      <c r="J1038" t="s">
        <v>33</v>
      </c>
      <c r="K1038" t="s">
        <v>33</v>
      </c>
      <c r="L1038">
        <v>12</v>
      </c>
      <c r="M1038" s="4">
        <v>120</v>
      </c>
      <c r="N1038" s="3">
        <f>IFERROR(AF1038/((T1038*X1038/Y1038)*O1038*AI1038),"NA")</f>
        <v>119.28772855013848</v>
      </c>
      <c r="O1038">
        <v>3</v>
      </c>
      <c r="P1038" t="s">
        <v>33</v>
      </c>
      <c r="Q1038">
        <f t="shared" si="526"/>
        <v>0.125</v>
      </c>
      <c r="R1038" t="s">
        <v>183</v>
      </c>
      <c r="S1038" t="s">
        <v>612</v>
      </c>
      <c r="T1038" s="11">
        <v>4</v>
      </c>
      <c r="U1038">
        <v>3</v>
      </c>
      <c r="V1038">
        <v>2.6</v>
      </c>
      <c r="W1038" t="s">
        <v>33</v>
      </c>
      <c r="X1038" s="8">
        <f>IFERROR(((PI())*(((V1038*10^-1)/2)^2)*(U1038*10^-1)), "NA")</f>
        <v>1.5927874753700257E-2</v>
      </c>
      <c r="Y1038" s="6">
        <f>7.6/60</f>
        <v>0.12666666666666665</v>
      </c>
      <c r="Z1038" s="3">
        <f t="shared" si="527"/>
        <v>0.12742299802960205</v>
      </c>
      <c r="AA1038" t="s">
        <v>33</v>
      </c>
      <c r="AB1038" s="6">
        <f t="shared" si="531"/>
        <v>15</v>
      </c>
      <c r="AC1038" t="str">
        <f t="shared" si="523"/>
        <v>NA</v>
      </c>
      <c r="AD1038" s="4">
        <f>IFERROR(AB1038*T1038*AI1038, "NA")</f>
        <v>60</v>
      </c>
      <c r="AE1038" s="3">
        <f t="shared" si="524"/>
        <v>25.401599999999998</v>
      </c>
      <c r="AF1038">
        <v>180</v>
      </c>
      <c r="AG1038" t="str">
        <f>IFERROR((M1038*O1038*P1038), "NA")</f>
        <v>NA</v>
      </c>
      <c r="AH1038" t="str">
        <f>IFERROR((AG1038*T1038*AI1038), "NA")</f>
        <v>NA</v>
      </c>
      <c r="AI1038" s="11">
        <v>1</v>
      </c>
      <c r="AJ1038" t="s">
        <v>31</v>
      </c>
      <c r="AK1038">
        <v>980</v>
      </c>
      <c r="AL1038" t="s">
        <v>551</v>
      </c>
      <c r="AM1038" t="s">
        <v>86</v>
      </c>
      <c r="AN1038" t="s">
        <v>186</v>
      </c>
      <c r="AO1038" t="s">
        <v>794</v>
      </c>
      <c r="AP1038">
        <v>5.98</v>
      </c>
      <c r="AQ1038" t="s">
        <v>33</v>
      </c>
      <c r="AR1038" t="s">
        <v>33</v>
      </c>
      <c r="AS1038" s="6">
        <v>6.5</v>
      </c>
      <c r="AT1038" s="3">
        <f>IFERROR(AS1038-AU1038,"NA")</f>
        <v>5.524</v>
      </c>
      <c r="AU1038" s="6">
        <v>0.97599999999999998</v>
      </c>
      <c r="AV1038" t="b">
        <v>1</v>
      </c>
      <c r="AW1038" t="s">
        <v>29</v>
      </c>
      <c r="AX1038" t="s">
        <v>30</v>
      </c>
      <c r="AY1038" t="s">
        <v>211</v>
      </c>
      <c r="AZ1038" t="s">
        <v>33</v>
      </c>
      <c r="BA1038" s="18" t="s">
        <v>798</v>
      </c>
      <c r="BB1038" t="b">
        <v>0</v>
      </c>
      <c r="BC1038" t="s">
        <v>81</v>
      </c>
      <c r="BD1038">
        <v>20</v>
      </c>
      <c r="BE1038" t="s">
        <v>80</v>
      </c>
      <c r="BF1038" s="11">
        <v>20</v>
      </c>
      <c r="BG1038" t="s">
        <v>570</v>
      </c>
      <c r="BH1038" t="s">
        <v>31</v>
      </c>
      <c r="BI1038" t="s">
        <v>31</v>
      </c>
      <c r="BJ1038" s="3">
        <f t="shared" si="512"/>
        <v>0.97599999999999998</v>
      </c>
      <c r="BK1038" s="3">
        <f t="shared" si="521"/>
        <v>-1.0550182333308195E-2</v>
      </c>
      <c r="BL1038">
        <v>2</v>
      </c>
      <c r="BM1038" s="3">
        <f t="shared" si="528"/>
        <v>1.4154112552243587</v>
      </c>
      <c r="BN1038" t="s">
        <v>33</v>
      </c>
      <c r="BO1038" s="3">
        <f t="shared" si="529"/>
        <v>26.026229508196721</v>
      </c>
      <c r="BP1038" t="s">
        <v>33</v>
      </c>
      <c r="BQ1038" t="s">
        <v>33</v>
      </c>
      <c r="BR1038" t="s">
        <v>33</v>
      </c>
      <c r="BS1038" t="s">
        <v>33</v>
      </c>
      <c r="BT1038" t="s">
        <v>32</v>
      </c>
      <c r="BU1038" t="s">
        <v>207</v>
      </c>
      <c r="BV1038">
        <v>2014</v>
      </c>
      <c r="BW1038" t="s">
        <v>208</v>
      </c>
      <c r="BX1038" t="s">
        <v>78</v>
      </c>
      <c r="BY1038" t="s">
        <v>33</v>
      </c>
      <c r="BZ1038" t="s">
        <v>33</v>
      </c>
      <c r="CA1038" t="str">
        <f t="shared" si="530"/>
        <v>low acid</v>
      </c>
    </row>
    <row r="1039" spans="1:79">
      <c r="A1039" t="s">
        <v>534</v>
      </c>
      <c r="B1039" t="s">
        <v>565</v>
      </c>
      <c r="C1039" t="s">
        <v>564</v>
      </c>
      <c r="D1039" t="s">
        <v>243</v>
      </c>
      <c r="E1039" t="s">
        <v>77</v>
      </c>
      <c r="F1039" t="s">
        <v>32</v>
      </c>
      <c r="G1039">
        <v>40</v>
      </c>
      <c r="H1039">
        <v>50.2</v>
      </c>
      <c r="I1039" t="b">
        <v>0</v>
      </c>
      <c r="J1039" t="s">
        <v>33</v>
      </c>
      <c r="K1039" t="s">
        <v>33</v>
      </c>
      <c r="L1039">
        <v>15</v>
      </c>
      <c r="M1039" s="4">
        <v>120</v>
      </c>
      <c r="N1039" s="3">
        <f>IFERROR(AF1039/((T1039*X1039/Y1039)*O1039*AI1039),"NA")</f>
        <v>401.11370711303874</v>
      </c>
      <c r="O1039">
        <v>3</v>
      </c>
      <c r="P1039" t="s">
        <v>33</v>
      </c>
      <c r="Q1039" s="8">
        <f t="shared" si="526"/>
        <v>0.12777777777777777</v>
      </c>
      <c r="R1039" t="s">
        <v>183</v>
      </c>
      <c r="S1039" t="s">
        <v>612</v>
      </c>
      <c r="T1039" s="11">
        <v>4</v>
      </c>
      <c r="U1039">
        <v>3</v>
      </c>
      <c r="V1039">
        <v>2.6</v>
      </c>
      <c r="W1039">
        <v>1.5900000000000001E-2</v>
      </c>
      <c r="X1039" s="8">
        <f>IFERROR(((PI())*(((V1039*10^-1)/2)^2)*(U1039*10^-1)), "NA")</f>
        <v>1.5927874753700257E-2</v>
      </c>
      <c r="Y1039" s="6">
        <f>25/60</f>
        <v>0.41666666666666669</v>
      </c>
      <c r="Z1039" s="3">
        <f t="shared" si="527"/>
        <v>0.1246529328550455</v>
      </c>
      <c r="AA1039" t="s">
        <v>33</v>
      </c>
      <c r="AB1039" s="6">
        <f t="shared" si="531"/>
        <v>15.333333333333332</v>
      </c>
      <c r="AC1039" t="str">
        <f t="shared" si="523"/>
        <v>NA</v>
      </c>
      <c r="AD1039" s="4">
        <f>IFERROR(AB1039*T1039*AI1039, "NA")</f>
        <v>61.333333333333329</v>
      </c>
      <c r="AE1039" s="3">
        <f t="shared" si="524"/>
        <v>38.087999999999994</v>
      </c>
      <c r="AF1039">
        <v>184</v>
      </c>
      <c r="AG1039" t="str">
        <f>IFERROR((M1039*O1039*P1039), "NA")</f>
        <v>NA</v>
      </c>
      <c r="AH1039" t="str">
        <f>IFERROR((AG1039*T1039*AI1039), "NA")</f>
        <v>NA</v>
      </c>
      <c r="AI1039" s="11">
        <v>1</v>
      </c>
      <c r="AJ1039" t="s">
        <v>31</v>
      </c>
      <c r="AK1039">
        <v>920</v>
      </c>
      <c r="AL1039" t="s">
        <v>551</v>
      </c>
      <c r="AM1039" t="s">
        <v>86</v>
      </c>
      <c r="AN1039" t="s">
        <v>186</v>
      </c>
      <c r="AO1039" t="s">
        <v>794</v>
      </c>
      <c r="AP1039">
        <v>5.92</v>
      </c>
      <c r="AQ1039" t="s">
        <v>33</v>
      </c>
      <c r="AR1039" t="s">
        <v>33</v>
      </c>
      <c r="AS1039" s="6">
        <f>LOG(1.4*10^6)</f>
        <v>6.1461280356782382</v>
      </c>
      <c r="AT1039" s="3">
        <f>IFERROR(AS1039-AU1039,"NA")</f>
        <v>5.5241280356782383</v>
      </c>
      <c r="AU1039" s="6">
        <v>0.622</v>
      </c>
      <c r="AV1039" t="b">
        <v>1</v>
      </c>
      <c r="AW1039" t="s">
        <v>29</v>
      </c>
      <c r="AX1039" t="s">
        <v>30</v>
      </c>
      <c r="AY1039" t="s">
        <v>244</v>
      </c>
      <c r="AZ1039" t="s">
        <v>33</v>
      </c>
      <c r="BA1039" s="18" t="s">
        <v>798</v>
      </c>
      <c r="BB1039" t="b">
        <v>0</v>
      </c>
      <c r="BC1039" t="s">
        <v>81</v>
      </c>
      <c r="BD1039">
        <v>20</v>
      </c>
      <c r="BE1039" t="s">
        <v>80</v>
      </c>
      <c r="BF1039" s="11">
        <v>20</v>
      </c>
      <c r="BG1039" t="s">
        <v>245</v>
      </c>
      <c r="BH1039" t="s">
        <v>31</v>
      </c>
      <c r="BI1039" t="s">
        <v>31</v>
      </c>
      <c r="BJ1039" s="3">
        <f t="shared" si="512"/>
        <v>0.622</v>
      </c>
      <c r="BK1039" s="3">
        <f t="shared" si="521"/>
        <v>-0.2062096153091813</v>
      </c>
      <c r="BL1039">
        <v>2</v>
      </c>
      <c r="BM1039" s="3">
        <f t="shared" si="528"/>
        <v>1.7869977837756355</v>
      </c>
      <c r="BN1039" t="s">
        <v>33</v>
      </c>
      <c r="BO1039" s="3">
        <f t="shared" si="529"/>
        <v>61.234726688102882</v>
      </c>
      <c r="BP1039" t="s">
        <v>33</v>
      </c>
      <c r="BQ1039" t="s">
        <v>33</v>
      </c>
      <c r="BR1039" t="s">
        <v>33</v>
      </c>
      <c r="BS1039" t="s">
        <v>33</v>
      </c>
      <c r="BT1039" t="s">
        <v>32</v>
      </c>
      <c r="BU1039" t="s">
        <v>207</v>
      </c>
      <c r="BV1039">
        <v>2014</v>
      </c>
      <c r="BW1039" s="2" t="s">
        <v>242</v>
      </c>
      <c r="BX1039" t="s">
        <v>78</v>
      </c>
      <c r="BY1039" t="s">
        <v>33</v>
      </c>
      <c r="BZ1039" t="s">
        <v>33</v>
      </c>
      <c r="CA1039" t="str">
        <f t="shared" si="530"/>
        <v>low acid</v>
      </c>
    </row>
    <row r="1040" spans="1:79">
      <c r="A1040" t="s">
        <v>584</v>
      </c>
      <c r="B1040" t="s">
        <v>566</v>
      </c>
      <c r="C1040" t="s">
        <v>563</v>
      </c>
      <c r="D1040" t="s">
        <v>607</v>
      </c>
      <c r="E1040" t="s">
        <v>77</v>
      </c>
      <c r="F1040" t="s">
        <v>33</v>
      </c>
      <c r="G1040">
        <v>20</v>
      </c>
      <c r="H1040">
        <v>35</v>
      </c>
      <c r="I1040" t="b">
        <v>0</v>
      </c>
      <c r="J1040">
        <v>1000</v>
      </c>
      <c r="K1040">
        <v>200</v>
      </c>
      <c r="L1040">
        <v>25</v>
      </c>
      <c r="M1040" s="4">
        <v>1</v>
      </c>
      <c r="N1040" t="e">
        <f>(#REF!*Y1040)/(T1040*X1040*O1040)</f>
        <v>#REF!</v>
      </c>
      <c r="O1040">
        <v>3</v>
      </c>
      <c r="P1040" t="s">
        <v>33</v>
      </c>
      <c r="Q1040" s="1">
        <f t="shared" si="526"/>
        <v>25.000000000000004</v>
      </c>
      <c r="R1040" t="s">
        <v>183</v>
      </c>
      <c r="S1040" t="s">
        <v>33</v>
      </c>
      <c r="T1040">
        <v>1</v>
      </c>
      <c r="U1040">
        <v>2.5</v>
      </c>
      <c r="V1040" t="s">
        <v>33</v>
      </c>
      <c r="W1040">
        <v>0.50249999999999995</v>
      </c>
      <c r="X1040">
        <f>W1040</f>
        <v>0.50249999999999995</v>
      </c>
      <c r="Y1040" t="s">
        <v>33</v>
      </c>
      <c r="Z1040" s="3">
        <f t="shared" si="527"/>
        <v>2.0099999999999996E-2</v>
      </c>
      <c r="AA1040" t="s">
        <v>33</v>
      </c>
      <c r="AB1040">
        <f t="shared" si="531"/>
        <v>25.000000000000004</v>
      </c>
      <c r="AC1040" s="1" t="str">
        <f t="shared" si="523"/>
        <v>NA</v>
      </c>
      <c r="AE1040" s="3">
        <f t="shared" si="524"/>
        <v>46.875000000000007</v>
      </c>
      <c r="AF1040">
        <v>75</v>
      </c>
      <c r="AG1040" s="1" t="str">
        <f>IFERROR((N1040*P1040*Q1040), "NA")</f>
        <v>NA</v>
      </c>
      <c r="AH1040" s="1" t="str">
        <f>IFERROR((AG1040*U1040*AI1040), "NA")</f>
        <v>NA</v>
      </c>
      <c r="AI1040" s="1">
        <v>1</v>
      </c>
      <c r="AJ1040" s="11" t="s">
        <v>31</v>
      </c>
      <c r="AK1040">
        <v>1000</v>
      </c>
      <c r="AL1040" t="s">
        <v>614</v>
      </c>
      <c r="AM1040" s="3" t="s">
        <v>103</v>
      </c>
      <c r="AN1040" t="s">
        <v>305</v>
      </c>
      <c r="AO1040" t="s">
        <v>790</v>
      </c>
      <c r="AP1040">
        <v>3.5</v>
      </c>
      <c r="AQ1040" t="s">
        <v>33</v>
      </c>
      <c r="AR1040" t="s">
        <v>33</v>
      </c>
      <c r="AS1040">
        <v>8</v>
      </c>
      <c r="AT1040">
        <f>AS1040-AU1040</f>
        <v>5.5299999999999994</v>
      </c>
      <c r="AU1040" s="6">
        <v>2.4700000000000002</v>
      </c>
      <c r="AV1040" t="b">
        <v>1</v>
      </c>
      <c r="AW1040" t="s">
        <v>617</v>
      </c>
      <c r="AX1040" t="s">
        <v>33</v>
      </c>
      <c r="AY1040" t="s">
        <v>623</v>
      </c>
      <c r="AZ1040" t="s">
        <v>621</v>
      </c>
      <c r="BA1040" s="18" t="s">
        <v>802</v>
      </c>
      <c r="BB1040" s="3" t="b">
        <v>0</v>
      </c>
      <c r="BC1040" t="s">
        <v>81</v>
      </c>
      <c r="BD1040">
        <v>18</v>
      </c>
      <c r="BE1040" t="s">
        <v>80</v>
      </c>
      <c r="BF1040">
        <v>24</v>
      </c>
      <c r="BG1040" t="s">
        <v>569</v>
      </c>
      <c r="BH1040" t="s">
        <v>31</v>
      </c>
      <c r="BI1040" t="s">
        <v>31</v>
      </c>
      <c r="BJ1040">
        <f t="shared" si="512"/>
        <v>2.4700000000000002</v>
      </c>
      <c r="BK1040" s="3">
        <f t="shared" si="521"/>
        <v>0.39269695325966575</v>
      </c>
      <c r="BL1040">
        <v>2</v>
      </c>
      <c r="BM1040" s="3">
        <f t="shared" si="528"/>
        <v>1.2782443274761095</v>
      </c>
      <c r="BN1040" t="s">
        <v>33</v>
      </c>
      <c r="BO1040" s="3">
        <f t="shared" si="529"/>
        <v>18.977732793522268</v>
      </c>
      <c r="BP1040" t="s">
        <v>33</v>
      </c>
      <c r="BQ1040" t="s">
        <v>33</v>
      </c>
      <c r="BR1040" t="s">
        <v>33</v>
      </c>
      <c r="BS1040" t="s">
        <v>33</v>
      </c>
      <c r="BT1040" t="s">
        <v>31</v>
      </c>
      <c r="BU1040" t="s">
        <v>255</v>
      </c>
      <c r="BV1040">
        <v>2010</v>
      </c>
      <c r="BW1040" t="s">
        <v>651</v>
      </c>
      <c r="BX1040" t="s">
        <v>78</v>
      </c>
      <c r="BY1040" s="13" t="s">
        <v>674</v>
      </c>
      <c r="CA1040" t="str">
        <f t="shared" si="530"/>
        <v>high acid</v>
      </c>
    </row>
    <row r="1041" spans="1:79">
      <c r="A1041" t="s">
        <v>112</v>
      </c>
      <c r="B1041" t="s">
        <v>565</v>
      </c>
      <c r="C1041" t="s">
        <v>563</v>
      </c>
      <c r="D1041" t="s">
        <v>118</v>
      </c>
      <c r="E1041" t="s">
        <v>77</v>
      </c>
      <c r="F1041" t="s">
        <v>32</v>
      </c>
      <c r="G1041">
        <v>23</v>
      </c>
      <c r="H1041">
        <v>40</v>
      </c>
      <c r="I1041" t="b">
        <v>0</v>
      </c>
      <c r="J1041" t="s">
        <v>33</v>
      </c>
      <c r="K1041" t="s">
        <v>33</v>
      </c>
      <c r="L1041">
        <v>25</v>
      </c>
      <c r="M1041" s="4">
        <v>667</v>
      </c>
      <c r="N1041" s="3">
        <f>IFERROR(AF1041/((T1041*X1041/Y1041)*O1041*AI1041),"NA")</f>
        <v>663.96690945057719</v>
      </c>
      <c r="O1041">
        <v>3</v>
      </c>
      <c r="P1041" t="s">
        <v>33</v>
      </c>
      <c r="Q1041" s="8">
        <f t="shared" si="526"/>
        <v>5.9970014992503755E-3</v>
      </c>
      <c r="R1041" t="s">
        <v>183</v>
      </c>
      <c r="S1041" t="s">
        <v>613</v>
      </c>
      <c r="T1041" s="11">
        <v>4</v>
      </c>
      <c r="U1041">
        <v>2.9</v>
      </c>
      <c r="V1041">
        <v>2.2999999999999998</v>
      </c>
      <c r="W1041" t="s">
        <v>33</v>
      </c>
      <c r="X1041">
        <f>IFERROR(((PI())*(((V1041*10^-1)/2)^2)*(U1041*10^-1)), "NA")</f>
        <v>1.204879322468025E-2</v>
      </c>
      <c r="Y1041">
        <v>2</v>
      </c>
      <c r="Z1041" s="9">
        <f t="shared" si="527"/>
        <v>2.0091362702154316</v>
      </c>
      <c r="AA1041" t="s">
        <v>33</v>
      </c>
      <c r="AB1041" s="6">
        <f t="shared" si="531"/>
        <v>4</v>
      </c>
      <c r="AC1041" t="str">
        <f t="shared" si="523"/>
        <v>NA</v>
      </c>
      <c r="AD1041" s="4">
        <f>IFERROR(AB1041*T1041*AI1041, "NA")</f>
        <v>16</v>
      </c>
      <c r="AE1041">
        <f t="shared" si="524"/>
        <v>138.00000000000003</v>
      </c>
      <c r="AF1041">
        <v>48</v>
      </c>
      <c r="AG1041" t="str">
        <f>IFERROR((M1041*O1041*P1041), "NA")</f>
        <v>NA</v>
      </c>
      <c r="AH1041" t="str">
        <f>IFERROR((AG1041*T1041*AI1041), "NA")</f>
        <v>NA</v>
      </c>
      <c r="AI1041" s="11">
        <v>1</v>
      </c>
      <c r="AJ1041" t="s">
        <v>31</v>
      </c>
      <c r="AK1041">
        <v>4600</v>
      </c>
      <c r="AL1041" t="s">
        <v>204</v>
      </c>
      <c r="AM1041" t="s">
        <v>785</v>
      </c>
      <c r="AN1041" t="s">
        <v>205</v>
      </c>
      <c r="AO1041" t="s">
        <v>791</v>
      </c>
      <c r="AP1041">
        <v>4.2</v>
      </c>
      <c r="AQ1041" t="s">
        <v>33</v>
      </c>
      <c r="AR1041" t="s">
        <v>33</v>
      </c>
      <c r="AS1041" s="3">
        <v>8</v>
      </c>
      <c r="AT1041" s="3">
        <f>IFERROR(AS1041-AU1041,"NA")</f>
        <v>4.9700000000000006</v>
      </c>
      <c r="AU1041" s="6">
        <v>3.03</v>
      </c>
      <c r="AV1041" t="b">
        <v>1</v>
      </c>
      <c r="AW1041" t="s">
        <v>92</v>
      </c>
      <c r="AX1041" t="s">
        <v>93</v>
      </c>
      <c r="AY1041" t="s">
        <v>102</v>
      </c>
      <c r="AZ1041" t="s">
        <v>33</v>
      </c>
      <c r="BA1041" s="18" t="s">
        <v>801</v>
      </c>
      <c r="BB1041" t="b">
        <v>0</v>
      </c>
      <c r="BC1041" t="s">
        <v>81</v>
      </c>
      <c r="BD1041">
        <v>18</v>
      </c>
      <c r="BE1041" t="s">
        <v>80</v>
      </c>
      <c r="BF1041" t="s">
        <v>33</v>
      </c>
      <c r="BG1041" t="s">
        <v>568</v>
      </c>
      <c r="BH1041" t="s">
        <v>31</v>
      </c>
      <c r="BI1041" t="s">
        <v>31</v>
      </c>
      <c r="BJ1041">
        <f t="shared" si="512"/>
        <v>3.03</v>
      </c>
      <c r="BK1041" s="3">
        <f t="shared" si="521"/>
        <v>0.48144262850230496</v>
      </c>
      <c r="BL1041">
        <v>2</v>
      </c>
      <c r="BM1041" s="3">
        <f>LOG(BO1041)</f>
        <v>1.6584364578989317</v>
      </c>
      <c r="BN1041" t="s">
        <v>33</v>
      </c>
      <c r="BO1041" s="3">
        <f t="shared" si="529"/>
        <v>45.544554455445557</v>
      </c>
      <c r="BP1041" t="s">
        <v>33</v>
      </c>
      <c r="BQ1041" t="s">
        <v>33</v>
      </c>
      <c r="BR1041" t="s">
        <v>33</v>
      </c>
      <c r="BS1041" t="s">
        <v>33</v>
      </c>
      <c r="BT1041" t="s">
        <v>32</v>
      </c>
      <c r="BU1041" t="s">
        <v>116</v>
      </c>
      <c r="BV1041">
        <v>2011</v>
      </c>
      <c r="BW1041" t="s">
        <v>91</v>
      </c>
      <c r="BX1041" t="s">
        <v>78</v>
      </c>
      <c r="BY1041" t="s">
        <v>33</v>
      </c>
      <c r="BZ1041" t="s">
        <v>113</v>
      </c>
      <c r="CA1041" t="str">
        <f t="shared" si="530"/>
        <v>high acid</v>
      </c>
    </row>
    <row r="1042" spans="1:79">
      <c r="A1042" t="s">
        <v>164</v>
      </c>
      <c r="B1042" t="s">
        <v>565</v>
      </c>
      <c r="C1042" t="s">
        <v>563</v>
      </c>
      <c r="D1042" t="s">
        <v>118</v>
      </c>
      <c r="E1042" t="s">
        <v>77</v>
      </c>
      <c r="F1042" t="s">
        <v>32</v>
      </c>
      <c r="G1042">
        <v>10</v>
      </c>
      <c r="H1042">
        <v>22</v>
      </c>
      <c r="I1042" t="b">
        <v>1</v>
      </c>
      <c r="J1042" t="s">
        <v>33</v>
      </c>
      <c r="K1042" t="s">
        <v>33</v>
      </c>
      <c r="L1042">
        <v>24.7</v>
      </c>
      <c r="M1042" s="4">
        <v>500</v>
      </c>
      <c r="N1042" s="3">
        <f>IFERROR(AF1042/((T1042*X1042/Y1042)*O1042*AI1042),"NA")</f>
        <v>1497.4310793188317</v>
      </c>
      <c r="O1042">
        <v>3</v>
      </c>
      <c r="P1042" t="s">
        <v>33</v>
      </c>
      <c r="Q1042" s="8">
        <f t="shared" si="526"/>
        <v>3.6333333333333329E-2</v>
      </c>
      <c r="R1042" t="s">
        <v>183</v>
      </c>
      <c r="S1042" t="s">
        <v>613</v>
      </c>
      <c r="T1042" s="11">
        <v>6</v>
      </c>
      <c r="U1042">
        <v>2.92</v>
      </c>
      <c r="V1042">
        <v>2.2999999999999998</v>
      </c>
      <c r="W1042" t="s">
        <v>33</v>
      </c>
      <c r="X1042" s="8">
        <f>IFERROR(((PI())*(((V1042*10^-1)/2)^2)*(U1042*10^-1)), "NA")</f>
        <v>1.2131888350367701E-2</v>
      </c>
      <c r="Y1042" s="6">
        <f>60/60</f>
        <v>1</v>
      </c>
      <c r="Z1042" s="3">
        <f t="shared" si="527"/>
        <v>0.33390518395507435</v>
      </c>
      <c r="AA1042" t="s">
        <v>33</v>
      </c>
      <c r="AB1042" s="6">
        <f t="shared" si="531"/>
        <v>18.166666666666668</v>
      </c>
      <c r="AC1042" t="str">
        <f t="shared" si="523"/>
        <v>NA</v>
      </c>
      <c r="AD1042" s="4">
        <f>AB1042*T1042*AI1042</f>
        <v>109</v>
      </c>
      <c r="AE1042" s="3">
        <f t="shared" si="524"/>
        <v>249.37428749999992</v>
      </c>
      <c r="AF1042">
        <v>327</v>
      </c>
      <c r="AG1042" t="str">
        <f>IFERROR((M1042*O1042*P1042), "NA")</f>
        <v>NA</v>
      </c>
      <c r="AH1042" t="str">
        <f>IFERROR((AG1042*T1042*AI1042), "NA")</f>
        <v>NA</v>
      </c>
      <c r="AI1042">
        <v>1</v>
      </c>
      <c r="AJ1042" t="s">
        <v>31</v>
      </c>
      <c r="AK1042">
        <v>1250</v>
      </c>
      <c r="AL1042" t="s">
        <v>145</v>
      </c>
      <c r="AM1042" t="s">
        <v>86</v>
      </c>
      <c r="AN1042" t="s">
        <v>205</v>
      </c>
      <c r="AO1042" t="s">
        <v>789</v>
      </c>
      <c r="AP1042">
        <v>3.31</v>
      </c>
      <c r="AQ1042" t="s">
        <v>33</v>
      </c>
      <c r="AR1042" t="s">
        <v>33</v>
      </c>
      <c r="AS1042">
        <v>6.73</v>
      </c>
      <c r="AT1042" s="3">
        <f>IFERROR(AS1042-AU1042,"NA")</f>
        <v>5.53</v>
      </c>
      <c r="AU1042" s="6">
        <v>1.2</v>
      </c>
      <c r="AV1042" t="b">
        <v>1</v>
      </c>
      <c r="AW1042" t="s">
        <v>29</v>
      </c>
      <c r="AX1042" t="s">
        <v>30</v>
      </c>
      <c r="AY1042" t="s">
        <v>33</v>
      </c>
      <c r="AZ1042" t="s">
        <v>134</v>
      </c>
      <c r="BA1042" s="18" t="s">
        <v>798</v>
      </c>
      <c r="BB1042" t="b">
        <v>0</v>
      </c>
      <c r="BC1042" t="s">
        <v>81</v>
      </c>
      <c r="BD1042">
        <v>48</v>
      </c>
      <c r="BE1042" t="s">
        <v>80</v>
      </c>
      <c r="BF1042" s="11">
        <v>48</v>
      </c>
      <c r="BG1042" t="s">
        <v>262</v>
      </c>
      <c r="BH1042" t="s">
        <v>31</v>
      </c>
      <c r="BI1042" t="s">
        <v>31</v>
      </c>
      <c r="BJ1042" s="3">
        <f t="shared" si="512"/>
        <v>1.2</v>
      </c>
      <c r="BK1042" s="3">
        <f t="shared" si="521"/>
        <v>7.9181246047624818E-2</v>
      </c>
      <c r="BL1042">
        <v>2</v>
      </c>
      <c r="BM1042" s="3">
        <f t="shared" ref="BM1042:BM1062" si="532">IFERROR(LOG(BO1042),"NA")</f>
        <v>2.3176704261400491</v>
      </c>
      <c r="BN1042" t="s">
        <v>33</v>
      </c>
      <c r="BO1042" s="3">
        <f t="shared" si="529"/>
        <v>207.81190624999994</v>
      </c>
      <c r="BP1042" t="s">
        <v>33</v>
      </c>
      <c r="BQ1042" t="s">
        <v>33</v>
      </c>
      <c r="BR1042" t="s">
        <v>33</v>
      </c>
      <c r="BS1042" t="s">
        <v>33</v>
      </c>
      <c r="BT1042" t="s">
        <v>31</v>
      </c>
      <c r="BU1042" t="s">
        <v>163</v>
      </c>
      <c r="BV1042">
        <v>2019</v>
      </c>
      <c r="BW1042" s="1" t="s">
        <v>162</v>
      </c>
      <c r="BX1042" t="s">
        <v>78</v>
      </c>
      <c r="BY1042" t="s">
        <v>33</v>
      </c>
      <c r="BZ1042" t="s">
        <v>33</v>
      </c>
      <c r="CA1042" t="str">
        <f t="shared" si="530"/>
        <v>high acid</v>
      </c>
    </row>
    <row r="1043" spans="1:79">
      <c r="A1043" t="s">
        <v>770</v>
      </c>
      <c r="B1043" t="s">
        <v>565</v>
      </c>
      <c r="C1043" t="s">
        <v>563</v>
      </c>
      <c r="D1043" t="s">
        <v>118</v>
      </c>
      <c r="E1043" t="s">
        <v>77</v>
      </c>
      <c r="F1043" t="s">
        <v>32</v>
      </c>
      <c r="G1043">
        <v>20</v>
      </c>
      <c r="H1043" t="s">
        <v>33</v>
      </c>
      <c r="I1043" t="b">
        <v>0</v>
      </c>
      <c r="J1043" t="s">
        <v>33</v>
      </c>
      <c r="K1043" t="s">
        <v>33</v>
      </c>
      <c r="L1043">
        <v>30</v>
      </c>
      <c r="M1043" s="4">
        <v>500</v>
      </c>
      <c r="N1043" s="3">
        <f>IFERROR(AF1043/((T1043*X1043/Y1043)*O1043*AI1043),"NA")</f>
        <v>801.6827755945468</v>
      </c>
      <c r="O1043">
        <v>3</v>
      </c>
      <c r="P1043" s="8">
        <f>Q1043</f>
        <v>2.2444444444444444E-2</v>
      </c>
      <c r="Q1043" s="8">
        <f t="shared" si="526"/>
        <v>2.2444444444444444E-2</v>
      </c>
      <c r="R1043" t="s">
        <v>183</v>
      </c>
      <c r="S1043" t="s">
        <v>613</v>
      </c>
      <c r="T1043" s="11">
        <v>6</v>
      </c>
      <c r="U1043">
        <v>2.92</v>
      </c>
      <c r="V1043">
        <v>2.2999999999999998</v>
      </c>
      <c r="W1043" s="16">
        <f>X1043</f>
        <v>1.2131888350367701E-2</v>
      </c>
      <c r="X1043" s="16">
        <f>IFERROR(((PI())*(((V1043*10^-1)/2)^2)*(U1043*10^-1)), "NA")</f>
        <v>1.2131888350367701E-2</v>
      </c>
      <c r="Y1043" s="6">
        <f>52/60</f>
        <v>0.8666666666666667</v>
      </c>
      <c r="Z1043" s="3">
        <f t="shared" si="527"/>
        <v>0.54052967897677873</v>
      </c>
      <c r="AA1043" t="s">
        <v>33</v>
      </c>
      <c r="AB1043" s="4">
        <f>IFERROR(((X1043*M1043)/Y1043), "NA")</f>
        <v>6.9991663559813659</v>
      </c>
      <c r="AC1043" s="4">
        <f t="shared" si="523"/>
        <v>11.222222222222221</v>
      </c>
      <c r="AD1043" s="4">
        <f>AB1043*T1043*AI1043</f>
        <v>41.994998135888196</v>
      </c>
      <c r="AE1043" s="3">
        <f t="shared" si="524"/>
        <v>499.95000000000005</v>
      </c>
      <c r="AF1043">
        <v>202</v>
      </c>
      <c r="AG1043" s="4">
        <f>IFERROR((M1043*O1043*P1043), "NA")</f>
        <v>33.666666666666664</v>
      </c>
      <c r="AH1043" s="4">
        <f>IFERROR((AG1043*T1043*AI1043), "NA")</f>
        <v>202</v>
      </c>
      <c r="AI1043">
        <v>1</v>
      </c>
      <c r="AJ1043" s="11" t="s">
        <v>31</v>
      </c>
      <c r="AK1043">
        <v>2750</v>
      </c>
      <c r="AL1043" t="s">
        <v>149</v>
      </c>
      <c r="AM1043" t="s">
        <v>86</v>
      </c>
      <c r="AN1043" t="s">
        <v>205</v>
      </c>
      <c r="AO1043" t="s">
        <v>789</v>
      </c>
      <c r="AP1043">
        <v>3.67</v>
      </c>
      <c r="AQ1043" t="s">
        <v>33</v>
      </c>
      <c r="AR1043" t="s">
        <v>33</v>
      </c>
      <c r="AS1043">
        <v>6.7469999999999999</v>
      </c>
      <c r="AT1043" s="3">
        <f>IFERROR(AS1043-AU1043,"NA")</f>
        <v>5.5369999999999999</v>
      </c>
      <c r="AU1043" s="6">
        <f>AS1043-5.537</f>
        <v>1.21</v>
      </c>
      <c r="AV1043" t="b">
        <v>1</v>
      </c>
      <c r="AW1043" t="s">
        <v>29</v>
      </c>
      <c r="AX1043" t="s">
        <v>30</v>
      </c>
      <c r="AY1043" t="s">
        <v>773</v>
      </c>
      <c r="AZ1043" t="s">
        <v>134</v>
      </c>
      <c r="BA1043" s="18" t="s">
        <v>798</v>
      </c>
      <c r="BB1043" s="3" t="b">
        <v>0</v>
      </c>
      <c r="BC1043" t="s">
        <v>81</v>
      </c>
      <c r="BD1043">
        <v>24</v>
      </c>
      <c r="BE1043" t="s">
        <v>80</v>
      </c>
      <c r="BF1043">
        <v>36</v>
      </c>
      <c r="BG1043" t="s">
        <v>774</v>
      </c>
      <c r="BH1043" t="s">
        <v>32</v>
      </c>
      <c r="BI1043" t="s">
        <v>31</v>
      </c>
      <c r="BJ1043" s="3">
        <f t="shared" si="512"/>
        <v>1.21</v>
      </c>
      <c r="BK1043" s="3">
        <f t="shared" si="521"/>
        <v>8.2785370316450071E-2</v>
      </c>
      <c r="BL1043">
        <v>2</v>
      </c>
      <c r="BM1043" s="3">
        <f t="shared" si="532"/>
        <v>2.6161412023997612</v>
      </c>
      <c r="BN1043" t="s">
        <v>33</v>
      </c>
      <c r="BO1043" s="3">
        <f t="shared" si="529"/>
        <v>413.18181818181824</v>
      </c>
      <c r="BP1043" t="s">
        <v>33</v>
      </c>
      <c r="BQ1043" t="s">
        <v>33</v>
      </c>
      <c r="BR1043" t="s">
        <v>33</v>
      </c>
      <c r="BS1043" t="s">
        <v>33</v>
      </c>
      <c r="BT1043" t="s">
        <v>31</v>
      </c>
      <c r="BU1043" t="s">
        <v>163</v>
      </c>
      <c r="BV1043">
        <v>2023</v>
      </c>
      <c r="BW1043" t="s">
        <v>776</v>
      </c>
      <c r="BX1043" t="s">
        <v>78</v>
      </c>
      <c r="BY1043" t="s">
        <v>772</v>
      </c>
      <c r="CA1043" t="str">
        <f t="shared" si="530"/>
        <v>high acid</v>
      </c>
    </row>
    <row r="1044" spans="1:79">
      <c r="A1044" t="s">
        <v>594</v>
      </c>
      <c r="B1044" t="s">
        <v>566</v>
      </c>
      <c r="C1044" t="s">
        <v>563</v>
      </c>
      <c r="D1044" t="s">
        <v>33</v>
      </c>
      <c r="E1044" t="s">
        <v>77</v>
      </c>
      <c r="F1044" t="s">
        <v>32</v>
      </c>
      <c r="G1044" t="s">
        <v>33</v>
      </c>
      <c r="H1044">
        <v>30</v>
      </c>
      <c r="I1044" t="b">
        <v>1</v>
      </c>
      <c r="J1044" t="s">
        <v>33</v>
      </c>
      <c r="K1044" t="s">
        <v>33</v>
      </c>
      <c r="L1044">
        <v>30</v>
      </c>
      <c r="M1044" s="4">
        <v>2</v>
      </c>
      <c r="N1044" t="e">
        <f>(#REF!*Y1044)/(T1044*X1044*O1044)</f>
        <v>#REF!</v>
      </c>
      <c r="O1044">
        <v>2</v>
      </c>
      <c r="P1044" t="s">
        <v>33</v>
      </c>
      <c r="Q1044" s="1">
        <f t="shared" si="526"/>
        <v>7.1</v>
      </c>
      <c r="R1044" t="s">
        <v>183</v>
      </c>
      <c r="S1044" t="s">
        <v>613</v>
      </c>
      <c r="T1044">
        <v>1</v>
      </c>
      <c r="U1044">
        <v>5</v>
      </c>
      <c r="V1044" t="s">
        <v>33</v>
      </c>
      <c r="W1044">
        <v>0.71</v>
      </c>
      <c r="X1044">
        <f>W1044</f>
        <v>0.71</v>
      </c>
      <c r="Y1044">
        <v>0.1</v>
      </c>
      <c r="Z1044" s="3">
        <f>Y1044</f>
        <v>0.1</v>
      </c>
      <c r="AA1044" s="3">
        <v>14.8409893992932</v>
      </c>
      <c r="AB1044">
        <f>IFERROR(((X1044*M1044)/Y1044), "NA")</f>
        <v>14.2</v>
      </c>
      <c r="AC1044" s="1" t="str">
        <f t="shared" si="523"/>
        <v>NA</v>
      </c>
      <c r="AE1044" s="3">
        <f t="shared" si="524"/>
        <v>393.62399999999997</v>
      </c>
      <c r="AF1044" t="s">
        <v>33</v>
      </c>
      <c r="AG1044" s="1">
        <f>IFERROR((M1044*O1044*Q1044), "NA")</f>
        <v>28.4</v>
      </c>
      <c r="AH1044" s="1">
        <f>IFERROR((AG1044*U1044*AI1044), "NA")</f>
        <v>284</v>
      </c>
      <c r="AI1044" s="1">
        <v>2</v>
      </c>
      <c r="AJ1044" s="11" t="s">
        <v>31</v>
      </c>
      <c r="AK1044">
        <f>7700</f>
        <v>7700</v>
      </c>
      <c r="AL1044" t="s">
        <v>561</v>
      </c>
      <c r="AM1044" s="3" t="s">
        <v>786</v>
      </c>
      <c r="AN1044" t="s">
        <v>186</v>
      </c>
      <c r="AO1044" t="s">
        <v>793</v>
      </c>
      <c r="AP1044" t="s">
        <v>33</v>
      </c>
      <c r="AQ1044" t="s">
        <v>33</v>
      </c>
      <c r="AR1044" t="s">
        <v>33</v>
      </c>
      <c r="AS1044">
        <v>8</v>
      </c>
      <c r="AT1044">
        <f>AS1044-AU1044</f>
        <v>5.54</v>
      </c>
      <c r="AU1044" s="6">
        <v>2.46</v>
      </c>
      <c r="AV1044" t="b">
        <v>1</v>
      </c>
      <c r="AW1044" t="s">
        <v>617</v>
      </c>
      <c r="AX1044" t="s">
        <v>624</v>
      </c>
      <c r="AY1044" t="s">
        <v>622</v>
      </c>
      <c r="AZ1044" t="s">
        <v>33</v>
      </c>
      <c r="BA1044" s="18" t="s">
        <v>802</v>
      </c>
      <c r="BB1044" s="3" t="b">
        <v>0</v>
      </c>
      <c r="BC1044" t="s">
        <v>81</v>
      </c>
      <c r="BD1044">
        <v>18</v>
      </c>
      <c r="BE1044" t="s">
        <v>80</v>
      </c>
      <c r="BF1044">
        <v>24</v>
      </c>
      <c r="BG1044" t="s">
        <v>696</v>
      </c>
      <c r="BH1044" t="s">
        <v>32</v>
      </c>
      <c r="BI1044" t="s">
        <v>31</v>
      </c>
      <c r="BJ1044">
        <f t="shared" si="512"/>
        <v>2.46</v>
      </c>
      <c r="BK1044" s="3">
        <f t="shared" si="521"/>
        <v>0.39093510710337914</v>
      </c>
      <c r="BL1044">
        <v>2</v>
      </c>
      <c r="BM1044" s="3">
        <f t="shared" si="532"/>
        <v>2.2041464632194465</v>
      </c>
      <c r="BN1044" t="s">
        <v>33</v>
      </c>
      <c r="BO1044" s="3">
        <f t="shared" si="529"/>
        <v>160.00975609756097</v>
      </c>
      <c r="BP1044" t="s">
        <v>33</v>
      </c>
      <c r="BQ1044" t="s">
        <v>33</v>
      </c>
      <c r="BR1044" t="s">
        <v>33</v>
      </c>
      <c r="BS1044" t="s">
        <v>33</v>
      </c>
      <c r="BT1044" t="s">
        <v>31</v>
      </c>
      <c r="BU1044" t="s">
        <v>338</v>
      </c>
      <c r="BV1044">
        <v>2006</v>
      </c>
      <c r="BW1044" t="s">
        <v>339</v>
      </c>
      <c r="BX1044" t="s">
        <v>78</v>
      </c>
      <c r="BY1044" s="13" t="s">
        <v>682</v>
      </c>
      <c r="CA1044" t="str">
        <f t="shared" si="530"/>
        <v>low acid</v>
      </c>
    </row>
    <row r="1045" spans="1:79">
      <c r="A1045" t="s">
        <v>326</v>
      </c>
      <c r="B1045" t="s">
        <v>565</v>
      </c>
      <c r="C1045" t="s">
        <v>563</v>
      </c>
      <c r="D1045" t="s">
        <v>118</v>
      </c>
      <c r="E1045" t="s">
        <v>77</v>
      </c>
      <c r="F1045" t="s">
        <v>32</v>
      </c>
      <c r="G1045">
        <v>15</v>
      </c>
      <c r="H1045">
        <v>30.4</v>
      </c>
      <c r="I1045" t="b">
        <v>0</v>
      </c>
      <c r="J1045" t="s">
        <v>33</v>
      </c>
      <c r="K1045" t="s">
        <v>33</v>
      </c>
      <c r="L1045">
        <v>27.5</v>
      </c>
      <c r="M1045" s="4">
        <v>200</v>
      </c>
      <c r="N1045" s="3">
        <f>IFERROR(AF1045/((T1045*X1045/Y1045)*O1045*AI1045),"NA")</f>
        <v>3454.7028257350348</v>
      </c>
      <c r="O1045">
        <v>5</v>
      </c>
      <c r="P1045" t="s">
        <v>33</v>
      </c>
      <c r="Q1045" s="8">
        <f t="shared" si="526"/>
        <v>6.2500000000000014E-2</v>
      </c>
      <c r="R1045" t="s">
        <v>183</v>
      </c>
      <c r="S1045" t="s">
        <v>613</v>
      </c>
      <c r="T1045" s="11">
        <v>8</v>
      </c>
      <c r="U1045">
        <v>2.9</v>
      </c>
      <c r="V1045">
        <v>2.2999999999999998</v>
      </c>
      <c r="W1045">
        <v>1.2E-2</v>
      </c>
      <c r="X1045" s="8">
        <f>IFERROR(((PI())*(((V1045*10^-1)/2)^2)*(U1045*10^-1)), "NA")</f>
        <v>1.204879322468025E-2</v>
      </c>
      <c r="Y1045">
        <v>3.33</v>
      </c>
      <c r="Z1045" s="3">
        <f t="shared" ref="Z1045:Z1054" si="533">IFERROR(X1045*M1045*O1045*T1045*AI1045/AF1045, "NA")</f>
        <v>0.19278069159488398</v>
      </c>
      <c r="AA1045" t="s">
        <v>33</v>
      </c>
      <c r="AB1045" s="6">
        <f>IFERROR(((X1045*M1045)/Z1045), "NA")</f>
        <v>12.500000000000002</v>
      </c>
      <c r="AC1045" t="str">
        <f t="shared" si="523"/>
        <v>NA</v>
      </c>
      <c r="AD1045" s="4">
        <f>AB1045*T1045*AI1045</f>
        <v>100.00000000000001</v>
      </c>
      <c r="AE1045" s="3">
        <f t="shared" si="524"/>
        <v>794.06250000000023</v>
      </c>
      <c r="AF1045">
        <v>500</v>
      </c>
      <c r="AG1045" t="str">
        <f>IFERROR((M1045*O1045*P1045), "NA")</f>
        <v>NA</v>
      </c>
      <c r="AH1045" t="str">
        <f>IFERROR((AG1045*T1045*AI1045), "NA")</f>
        <v>NA</v>
      </c>
      <c r="AI1045">
        <v>1</v>
      </c>
      <c r="AJ1045" t="s">
        <v>31</v>
      </c>
      <c r="AK1045">
        <v>2100</v>
      </c>
      <c r="AL1045" t="s">
        <v>551</v>
      </c>
      <c r="AM1045" t="s">
        <v>86</v>
      </c>
      <c r="AN1045" t="s">
        <v>205</v>
      </c>
      <c r="AO1045" t="s">
        <v>789</v>
      </c>
      <c r="AP1045">
        <v>3.79</v>
      </c>
      <c r="AQ1045">
        <v>1060</v>
      </c>
      <c r="AR1045" t="s">
        <v>33</v>
      </c>
      <c r="AS1045" s="6">
        <f>LOG((10^6+10^7)/2)</f>
        <v>6.7403626894942441</v>
      </c>
      <c r="AT1045" s="3">
        <f>IFERROR(AS1045-AU1045,"NA")</f>
        <v>5.5403626894942439</v>
      </c>
      <c r="AU1045" s="6">
        <v>1.2</v>
      </c>
      <c r="AV1045" t="b">
        <v>1</v>
      </c>
      <c r="AW1045" t="s">
        <v>123</v>
      </c>
      <c r="AX1045" t="s">
        <v>327</v>
      </c>
      <c r="AY1045" t="s">
        <v>328</v>
      </c>
      <c r="AZ1045" t="s">
        <v>33</v>
      </c>
      <c r="BA1045" s="18" t="s">
        <v>579</v>
      </c>
      <c r="BB1045" t="b">
        <v>1</v>
      </c>
      <c r="BC1045" t="s">
        <v>81</v>
      </c>
      <c r="BD1045">
        <v>144</v>
      </c>
      <c r="BE1045" t="s">
        <v>80</v>
      </c>
      <c r="BF1045" s="11">
        <v>120</v>
      </c>
      <c r="BG1045" t="s">
        <v>329</v>
      </c>
      <c r="BH1045" t="s">
        <v>31</v>
      </c>
      <c r="BI1045" t="s">
        <v>31</v>
      </c>
      <c r="BJ1045" s="3">
        <f t="shared" si="512"/>
        <v>1.2</v>
      </c>
      <c r="BK1045" s="3">
        <f t="shared" si="521"/>
        <v>7.9181246047624818E-2</v>
      </c>
      <c r="BL1045">
        <v>2</v>
      </c>
      <c r="BM1045" s="3">
        <f t="shared" si="532"/>
        <v>2.8206734406828389</v>
      </c>
      <c r="BN1045" t="s">
        <v>33</v>
      </c>
      <c r="BO1045" s="3">
        <f t="shared" si="529"/>
        <v>661.71875000000023</v>
      </c>
      <c r="BP1045" t="s">
        <v>33</v>
      </c>
      <c r="BQ1045" t="s">
        <v>33</v>
      </c>
      <c r="BR1045" t="s">
        <v>33</v>
      </c>
      <c r="BS1045" t="s">
        <v>33</v>
      </c>
      <c r="BT1045" t="s">
        <v>31</v>
      </c>
      <c r="BU1045" t="s">
        <v>330</v>
      </c>
      <c r="BV1045">
        <v>2009</v>
      </c>
      <c r="BW1045" t="s">
        <v>331</v>
      </c>
      <c r="BX1045" t="s">
        <v>78</v>
      </c>
      <c r="BY1045" t="s">
        <v>33</v>
      </c>
      <c r="BZ1045" t="s">
        <v>335</v>
      </c>
      <c r="CA1045" t="str">
        <f t="shared" si="530"/>
        <v>high acid</v>
      </c>
    </row>
    <row r="1046" spans="1:79">
      <c r="A1046" t="s">
        <v>777</v>
      </c>
      <c r="B1046" t="s">
        <v>565</v>
      </c>
      <c r="C1046" t="s">
        <v>563</v>
      </c>
      <c r="D1046" t="s">
        <v>118</v>
      </c>
      <c r="E1046" t="s">
        <v>77</v>
      </c>
      <c r="F1046" t="s">
        <v>32</v>
      </c>
      <c r="G1046">
        <v>22</v>
      </c>
      <c r="H1046">
        <v>52</v>
      </c>
      <c r="I1046" t="b">
        <v>0</v>
      </c>
      <c r="J1046" t="s">
        <v>33</v>
      </c>
      <c r="K1046" t="s">
        <v>33</v>
      </c>
      <c r="L1046">
        <v>30</v>
      </c>
      <c r="M1046" s="4">
        <v>1000</v>
      </c>
      <c r="N1046" s="3">
        <f>IFERROR(AF1046/((T1046*X1046/Y1046)*O1046*AI1046),"NA")</f>
        <v>1978.2575726780897</v>
      </c>
      <c r="O1046">
        <v>3</v>
      </c>
      <c r="P1046" s="8">
        <f>Q1046</f>
        <v>1.1999999999999999E-2</v>
      </c>
      <c r="Q1046" s="8">
        <f t="shared" si="526"/>
        <v>1.1999999999999999E-2</v>
      </c>
      <c r="R1046" t="s">
        <v>183</v>
      </c>
      <c r="S1046" t="s">
        <v>613</v>
      </c>
      <c r="T1046" s="11">
        <v>6</v>
      </c>
      <c r="U1046">
        <v>2.92</v>
      </c>
      <c r="V1046">
        <v>2.2999999999999998</v>
      </c>
      <c r="W1046" s="16">
        <f>X1046</f>
        <v>1.2131888350367701E-2</v>
      </c>
      <c r="X1046" s="16">
        <f>IFERROR(((PI())*(((V1046*10^-1)/2)^2)*(U1046*10^-1)), "NA")</f>
        <v>1.2131888350367701E-2</v>
      </c>
      <c r="Y1046" s="6">
        <f>2</f>
        <v>2</v>
      </c>
      <c r="Z1046" s="3">
        <f t="shared" si="533"/>
        <v>1.0109906958639752</v>
      </c>
      <c r="AA1046" t="s">
        <v>33</v>
      </c>
      <c r="AB1046" s="4">
        <f>IFERROR(((X1046*M1046)/Y1046), "NA")</f>
        <v>6.0659441751838505</v>
      </c>
      <c r="AC1046" s="4">
        <f t="shared" si="523"/>
        <v>11.999999999999998</v>
      </c>
      <c r="AD1046" s="4">
        <f>AB1046*T1046*AI1046</f>
        <v>36.395665051103101</v>
      </c>
      <c r="AE1046" s="3">
        <f t="shared" si="524"/>
        <v>408.23999999999995</v>
      </c>
      <c r="AF1046">
        <v>216</v>
      </c>
      <c r="AG1046" s="4">
        <f>IFERROR((M1046*O1046*P1046), "NA")</f>
        <v>35.999999999999993</v>
      </c>
      <c r="AH1046" s="4">
        <f>IFERROR((AG1046*T1046*AI1046), "NA")</f>
        <v>215.99999999999994</v>
      </c>
      <c r="AI1046">
        <v>1</v>
      </c>
      <c r="AJ1046" s="11" t="s">
        <v>31</v>
      </c>
      <c r="AK1046">
        <f>0.21*1000000/100</f>
        <v>2100</v>
      </c>
      <c r="AL1046" t="s">
        <v>114</v>
      </c>
      <c r="AM1046" t="s">
        <v>103</v>
      </c>
      <c r="AN1046" t="s">
        <v>130</v>
      </c>
      <c r="AO1046" t="s">
        <v>795</v>
      </c>
      <c r="AP1046" t="s">
        <v>33</v>
      </c>
      <c r="AQ1046" t="s">
        <v>33</v>
      </c>
      <c r="AR1046" t="s">
        <v>33</v>
      </c>
      <c r="AS1046">
        <v>8.8659999999999997</v>
      </c>
      <c r="AT1046" s="3">
        <f>IFERROR(AS1046-AU1046,"NA")</f>
        <v>5.5439999999999996</v>
      </c>
      <c r="AU1046" s="6">
        <f>AS1046-5.544</f>
        <v>3.3220000000000001</v>
      </c>
      <c r="AV1046" t="b">
        <v>1</v>
      </c>
      <c r="AW1046" t="s">
        <v>92</v>
      </c>
      <c r="AX1046" t="s">
        <v>93</v>
      </c>
      <c r="AY1046" t="s">
        <v>94</v>
      </c>
      <c r="AZ1046" t="s">
        <v>33</v>
      </c>
      <c r="BA1046" s="18" t="s">
        <v>801</v>
      </c>
      <c r="BB1046" s="3" t="b">
        <v>0</v>
      </c>
      <c r="BC1046" t="s">
        <v>81</v>
      </c>
      <c r="BD1046">
        <v>18</v>
      </c>
      <c r="BE1046" t="s">
        <v>80</v>
      </c>
      <c r="BF1046">
        <v>48</v>
      </c>
      <c r="BG1046" t="s">
        <v>568</v>
      </c>
      <c r="BH1046" t="s">
        <v>31</v>
      </c>
      <c r="BI1046" t="s">
        <v>31</v>
      </c>
      <c r="BJ1046" s="3">
        <f t="shared" si="512"/>
        <v>3.3220000000000001</v>
      </c>
      <c r="BK1046" s="3">
        <f t="shared" si="521"/>
        <v>0.52139962811537566</v>
      </c>
      <c r="BL1046">
        <v>2</v>
      </c>
      <c r="BM1046" s="3">
        <f t="shared" si="532"/>
        <v>2.0895159272087991</v>
      </c>
      <c r="BN1046" t="s">
        <v>33</v>
      </c>
      <c r="BO1046" s="3">
        <f t="shared" si="529"/>
        <v>122.88982540638168</v>
      </c>
      <c r="BP1046" t="s">
        <v>33</v>
      </c>
      <c r="BQ1046" t="s">
        <v>33</v>
      </c>
      <c r="BR1046" t="s">
        <v>33</v>
      </c>
      <c r="BS1046" t="s">
        <v>33</v>
      </c>
      <c r="BT1046" t="s">
        <v>31</v>
      </c>
      <c r="BU1046" t="s">
        <v>163</v>
      </c>
      <c r="BV1046">
        <v>2011</v>
      </c>
      <c r="BW1046" t="s">
        <v>778</v>
      </c>
      <c r="BX1046" t="s">
        <v>78</v>
      </c>
      <c r="BY1046" t="s">
        <v>779</v>
      </c>
      <c r="CA1046" t="str">
        <f t="shared" si="530"/>
        <v>low acid</v>
      </c>
    </row>
    <row r="1047" spans="1:79">
      <c r="A1047" t="s">
        <v>392</v>
      </c>
      <c r="B1047" t="s">
        <v>565</v>
      </c>
      <c r="C1047" t="s">
        <v>563</v>
      </c>
      <c r="D1047" t="s">
        <v>118</v>
      </c>
      <c r="E1047" t="s">
        <v>77</v>
      </c>
      <c r="F1047" t="s">
        <v>32</v>
      </c>
      <c r="G1047">
        <v>25</v>
      </c>
      <c r="H1047">
        <v>36</v>
      </c>
      <c r="I1047" t="b">
        <v>0</v>
      </c>
      <c r="J1047" t="s">
        <v>33</v>
      </c>
      <c r="K1047" t="s">
        <v>33</v>
      </c>
      <c r="L1047">
        <v>15</v>
      </c>
      <c r="M1047" s="4">
        <v>200</v>
      </c>
      <c r="N1047" s="3" t="str">
        <f>IFERROR(AF1047/((T1047*X1047/Y1047)*O1047*AI1047),"NA")</f>
        <v>NA</v>
      </c>
      <c r="O1047">
        <v>4</v>
      </c>
      <c r="P1047" t="s">
        <v>33</v>
      </c>
      <c r="Q1047" s="8">
        <f t="shared" si="526"/>
        <v>0.15625</v>
      </c>
      <c r="R1047" t="s">
        <v>183</v>
      </c>
      <c r="S1047" t="s">
        <v>613</v>
      </c>
      <c r="T1047" s="11">
        <v>8</v>
      </c>
      <c r="U1047">
        <v>2.9</v>
      </c>
      <c r="V1047">
        <v>2.2999999999999998</v>
      </c>
      <c r="W1047">
        <v>1.2E-2</v>
      </c>
      <c r="X1047" s="8">
        <f>IFERROR(((PI())*(((V1047*10^-1)/2)^2)*(U1047*10^-1)), "NA")</f>
        <v>1.204879322468025E-2</v>
      </c>
      <c r="Y1047" t="s">
        <v>33</v>
      </c>
      <c r="Z1047" s="3">
        <f t="shared" si="533"/>
        <v>7.71122766379536E-2</v>
      </c>
      <c r="AA1047" t="s">
        <v>33</v>
      </c>
      <c r="AB1047" s="6">
        <f t="shared" ref="AB1047:AB1053" si="534">IFERROR(((X1047*M1047)/Z1047), "NA")</f>
        <v>31.25</v>
      </c>
      <c r="AC1047" t="str">
        <f t="shared" ref="AC1047:AC1066" si="535">IFERROR(M1047*P1047,"NA")</f>
        <v>NA</v>
      </c>
      <c r="AD1047" s="4">
        <f>AB1047*T1047*AI1047</f>
        <v>250</v>
      </c>
      <c r="AE1047" s="3">
        <f t="shared" si="524"/>
        <v>953.99999999999989</v>
      </c>
      <c r="AF1047">
        <v>1000</v>
      </c>
      <c r="AG1047" t="str">
        <f>IFERROR((M1047*O1047*P1047), "NA")</f>
        <v>NA</v>
      </c>
      <c r="AH1047" t="str">
        <f>IFERROR((AG1047*T1047*AI1047), "NA")</f>
        <v>NA</v>
      </c>
      <c r="AI1047">
        <v>1</v>
      </c>
      <c r="AJ1047" t="s">
        <v>31</v>
      </c>
      <c r="AK1047">
        <v>4240</v>
      </c>
      <c r="AL1047" t="s">
        <v>238</v>
      </c>
      <c r="AM1047" t="s">
        <v>86</v>
      </c>
      <c r="AN1047" t="s">
        <v>205</v>
      </c>
      <c r="AO1047" t="s">
        <v>789</v>
      </c>
      <c r="AP1047">
        <v>3.56</v>
      </c>
      <c r="AQ1047" t="s">
        <v>33</v>
      </c>
      <c r="AR1047" t="s">
        <v>33</v>
      </c>
      <c r="AS1047" s="6">
        <f>LOG(10^8)</f>
        <v>8</v>
      </c>
      <c r="AT1047" s="3">
        <f>IFERROR(AS1047-AU1047,"NA")</f>
        <v>5.5459999999999994</v>
      </c>
      <c r="AU1047" s="6">
        <v>2.4540000000000002</v>
      </c>
      <c r="AV1047" t="b">
        <v>1</v>
      </c>
      <c r="AW1047" t="s">
        <v>123</v>
      </c>
      <c r="AX1047" t="s">
        <v>393</v>
      </c>
      <c r="AY1047" t="s">
        <v>394</v>
      </c>
      <c r="AZ1047" t="s">
        <v>33</v>
      </c>
      <c r="BA1047" s="18" t="s">
        <v>579</v>
      </c>
      <c r="BB1047" t="b">
        <v>1</v>
      </c>
      <c r="BC1047" t="s">
        <v>81</v>
      </c>
      <c r="BD1047">
        <v>72</v>
      </c>
      <c r="BE1047" t="s">
        <v>80</v>
      </c>
      <c r="BF1047" s="11">
        <v>72</v>
      </c>
      <c r="BG1047" t="s">
        <v>395</v>
      </c>
      <c r="BH1047" t="s">
        <v>31</v>
      </c>
      <c r="BI1047" t="s">
        <v>31</v>
      </c>
      <c r="BJ1047" s="3">
        <f t="shared" si="512"/>
        <v>2.4540000000000002</v>
      </c>
      <c r="BK1047" s="3">
        <f t="shared" si="521"/>
        <v>0.38987455839098545</v>
      </c>
      <c r="BL1047">
        <v>2</v>
      </c>
      <c r="BM1047" s="3">
        <f t="shared" si="532"/>
        <v>2.5896738163131094</v>
      </c>
      <c r="BN1047" t="s">
        <v>33</v>
      </c>
      <c r="BO1047" s="3">
        <f t="shared" si="529"/>
        <v>388.75305623471877</v>
      </c>
      <c r="BP1047" t="s">
        <v>33</v>
      </c>
      <c r="BQ1047" t="s">
        <v>33</v>
      </c>
      <c r="BR1047" t="s">
        <v>33</v>
      </c>
      <c r="BS1047" t="s">
        <v>33</v>
      </c>
      <c r="BT1047" t="s">
        <v>31</v>
      </c>
      <c r="BU1047" t="s">
        <v>240</v>
      </c>
      <c r="BV1047">
        <v>2005</v>
      </c>
      <c r="BW1047" t="s">
        <v>396</v>
      </c>
      <c r="BX1047" t="s">
        <v>78</v>
      </c>
      <c r="BY1047" t="s">
        <v>33</v>
      </c>
      <c r="BZ1047" t="s">
        <v>33</v>
      </c>
      <c r="CA1047" t="str">
        <f t="shared" si="530"/>
        <v>high acid</v>
      </c>
    </row>
    <row r="1048" spans="1:79">
      <c r="A1048" t="s">
        <v>598</v>
      </c>
      <c r="B1048" t="s">
        <v>565</v>
      </c>
      <c r="C1048" t="s">
        <v>563</v>
      </c>
      <c r="D1048" t="s">
        <v>118</v>
      </c>
      <c r="E1048" t="s">
        <v>77</v>
      </c>
      <c r="F1048" t="s">
        <v>32</v>
      </c>
      <c r="G1048">
        <v>40</v>
      </c>
      <c r="H1048">
        <f>40+AVERAGE(2,7)</f>
        <v>44.5</v>
      </c>
      <c r="I1048" t="b">
        <v>1</v>
      </c>
      <c r="J1048" t="s">
        <v>33</v>
      </c>
      <c r="K1048" t="s">
        <v>33</v>
      </c>
      <c r="L1048">
        <v>18</v>
      </c>
      <c r="M1048" s="4">
        <v>548</v>
      </c>
      <c r="N1048" t="e">
        <f>(#REF!*Y1048)/(T1048*X1048*O1048)</f>
        <v>#REF!</v>
      </c>
      <c r="O1048">
        <v>2.5</v>
      </c>
      <c r="P1048" t="s">
        <v>33</v>
      </c>
      <c r="Q1048" s="1">
        <f t="shared" si="526"/>
        <v>6.0827250608272501E-3</v>
      </c>
      <c r="R1048" t="s">
        <v>183</v>
      </c>
      <c r="S1048" t="s">
        <v>612</v>
      </c>
      <c r="T1048">
        <v>6</v>
      </c>
      <c r="U1048">
        <v>2.9</v>
      </c>
      <c r="V1048">
        <v>2.2999999999999998</v>
      </c>
      <c r="W1048" t="s">
        <v>33</v>
      </c>
      <c r="X1048">
        <f>IFERROR(((PI())*(((V1048*10^-1)/2)^2)*(U1048*10^-1)), "NA")</f>
        <v>1.204879322468025E-2</v>
      </c>
      <c r="Y1048">
        <v>2</v>
      </c>
      <c r="Z1048" s="3">
        <f t="shared" si="533"/>
        <v>1.9808216061374333</v>
      </c>
      <c r="AA1048">
        <v>3.3</v>
      </c>
      <c r="AB1048">
        <f t="shared" si="534"/>
        <v>3.333333333333333</v>
      </c>
      <c r="AC1048" s="1" t="str">
        <f t="shared" si="535"/>
        <v>NA</v>
      </c>
      <c r="AE1048" s="3">
        <f t="shared" ref="AE1048:AE1066" si="536">IFERROR(((L1048^2)*M1048*O1048*AK1048*10^-6*Q1048*T1048*AI1048), "NA")</f>
        <v>34.83</v>
      </c>
      <c r="AF1048">
        <v>50</v>
      </c>
      <c r="AG1048" s="1" t="str">
        <f>IFERROR((N1048*P1048*Q1048), "NA")</f>
        <v>NA</v>
      </c>
      <c r="AH1048" s="1" t="str">
        <f>IFERROR((AG1048*U1048*AI1048), "NA")</f>
        <v>NA</v>
      </c>
      <c r="AI1048" s="1">
        <v>1</v>
      </c>
      <c r="AJ1048" s="11" t="s">
        <v>31</v>
      </c>
      <c r="AK1048">
        <f>2.15*10^3</f>
        <v>2150</v>
      </c>
      <c r="AL1048" t="s">
        <v>238</v>
      </c>
      <c r="AM1048" t="s">
        <v>86</v>
      </c>
      <c r="AN1048" t="s">
        <v>205</v>
      </c>
      <c r="AO1048" t="s">
        <v>789</v>
      </c>
      <c r="AP1048">
        <v>4.16</v>
      </c>
      <c r="AQ1048" t="s">
        <v>33</v>
      </c>
      <c r="AR1048" t="s">
        <v>33</v>
      </c>
      <c r="AS1048">
        <v>6.51</v>
      </c>
      <c r="AT1048">
        <f>AS1048-AU1048</f>
        <v>5.55</v>
      </c>
      <c r="AU1048" s="6">
        <v>0.96</v>
      </c>
      <c r="AV1048" t="b">
        <v>1</v>
      </c>
      <c r="AW1048" t="s">
        <v>617</v>
      </c>
      <c r="AX1048" t="s">
        <v>630</v>
      </c>
      <c r="AY1048" t="s">
        <v>637</v>
      </c>
      <c r="AZ1048" t="s">
        <v>33</v>
      </c>
      <c r="BA1048" s="18" t="s">
        <v>802</v>
      </c>
      <c r="BB1048" s="3" t="b">
        <v>0</v>
      </c>
      <c r="BC1048" t="s">
        <v>81</v>
      </c>
      <c r="BD1048">
        <v>16</v>
      </c>
      <c r="BE1048" t="s">
        <v>80</v>
      </c>
      <c r="BF1048">
        <v>24</v>
      </c>
      <c r="BG1048" t="s">
        <v>646</v>
      </c>
      <c r="BH1048" t="s">
        <v>31</v>
      </c>
      <c r="BI1048" t="s">
        <v>31</v>
      </c>
      <c r="BJ1048">
        <f t="shared" si="512"/>
        <v>0.96</v>
      </c>
      <c r="BK1048" s="3">
        <f t="shared" si="521"/>
        <v>-1.7728766960431602E-2</v>
      </c>
      <c r="BL1048">
        <v>2</v>
      </c>
      <c r="BM1048" s="3">
        <f t="shared" si="532"/>
        <v>1.559682241418668</v>
      </c>
      <c r="BN1048" t="s">
        <v>33</v>
      </c>
      <c r="BO1048" s="3">
        <f t="shared" si="529"/>
        <v>36.28125</v>
      </c>
      <c r="BP1048" t="s">
        <v>33</v>
      </c>
      <c r="BQ1048" t="s">
        <v>33</v>
      </c>
      <c r="BR1048" t="s">
        <v>33</v>
      </c>
      <c r="BS1048" t="s">
        <v>33</v>
      </c>
      <c r="BT1048" t="s">
        <v>32</v>
      </c>
      <c r="BU1048" s="13" t="s">
        <v>84</v>
      </c>
      <c r="BV1048" s="14">
        <v>2012</v>
      </c>
      <c r="BW1048" s="13" t="s">
        <v>83</v>
      </c>
      <c r="BX1048" t="s">
        <v>78</v>
      </c>
      <c r="BY1048" s="13" t="s">
        <v>686</v>
      </c>
      <c r="CA1048" t="str">
        <f t="shared" si="530"/>
        <v>high acid</v>
      </c>
    </row>
    <row r="1049" spans="1:79">
      <c r="A1049" t="s">
        <v>259</v>
      </c>
      <c r="B1049" t="s">
        <v>565</v>
      </c>
      <c r="C1049" t="s">
        <v>563</v>
      </c>
      <c r="D1049" t="s">
        <v>118</v>
      </c>
      <c r="E1049" t="s">
        <v>77</v>
      </c>
      <c r="F1049" t="s">
        <v>32</v>
      </c>
      <c r="G1049">
        <v>5</v>
      </c>
      <c r="H1049">
        <v>40</v>
      </c>
      <c r="I1049" t="b">
        <v>0</v>
      </c>
      <c r="J1049" t="s">
        <v>33</v>
      </c>
      <c r="K1049" t="s">
        <v>33</v>
      </c>
      <c r="L1049">
        <v>35</v>
      </c>
      <c r="M1049" s="4">
        <v>100</v>
      </c>
      <c r="N1049" s="3">
        <f>IFERROR(AF1049/((T1049*X1049/Y1049)*O1049*AI1049),"NA")</f>
        <v>2361.2015298892129</v>
      </c>
      <c r="O1049">
        <v>4</v>
      </c>
      <c r="P1049" t="s">
        <v>33</v>
      </c>
      <c r="Q1049">
        <f t="shared" si="526"/>
        <v>0.15625</v>
      </c>
      <c r="R1049" t="s">
        <v>183</v>
      </c>
      <c r="S1049" t="s">
        <v>613</v>
      </c>
      <c r="T1049" s="11">
        <v>8</v>
      </c>
      <c r="U1049">
        <v>2.92</v>
      </c>
      <c r="V1049">
        <v>2.2999999999999998</v>
      </c>
      <c r="W1049">
        <v>1.21E-2</v>
      </c>
      <c r="X1049" s="8">
        <f>IFERROR(((PI())*(((V1049*10^-1)/2)^2)*(U1049*10^-1)), "NA")</f>
        <v>1.2131888350367701E-2</v>
      </c>
      <c r="Y1049" s="6">
        <f>110/60</f>
        <v>1.8333333333333333</v>
      </c>
      <c r="Z1049" s="3">
        <f t="shared" si="533"/>
        <v>7.7644085442353281E-2</v>
      </c>
      <c r="AA1049" t="s">
        <v>33</v>
      </c>
      <c r="AB1049" s="6">
        <f t="shared" si="534"/>
        <v>15.625000000000002</v>
      </c>
      <c r="AC1049" t="str">
        <f t="shared" si="535"/>
        <v>NA</v>
      </c>
      <c r="AD1049" s="4">
        <f>AB1049*T1049*AI1049</f>
        <v>125.00000000000001</v>
      </c>
      <c r="AE1049" s="3">
        <f t="shared" si="536"/>
        <v>1831.375</v>
      </c>
      <c r="AF1049">
        <v>500</v>
      </c>
      <c r="AG1049" t="str">
        <f>IFERROR((M1049*O1049*P1049), "NA")</f>
        <v>NA</v>
      </c>
      <c r="AH1049" t="str">
        <f>IFERROR((AG1049*T1049*AI1049), "NA")</f>
        <v>NA</v>
      </c>
      <c r="AI1049">
        <v>1</v>
      </c>
      <c r="AJ1049" t="s">
        <v>31</v>
      </c>
      <c r="AK1049">
        <v>2990</v>
      </c>
      <c r="AL1049" t="s">
        <v>544</v>
      </c>
      <c r="AM1049" t="s">
        <v>86</v>
      </c>
      <c r="AN1049" t="s">
        <v>205</v>
      </c>
      <c r="AO1049" t="s">
        <v>789</v>
      </c>
      <c r="AP1049">
        <v>4.4000000000000004</v>
      </c>
      <c r="AQ1049" t="s">
        <v>33</v>
      </c>
      <c r="AR1049" t="s">
        <v>33</v>
      </c>
      <c r="AS1049" s="6">
        <f>LOG((10^7+10^8)/2)</f>
        <v>7.7403626894942441</v>
      </c>
      <c r="AT1049" s="3">
        <f>IFERROR(AS1049-AU1049,"NA")</f>
        <v>5.5513626894942441</v>
      </c>
      <c r="AU1049" s="6">
        <v>2.1890000000000001</v>
      </c>
      <c r="AV1049" t="b">
        <v>1</v>
      </c>
      <c r="AW1049" t="s">
        <v>29</v>
      </c>
      <c r="AX1049" t="s">
        <v>30</v>
      </c>
      <c r="AY1049" t="s">
        <v>33</v>
      </c>
      <c r="AZ1049" t="s">
        <v>134</v>
      </c>
      <c r="BA1049" s="18" t="s">
        <v>798</v>
      </c>
      <c r="BB1049" t="b">
        <v>0</v>
      </c>
      <c r="BC1049" t="s">
        <v>81</v>
      </c>
      <c r="BD1049">
        <v>15</v>
      </c>
      <c r="BE1049" t="s">
        <v>80</v>
      </c>
      <c r="BF1049" s="11">
        <v>24</v>
      </c>
      <c r="BG1049" t="s">
        <v>262</v>
      </c>
      <c r="BH1049" t="s">
        <v>31</v>
      </c>
      <c r="BI1049" t="s">
        <v>31</v>
      </c>
      <c r="BJ1049" s="3">
        <f t="shared" ref="BJ1049:BJ1110" si="537">AU1049</f>
        <v>2.1890000000000001</v>
      </c>
      <c r="BK1049" s="3">
        <f t="shared" si="521"/>
        <v>0.34024576156793168</v>
      </c>
      <c r="BL1049">
        <v>2</v>
      </c>
      <c r="BM1049" s="3">
        <f t="shared" si="532"/>
        <v>2.9225315197930679</v>
      </c>
      <c r="BN1049" t="s">
        <v>33</v>
      </c>
      <c r="BO1049" s="3">
        <f t="shared" si="529"/>
        <v>836.62631338510732</v>
      </c>
      <c r="BP1049" t="s">
        <v>33</v>
      </c>
      <c r="BQ1049" t="s">
        <v>33</v>
      </c>
      <c r="BR1049" t="s">
        <v>33</v>
      </c>
      <c r="BS1049" t="s">
        <v>33</v>
      </c>
      <c r="BT1049" t="s">
        <v>31</v>
      </c>
      <c r="BU1049" t="s">
        <v>219</v>
      </c>
      <c r="BV1049">
        <v>2008</v>
      </c>
      <c r="BW1049" s="2" t="s">
        <v>257</v>
      </c>
      <c r="BX1049" t="s">
        <v>78</v>
      </c>
      <c r="BY1049" t="s">
        <v>33</v>
      </c>
      <c r="BZ1049" t="s">
        <v>33</v>
      </c>
      <c r="CA1049" t="str">
        <f t="shared" si="530"/>
        <v>high acid</v>
      </c>
    </row>
    <row r="1050" spans="1:79">
      <c r="A1050" t="s">
        <v>589</v>
      </c>
      <c r="B1050" t="s">
        <v>566</v>
      </c>
      <c r="C1050" t="s">
        <v>563</v>
      </c>
      <c r="D1050" t="s">
        <v>33</v>
      </c>
      <c r="E1050" t="s">
        <v>77</v>
      </c>
      <c r="F1050" t="s">
        <v>33</v>
      </c>
      <c r="G1050" t="s">
        <v>33</v>
      </c>
      <c r="H1050">
        <v>35</v>
      </c>
      <c r="I1050" t="b">
        <v>0</v>
      </c>
      <c r="J1050" t="s">
        <v>33</v>
      </c>
      <c r="K1050" t="s">
        <v>33</v>
      </c>
      <c r="L1050">
        <v>12</v>
      </c>
      <c r="M1050" s="4">
        <v>1</v>
      </c>
      <c r="N1050" t="e">
        <f>(#REF!*Y1050)/(T1050*X1050*O1050)</f>
        <v>#REF!</v>
      </c>
      <c r="O1050">
        <v>2</v>
      </c>
      <c r="P1050" t="s">
        <v>33</v>
      </c>
      <c r="Q1050" s="1">
        <f t="shared" si="526"/>
        <v>697.5</v>
      </c>
      <c r="R1050" t="s">
        <v>183</v>
      </c>
      <c r="S1050" t="s">
        <v>613</v>
      </c>
      <c r="T1050">
        <v>1</v>
      </c>
      <c r="U1050">
        <v>2.5</v>
      </c>
      <c r="V1050" t="s">
        <v>33</v>
      </c>
      <c r="W1050">
        <v>0.50249999999999995</v>
      </c>
      <c r="X1050">
        <f>W1050</f>
        <v>0.50249999999999995</v>
      </c>
      <c r="Y1050" t="s">
        <v>33</v>
      </c>
      <c r="Z1050" s="3">
        <f t="shared" si="533"/>
        <v>7.204301075268817E-4</v>
      </c>
      <c r="AA1050" t="s">
        <v>33</v>
      </c>
      <c r="AB1050">
        <f t="shared" si="534"/>
        <v>697.5</v>
      </c>
      <c r="AC1050" s="1" t="str">
        <f t="shared" si="535"/>
        <v>NA</v>
      </c>
      <c r="AE1050" s="3">
        <f t="shared" si="536"/>
        <v>401.76</v>
      </c>
      <c r="AF1050">
        <v>1395</v>
      </c>
      <c r="AG1050" s="1" t="str">
        <f>IFERROR((N1050*P1050*Q1050), "NA")</f>
        <v>NA</v>
      </c>
      <c r="AH1050" s="1" t="str">
        <f>IFERROR((AG1050*U1050*AI1050), "NA")</f>
        <v>NA</v>
      </c>
      <c r="AI1050" s="1">
        <v>1</v>
      </c>
      <c r="AJ1050" s="11" t="s">
        <v>31</v>
      </c>
      <c r="AK1050">
        <v>2000</v>
      </c>
      <c r="AL1050" t="s">
        <v>616</v>
      </c>
      <c r="AM1050" s="3" t="s">
        <v>103</v>
      </c>
      <c r="AN1050" t="s">
        <v>130</v>
      </c>
      <c r="AO1050" t="s">
        <v>795</v>
      </c>
      <c r="AP1050">
        <v>7</v>
      </c>
      <c r="AQ1050" t="s">
        <v>33</v>
      </c>
      <c r="AR1050" t="s">
        <v>33</v>
      </c>
      <c r="AS1050">
        <v>9</v>
      </c>
      <c r="AT1050">
        <f>AS1050-AU1050</f>
        <v>5.5600000000000005</v>
      </c>
      <c r="AU1050" s="6">
        <v>3.44</v>
      </c>
      <c r="AV1050" t="b">
        <v>1</v>
      </c>
      <c r="AW1050" t="s">
        <v>617</v>
      </c>
      <c r="AX1050" t="s">
        <v>33</v>
      </c>
      <c r="AY1050" t="s">
        <v>628</v>
      </c>
      <c r="AZ1050" t="s">
        <v>619</v>
      </c>
      <c r="BA1050" s="18" t="s">
        <v>802</v>
      </c>
      <c r="BB1050" s="3" t="b">
        <v>0</v>
      </c>
      <c r="BC1050" t="s">
        <v>81</v>
      </c>
      <c r="BD1050">
        <v>24</v>
      </c>
      <c r="BE1050" t="s">
        <v>80</v>
      </c>
      <c r="BF1050">
        <v>24</v>
      </c>
      <c r="BG1050" t="s">
        <v>644</v>
      </c>
      <c r="BH1050" t="s">
        <v>31</v>
      </c>
      <c r="BI1050" t="s">
        <v>31</v>
      </c>
      <c r="BJ1050">
        <f t="shared" si="537"/>
        <v>3.44</v>
      </c>
      <c r="BK1050" s="3">
        <f t="shared" si="521"/>
        <v>0.53655844257153007</v>
      </c>
      <c r="BL1050">
        <v>2</v>
      </c>
      <c r="BM1050" s="3">
        <f t="shared" si="532"/>
        <v>2.0674082527973172</v>
      </c>
      <c r="BN1050" t="s">
        <v>33</v>
      </c>
      <c r="BO1050" s="3">
        <f t="shared" si="529"/>
        <v>116.79069767441861</v>
      </c>
      <c r="BP1050" t="s">
        <v>33</v>
      </c>
      <c r="BQ1050" t="s">
        <v>33</v>
      </c>
      <c r="BR1050" t="s">
        <v>33</v>
      </c>
      <c r="BS1050" t="s">
        <v>33</v>
      </c>
      <c r="BT1050" t="s">
        <v>31</v>
      </c>
      <c r="BU1050" s="15" t="s">
        <v>655</v>
      </c>
      <c r="BV1050">
        <v>2003</v>
      </c>
      <c r="BW1050" t="s">
        <v>656</v>
      </c>
      <c r="BX1050" t="s">
        <v>78</v>
      </c>
      <c r="BY1050" s="13" t="s">
        <v>677</v>
      </c>
      <c r="CA1050" t="str">
        <f t="shared" si="530"/>
        <v>low acid</v>
      </c>
    </row>
    <row r="1051" spans="1:79">
      <c r="A1051" t="s">
        <v>589</v>
      </c>
      <c r="B1051" t="s">
        <v>566</v>
      </c>
      <c r="C1051" t="s">
        <v>563</v>
      </c>
      <c r="D1051" t="s">
        <v>33</v>
      </c>
      <c r="E1051" t="s">
        <v>77</v>
      </c>
      <c r="F1051" t="s">
        <v>33</v>
      </c>
      <c r="G1051" t="s">
        <v>33</v>
      </c>
      <c r="H1051">
        <v>35</v>
      </c>
      <c r="I1051" t="b">
        <v>0</v>
      </c>
      <c r="J1051" t="s">
        <v>33</v>
      </c>
      <c r="K1051" t="s">
        <v>33</v>
      </c>
      <c r="L1051">
        <v>28</v>
      </c>
      <c r="M1051" s="4">
        <v>1</v>
      </c>
      <c r="N1051" t="e">
        <f>(#REF!*Y1051)/(T1051*X1051*O1051)</f>
        <v>#REF!</v>
      </c>
      <c r="O1051">
        <v>2</v>
      </c>
      <c r="P1051" t="s">
        <v>33</v>
      </c>
      <c r="Q1051" s="1">
        <f t="shared" si="526"/>
        <v>98.75</v>
      </c>
      <c r="R1051" t="s">
        <v>183</v>
      </c>
      <c r="S1051" t="s">
        <v>613</v>
      </c>
      <c r="T1051">
        <v>1</v>
      </c>
      <c r="U1051">
        <v>2.5</v>
      </c>
      <c r="V1051" t="s">
        <v>33</v>
      </c>
      <c r="W1051">
        <v>0.50249999999999995</v>
      </c>
      <c r="X1051">
        <f>W1051</f>
        <v>0.50249999999999995</v>
      </c>
      <c r="Y1051" t="s">
        <v>33</v>
      </c>
      <c r="Z1051" s="3">
        <f t="shared" si="533"/>
        <v>5.0886075949367086E-3</v>
      </c>
      <c r="AA1051" t="s">
        <v>33</v>
      </c>
      <c r="AB1051">
        <f t="shared" si="534"/>
        <v>98.75</v>
      </c>
      <c r="AC1051" s="1" t="str">
        <f t="shared" si="535"/>
        <v>NA</v>
      </c>
      <c r="AE1051" s="3">
        <f t="shared" si="536"/>
        <v>309.67999999999995</v>
      </c>
      <c r="AF1051">
        <v>197.5</v>
      </c>
      <c r="AG1051" s="1" t="str">
        <f>IFERROR((N1051*P1051*Q1051), "NA")</f>
        <v>NA</v>
      </c>
      <c r="AH1051" s="1" t="str">
        <f>IFERROR((AG1051*U1051*AI1051), "NA")</f>
        <v>NA</v>
      </c>
      <c r="AI1051" s="1">
        <v>1</v>
      </c>
      <c r="AJ1051" s="11" t="s">
        <v>31</v>
      </c>
      <c r="AK1051">
        <v>2000</v>
      </c>
      <c r="AL1051" t="s">
        <v>616</v>
      </c>
      <c r="AM1051" s="3" t="s">
        <v>103</v>
      </c>
      <c r="AN1051" t="s">
        <v>130</v>
      </c>
      <c r="AO1051" t="s">
        <v>795</v>
      </c>
      <c r="AP1051">
        <v>7</v>
      </c>
      <c r="AQ1051" t="s">
        <v>33</v>
      </c>
      <c r="AR1051" t="s">
        <v>33</v>
      </c>
      <c r="AS1051">
        <v>9</v>
      </c>
      <c r="AT1051">
        <f>AS1051-AU1051</f>
        <v>5.5600000000000005</v>
      </c>
      <c r="AU1051" s="6">
        <v>3.44</v>
      </c>
      <c r="AV1051" t="b">
        <v>1</v>
      </c>
      <c r="AW1051" t="s">
        <v>617</v>
      </c>
      <c r="AX1051" t="s">
        <v>33</v>
      </c>
      <c r="AY1051" t="s">
        <v>629</v>
      </c>
      <c r="AZ1051" t="s">
        <v>630</v>
      </c>
      <c r="BA1051" s="18" t="s">
        <v>802</v>
      </c>
      <c r="BB1051" s="3" t="b">
        <v>0</v>
      </c>
      <c r="BC1051" t="s">
        <v>81</v>
      </c>
      <c r="BD1051">
        <v>24</v>
      </c>
      <c r="BE1051" t="s">
        <v>80</v>
      </c>
      <c r="BF1051">
        <v>24</v>
      </c>
      <c r="BG1051" t="s">
        <v>644</v>
      </c>
      <c r="BH1051" t="s">
        <v>31</v>
      </c>
      <c r="BI1051" t="s">
        <v>31</v>
      </c>
      <c r="BJ1051">
        <f t="shared" si="537"/>
        <v>3.44</v>
      </c>
      <c r="BK1051" s="3">
        <f t="shared" si="521"/>
        <v>0.53655844257153007</v>
      </c>
      <c r="BL1051">
        <v>2</v>
      </c>
      <c r="BM1051" s="3">
        <f t="shared" si="532"/>
        <v>1.9543547157393684</v>
      </c>
      <c r="BN1051" t="s">
        <v>33</v>
      </c>
      <c r="BO1051" s="3">
        <f t="shared" si="529"/>
        <v>90.023255813953469</v>
      </c>
      <c r="BP1051" t="s">
        <v>33</v>
      </c>
      <c r="BQ1051" t="s">
        <v>33</v>
      </c>
      <c r="BR1051" t="s">
        <v>33</v>
      </c>
      <c r="BS1051" t="s">
        <v>33</v>
      </c>
      <c r="BT1051" t="s">
        <v>31</v>
      </c>
      <c r="BU1051" s="15" t="s">
        <v>655</v>
      </c>
      <c r="BV1051">
        <v>2003</v>
      </c>
      <c r="BW1051" t="s">
        <v>656</v>
      </c>
      <c r="BX1051" t="s">
        <v>78</v>
      </c>
      <c r="BY1051" s="13" t="s">
        <v>677</v>
      </c>
      <c r="CA1051" t="str">
        <f t="shared" si="530"/>
        <v>low acid</v>
      </c>
    </row>
    <row r="1052" spans="1:79">
      <c r="A1052" t="s">
        <v>224</v>
      </c>
      <c r="B1052" t="s">
        <v>565</v>
      </c>
      <c r="C1052" t="s">
        <v>563</v>
      </c>
      <c r="D1052" t="s">
        <v>118</v>
      </c>
      <c r="E1052" t="s">
        <v>77</v>
      </c>
      <c r="F1052" t="s">
        <v>32</v>
      </c>
      <c r="G1052">
        <v>5</v>
      </c>
      <c r="H1052">
        <v>30.3</v>
      </c>
      <c r="I1052" t="b">
        <v>0</v>
      </c>
      <c r="J1052" t="s">
        <v>33</v>
      </c>
      <c r="K1052" t="s">
        <v>33</v>
      </c>
      <c r="L1052">
        <v>35</v>
      </c>
      <c r="M1052" s="4">
        <v>175</v>
      </c>
      <c r="N1052" s="3">
        <f>IFERROR(AF1052/((T1052*X1052/Y1052)*O1052*AI1052),"NA")</f>
        <v>5366.3671133845755</v>
      </c>
      <c r="O1052">
        <v>4</v>
      </c>
      <c r="P1052" t="s">
        <v>33</v>
      </c>
      <c r="Q1052" s="8">
        <f t="shared" si="526"/>
        <v>0.22321428571428573</v>
      </c>
      <c r="R1052" t="s">
        <v>183</v>
      </c>
      <c r="S1052" t="s">
        <v>613</v>
      </c>
      <c r="T1052" s="11">
        <v>8</v>
      </c>
      <c r="U1052">
        <v>2.92</v>
      </c>
      <c r="V1052">
        <v>2.2999999999999998</v>
      </c>
      <c r="W1052">
        <v>1.21E-2</v>
      </c>
      <c r="X1052" s="8">
        <f>IFERROR(((PI())*(((V1052*10^-1)/2)^2)*(U1052*10^-1)), "NA")</f>
        <v>1.2131888350367701E-2</v>
      </c>
      <c r="Y1052" s="6">
        <f>100/60</f>
        <v>1.6666666666666667</v>
      </c>
      <c r="Z1052" s="3">
        <f t="shared" si="533"/>
        <v>5.4350859809647295E-2</v>
      </c>
      <c r="AA1052" t="s">
        <v>33</v>
      </c>
      <c r="AB1052" s="6">
        <f t="shared" si="534"/>
        <v>39.0625</v>
      </c>
      <c r="AC1052" t="str">
        <f t="shared" si="535"/>
        <v>NA</v>
      </c>
      <c r="AD1052" s="4">
        <f>AB1052*T1052*AI1052</f>
        <v>312.5</v>
      </c>
      <c r="AE1052" s="3">
        <f t="shared" si="536"/>
        <v>5604.375</v>
      </c>
      <c r="AF1052">
        <v>1250</v>
      </c>
      <c r="AG1052" t="str">
        <f>IFERROR((M1052*O1052*P1052), "NA")</f>
        <v>NA</v>
      </c>
      <c r="AH1052" t="str">
        <f>IFERROR((AG1052*T1052*AI1052), "NA")</f>
        <v>NA</v>
      </c>
      <c r="AI1052">
        <v>1</v>
      </c>
      <c r="AJ1052" t="s">
        <v>31</v>
      </c>
      <c r="AK1052">
        <v>3660</v>
      </c>
      <c r="AL1052" t="s">
        <v>541</v>
      </c>
      <c r="AM1052" t="s">
        <v>86</v>
      </c>
      <c r="AN1052" t="s">
        <v>186</v>
      </c>
      <c r="AO1052" t="s">
        <v>794</v>
      </c>
      <c r="AP1052">
        <v>5.46</v>
      </c>
      <c r="AQ1052" t="s">
        <v>33</v>
      </c>
      <c r="AR1052" t="s">
        <v>33</v>
      </c>
      <c r="AS1052" s="6">
        <f>LOG((10^7+10^8)/2)</f>
        <v>7.7403626894942441</v>
      </c>
      <c r="AT1052" s="3">
        <f>IFERROR(AS1052-AU1052,"NA")</f>
        <v>5.5613626894942438</v>
      </c>
      <c r="AU1052" s="6">
        <v>2.1789999999999998</v>
      </c>
      <c r="AV1052" t="b">
        <v>1</v>
      </c>
      <c r="AW1052" t="s">
        <v>92</v>
      </c>
      <c r="AX1052" t="s">
        <v>93</v>
      </c>
      <c r="AY1052" s="10">
        <v>1131</v>
      </c>
      <c r="AZ1052" t="s">
        <v>33</v>
      </c>
      <c r="BA1052" s="18" t="s">
        <v>801</v>
      </c>
      <c r="BB1052" t="b">
        <v>0</v>
      </c>
      <c r="BC1052" t="s">
        <v>81</v>
      </c>
      <c r="BD1052">
        <f>(16+14)/2</f>
        <v>15</v>
      </c>
      <c r="BE1052" t="s">
        <v>80</v>
      </c>
      <c r="BF1052" t="s">
        <v>33</v>
      </c>
      <c r="BG1052" t="s">
        <v>573</v>
      </c>
      <c r="BH1052" t="s">
        <v>31</v>
      </c>
      <c r="BI1052" t="s">
        <v>31</v>
      </c>
      <c r="BJ1052" s="3">
        <f t="shared" si="537"/>
        <v>2.1789999999999998</v>
      </c>
      <c r="BK1052" s="3">
        <f t="shared" si="521"/>
        <v>0.33825723024625559</v>
      </c>
      <c r="BL1052">
        <v>2</v>
      </c>
      <c r="BM1052" s="3">
        <f t="shared" si="532"/>
        <v>3.4102699568567627</v>
      </c>
      <c r="BN1052" t="s">
        <v>33</v>
      </c>
      <c r="BO1052" s="3">
        <f t="shared" si="529"/>
        <v>2571.9940339605328</v>
      </c>
      <c r="BP1052" t="s">
        <v>33</v>
      </c>
      <c r="BQ1052" t="s">
        <v>33</v>
      </c>
      <c r="BR1052" t="s">
        <v>33</v>
      </c>
      <c r="BS1052" t="s">
        <v>33</v>
      </c>
      <c r="BT1052" t="s">
        <v>31</v>
      </c>
      <c r="BU1052" t="s">
        <v>219</v>
      </c>
      <c r="BV1052">
        <v>2007</v>
      </c>
      <c r="BW1052" t="s">
        <v>218</v>
      </c>
      <c r="BX1052" t="s">
        <v>78</v>
      </c>
      <c r="BY1052" t="s">
        <v>33</v>
      </c>
      <c r="BZ1052" t="s">
        <v>33</v>
      </c>
      <c r="CA1052" t="str">
        <f t="shared" si="530"/>
        <v>low acid</v>
      </c>
    </row>
    <row r="1053" spans="1:79">
      <c r="A1053" t="s">
        <v>534</v>
      </c>
      <c r="B1053" t="s">
        <v>565</v>
      </c>
      <c r="C1053" t="s">
        <v>564</v>
      </c>
      <c r="D1053" t="s">
        <v>243</v>
      </c>
      <c r="E1053" t="s">
        <v>77</v>
      </c>
      <c r="F1053" t="s">
        <v>32</v>
      </c>
      <c r="G1053">
        <v>40</v>
      </c>
      <c r="H1053">
        <v>50.2</v>
      </c>
      <c r="I1053" t="b">
        <v>0</v>
      </c>
      <c r="J1053" t="s">
        <v>33</v>
      </c>
      <c r="K1053" t="s">
        <v>33</v>
      </c>
      <c r="L1053">
        <v>21</v>
      </c>
      <c r="M1053" s="4">
        <v>120</v>
      </c>
      <c r="N1053" s="3">
        <f>IFERROR(AF1053/((T1053*X1053/Y1053)*O1053*AI1053),"NA")</f>
        <v>119.89811897400615</v>
      </c>
      <c r="O1053">
        <v>3</v>
      </c>
      <c r="P1053" t="s">
        <v>33</v>
      </c>
      <c r="Q1053" s="8">
        <f t="shared" si="526"/>
        <v>3.8194444444444441E-2</v>
      </c>
      <c r="R1053" t="s">
        <v>183</v>
      </c>
      <c r="S1053" t="s">
        <v>612</v>
      </c>
      <c r="T1053" s="11">
        <v>4</v>
      </c>
      <c r="U1053">
        <v>3</v>
      </c>
      <c r="V1053">
        <v>2.6</v>
      </c>
      <c r="W1053">
        <v>1.5900000000000001E-2</v>
      </c>
      <c r="X1053" s="8">
        <f>IFERROR(((PI())*(((V1053*10^-1)/2)^2)*(U1053*10^-1)), "NA")</f>
        <v>1.5927874753700257E-2</v>
      </c>
      <c r="Y1053" s="6">
        <f>25/60</f>
        <v>0.41666666666666669</v>
      </c>
      <c r="Z1053" s="3">
        <f t="shared" si="533"/>
        <v>0.4170207208241522</v>
      </c>
      <c r="AA1053" t="s">
        <v>33</v>
      </c>
      <c r="AB1053" s="6">
        <f t="shared" si="534"/>
        <v>4.583333333333333</v>
      </c>
      <c r="AC1053" t="str">
        <f t="shared" si="535"/>
        <v>NA</v>
      </c>
      <c r="AD1053" s="4">
        <f>IFERROR(AB1053*T1053*AI1053, "NA")</f>
        <v>18.333333333333332</v>
      </c>
      <c r="AE1053" s="3">
        <f t="shared" si="536"/>
        <v>22.314599999999999</v>
      </c>
      <c r="AF1053">
        <v>55</v>
      </c>
      <c r="AG1053" t="str">
        <f>IFERROR((M1053*O1053*P1053), "NA")</f>
        <v>NA</v>
      </c>
      <c r="AH1053" t="str">
        <f>IFERROR((AG1053*T1053*AI1053), "NA")</f>
        <v>NA</v>
      </c>
      <c r="AI1053" s="11">
        <v>1</v>
      </c>
      <c r="AJ1053" t="s">
        <v>31</v>
      </c>
      <c r="AK1053">
        <v>920</v>
      </c>
      <c r="AL1053" t="s">
        <v>551</v>
      </c>
      <c r="AM1053" t="s">
        <v>86</v>
      </c>
      <c r="AN1053" t="s">
        <v>186</v>
      </c>
      <c r="AO1053" t="s">
        <v>794</v>
      </c>
      <c r="AP1053">
        <v>5.92</v>
      </c>
      <c r="AQ1053" t="s">
        <v>33</v>
      </c>
      <c r="AR1053" t="s">
        <v>33</v>
      </c>
      <c r="AS1053" s="6">
        <f>LOG(1.4*10^6)</f>
        <v>6.1461280356782382</v>
      </c>
      <c r="AT1053" s="3">
        <f>IFERROR(AS1053-AU1053,"NA")</f>
        <v>5.5621280356782385</v>
      </c>
      <c r="AU1053" s="6">
        <v>0.58399999999999996</v>
      </c>
      <c r="AV1053" t="b">
        <v>1</v>
      </c>
      <c r="AW1053" t="s">
        <v>29</v>
      </c>
      <c r="AX1053" t="s">
        <v>30</v>
      </c>
      <c r="AY1053" t="s">
        <v>244</v>
      </c>
      <c r="AZ1053" t="s">
        <v>33</v>
      </c>
      <c r="BA1053" s="18" t="s">
        <v>798</v>
      </c>
      <c r="BB1053" t="b">
        <v>0</v>
      </c>
      <c r="BC1053" t="s">
        <v>81</v>
      </c>
      <c r="BD1053">
        <v>20</v>
      </c>
      <c r="BE1053" t="s">
        <v>80</v>
      </c>
      <c r="BF1053" s="11">
        <v>20</v>
      </c>
      <c r="BG1053" t="s">
        <v>245</v>
      </c>
      <c r="BH1053" t="s">
        <v>31</v>
      </c>
      <c r="BI1053" t="s">
        <v>31</v>
      </c>
      <c r="BJ1053" s="3">
        <f t="shared" si="537"/>
        <v>0.58399999999999996</v>
      </c>
      <c r="BK1053" s="3">
        <f t="shared" si="521"/>
        <v>-0.23358715288760054</v>
      </c>
      <c r="BL1053">
        <v>2</v>
      </c>
      <c r="BM1053" s="3">
        <f t="shared" si="532"/>
        <v>1.5821762591952382</v>
      </c>
      <c r="BN1053" t="s">
        <v>33</v>
      </c>
      <c r="BO1053" s="3">
        <f t="shared" si="529"/>
        <v>38.209931506849315</v>
      </c>
      <c r="BP1053" t="s">
        <v>33</v>
      </c>
      <c r="BQ1053" t="s">
        <v>33</v>
      </c>
      <c r="BR1053" t="s">
        <v>33</v>
      </c>
      <c r="BS1053" t="s">
        <v>33</v>
      </c>
      <c r="BT1053" t="s">
        <v>32</v>
      </c>
      <c r="BU1053" t="s">
        <v>207</v>
      </c>
      <c r="BV1053">
        <v>2014</v>
      </c>
      <c r="BW1053" s="2" t="s">
        <v>242</v>
      </c>
      <c r="BX1053" t="s">
        <v>78</v>
      </c>
      <c r="BY1053" t="s">
        <v>33</v>
      </c>
      <c r="BZ1053" t="s">
        <v>33</v>
      </c>
      <c r="CA1053" t="str">
        <f t="shared" si="530"/>
        <v>low acid</v>
      </c>
    </row>
    <row r="1054" spans="1:79">
      <c r="A1054" t="s">
        <v>487</v>
      </c>
      <c r="B1054" t="s">
        <v>566</v>
      </c>
      <c r="C1054" t="s">
        <v>564</v>
      </c>
      <c r="D1054" t="s">
        <v>321</v>
      </c>
      <c r="E1054" t="s">
        <v>77</v>
      </c>
      <c r="F1054" t="s">
        <v>32</v>
      </c>
      <c r="G1054">
        <v>4</v>
      </c>
      <c r="H1054" t="s">
        <v>33</v>
      </c>
      <c r="I1054" t="b">
        <v>0</v>
      </c>
      <c r="J1054" t="s">
        <v>33</v>
      </c>
      <c r="K1054" t="s">
        <v>33</v>
      </c>
      <c r="L1054">
        <v>15</v>
      </c>
      <c r="M1054" s="4">
        <v>10</v>
      </c>
      <c r="N1054" s="3">
        <f>IFERROR(AF1054/((T1054*X1054/Y1054)*O1054*AI1054),"NA")</f>
        <v>10.000000000000002</v>
      </c>
      <c r="O1054">
        <v>1.5</v>
      </c>
      <c r="P1054" s="3">
        <f>6/(52.5/60)</f>
        <v>6.8571428571428568</v>
      </c>
      <c r="Q1054" s="8">
        <f t="shared" si="526"/>
        <v>6.8571428571428568</v>
      </c>
      <c r="R1054" t="s">
        <v>278</v>
      </c>
      <c r="S1054" t="s">
        <v>613</v>
      </c>
      <c r="T1054" s="11">
        <v>1</v>
      </c>
      <c r="U1054">
        <v>100</v>
      </c>
      <c r="V1054" t="s">
        <v>33</v>
      </c>
      <c r="W1054">
        <v>6</v>
      </c>
      <c r="X1054" s="9">
        <f>W1054</f>
        <v>6</v>
      </c>
      <c r="Y1054" s="6">
        <f>52.5/60</f>
        <v>0.875</v>
      </c>
      <c r="Z1054" s="3">
        <f t="shared" si="533"/>
        <v>0.875</v>
      </c>
      <c r="AA1054" t="s">
        <v>33</v>
      </c>
      <c r="AB1054" s="4">
        <f>IFERROR(((X1054*M1054)/Y1054), "NA")</f>
        <v>68.571428571428569</v>
      </c>
      <c r="AC1054" s="4">
        <f t="shared" si="535"/>
        <v>68.571428571428569</v>
      </c>
      <c r="AD1054" s="4">
        <f>AB1054*T1054*AI1054</f>
        <v>1242</v>
      </c>
      <c r="AE1054" s="3">
        <f t="shared" si="536"/>
        <v>2137.7924999999996</v>
      </c>
      <c r="AF1054">
        <f>1242*O1054</f>
        <v>1863</v>
      </c>
      <c r="AG1054" s="4">
        <f>IFERROR((M1054*O1054*P1054), "NA")</f>
        <v>102.85714285714285</v>
      </c>
      <c r="AH1054" s="4">
        <f>IFERROR((AG1054*T1054*AI1054), "NA")</f>
        <v>1863</v>
      </c>
      <c r="AI1054" s="3">
        <f>AF1054/(AG1054*T1054)</f>
        <v>18.112500000000001</v>
      </c>
      <c r="AJ1054" s="11" t="s">
        <v>32</v>
      </c>
      <c r="AK1054">
        <v>5100</v>
      </c>
      <c r="AL1054" t="s">
        <v>319</v>
      </c>
      <c r="AM1054" t="s">
        <v>86</v>
      </c>
      <c r="AN1054" t="s">
        <v>186</v>
      </c>
      <c r="AO1054" t="s">
        <v>794</v>
      </c>
      <c r="AP1054">
        <v>6.05</v>
      </c>
      <c r="AQ1054" t="s">
        <v>33</v>
      </c>
      <c r="AR1054" t="s">
        <v>33</v>
      </c>
      <c r="AS1054" s="6">
        <f>LOG((10^7+10^8)/2)</f>
        <v>7.7403626894942441</v>
      </c>
      <c r="AT1054" s="3">
        <f>IFERROR(AS1054-AU1054,"NA")</f>
        <v>5.5623626894942442</v>
      </c>
      <c r="AU1054" s="6">
        <v>2.1779999999999999</v>
      </c>
      <c r="AV1054" t="b">
        <v>1</v>
      </c>
      <c r="AW1054" t="s">
        <v>29</v>
      </c>
      <c r="AX1054" t="s">
        <v>30</v>
      </c>
      <c r="AY1054" t="s">
        <v>320</v>
      </c>
      <c r="AZ1054" t="s">
        <v>33</v>
      </c>
      <c r="BA1054" s="18" t="s">
        <v>798</v>
      </c>
      <c r="BB1054" s="3" t="b">
        <v>0</v>
      </c>
      <c r="BC1054" t="s">
        <v>81</v>
      </c>
      <c r="BD1054">
        <v>12</v>
      </c>
      <c r="BE1054" t="s">
        <v>80</v>
      </c>
      <c r="BF1054" t="s">
        <v>33</v>
      </c>
      <c r="BG1054" t="s">
        <v>488</v>
      </c>
      <c r="BH1054" t="s">
        <v>31</v>
      </c>
      <c r="BI1054" t="s">
        <v>31</v>
      </c>
      <c r="BJ1054" s="3">
        <f t="shared" si="537"/>
        <v>2.1779999999999999</v>
      </c>
      <c r="BK1054" s="3">
        <f t="shared" si="521"/>
        <v>0.33805787541975613</v>
      </c>
      <c r="BL1054">
        <v>2</v>
      </c>
      <c r="BM1054" s="3">
        <f t="shared" si="532"/>
        <v>2.9919076736857853</v>
      </c>
      <c r="BN1054" t="s">
        <v>33</v>
      </c>
      <c r="BO1054" s="3">
        <f t="shared" si="529"/>
        <v>981.53925619834695</v>
      </c>
      <c r="BP1054" t="s">
        <v>33</v>
      </c>
      <c r="BQ1054" t="s">
        <v>33</v>
      </c>
      <c r="BR1054" t="s">
        <v>33</v>
      </c>
      <c r="BS1054" t="s">
        <v>33</v>
      </c>
      <c r="BT1054" t="s">
        <v>31</v>
      </c>
      <c r="BU1054" t="s">
        <v>318</v>
      </c>
      <c r="BV1054">
        <v>2005</v>
      </c>
      <c r="BW1054" t="s">
        <v>489</v>
      </c>
      <c r="BX1054" t="s">
        <v>78</v>
      </c>
      <c r="BY1054" t="s">
        <v>33</v>
      </c>
      <c r="BZ1054" t="s">
        <v>490</v>
      </c>
      <c r="CA1054" t="str">
        <f t="shared" si="530"/>
        <v>low acid</v>
      </c>
    </row>
    <row r="1055" spans="1:79">
      <c r="A1055" t="s">
        <v>764</v>
      </c>
      <c r="B1055" t="s">
        <v>565</v>
      </c>
      <c r="C1055" t="s">
        <v>563</v>
      </c>
      <c r="D1055" t="s">
        <v>765</v>
      </c>
      <c r="E1055" t="s">
        <v>77</v>
      </c>
      <c r="F1055" t="s">
        <v>31</v>
      </c>
      <c r="G1055">
        <v>22</v>
      </c>
      <c r="H1055">
        <v>58</v>
      </c>
      <c r="I1055" t="b">
        <v>0</v>
      </c>
      <c r="J1055" t="s">
        <v>33</v>
      </c>
      <c r="K1055" t="s">
        <v>33</v>
      </c>
      <c r="L1055">
        <v>20</v>
      </c>
      <c r="M1055" s="4">
        <f>N1055</f>
        <v>184.73977488019611</v>
      </c>
      <c r="N1055" s="3">
        <f>IFERROR(AF1055/((T1055*X1055/Y1055)*O1055*AI1055),"NA")</f>
        <v>184.73977488019611</v>
      </c>
      <c r="O1055">
        <v>3</v>
      </c>
      <c r="P1055">
        <v>7.1800000000000003E-2</v>
      </c>
      <c r="Q1055" s="8">
        <f>IFERROR(X1055/Y1055, "NA")</f>
        <v>7.1812725090036014E-2</v>
      </c>
      <c r="R1055" t="s">
        <v>183</v>
      </c>
      <c r="S1055" t="s">
        <v>33</v>
      </c>
      <c r="T1055" s="11">
        <v>1</v>
      </c>
      <c r="U1055" t="s">
        <v>33</v>
      </c>
      <c r="V1055" t="s">
        <v>33</v>
      </c>
      <c r="W1055">
        <v>9.9699999999999997E-2</v>
      </c>
      <c r="X1055">
        <f>W1055</f>
        <v>9.9699999999999997E-2</v>
      </c>
      <c r="Y1055" s="6">
        <f>83.3/60</f>
        <v>1.3883333333333332</v>
      </c>
      <c r="Z1055" s="6">
        <f>Y1055</f>
        <v>1.3883333333333332</v>
      </c>
      <c r="AA1055" t="s">
        <v>33</v>
      </c>
      <c r="AB1055" s="4">
        <f>IFERROR(((X1055*M1055)/Y1055), "NA")</f>
        <v>13.266666666666666</v>
      </c>
      <c r="AC1055" s="4">
        <f t="shared" si="535"/>
        <v>13.264315836398081</v>
      </c>
      <c r="AD1055" s="4">
        <f>AB1055*T1055*AI1055</f>
        <v>13.266666666666666</v>
      </c>
      <c r="AE1055" s="3">
        <f t="shared" si="536"/>
        <v>47.759999999999984</v>
      </c>
      <c r="AF1055">
        <v>39.799999999999997</v>
      </c>
      <c r="AG1055" s="4">
        <f>IFERROR((M1055*O1055*P1055), "NA")</f>
        <v>39.792947509194242</v>
      </c>
      <c r="AH1055" s="4">
        <f>IFERROR((AG1055*T1055*AI1055), "NA")</f>
        <v>39.792947509194242</v>
      </c>
      <c r="AI1055">
        <v>1</v>
      </c>
      <c r="AJ1055" s="11" t="s">
        <v>31</v>
      </c>
      <c r="AK1055">
        <v>3000</v>
      </c>
      <c r="AL1055" t="s">
        <v>169</v>
      </c>
      <c r="AM1055" t="s">
        <v>103</v>
      </c>
      <c r="AN1055" t="s">
        <v>130</v>
      </c>
      <c r="AO1055" t="s">
        <v>795</v>
      </c>
      <c r="AP1055">
        <v>7.3</v>
      </c>
      <c r="AQ1055" t="s">
        <v>33</v>
      </c>
      <c r="AR1055" t="s">
        <v>33</v>
      </c>
      <c r="AS1055">
        <v>7</v>
      </c>
      <c r="AT1055" s="3">
        <f>IFERROR(AS1055-AU1055,"NA")</f>
        <v>5.5679999999999996</v>
      </c>
      <c r="AU1055" s="6">
        <v>1.4319999999999999</v>
      </c>
      <c r="AV1055" t="b">
        <v>1</v>
      </c>
      <c r="AW1055" t="s">
        <v>29</v>
      </c>
      <c r="AX1055" t="s">
        <v>30</v>
      </c>
      <c r="AY1055" t="s">
        <v>766</v>
      </c>
      <c r="AZ1055" t="s">
        <v>33</v>
      </c>
      <c r="BA1055" s="18" t="s">
        <v>798</v>
      </c>
      <c r="BB1055" s="3" t="b">
        <v>0</v>
      </c>
      <c r="BC1055" t="s">
        <v>81</v>
      </c>
      <c r="BD1055">
        <v>16</v>
      </c>
      <c r="BE1055" t="s">
        <v>80</v>
      </c>
      <c r="BF1055">
        <v>24</v>
      </c>
      <c r="BG1055" t="s">
        <v>569</v>
      </c>
      <c r="BH1055" t="s">
        <v>31</v>
      </c>
      <c r="BI1055" t="s">
        <v>31</v>
      </c>
      <c r="BJ1055" s="3">
        <f t="shared" si="537"/>
        <v>1.4319999999999999</v>
      </c>
      <c r="BK1055" s="3">
        <f t="shared" si="521"/>
        <v>0.15594301797183674</v>
      </c>
      <c r="BL1055">
        <v>2</v>
      </c>
      <c r="BM1055" s="3">
        <f t="shared" si="532"/>
        <v>1.5231213001494757</v>
      </c>
      <c r="BN1055" t="s">
        <v>33</v>
      </c>
      <c r="BO1055" s="3">
        <f t="shared" si="529"/>
        <v>33.351955307262557</v>
      </c>
      <c r="BP1055" t="s">
        <v>33</v>
      </c>
      <c r="BQ1055" t="s">
        <v>33</v>
      </c>
      <c r="BR1055" t="s">
        <v>33</v>
      </c>
      <c r="BS1055" t="s">
        <v>33</v>
      </c>
      <c r="BT1055" t="s">
        <v>31</v>
      </c>
      <c r="BU1055" t="s">
        <v>767</v>
      </c>
      <c r="BV1055">
        <v>2021</v>
      </c>
      <c r="BW1055" t="s">
        <v>768</v>
      </c>
      <c r="BX1055" t="s">
        <v>78</v>
      </c>
      <c r="BY1055" t="s">
        <v>769</v>
      </c>
      <c r="CA1055" t="str">
        <f t="shared" si="530"/>
        <v>low acid</v>
      </c>
    </row>
    <row r="1056" spans="1:79">
      <c r="A1056" t="s">
        <v>534</v>
      </c>
      <c r="B1056" t="s">
        <v>565</v>
      </c>
      <c r="C1056" t="s">
        <v>564</v>
      </c>
      <c r="D1056" t="s">
        <v>243</v>
      </c>
      <c r="E1056" t="s">
        <v>77</v>
      </c>
      <c r="F1056" t="s">
        <v>32</v>
      </c>
      <c r="G1056">
        <v>40</v>
      </c>
      <c r="H1056">
        <v>50.2</v>
      </c>
      <c r="I1056" t="b">
        <v>0</v>
      </c>
      <c r="J1056" t="s">
        <v>33</v>
      </c>
      <c r="K1056" t="s">
        <v>33</v>
      </c>
      <c r="L1056">
        <v>12</v>
      </c>
      <c r="M1056" s="4">
        <v>120</v>
      </c>
      <c r="N1056" s="3">
        <f>IFERROR(AF1056/((T1056*X1056/Y1056)*O1056*AI1056),"NA")</f>
        <v>601.6705606695582</v>
      </c>
      <c r="O1056">
        <v>3</v>
      </c>
      <c r="P1056" t="s">
        <v>33</v>
      </c>
      <c r="Q1056" s="8">
        <f t="shared" ref="Q1056:Q1069" si="538">IFERROR(X1056/Z1056, "NA")</f>
        <v>0.19166666666666665</v>
      </c>
      <c r="R1056" t="s">
        <v>183</v>
      </c>
      <c r="S1056" t="s">
        <v>612</v>
      </c>
      <c r="T1056" s="11">
        <v>4</v>
      </c>
      <c r="U1056">
        <v>3</v>
      </c>
      <c r="V1056">
        <v>2.6</v>
      </c>
      <c r="W1056">
        <v>1.5900000000000001E-2</v>
      </c>
      <c r="X1056" s="8">
        <f>IFERROR(((PI())*(((V1056*10^-1)/2)^2)*(U1056*10^-1)), "NA")</f>
        <v>1.5927874753700257E-2</v>
      </c>
      <c r="Y1056" s="6">
        <f>25/60</f>
        <v>0.41666666666666669</v>
      </c>
      <c r="Z1056" s="3">
        <f t="shared" ref="Z1056:Z1066" si="539">IFERROR(X1056*M1056*O1056*T1056*AI1056/AF1056, "NA")</f>
        <v>8.3101955236697E-2</v>
      </c>
      <c r="AA1056" t="s">
        <v>33</v>
      </c>
      <c r="AB1056" s="6">
        <f t="shared" ref="AB1056:AB1066" si="540">IFERROR(((X1056*M1056)/Z1056), "NA")</f>
        <v>22.999999999999996</v>
      </c>
      <c r="AC1056" t="str">
        <f t="shared" si="535"/>
        <v>NA</v>
      </c>
      <c r="AD1056" s="4">
        <f>IFERROR(AB1056*T1056*AI1056, "NA")</f>
        <v>91.999999999999986</v>
      </c>
      <c r="AE1056" s="3">
        <f t="shared" si="536"/>
        <v>36.564479999999996</v>
      </c>
      <c r="AF1056">
        <v>276</v>
      </c>
      <c r="AG1056" t="str">
        <f>IFERROR((M1056*O1056*P1056), "NA")</f>
        <v>NA</v>
      </c>
      <c r="AH1056" t="str">
        <f>IFERROR((AG1056*T1056*AI1056), "NA")</f>
        <v>NA</v>
      </c>
      <c r="AI1056" s="11">
        <v>1</v>
      </c>
      <c r="AJ1056" t="s">
        <v>31</v>
      </c>
      <c r="AK1056">
        <v>920</v>
      </c>
      <c r="AL1056" t="s">
        <v>551</v>
      </c>
      <c r="AM1056" t="s">
        <v>86</v>
      </c>
      <c r="AN1056" t="s">
        <v>186</v>
      </c>
      <c r="AO1056" t="s">
        <v>794</v>
      </c>
      <c r="AP1056">
        <v>5.92</v>
      </c>
      <c r="AQ1056" t="s">
        <v>33</v>
      </c>
      <c r="AR1056" t="s">
        <v>33</v>
      </c>
      <c r="AS1056" s="6">
        <f>LOG(1.4*10^6)</f>
        <v>6.1461280356782382</v>
      </c>
      <c r="AT1056" s="3">
        <f>IFERROR(AS1056-AU1056,"NA")</f>
        <v>5.579128035678238</v>
      </c>
      <c r="AU1056" s="6">
        <v>0.56699999999999995</v>
      </c>
      <c r="AV1056" t="b">
        <v>1</v>
      </c>
      <c r="AW1056" t="s">
        <v>29</v>
      </c>
      <c r="AX1056" t="s">
        <v>30</v>
      </c>
      <c r="AY1056" t="s">
        <v>244</v>
      </c>
      <c r="AZ1056" t="s">
        <v>33</v>
      </c>
      <c r="BA1056" s="18" t="s">
        <v>798</v>
      </c>
      <c r="BB1056" t="b">
        <v>0</v>
      </c>
      <c r="BC1056" t="s">
        <v>81</v>
      </c>
      <c r="BD1056">
        <v>20</v>
      </c>
      <c r="BE1056" t="s">
        <v>80</v>
      </c>
      <c r="BF1056" s="11">
        <v>20</v>
      </c>
      <c r="BG1056" t="s">
        <v>245</v>
      </c>
      <c r="BH1056" t="s">
        <v>31</v>
      </c>
      <c r="BI1056" t="s">
        <v>31</v>
      </c>
      <c r="BJ1056" s="3">
        <f t="shared" si="537"/>
        <v>0.56699999999999995</v>
      </c>
      <c r="BK1056" s="3">
        <f t="shared" si="521"/>
        <v>-0.24641694110709347</v>
      </c>
      <c r="BL1056">
        <v>2</v>
      </c>
      <c r="BM1056" s="3">
        <f t="shared" si="532"/>
        <v>1.809476342613116</v>
      </c>
      <c r="BN1056" t="s">
        <v>33</v>
      </c>
      <c r="BO1056" s="3">
        <f t="shared" si="529"/>
        <v>64.487619047619049</v>
      </c>
      <c r="BP1056" t="s">
        <v>33</v>
      </c>
      <c r="BQ1056" t="s">
        <v>33</v>
      </c>
      <c r="BR1056" t="s">
        <v>33</v>
      </c>
      <c r="BS1056" t="s">
        <v>33</v>
      </c>
      <c r="BT1056" t="s">
        <v>32</v>
      </c>
      <c r="BU1056" t="s">
        <v>207</v>
      </c>
      <c r="BV1056">
        <v>2014</v>
      </c>
      <c r="BW1056" s="2" t="s">
        <v>242</v>
      </c>
      <c r="BX1056" t="s">
        <v>78</v>
      </c>
      <c r="BY1056" t="s">
        <v>33</v>
      </c>
      <c r="BZ1056" t="s">
        <v>33</v>
      </c>
      <c r="CA1056" t="str">
        <f t="shared" si="530"/>
        <v>low acid</v>
      </c>
    </row>
    <row r="1057" spans="1:79">
      <c r="A1057" t="s">
        <v>605</v>
      </c>
      <c r="B1057" t="s">
        <v>565</v>
      </c>
      <c r="C1057" t="s">
        <v>563</v>
      </c>
      <c r="D1057" t="s">
        <v>118</v>
      </c>
      <c r="E1057" t="s">
        <v>77</v>
      </c>
      <c r="F1057" t="s">
        <v>33</v>
      </c>
      <c r="G1057" t="s">
        <v>33</v>
      </c>
      <c r="H1057" t="s">
        <v>33</v>
      </c>
      <c r="I1057" t="b">
        <v>0</v>
      </c>
      <c r="J1057" t="s">
        <v>33</v>
      </c>
      <c r="K1057" t="s">
        <v>33</v>
      </c>
      <c r="L1057">
        <v>27</v>
      </c>
      <c r="M1057" s="4">
        <v>500</v>
      </c>
      <c r="N1057" t="e">
        <f>(#REF!*Y1057)/(T1057*X1057*O1057)</f>
        <v>#REF!</v>
      </c>
      <c r="O1057">
        <v>3</v>
      </c>
      <c r="P1057" t="s">
        <v>33</v>
      </c>
      <c r="Q1057" s="1">
        <f t="shared" si="538"/>
        <v>1.4555555555555556E-2</v>
      </c>
      <c r="R1057" t="s">
        <v>183</v>
      </c>
      <c r="S1057" t="s">
        <v>613</v>
      </c>
      <c r="T1057">
        <v>6</v>
      </c>
      <c r="U1057">
        <v>2.9</v>
      </c>
      <c r="V1057">
        <v>2.2999999999999998</v>
      </c>
      <c r="W1057" t="s">
        <v>33</v>
      </c>
      <c r="X1057">
        <f>IFERROR(((PI())*(((V1057*10^-1)/2)^2)*(U1057*10^-1)), "NA")</f>
        <v>1.204879322468025E-2</v>
      </c>
      <c r="Y1057">
        <v>0.83333299999999999</v>
      </c>
      <c r="Z1057" s="3">
        <f t="shared" si="539"/>
        <v>0.82777968719177286</v>
      </c>
      <c r="AA1057" t="s">
        <v>33</v>
      </c>
      <c r="AB1057">
        <f t="shared" si="540"/>
        <v>7.2777777777777786</v>
      </c>
      <c r="AC1057" s="1" t="str">
        <f t="shared" si="535"/>
        <v>NA</v>
      </c>
      <c r="AE1057" s="3">
        <f t="shared" si="536"/>
        <v>368.62613999999996</v>
      </c>
      <c r="AF1057">
        <v>131</v>
      </c>
      <c r="AG1057" s="1" t="str">
        <f>IFERROR((N1057*P1057*Q1057), "NA")</f>
        <v>NA</v>
      </c>
      <c r="AH1057" s="1" t="str">
        <f>IFERROR((AG1057*U1057*AI1057), "NA")</f>
        <v>NA</v>
      </c>
      <c r="AI1057" s="1">
        <v>1</v>
      </c>
      <c r="AJ1057" s="11" t="s">
        <v>31</v>
      </c>
      <c r="AK1057">
        <f>3.86*10^3</f>
        <v>3860</v>
      </c>
      <c r="AL1057" t="s">
        <v>138</v>
      </c>
      <c r="AM1057" t="s">
        <v>86</v>
      </c>
      <c r="AN1057" t="s">
        <v>205</v>
      </c>
      <c r="AO1057" t="s">
        <v>789</v>
      </c>
      <c r="AP1057">
        <v>3.9</v>
      </c>
      <c r="AQ1057" t="s">
        <v>33</v>
      </c>
      <c r="AR1057" t="s">
        <v>33</v>
      </c>
      <c r="AS1057">
        <v>7.52</v>
      </c>
      <c r="AT1057">
        <v>5.58</v>
      </c>
      <c r="AU1057" s="6">
        <f>AS1057-AT1057</f>
        <v>1.9399999999999995</v>
      </c>
      <c r="AV1057" t="b">
        <v>1</v>
      </c>
      <c r="AW1057" t="s">
        <v>626</v>
      </c>
      <c r="AX1057" t="s">
        <v>627</v>
      </c>
      <c r="AY1057">
        <v>95047</v>
      </c>
      <c r="AZ1057" t="s">
        <v>33</v>
      </c>
      <c r="BA1057" s="18" t="s">
        <v>800</v>
      </c>
      <c r="BB1057" s="3" t="b">
        <v>0</v>
      </c>
      <c r="BC1057" t="s">
        <v>81</v>
      </c>
      <c r="BD1057">
        <f>AVERAGE(24, 48)</f>
        <v>36</v>
      </c>
      <c r="BE1057" t="s">
        <v>80</v>
      </c>
      <c r="BF1057">
        <v>48</v>
      </c>
      <c r="BG1057" t="s">
        <v>647</v>
      </c>
      <c r="BH1057" t="s">
        <v>31</v>
      </c>
      <c r="BI1057" t="s">
        <v>31</v>
      </c>
      <c r="BJ1057" s="3">
        <f t="shared" si="537"/>
        <v>1.9399999999999995</v>
      </c>
      <c r="BK1057" s="3">
        <f t="shared" si="521"/>
        <v>0.28780172993022596</v>
      </c>
      <c r="BL1057">
        <v>2</v>
      </c>
      <c r="BM1057" s="3">
        <f t="shared" si="532"/>
        <v>2.2787843987152678</v>
      </c>
      <c r="BN1057" t="s">
        <v>33</v>
      </c>
      <c r="BO1057" s="3">
        <f t="shared" si="529"/>
        <v>190.01347422680416</v>
      </c>
      <c r="BP1057" t="s">
        <v>33</v>
      </c>
      <c r="BQ1057" t="s">
        <v>33</v>
      </c>
      <c r="BR1057" t="s">
        <v>33</v>
      </c>
      <c r="BS1057" t="s">
        <v>33</v>
      </c>
      <c r="BT1057" t="s">
        <v>31</v>
      </c>
      <c r="BU1057" s="13" t="s">
        <v>135</v>
      </c>
      <c r="BV1057" s="14">
        <v>2009</v>
      </c>
      <c r="BW1057" s="13" t="s">
        <v>136</v>
      </c>
      <c r="BX1057" t="s">
        <v>78</v>
      </c>
      <c r="BY1057" s="13" t="s">
        <v>692</v>
      </c>
      <c r="CA1057" t="str">
        <f t="shared" si="530"/>
        <v>high acid</v>
      </c>
    </row>
    <row r="1058" spans="1:79">
      <c r="A1058" t="s">
        <v>223</v>
      </c>
      <c r="B1058" t="s">
        <v>565</v>
      </c>
      <c r="C1058" t="s">
        <v>563</v>
      </c>
      <c r="D1058" t="s">
        <v>118</v>
      </c>
      <c r="E1058" t="s">
        <v>77</v>
      </c>
      <c r="F1058" t="s">
        <v>32</v>
      </c>
      <c r="G1058">
        <v>5</v>
      </c>
      <c r="H1058">
        <v>39.1</v>
      </c>
      <c r="I1058" t="b">
        <v>0</v>
      </c>
      <c r="J1058" t="s">
        <v>33</v>
      </c>
      <c r="K1058" t="s">
        <v>33</v>
      </c>
      <c r="L1058">
        <v>35</v>
      </c>
      <c r="M1058" s="4">
        <v>175</v>
      </c>
      <c r="N1058" s="3">
        <f>IFERROR(AF1058/((T1058*X1058/Y1058)*O1058*AI1058),"NA")</f>
        <v>2146.5468453538301</v>
      </c>
      <c r="O1058">
        <v>4</v>
      </c>
      <c r="P1058" t="s">
        <v>33</v>
      </c>
      <c r="Q1058" s="8">
        <f t="shared" si="538"/>
        <v>8.9285714285714288E-2</v>
      </c>
      <c r="R1058" t="s">
        <v>183</v>
      </c>
      <c r="S1058" t="s">
        <v>613</v>
      </c>
      <c r="T1058" s="11">
        <v>8</v>
      </c>
      <c r="U1058">
        <v>2.92</v>
      </c>
      <c r="V1058">
        <v>2.2999999999999998</v>
      </c>
      <c r="W1058">
        <v>1.21E-2</v>
      </c>
      <c r="X1058" s="8">
        <f>IFERROR(((PI())*(((V1058*10^-1)/2)^2)*(U1058*10^-1)), "NA")</f>
        <v>1.2131888350367701E-2</v>
      </c>
      <c r="Y1058" s="6">
        <f>100/60</f>
        <v>1.6666666666666667</v>
      </c>
      <c r="Z1058" s="3">
        <f t="shared" si="539"/>
        <v>0.13587714952411825</v>
      </c>
      <c r="AA1058" t="s">
        <v>33</v>
      </c>
      <c r="AB1058" s="6">
        <f t="shared" si="540"/>
        <v>15.624999999999998</v>
      </c>
      <c r="AC1058" t="str">
        <f t="shared" si="535"/>
        <v>NA</v>
      </c>
      <c r="AD1058" s="4">
        <f>AB1058*T1058*AI1058</f>
        <v>124.99999999999999</v>
      </c>
      <c r="AE1058" s="3">
        <f t="shared" si="536"/>
        <v>3203.3749999999995</v>
      </c>
      <c r="AF1058">
        <v>500</v>
      </c>
      <c r="AG1058" t="str">
        <f>IFERROR((M1058*O1058*P1058), "NA")</f>
        <v>NA</v>
      </c>
      <c r="AH1058" t="str">
        <f>IFERROR((AG1058*T1058*AI1058), "NA")</f>
        <v>NA</v>
      </c>
      <c r="AI1058">
        <v>1</v>
      </c>
      <c r="AJ1058" t="s">
        <v>31</v>
      </c>
      <c r="AK1058">
        <v>5230</v>
      </c>
      <c r="AL1058" t="s">
        <v>542</v>
      </c>
      <c r="AM1058" t="s">
        <v>86</v>
      </c>
      <c r="AN1058" t="s">
        <v>186</v>
      </c>
      <c r="AO1058" t="s">
        <v>794</v>
      </c>
      <c r="AP1058">
        <v>5.82</v>
      </c>
      <c r="AQ1058" t="s">
        <v>33</v>
      </c>
      <c r="AR1058" t="s">
        <v>33</v>
      </c>
      <c r="AS1058" s="6">
        <f>LOG((10^7+10^8)/2)</f>
        <v>7.7403626894942441</v>
      </c>
      <c r="AT1058" s="3">
        <f>IFERROR(AS1058-AU1058,"NA")</f>
        <v>5.5813626894942443</v>
      </c>
      <c r="AU1058" s="6">
        <v>2.1589999999999998</v>
      </c>
      <c r="AV1058" t="b">
        <v>1</v>
      </c>
      <c r="AW1058" t="s">
        <v>92</v>
      </c>
      <c r="AX1058" t="s">
        <v>93</v>
      </c>
      <c r="AY1058" s="10">
        <v>1131</v>
      </c>
      <c r="AZ1058" t="s">
        <v>33</v>
      </c>
      <c r="BA1058" s="18" t="s">
        <v>801</v>
      </c>
      <c r="BB1058" t="b">
        <v>0</v>
      </c>
      <c r="BC1058" t="s">
        <v>81</v>
      </c>
      <c r="BD1058">
        <f>(16+14)/2</f>
        <v>15</v>
      </c>
      <c r="BE1058" t="s">
        <v>80</v>
      </c>
      <c r="BF1058" t="s">
        <v>33</v>
      </c>
      <c r="BG1058" t="s">
        <v>573</v>
      </c>
      <c r="BH1058" t="s">
        <v>31</v>
      </c>
      <c r="BI1058" t="s">
        <v>31</v>
      </c>
      <c r="BJ1058" s="3">
        <f t="shared" si="537"/>
        <v>2.1589999999999998</v>
      </c>
      <c r="BK1058" s="3">
        <f t="shared" si="521"/>
        <v>0.33425264233423074</v>
      </c>
      <c r="BL1058">
        <v>2</v>
      </c>
      <c r="BM1058" s="3">
        <f t="shared" si="532"/>
        <v>3.1713551395696133</v>
      </c>
      <c r="BN1058" t="s">
        <v>33</v>
      </c>
      <c r="BO1058" s="3">
        <f t="shared" si="529"/>
        <v>1483.7308939323759</v>
      </c>
      <c r="BP1058" t="s">
        <v>33</v>
      </c>
      <c r="BQ1058" t="s">
        <v>33</v>
      </c>
      <c r="BR1058" t="s">
        <v>33</v>
      </c>
      <c r="BS1058" t="s">
        <v>33</v>
      </c>
      <c r="BT1058" t="s">
        <v>31</v>
      </c>
      <c r="BU1058" t="s">
        <v>219</v>
      </c>
      <c r="BV1058">
        <v>2007</v>
      </c>
      <c r="BW1058" t="s">
        <v>218</v>
      </c>
      <c r="BX1058" t="s">
        <v>78</v>
      </c>
      <c r="BY1058" t="s">
        <v>33</v>
      </c>
      <c r="BZ1058" t="s">
        <v>33</v>
      </c>
      <c r="CA1058" t="str">
        <f t="shared" si="530"/>
        <v>low acid</v>
      </c>
    </row>
    <row r="1059" spans="1:79">
      <c r="A1059" t="s">
        <v>534</v>
      </c>
      <c r="B1059" t="s">
        <v>565</v>
      </c>
      <c r="C1059" t="s">
        <v>564</v>
      </c>
      <c r="D1059" t="s">
        <v>243</v>
      </c>
      <c r="E1059" t="s">
        <v>77</v>
      </c>
      <c r="F1059" t="s">
        <v>32</v>
      </c>
      <c r="G1059">
        <v>40</v>
      </c>
      <c r="H1059">
        <v>50.2</v>
      </c>
      <c r="I1059" t="b">
        <v>0</v>
      </c>
      <c r="J1059" t="s">
        <v>33</v>
      </c>
      <c r="K1059" t="s">
        <v>33</v>
      </c>
      <c r="L1059">
        <v>18</v>
      </c>
      <c r="M1059" s="4">
        <v>120</v>
      </c>
      <c r="N1059" s="3">
        <f>IFERROR(AF1059/((T1059*X1059/Y1059)*O1059*AI1059),"NA")</f>
        <v>200.55685355651937</v>
      </c>
      <c r="O1059">
        <v>3</v>
      </c>
      <c r="P1059" t="s">
        <v>33</v>
      </c>
      <c r="Q1059" s="8">
        <f t="shared" si="538"/>
        <v>6.3888888888888884E-2</v>
      </c>
      <c r="R1059" t="s">
        <v>183</v>
      </c>
      <c r="S1059" t="s">
        <v>612</v>
      </c>
      <c r="T1059" s="11">
        <v>4</v>
      </c>
      <c r="U1059">
        <v>3</v>
      </c>
      <c r="V1059">
        <v>2.6</v>
      </c>
      <c r="W1059">
        <v>1.5900000000000001E-2</v>
      </c>
      <c r="X1059" s="8">
        <f>IFERROR(((PI())*(((V1059*10^-1)/2)^2)*(U1059*10^-1)), "NA")</f>
        <v>1.5927874753700257E-2</v>
      </c>
      <c r="Y1059" s="6">
        <f>25/60</f>
        <v>0.41666666666666669</v>
      </c>
      <c r="Z1059" s="3">
        <f t="shared" si="539"/>
        <v>0.249305865710091</v>
      </c>
      <c r="AA1059" t="s">
        <v>33</v>
      </c>
      <c r="AB1059" s="6">
        <f t="shared" si="540"/>
        <v>7.6666666666666661</v>
      </c>
      <c r="AC1059" t="str">
        <f t="shared" si="535"/>
        <v>NA</v>
      </c>
      <c r="AD1059" s="4">
        <f>IFERROR(AB1059*T1059*AI1059, "NA")</f>
        <v>30.666666666666664</v>
      </c>
      <c r="AE1059" s="3">
        <f t="shared" si="536"/>
        <v>27.423359999999995</v>
      </c>
      <c r="AF1059">
        <v>92</v>
      </c>
      <c r="AG1059" t="str">
        <f>IFERROR((M1059*O1059*P1059), "NA")</f>
        <v>NA</v>
      </c>
      <c r="AH1059" t="str">
        <f>IFERROR((AG1059*T1059*AI1059), "NA")</f>
        <v>NA</v>
      </c>
      <c r="AI1059" s="11">
        <v>1</v>
      </c>
      <c r="AJ1059" t="s">
        <v>31</v>
      </c>
      <c r="AK1059">
        <v>920</v>
      </c>
      <c r="AL1059" t="s">
        <v>551</v>
      </c>
      <c r="AM1059" t="s">
        <v>86</v>
      </c>
      <c r="AN1059" t="s">
        <v>186</v>
      </c>
      <c r="AO1059" t="s">
        <v>794</v>
      </c>
      <c r="AP1059">
        <v>5.92</v>
      </c>
      <c r="AQ1059" t="s">
        <v>33</v>
      </c>
      <c r="AR1059" t="s">
        <v>33</v>
      </c>
      <c r="AS1059" s="6">
        <f>LOG(1.4*10^6)</f>
        <v>6.1461280356782382</v>
      </c>
      <c r="AT1059" s="3">
        <f>IFERROR(AS1059-AU1059,"NA")</f>
        <v>5.5901280356782381</v>
      </c>
      <c r="AU1059" s="6">
        <v>0.55600000000000005</v>
      </c>
      <c r="AV1059" t="b">
        <v>1</v>
      </c>
      <c r="AW1059" t="s">
        <v>29</v>
      </c>
      <c r="AX1059" t="s">
        <v>30</v>
      </c>
      <c r="AY1059" t="s">
        <v>244</v>
      </c>
      <c r="AZ1059" t="s">
        <v>33</v>
      </c>
      <c r="BA1059" s="18" t="s">
        <v>798</v>
      </c>
      <c r="BB1059" t="b">
        <v>0</v>
      </c>
      <c r="BC1059" t="s">
        <v>81</v>
      </c>
      <c r="BD1059">
        <v>20</v>
      </c>
      <c r="BE1059" t="s">
        <v>80</v>
      </c>
      <c r="BF1059" s="11">
        <v>20</v>
      </c>
      <c r="BG1059" t="s">
        <v>245</v>
      </c>
      <c r="BH1059" t="s">
        <v>31</v>
      </c>
      <c r="BI1059" t="s">
        <v>31</v>
      </c>
      <c r="BJ1059" s="3">
        <f t="shared" si="537"/>
        <v>0.55600000000000005</v>
      </c>
      <c r="BK1059" s="3">
        <f t="shared" si="521"/>
        <v>-0.25492520841794247</v>
      </c>
      <c r="BL1059">
        <v>2</v>
      </c>
      <c r="BM1059" s="3">
        <f t="shared" si="532"/>
        <v>1.693045873315665</v>
      </c>
      <c r="BN1059" t="s">
        <v>33</v>
      </c>
      <c r="BO1059" s="3">
        <f t="shared" si="529"/>
        <v>49.322589928057539</v>
      </c>
      <c r="BP1059" t="s">
        <v>33</v>
      </c>
      <c r="BQ1059" t="s">
        <v>33</v>
      </c>
      <c r="BR1059" t="s">
        <v>33</v>
      </c>
      <c r="BS1059" t="s">
        <v>33</v>
      </c>
      <c r="BT1059" t="s">
        <v>32</v>
      </c>
      <c r="BU1059" t="s">
        <v>207</v>
      </c>
      <c r="BV1059">
        <v>2014</v>
      </c>
      <c r="BW1059" s="2" t="s">
        <v>242</v>
      </c>
      <c r="BX1059" t="s">
        <v>78</v>
      </c>
      <c r="BY1059" t="s">
        <v>33</v>
      </c>
      <c r="BZ1059" t="s">
        <v>33</v>
      </c>
      <c r="CA1059" t="str">
        <f t="shared" si="530"/>
        <v>low acid</v>
      </c>
    </row>
    <row r="1060" spans="1:79">
      <c r="A1060" t="s">
        <v>533</v>
      </c>
      <c r="B1060" t="s">
        <v>565</v>
      </c>
      <c r="C1060" t="s">
        <v>564</v>
      </c>
      <c r="D1060" t="s">
        <v>209</v>
      </c>
      <c r="E1060" t="s">
        <v>77</v>
      </c>
      <c r="F1060" t="s">
        <v>32</v>
      </c>
      <c r="G1060">
        <v>30</v>
      </c>
      <c r="H1060">
        <v>38.200000000000003</v>
      </c>
      <c r="I1060" t="b">
        <v>0</v>
      </c>
      <c r="J1060" t="s">
        <v>33</v>
      </c>
      <c r="K1060" t="s">
        <v>33</v>
      </c>
      <c r="L1060">
        <v>12</v>
      </c>
      <c r="M1060" s="4">
        <v>120</v>
      </c>
      <c r="N1060" s="3">
        <f>IFERROR(AF1060/((T1060*X1060/Y1060)*O1060*AI1060),"NA")</f>
        <v>99.406440458448728</v>
      </c>
      <c r="O1060">
        <v>3</v>
      </c>
      <c r="P1060" t="s">
        <v>33</v>
      </c>
      <c r="Q1060" s="8">
        <f t="shared" si="538"/>
        <v>0.10416666666666666</v>
      </c>
      <c r="R1060" t="s">
        <v>183</v>
      </c>
      <c r="S1060" t="s">
        <v>612</v>
      </c>
      <c r="T1060" s="11">
        <v>4</v>
      </c>
      <c r="U1060">
        <v>3</v>
      </c>
      <c r="V1060">
        <v>2.6</v>
      </c>
      <c r="W1060" t="s">
        <v>33</v>
      </c>
      <c r="X1060" s="8">
        <f>IFERROR(((PI())*(((V1060*10^-1)/2)^2)*(U1060*10^-1)), "NA")</f>
        <v>1.5927874753700257E-2</v>
      </c>
      <c r="Y1060" s="6">
        <f>7.6/60</f>
        <v>0.12666666666666665</v>
      </c>
      <c r="Z1060" s="3">
        <f t="shared" si="539"/>
        <v>0.15290759763552247</v>
      </c>
      <c r="AA1060" t="s">
        <v>33</v>
      </c>
      <c r="AB1060" s="6">
        <f t="shared" si="540"/>
        <v>12.5</v>
      </c>
      <c r="AC1060" t="str">
        <f t="shared" si="535"/>
        <v>NA</v>
      </c>
      <c r="AD1060" s="4">
        <f>IFERROR(AB1060*T1060*AI1060, "NA")</f>
        <v>50</v>
      </c>
      <c r="AE1060" s="3">
        <f t="shared" si="536"/>
        <v>21.167999999999996</v>
      </c>
      <c r="AF1060">
        <v>150</v>
      </c>
      <c r="AG1060" t="str">
        <f>IFERROR((M1060*O1060*P1060), "NA")</f>
        <v>NA</v>
      </c>
      <c r="AH1060" t="str">
        <f>IFERROR((AG1060*T1060*AI1060), "NA")</f>
        <v>NA</v>
      </c>
      <c r="AI1060" s="11">
        <v>1</v>
      </c>
      <c r="AJ1060" t="s">
        <v>31</v>
      </c>
      <c r="AK1060">
        <v>980</v>
      </c>
      <c r="AL1060" t="s">
        <v>551</v>
      </c>
      <c r="AM1060" t="s">
        <v>86</v>
      </c>
      <c r="AN1060" t="s">
        <v>186</v>
      </c>
      <c r="AO1060" t="s">
        <v>794</v>
      </c>
      <c r="AP1060">
        <v>5.98</v>
      </c>
      <c r="AQ1060" t="s">
        <v>33</v>
      </c>
      <c r="AR1060" t="s">
        <v>33</v>
      </c>
      <c r="AS1060" s="6">
        <v>6.5</v>
      </c>
      <c r="AT1060" s="3">
        <f>IFERROR(AS1060-AU1060,"NA")</f>
        <v>5.593</v>
      </c>
      <c r="AU1060" s="6">
        <v>0.90700000000000003</v>
      </c>
      <c r="AV1060" t="b">
        <v>1</v>
      </c>
      <c r="AW1060" t="s">
        <v>29</v>
      </c>
      <c r="AX1060" t="s">
        <v>30</v>
      </c>
      <c r="AY1060" t="s">
        <v>211</v>
      </c>
      <c r="AZ1060" t="s">
        <v>33</v>
      </c>
      <c r="BA1060" s="18" t="s">
        <v>798</v>
      </c>
      <c r="BB1060" t="b">
        <v>0</v>
      </c>
      <c r="BC1060" t="s">
        <v>81</v>
      </c>
      <c r="BD1060">
        <v>20</v>
      </c>
      <c r="BE1060" t="s">
        <v>80</v>
      </c>
      <c r="BF1060" s="11">
        <v>20</v>
      </c>
      <c r="BG1060" t="s">
        <v>570</v>
      </c>
      <c r="BH1060" t="s">
        <v>31</v>
      </c>
      <c r="BI1060" t="s">
        <v>31</v>
      </c>
      <c r="BJ1060" s="3">
        <f t="shared" si="537"/>
        <v>0.90700000000000003</v>
      </c>
      <c r="BK1060" s="3">
        <f t="shared" si="521"/>
        <v>-4.2392712939904729E-2</v>
      </c>
      <c r="BL1060">
        <v>2</v>
      </c>
      <c r="BM1060" s="3">
        <f t="shared" si="532"/>
        <v>1.3680725397833304</v>
      </c>
      <c r="BN1060" t="s">
        <v>33</v>
      </c>
      <c r="BO1060" s="3">
        <f t="shared" si="529"/>
        <v>23.338478500551261</v>
      </c>
      <c r="BP1060" t="s">
        <v>33</v>
      </c>
      <c r="BQ1060" t="s">
        <v>33</v>
      </c>
      <c r="BR1060" t="s">
        <v>33</v>
      </c>
      <c r="BS1060" t="s">
        <v>33</v>
      </c>
      <c r="BT1060" t="s">
        <v>32</v>
      </c>
      <c r="BU1060" t="s">
        <v>207</v>
      </c>
      <c r="BV1060">
        <v>2014</v>
      </c>
      <c r="BW1060" t="s">
        <v>208</v>
      </c>
      <c r="BX1060" t="s">
        <v>78</v>
      </c>
      <c r="BY1060" t="s">
        <v>33</v>
      </c>
      <c r="BZ1060" t="s">
        <v>33</v>
      </c>
      <c r="CA1060" t="str">
        <f t="shared" si="530"/>
        <v>low acid</v>
      </c>
    </row>
    <row r="1061" spans="1:79">
      <c r="A1061" t="s">
        <v>584</v>
      </c>
      <c r="B1061" t="s">
        <v>566</v>
      </c>
      <c r="C1061" t="s">
        <v>563</v>
      </c>
      <c r="D1061" t="s">
        <v>607</v>
      </c>
      <c r="E1061" t="s">
        <v>77</v>
      </c>
      <c r="F1061" t="s">
        <v>33</v>
      </c>
      <c r="G1061">
        <v>20</v>
      </c>
      <c r="H1061">
        <v>35</v>
      </c>
      <c r="I1061" t="b">
        <v>0</v>
      </c>
      <c r="J1061">
        <v>1000</v>
      </c>
      <c r="K1061">
        <v>200</v>
      </c>
      <c r="L1061">
        <v>25</v>
      </c>
      <c r="M1061" s="4">
        <v>1</v>
      </c>
      <c r="N1061" t="e">
        <f>(#REF!*Y1061)/(T1061*X1061*O1061)</f>
        <v>#REF!</v>
      </c>
      <c r="O1061">
        <v>3</v>
      </c>
      <c r="P1061" t="s">
        <v>33</v>
      </c>
      <c r="Q1061" s="1">
        <f t="shared" si="538"/>
        <v>9</v>
      </c>
      <c r="R1061" t="s">
        <v>183</v>
      </c>
      <c r="S1061" t="s">
        <v>33</v>
      </c>
      <c r="T1061">
        <v>1</v>
      </c>
      <c r="U1061">
        <v>2.5</v>
      </c>
      <c r="V1061" t="s">
        <v>33</v>
      </c>
      <c r="W1061">
        <v>0.50249999999999995</v>
      </c>
      <c r="X1061">
        <f>W1061</f>
        <v>0.50249999999999995</v>
      </c>
      <c r="Y1061" t="s">
        <v>33</v>
      </c>
      <c r="Z1061" s="3">
        <f t="shared" si="539"/>
        <v>5.5833333333333325E-2</v>
      </c>
      <c r="AA1061" t="s">
        <v>33</v>
      </c>
      <c r="AB1061">
        <f t="shared" si="540"/>
        <v>9</v>
      </c>
      <c r="AC1061" s="1" t="str">
        <f t="shared" si="535"/>
        <v>NA</v>
      </c>
      <c r="AE1061" s="3">
        <f t="shared" si="536"/>
        <v>16.875</v>
      </c>
      <c r="AF1061">
        <v>27</v>
      </c>
      <c r="AG1061" s="1" t="str">
        <f>IFERROR((N1061*P1061*Q1061), "NA")</f>
        <v>NA</v>
      </c>
      <c r="AH1061" s="1" t="str">
        <f>IFERROR((AG1061*U1061*AI1061), "NA")</f>
        <v>NA</v>
      </c>
      <c r="AI1061" s="1">
        <v>1</v>
      </c>
      <c r="AJ1061" s="11" t="s">
        <v>31</v>
      </c>
      <c r="AK1061">
        <v>1000</v>
      </c>
      <c r="AL1061" t="s">
        <v>614</v>
      </c>
      <c r="AM1061" s="3" t="s">
        <v>103</v>
      </c>
      <c r="AN1061" t="s">
        <v>305</v>
      </c>
      <c r="AO1061" t="s">
        <v>790</v>
      </c>
      <c r="AP1061">
        <v>4.5</v>
      </c>
      <c r="AQ1061" t="s">
        <v>33</v>
      </c>
      <c r="AR1061" t="s">
        <v>33</v>
      </c>
      <c r="AS1061">
        <v>8</v>
      </c>
      <c r="AT1061">
        <f>AS1061-AU1061</f>
        <v>5.6</v>
      </c>
      <c r="AU1061" s="6">
        <v>2.4</v>
      </c>
      <c r="AV1061" t="b">
        <v>1</v>
      </c>
      <c r="AW1061" t="s">
        <v>617</v>
      </c>
      <c r="AX1061" t="s">
        <v>33</v>
      </c>
      <c r="AY1061" t="s">
        <v>623</v>
      </c>
      <c r="AZ1061" t="s">
        <v>621</v>
      </c>
      <c r="BA1061" s="18" t="s">
        <v>802</v>
      </c>
      <c r="BB1061" s="3" t="b">
        <v>0</v>
      </c>
      <c r="BC1061" t="s">
        <v>81</v>
      </c>
      <c r="BD1061">
        <v>18</v>
      </c>
      <c r="BE1061" t="s">
        <v>80</v>
      </c>
      <c r="BF1061">
        <v>24</v>
      </c>
      <c r="BG1061" t="s">
        <v>642</v>
      </c>
      <c r="BH1061" t="s">
        <v>32</v>
      </c>
      <c r="BI1061" t="s">
        <v>31</v>
      </c>
      <c r="BJ1061">
        <f t="shared" si="537"/>
        <v>2.4</v>
      </c>
      <c r="BK1061" s="3">
        <f t="shared" si="521"/>
        <v>0.38021124171160603</v>
      </c>
      <c r="BL1061">
        <v>2</v>
      </c>
      <c r="BM1061" s="3">
        <f t="shared" si="532"/>
        <v>0.84703253979145654</v>
      </c>
      <c r="BN1061" t="s">
        <v>33</v>
      </c>
      <c r="BO1061" s="3">
        <f t="shared" si="529"/>
        <v>7.03125</v>
      </c>
      <c r="BP1061" t="s">
        <v>33</v>
      </c>
      <c r="BQ1061" t="s">
        <v>33</v>
      </c>
      <c r="BR1061" t="s">
        <v>33</v>
      </c>
      <c r="BS1061" t="s">
        <v>33</v>
      </c>
      <c r="BT1061" t="s">
        <v>31</v>
      </c>
      <c r="BU1061" t="s">
        <v>255</v>
      </c>
      <c r="BV1061">
        <v>2010</v>
      </c>
      <c r="BW1061" t="s">
        <v>651</v>
      </c>
      <c r="BX1061" t="s">
        <v>78</v>
      </c>
      <c r="BY1061" s="13" t="s">
        <v>674</v>
      </c>
      <c r="CA1061" t="str">
        <f t="shared" si="530"/>
        <v>high acid</v>
      </c>
    </row>
    <row r="1062" spans="1:79">
      <c r="A1062" t="s">
        <v>533</v>
      </c>
      <c r="B1062" t="s">
        <v>565</v>
      </c>
      <c r="C1062" t="s">
        <v>564</v>
      </c>
      <c r="D1062" t="s">
        <v>209</v>
      </c>
      <c r="E1062" t="s">
        <v>77</v>
      </c>
      <c r="F1062" t="s">
        <v>32</v>
      </c>
      <c r="G1062">
        <v>30</v>
      </c>
      <c r="H1062">
        <v>38.200000000000003</v>
      </c>
      <c r="I1062" t="b">
        <v>0</v>
      </c>
      <c r="J1062" t="s">
        <v>33</v>
      </c>
      <c r="K1062" t="s">
        <v>33</v>
      </c>
      <c r="L1062">
        <v>18</v>
      </c>
      <c r="M1062" s="4">
        <v>120</v>
      </c>
      <c r="N1062" s="3">
        <f t="shared" ref="N1062:N1067" si="541">IFERROR(AF1062/((T1062*X1062/Y1062)*O1062*AI1062),"NA")</f>
        <v>39.762576183379494</v>
      </c>
      <c r="O1062">
        <v>3</v>
      </c>
      <c r="P1062" t="s">
        <v>33</v>
      </c>
      <c r="Q1062" s="8">
        <f t="shared" si="538"/>
        <v>4.1666666666666664E-2</v>
      </c>
      <c r="R1062" t="s">
        <v>183</v>
      </c>
      <c r="S1062" t="s">
        <v>612</v>
      </c>
      <c r="T1062" s="11">
        <v>4</v>
      </c>
      <c r="U1062">
        <v>3</v>
      </c>
      <c r="V1062">
        <v>2.6</v>
      </c>
      <c r="W1062" t="s">
        <v>33</v>
      </c>
      <c r="X1062" s="8">
        <f t="shared" ref="X1062:X1067" si="542">IFERROR(((PI())*(((V1062*10^-1)/2)^2)*(U1062*10^-1)), "NA")</f>
        <v>1.5927874753700257E-2</v>
      </c>
      <c r="Y1062" s="6">
        <f>7.6/60</f>
        <v>0.12666666666666665</v>
      </c>
      <c r="Z1062" s="3">
        <f t="shared" si="539"/>
        <v>0.38226899408880616</v>
      </c>
      <c r="AA1062" t="s">
        <v>33</v>
      </c>
      <c r="AB1062" s="6">
        <f t="shared" si="540"/>
        <v>5</v>
      </c>
      <c r="AC1062" t="str">
        <f t="shared" si="535"/>
        <v>NA</v>
      </c>
      <c r="AD1062" s="4">
        <f>IFERROR(AB1062*T1062*AI1062, "NA")</f>
        <v>20</v>
      </c>
      <c r="AE1062" s="3">
        <f t="shared" si="536"/>
        <v>19.051199999999998</v>
      </c>
      <c r="AF1062">
        <v>60</v>
      </c>
      <c r="AG1062" t="str">
        <f>IFERROR((M1062*O1062*P1062), "NA")</f>
        <v>NA</v>
      </c>
      <c r="AH1062" t="str">
        <f t="shared" ref="AH1062:AH1067" si="543">IFERROR((AG1062*T1062*AI1062), "NA")</f>
        <v>NA</v>
      </c>
      <c r="AI1062" s="11">
        <v>1</v>
      </c>
      <c r="AJ1062" t="s">
        <v>31</v>
      </c>
      <c r="AK1062">
        <v>980</v>
      </c>
      <c r="AL1062" t="s">
        <v>551</v>
      </c>
      <c r="AM1062" t="s">
        <v>86</v>
      </c>
      <c r="AN1062" t="s">
        <v>186</v>
      </c>
      <c r="AO1062" t="s">
        <v>794</v>
      </c>
      <c r="AP1062">
        <v>5.98</v>
      </c>
      <c r="AQ1062" t="s">
        <v>33</v>
      </c>
      <c r="AR1062" t="s">
        <v>33</v>
      </c>
      <c r="AS1062" s="6">
        <v>6.4</v>
      </c>
      <c r="AT1062" s="3">
        <f t="shared" ref="AT1062:AT1067" si="544">IFERROR(AS1062-AU1062,"NA")</f>
        <v>5.601</v>
      </c>
      <c r="AU1062" s="6">
        <v>0.79900000000000004</v>
      </c>
      <c r="AV1062" t="b">
        <v>1</v>
      </c>
      <c r="AW1062" t="s">
        <v>29</v>
      </c>
      <c r="AX1062" t="s">
        <v>30</v>
      </c>
      <c r="AY1062" t="s">
        <v>211</v>
      </c>
      <c r="AZ1062" t="s">
        <v>33</v>
      </c>
      <c r="BA1062" s="18" t="s">
        <v>798</v>
      </c>
      <c r="BB1062" t="b">
        <v>0</v>
      </c>
      <c r="BC1062" t="s">
        <v>81</v>
      </c>
      <c r="BD1062">
        <v>20</v>
      </c>
      <c r="BE1062" t="s">
        <v>80</v>
      </c>
      <c r="BF1062" s="11">
        <v>20</v>
      </c>
      <c r="BG1062" t="s">
        <v>570</v>
      </c>
      <c r="BH1062" t="s">
        <v>31</v>
      </c>
      <c r="BI1062" t="s">
        <v>31</v>
      </c>
      <c r="BJ1062" s="3">
        <f t="shared" si="537"/>
        <v>0.79900000000000004</v>
      </c>
      <c r="BK1062" s="3">
        <f t="shared" si="521"/>
        <v>-9.745322068600859E-2</v>
      </c>
      <c r="BL1062">
        <v>2</v>
      </c>
      <c r="BM1062" s="3">
        <f t="shared" si="532"/>
        <v>1.3773755569687591</v>
      </c>
      <c r="BN1062" t="s">
        <v>33</v>
      </c>
      <c r="BO1062" s="3">
        <f t="shared" si="529"/>
        <v>23.843804755944927</v>
      </c>
      <c r="BP1062" t="s">
        <v>33</v>
      </c>
      <c r="BQ1062" t="s">
        <v>33</v>
      </c>
      <c r="BR1062" t="s">
        <v>33</v>
      </c>
      <c r="BS1062" t="s">
        <v>33</v>
      </c>
      <c r="BT1062" t="s">
        <v>32</v>
      </c>
      <c r="BU1062" t="s">
        <v>207</v>
      </c>
      <c r="BV1062">
        <v>2014</v>
      </c>
      <c r="BW1062" t="s">
        <v>208</v>
      </c>
      <c r="BX1062" t="s">
        <v>78</v>
      </c>
      <c r="BY1062" t="s">
        <v>33</v>
      </c>
      <c r="BZ1062" t="s">
        <v>33</v>
      </c>
      <c r="CA1062" t="str">
        <f t="shared" si="530"/>
        <v>low acid</v>
      </c>
    </row>
    <row r="1063" spans="1:79">
      <c r="A1063" t="s">
        <v>142</v>
      </c>
      <c r="B1063" t="s">
        <v>565</v>
      </c>
      <c r="C1063" t="s">
        <v>563</v>
      </c>
      <c r="D1063" t="s">
        <v>118</v>
      </c>
      <c r="E1063" t="s">
        <v>77</v>
      </c>
      <c r="F1063" t="s">
        <v>32</v>
      </c>
      <c r="G1063">
        <v>20</v>
      </c>
      <c r="H1063" t="s">
        <v>33</v>
      </c>
      <c r="I1063" t="b">
        <v>0</v>
      </c>
      <c r="J1063" t="s">
        <v>33</v>
      </c>
      <c r="K1063" t="s">
        <v>33</v>
      </c>
      <c r="L1063">
        <v>17</v>
      </c>
      <c r="M1063" s="4">
        <v>500</v>
      </c>
      <c r="N1063" s="3">
        <f t="shared" si="541"/>
        <v>403.45211511753826</v>
      </c>
      <c r="O1063">
        <v>3</v>
      </c>
      <c r="P1063" t="s">
        <v>33</v>
      </c>
      <c r="Q1063" s="8">
        <f t="shared" si="538"/>
        <v>1.1666666666666667E-2</v>
      </c>
      <c r="R1063" t="s">
        <v>183</v>
      </c>
      <c r="S1063" t="s">
        <v>613</v>
      </c>
      <c r="T1063" s="11">
        <v>6</v>
      </c>
      <c r="U1063">
        <v>2.9</v>
      </c>
      <c r="V1063">
        <v>2.2999999999999998</v>
      </c>
      <c r="W1063" t="s">
        <v>33</v>
      </c>
      <c r="X1063">
        <f t="shared" si="542"/>
        <v>1.204879322468025E-2</v>
      </c>
      <c r="Y1063" s="8">
        <f>50/60</f>
        <v>0.83333333333333337</v>
      </c>
      <c r="Z1063" s="9">
        <f t="shared" si="539"/>
        <v>1.0327537049725928</v>
      </c>
      <c r="AA1063" t="s">
        <v>33</v>
      </c>
      <c r="AB1063" s="6">
        <f t="shared" si="540"/>
        <v>5.8333333333333339</v>
      </c>
      <c r="AC1063" t="str">
        <f t="shared" si="535"/>
        <v>NA</v>
      </c>
      <c r="AD1063" s="4">
        <f>IFERROR(AB1063*T1063*AI1063, "NA")</f>
        <v>35</v>
      </c>
      <c r="AE1063" s="3">
        <f t="shared" si="536"/>
        <v>35.50365</v>
      </c>
      <c r="AF1063">
        <v>105</v>
      </c>
      <c r="AG1063" t="str">
        <f>IFERROR((M1063*O1063*P1063), "NA")</f>
        <v>NA</v>
      </c>
      <c r="AH1063" t="str">
        <f t="shared" si="543"/>
        <v>NA</v>
      </c>
      <c r="AI1063" s="11">
        <v>1</v>
      </c>
      <c r="AJ1063" t="s">
        <v>31</v>
      </c>
      <c r="AK1063">
        <v>1170</v>
      </c>
      <c r="AL1063" t="s">
        <v>138</v>
      </c>
      <c r="AM1063" t="s">
        <v>86</v>
      </c>
      <c r="AN1063" t="s">
        <v>205</v>
      </c>
      <c r="AO1063" t="s">
        <v>789</v>
      </c>
      <c r="AP1063">
        <v>3.85</v>
      </c>
      <c r="AQ1063" t="s">
        <v>33</v>
      </c>
      <c r="AR1063" t="s">
        <v>33</v>
      </c>
      <c r="AS1063" s="3">
        <v>7.3810000000000002</v>
      </c>
      <c r="AT1063" s="3">
        <f t="shared" si="544"/>
        <v>5.601</v>
      </c>
      <c r="AU1063" s="6">
        <v>1.78</v>
      </c>
      <c r="AV1063" t="b">
        <v>1</v>
      </c>
      <c r="AW1063" t="s">
        <v>92</v>
      </c>
      <c r="AX1063" t="s">
        <v>93</v>
      </c>
      <c r="AY1063" t="s">
        <v>137</v>
      </c>
      <c r="AZ1063" t="s">
        <v>33</v>
      </c>
      <c r="BA1063" s="18" t="s">
        <v>801</v>
      </c>
      <c r="BB1063" t="b">
        <v>0</v>
      </c>
      <c r="BC1063" t="s">
        <v>81</v>
      </c>
      <c r="BD1063">
        <f>(48+24)/2</f>
        <v>36</v>
      </c>
      <c r="BE1063" t="s">
        <v>80</v>
      </c>
      <c r="BF1063" s="11">
        <f>(48+24)/2</f>
        <v>36</v>
      </c>
      <c r="BG1063" t="s">
        <v>139</v>
      </c>
      <c r="BH1063" t="s">
        <v>31</v>
      </c>
      <c r="BI1063" t="s">
        <v>31</v>
      </c>
      <c r="BJ1063">
        <f t="shared" si="537"/>
        <v>1.78</v>
      </c>
      <c r="BK1063" s="3">
        <f t="shared" si="521"/>
        <v>0.250420002308894</v>
      </c>
      <c r="BL1063">
        <v>2</v>
      </c>
      <c r="BM1063" s="3">
        <f>LOG(BO1063)</f>
        <v>1.2998530012637535</v>
      </c>
      <c r="BN1063" t="s">
        <v>33</v>
      </c>
      <c r="BO1063" s="3">
        <f t="shared" si="529"/>
        <v>19.945870786516853</v>
      </c>
      <c r="BP1063" t="s">
        <v>33</v>
      </c>
      <c r="BQ1063" t="s">
        <v>33</v>
      </c>
      <c r="BR1063" t="s">
        <v>33</v>
      </c>
      <c r="BS1063" t="s">
        <v>33</v>
      </c>
      <c r="BT1063" t="s">
        <v>31</v>
      </c>
      <c r="BU1063" t="s">
        <v>135</v>
      </c>
      <c r="BV1063">
        <v>2011</v>
      </c>
      <c r="BW1063" s="2" t="s">
        <v>136</v>
      </c>
      <c r="BX1063" t="s">
        <v>78</v>
      </c>
      <c r="BY1063" t="s">
        <v>33</v>
      </c>
      <c r="BZ1063" t="s">
        <v>33</v>
      </c>
      <c r="CA1063" t="str">
        <f t="shared" si="530"/>
        <v>high acid</v>
      </c>
    </row>
    <row r="1064" spans="1:79">
      <c r="A1064" t="s">
        <v>237</v>
      </c>
      <c r="B1064" t="s">
        <v>565</v>
      </c>
      <c r="C1064" t="s">
        <v>563</v>
      </c>
      <c r="D1064" t="s">
        <v>118</v>
      </c>
      <c r="E1064" t="s">
        <v>77</v>
      </c>
      <c r="F1064" t="s">
        <v>32</v>
      </c>
      <c r="G1064">
        <v>4</v>
      </c>
      <c r="H1064">
        <v>32.5</v>
      </c>
      <c r="I1064" t="b">
        <v>0</v>
      </c>
      <c r="J1064" t="s">
        <v>33</v>
      </c>
      <c r="K1064" t="s">
        <v>33</v>
      </c>
      <c r="L1064">
        <v>30</v>
      </c>
      <c r="M1064" s="4">
        <v>200</v>
      </c>
      <c r="N1064" s="3">
        <f t="shared" si="541"/>
        <v>772.75686432737871</v>
      </c>
      <c r="O1064">
        <v>4</v>
      </c>
      <c r="P1064" t="s">
        <v>33</v>
      </c>
      <c r="Q1064" s="9">
        <f t="shared" si="538"/>
        <v>4.6874999999999993E-2</v>
      </c>
      <c r="R1064" t="s">
        <v>183</v>
      </c>
      <c r="S1064" t="s">
        <v>612</v>
      </c>
      <c r="T1064" s="11">
        <v>8</v>
      </c>
      <c r="U1064">
        <v>2.92</v>
      </c>
      <c r="V1064">
        <v>2.2999999999999998</v>
      </c>
      <c r="W1064">
        <v>1.2E-2</v>
      </c>
      <c r="X1064" s="8">
        <f t="shared" si="542"/>
        <v>1.2131888350367701E-2</v>
      </c>
      <c r="Y1064" s="6">
        <f>60/60</f>
        <v>1</v>
      </c>
      <c r="Z1064" s="3">
        <f t="shared" si="539"/>
        <v>0.25881361814117765</v>
      </c>
      <c r="AA1064" t="s">
        <v>33</v>
      </c>
      <c r="AB1064" s="6">
        <f t="shared" si="540"/>
        <v>9.3749999999999982</v>
      </c>
      <c r="AC1064" t="str">
        <f t="shared" si="535"/>
        <v>NA</v>
      </c>
      <c r="AD1064" s="4">
        <f>AB1064*T1064*AI1064</f>
        <v>74.999999999999986</v>
      </c>
      <c r="AE1064" s="3">
        <f t="shared" si="536"/>
        <v>1144.7999999999997</v>
      </c>
      <c r="AF1064">
        <v>300</v>
      </c>
      <c r="AG1064" t="str">
        <f>IFERROR((M1064*O1064*P1064), "NA")</f>
        <v>NA</v>
      </c>
      <c r="AH1064" t="str">
        <f t="shared" si="543"/>
        <v>NA</v>
      </c>
      <c r="AI1064">
        <v>1</v>
      </c>
      <c r="AJ1064" t="s">
        <v>31</v>
      </c>
      <c r="AK1064">
        <v>4240</v>
      </c>
      <c r="AL1064" t="s">
        <v>238</v>
      </c>
      <c r="AM1064" t="s">
        <v>86</v>
      </c>
      <c r="AN1064" t="s">
        <v>205</v>
      </c>
      <c r="AO1064" t="s">
        <v>789</v>
      </c>
      <c r="AP1064">
        <v>3.56</v>
      </c>
      <c r="AQ1064" t="s">
        <v>33</v>
      </c>
      <c r="AR1064" t="s">
        <v>33</v>
      </c>
      <c r="AS1064">
        <f>LOG(10^8)</f>
        <v>8</v>
      </c>
      <c r="AT1064" s="3">
        <f t="shared" si="544"/>
        <v>5.6029999999999998</v>
      </c>
      <c r="AU1064" s="6">
        <v>2.3969999999999998</v>
      </c>
      <c r="AV1064" t="b">
        <v>1</v>
      </c>
      <c r="AW1064" t="s">
        <v>172</v>
      </c>
      <c r="AX1064" t="s">
        <v>173</v>
      </c>
      <c r="AY1064" t="s">
        <v>239</v>
      </c>
      <c r="AZ1064" t="s">
        <v>33</v>
      </c>
      <c r="BA1064" s="18" t="s">
        <v>799</v>
      </c>
      <c r="BB1064" t="b">
        <v>0</v>
      </c>
      <c r="BC1064" t="s">
        <v>81</v>
      </c>
      <c r="BD1064">
        <v>48</v>
      </c>
      <c r="BE1064" t="s">
        <v>80</v>
      </c>
      <c r="BF1064" s="11">
        <v>120</v>
      </c>
      <c r="BG1064" t="s">
        <v>571</v>
      </c>
      <c r="BH1064" t="s">
        <v>31</v>
      </c>
      <c r="BI1064" t="s">
        <v>31</v>
      </c>
      <c r="BJ1064" s="3">
        <f t="shared" si="537"/>
        <v>2.3969999999999998</v>
      </c>
      <c r="BK1064" s="3">
        <f t="shared" si="521"/>
        <v>0.37966803403365379</v>
      </c>
      <c r="BL1064">
        <v>2</v>
      </c>
      <c r="BM1064" s="3">
        <f t="shared" ref="BM1064:BM1095" si="545">IFERROR(LOG(BO1064),"NA")</f>
        <v>2.679061586718066</v>
      </c>
      <c r="BN1064" t="s">
        <v>33</v>
      </c>
      <c r="BO1064" s="3">
        <f t="shared" si="529"/>
        <v>477.59699624530657</v>
      </c>
      <c r="BP1064" t="s">
        <v>33</v>
      </c>
      <c r="BQ1064" t="s">
        <v>33</v>
      </c>
      <c r="BR1064" t="s">
        <v>33</v>
      </c>
      <c r="BS1064" t="s">
        <v>33</v>
      </c>
      <c r="BT1064" t="s">
        <v>31</v>
      </c>
      <c r="BU1064" t="s">
        <v>240</v>
      </c>
      <c r="BV1064">
        <v>2004</v>
      </c>
      <c r="BW1064" t="s">
        <v>241</v>
      </c>
      <c r="BX1064" t="s">
        <v>78</v>
      </c>
      <c r="BY1064" t="s">
        <v>33</v>
      </c>
      <c r="BZ1064" t="s">
        <v>33</v>
      </c>
      <c r="CA1064" t="str">
        <f t="shared" si="530"/>
        <v>high acid</v>
      </c>
    </row>
    <row r="1065" spans="1:79">
      <c r="A1065" t="s">
        <v>325</v>
      </c>
      <c r="B1065" t="s">
        <v>565</v>
      </c>
      <c r="C1065" t="s">
        <v>563</v>
      </c>
      <c r="D1065" t="s">
        <v>304</v>
      </c>
      <c r="E1065" t="s">
        <v>77</v>
      </c>
      <c r="F1065" t="s">
        <v>32</v>
      </c>
      <c r="G1065">
        <v>30</v>
      </c>
      <c r="H1065">
        <v>31.1</v>
      </c>
      <c r="I1065" t="b">
        <v>1</v>
      </c>
      <c r="J1065">
        <v>12600</v>
      </c>
      <c r="K1065">
        <v>50.4</v>
      </c>
      <c r="L1065">
        <v>33.4</v>
      </c>
      <c r="M1065" s="4">
        <v>383</v>
      </c>
      <c r="N1065" s="3">
        <f t="shared" si="541"/>
        <v>374.4822190397536</v>
      </c>
      <c r="O1065">
        <v>1</v>
      </c>
      <c r="P1065">
        <v>2.4E-2</v>
      </c>
      <c r="Q1065" s="8">
        <f t="shared" si="538"/>
        <v>2.3498694516971279E-2</v>
      </c>
      <c r="R1065" t="s">
        <v>183</v>
      </c>
      <c r="S1065" t="s">
        <v>612</v>
      </c>
      <c r="T1065" s="11">
        <v>1</v>
      </c>
      <c r="U1065">
        <v>3.4</v>
      </c>
      <c r="V1065">
        <v>3</v>
      </c>
      <c r="W1065">
        <v>2.4E-2</v>
      </c>
      <c r="X1065" s="8">
        <f t="shared" si="542"/>
        <v>2.4033183799961926E-2</v>
      </c>
      <c r="Y1065" s="6">
        <f>1</f>
        <v>1</v>
      </c>
      <c r="Z1065" s="3">
        <f t="shared" si="539"/>
        <v>1.0227454883761575</v>
      </c>
      <c r="AA1065">
        <v>9.1999999999999993</v>
      </c>
      <c r="AB1065" s="6">
        <f t="shared" si="540"/>
        <v>9</v>
      </c>
      <c r="AC1065">
        <f t="shared" si="535"/>
        <v>9.1920000000000002</v>
      </c>
      <c r="AD1065" s="4">
        <f>IFERROR(AB1065*T1065*AI1065, "NA")</f>
        <v>9</v>
      </c>
      <c r="AE1065" s="3">
        <f t="shared" si="536"/>
        <v>10.040039999999999</v>
      </c>
      <c r="AF1065">
        <v>9</v>
      </c>
      <c r="AG1065">
        <f>IFERROR((M1065*O1065*P1065), "NA")</f>
        <v>9.1920000000000002</v>
      </c>
      <c r="AH1065">
        <f t="shared" si="543"/>
        <v>9.1920000000000002</v>
      </c>
      <c r="AI1065" s="11">
        <v>1</v>
      </c>
      <c r="AJ1065" t="s">
        <v>31</v>
      </c>
      <c r="AK1065">
        <v>1000</v>
      </c>
      <c r="AL1065" t="s">
        <v>169</v>
      </c>
      <c r="AM1065" t="s">
        <v>103</v>
      </c>
      <c r="AN1065" t="s">
        <v>305</v>
      </c>
      <c r="AO1065" t="s">
        <v>790</v>
      </c>
      <c r="AP1065">
        <v>4.5</v>
      </c>
      <c r="AQ1065" t="s">
        <v>33</v>
      </c>
      <c r="AR1065" t="s">
        <v>33</v>
      </c>
      <c r="AS1065" s="6">
        <f>LOG(3*10^7)</f>
        <v>7.4771212547196626</v>
      </c>
      <c r="AT1065" s="3">
        <f t="shared" si="544"/>
        <v>5.6171212547196623</v>
      </c>
      <c r="AU1065" s="6">
        <v>1.86</v>
      </c>
      <c r="AV1065" t="b">
        <v>1</v>
      </c>
      <c r="AW1065" t="s">
        <v>123</v>
      </c>
      <c r="AX1065" t="s">
        <v>88</v>
      </c>
      <c r="AY1065" t="s">
        <v>306</v>
      </c>
      <c r="AZ1065" t="s">
        <v>33</v>
      </c>
      <c r="BA1065" s="18" t="s">
        <v>579</v>
      </c>
      <c r="BB1065" t="b">
        <v>1</v>
      </c>
      <c r="BC1065" t="s">
        <v>81</v>
      </c>
      <c r="BD1065">
        <v>48</v>
      </c>
      <c r="BE1065" t="s">
        <v>80</v>
      </c>
      <c r="BF1065" s="11">
        <v>120</v>
      </c>
      <c r="BG1065" t="s">
        <v>395</v>
      </c>
      <c r="BH1065" t="s">
        <v>31</v>
      </c>
      <c r="BI1065" t="s">
        <v>31</v>
      </c>
      <c r="BJ1065" s="3">
        <f t="shared" si="537"/>
        <v>1.86</v>
      </c>
      <c r="BK1065" s="3">
        <f t="shared" si="521"/>
        <v>0.26951294421791633</v>
      </c>
      <c r="BL1065">
        <v>2</v>
      </c>
      <c r="BM1065" s="3">
        <f t="shared" si="545"/>
        <v>0.73222249884453749</v>
      </c>
      <c r="BN1065" t="s">
        <v>33</v>
      </c>
      <c r="BO1065" s="3">
        <f t="shared" si="529"/>
        <v>5.3978709677419348</v>
      </c>
      <c r="BP1065" t="s">
        <v>33</v>
      </c>
      <c r="BQ1065" t="s">
        <v>33</v>
      </c>
      <c r="BR1065" t="s">
        <v>33</v>
      </c>
      <c r="BS1065" t="s">
        <v>33</v>
      </c>
      <c r="BT1065" t="s">
        <v>32</v>
      </c>
      <c r="BU1065" t="s">
        <v>323</v>
      </c>
      <c r="BV1065">
        <v>2003</v>
      </c>
      <c r="BW1065" s="2" t="s">
        <v>322</v>
      </c>
      <c r="BX1065" t="s">
        <v>78</v>
      </c>
      <c r="BY1065" t="s">
        <v>33</v>
      </c>
      <c r="BZ1065" t="s">
        <v>33</v>
      </c>
      <c r="CA1065" t="str">
        <f t="shared" si="530"/>
        <v>high acid</v>
      </c>
    </row>
    <row r="1066" spans="1:79">
      <c r="A1066" t="s">
        <v>535</v>
      </c>
      <c r="B1066" t="s">
        <v>565</v>
      </c>
      <c r="C1066" t="s">
        <v>564</v>
      </c>
      <c r="D1066" t="s">
        <v>243</v>
      </c>
      <c r="E1066" t="s">
        <v>77</v>
      </c>
      <c r="F1066" t="s">
        <v>32</v>
      </c>
      <c r="G1066">
        <v>40</v>
      </c>
      <c r="H1066">
        <v>43</v>
      </c>
      <c r="I1066" t="b">
        <v>0</v>
      </c>
      <c r="J1066" t="s">
        <v>33</v>
      </c>
      <c r="K1066" t="s">
        <v>33</v>
      </c>
      <c r="L1066">
        <v>12</v>
      </c>
      <c r="M1066" s="4">
        <v>120</v>
      </c>
      <c r="N1066" s="3">
        <f t="shared" si="541"/>
        <v>150.41764016738955</v>
      </c>
      <c r="O1066">
        <v>3</v>
      </c>
      <c r="P1066" t="s">
        <v>33</v>
      </c>
      <c r="Q1066" s="9">
        <f t="shared" si="538"/>
        <v>4.7916666666666663E-2</v>
      </c>
      <c r="R1066" t="s">
        <v>183</v>
      </c>
      <c r="S1066" t="s">
        <v>612</v>
      </c>
      <c r="T1066" s="11">
        <v>4</v>
      </c>
      <c r="U1066">
        <v>3</v>
      </c>
      <c r="V1066">
        <v>2.6</v>
      </c>
      <c r="W1066">
        <v>1.5900000000000001E-2</v>
      </c>
      <c r="X1066" s="8">
        <f t="shared" si="542"/>
        <v>1.5927874753700257E-2</v>
      </c>
      <c r="Y1066" s="6">
        <f>25/60</f>
        <v>0.41666666666666669</v>
      </c>
      <c r="Z1066" s="3">
        <f t="shared" si="539"/>
        <v>0.332407820946788</v>
      </c>
      <c r="AA1066" t="s">
        <v>33</v>
      </c>
      <c r="AB1066" s="6">
        <f t="shared" si="540"/>
        <v>5.7499999999999991</v>
      </c>
      <c r="AC1066" t="str">
        <f t="shared" si="535"/>
        <v>NA</v>
      </c>
      <c r="AD1066" s="4">
        <f>IFERROR(AB1066*T1066*AI1066, "NA")</f>
        <v>22.999999999999996</v>
      </c>
      <c r="AE1066" s="3">
        <f t="shared" si="536"/>
        <v>9.141119999999999</v>
      </c>
      <c r="AF1066">
        <v>69</v>
      </c>
      <c r="AG1066" t="str">
        <f>IFERROR((M1066*O1066*P1066), "NA")</f>
        <v>NA</v>
      </c>
      <c r="AH1066" t="str">
        <f t="shared" si="543"/>
        <v>NA</v>
      </c>
      <c r="AI1066" s="11">
        <v>1</v>
      </c>
      <c r="AJ1066" t="s">
        <v>31</v>
      </c>
      <c r="AK1066">
        <v>920</v>
      </c>
      <c r="AL1066" t="s">
        <v>551</v>
      </c>
      <c r="AM1066" t="s">
        <v>86</v>
      </c>
      <c r="AN1066" t="s">
        <v>186</v>
      </c>
      <c r="AO1066" t="s">
        <v>794</v>
      </c>
      <c r="AP1066">
        <v>5.92</v>
      </c>
      <c r="AQ1066" t="s">
        <v>33</v>
      </c>
      <c r="AR1066" t="s">
        <v>33</v>
      </c>
      <c r="AS1066" s="6">
        <f>LOG(1.1*10^7)</f>
        <v>7.0413926851582254</v>
      </c>
      <c r="AT1066" s="3">
        <f t="shared" si="544"/>
        <v>5.6193926851582257</v>
      </c>
      <c r="AU1066" s="6">
        <v>1.4219999999999999</v>
      </c>
      <c r="AV1066" t="b">
        <v>1</v>
      </c>
      <c r="AW1066" t="s">
        <v>172</v>
      </c>
      <c r="AX1066" t="s">
        <v>173</v>
      </c>
      <c r="AY1066" t="s">
        <v>246</v>
      </c>
      <c r="AZ1066" t="s">
        <v>33</v>
      </c>
      <c r="BA1066" s="18" t="s">
        <v>799</v>
      </c>
      <c r="BB1066" t="b">
        <v>0</v>
      </c>
      <c r="BC1066" t="s">
        <v>81</v>
      </c>
      <c r="BD1066">
        <v>72</v>
      </c>
      <c r="BE1066" t="s">
        <v>80</v>
      </c>
      <c r="BF1066" s="11">
        <v>72</v>
      </c>
      <c r="BG1066" t="s">
        <v>522</v>
      </c>
      <c r="BH1066" t="s">
        <v>31</v>
      </c>
      <c r="BI1066" t="s">
        <v>31</v>
      </c>
      <c r="BJ1066" s="3">
        <f t="shared" si="537"/>
        <v>1.4219999999999999</v>
      </c>
      <c r="BK1066" s="3">
        <f t="shared" si="521"/>
        <v>0.15289959639374748</v>
      </c>
      <c r="BL1066">
        <v>2</v>
      </c>
      <c r="BM1066" s="3">
        <f t="shared" si="545"/>
        <v>0.80809981378431273</v>
      </c>
      <c r="BN1066" t="s">
        <v>33</v>
      </c>
      <c r="BO1066" s="3">
        <f t="shared" si="529"/>
        <v>6.4283544303797466</v>
      </c>
      <c r="BP1066" t="s">
        <v>33</v>
      </c>
      <c r="BQ1066" t="s">
        <v>33</v>
      </c>
      <c r="BR1066" t="s">
        <v>33</v>
      </c>
      <c r="BS1066" t="s">
        <v>33</v>
      </c>
      <c r="BT1066" t="s">
        <v>32</v>
      </c>
      <c r="BU1066" t="s">
        <v>207</v>
      </c>
      <c r="BV1066">
        <v>2014</v>
      </c>
      <c r="BW1066" s="2" t="s">
        <v>242</v>
      </c>
      <c r="BX1066" t="s">
        <v>78</v>
      </c>
      <c r="BY1066" t="s">
        <v>33</v>
      </c>
      <c r="BZ1066" t="s">
        <v>33</v>
      </c>
      <c r="CA1066" t="str">
        <f t="shared" si="530"/>
        <v>low acid</v>
      </c>
    </row>
    <row r="1067" spans="1:79">
      <c r="A1067" t="s">
        <v>453</v>
      </c>
      <c r="B1067" t="s">
        <v>565</v>
      </c>
      <c r="C1067" t="s">
        <v>563</v>
      </c>
      <c r="D1067" t="s">
        <v>182</v>
      </c>
      <c r="E1067" t="s">
        <v>77</v>
      </c>
      <c r="F1067" t="s">
        <v>32</v>
      </c>
      <c r="G1067">
        <v>18</v>
      </c>
      <c r="H1067">
        <v>48</v>
      </c>
      <c r="I1067" t="b">
        <v>1</v>
      </c>
      <c r="J1067" t="s">
        <v>33</v>
      </c>
      <c r="K1067" t="s">
        <v>33</v>
      </c>
      <c r="L1067">
        <v>22</v>
      </c>
      <c r="M1067" s="4" t="s">
        <v>33</v>
      </c>
      <c r="N1067" s="3">
        <f t="shared" si="541"/>
        <v>330.20830099655922</v>
      </c>
      <c r="O1067">
        <v>10</v>
      </c>
      <c r="P1067">
        <f>0.047/2</f>
        <v>2.35E-2</v>
      </c>
      <c r="Q1067" s="8">
        <f t="shared" si="538"/>
        <v>2.3318614270936316E-2</v>
      </c>
      <c r="R1067" t="s">
        <v>183</v>
      </c>
      <c r="S1067" t="s">
        <v>613</v>
      </c>
      <c r="T1067" s="11">
        <v>2</v>
      </c>
      <c r="U1067">
        <v>5.6</v>
      </c>
      <c r="V1067">
        <v>4.5</v>
      </c>
      <c r="W1067" t="s">
        <v>33</v>
      </c>
      <c r="X1067" s="9">
        <f t="shared" si="542"/>
        <v>8.9064151729270638E-2</v>
      </c>
      <c r="Y1067" s="6">
        <f>13750/3600</f>
        <v>3.8194444444444446</v>
      </c>
      <c r="Z1067" s="3">
        <f>IFERROR(X1067*N1067*O1067*T1067*AI1067/AF1067, "NA")</f>
        <v>3.8194444444444438</v>
      </c>
      <c r="AA1067" t="s">
        <v>33</v>
      </c>
      <c r="AB1067" s="4">
        <f>IFERROR(((X1067*N1067)/Y1067), "NA")</f>
        <v>7.6999999999999984</v>
      </c>
      <c r="AC1067" s="4">
        <f>IFERROR(N1067*P1067,"NA")</f>
        <v>7.7598950734191412</v>
      </c>
      <c r="AD1067" s="4">
        <f>IFERROR(AB1067*T1067*AI1067, "NA")</f>
        <v>15.399999999999997</v>
      </c>
      <c r="AE1067" s="3">
        <f>IFERROR(((L1067^2)*N1067*O1067*AK1067*10^-6*Q1067*T1067*AI1067), "NA")</f>
        <v>171.43280000000001</v>
      </c>
      <c r="AF1067">
        <v>154</v>
      </c>
      <c r="AG1067" s="4">
        <f>IFERROR((N1067*O1067*P1067), "NA")</f>
        <v>77.598950734191419</v>
      </c>
      <c r="AH1067" s="4">
        <f t="shared" si="543"/>
        <v>155.19790146838284</v>
      </c>
      <c r="AI1067" s="11">
        <v>1</v>
      </c>
      <c r="AJ1067" t="s">
        <v>31</v>
      </c>
      <c r="AK1067">
        <v>2300</v>
      </c>
      <c r="AL1067" t="s">
        <v>805</v>
      </c>
      <c r="AM1067" t="s">
        <v>515</v>
      </c>
      <c r="AN1067" t="s">
        <v>205</v>
      </c>
      <c r="AO1067" t="s">
        <v>788</v>
      </c>
      <c r="AP1067">
        <v>3.68</v>
      </c>
      <c r="AQ1067" t="s">
        <v>33</v>
      </c>
      <c r="AR1067" t="s">
        <v>33</v>
      </c>
      <c r="AS1067">
        <f>LOG(10^8)</f>
        <v>8</v>
      </c>
      <c r="AT1067" s="3">
        <f t="shared" si="544"/>
        <v>5.62</v>
      </c>
      <c r="AU1067" s="6">
        <v>2.38</v>
      </c>
      <c r="AV1067" t="b">
        <v>1</v>
      </c>
      <c r="AW1067" t="s">
        <v>123</v>
      </c>
      <c r="AX1067" t="s">
        <v>88</v>
      </c>
      <c r="AY1067" t="s">
        <v>468</v>
      </c>
      <c r="AZ1067" t="s">
        <v>33</v>
      </c>
      <c r="BA1067" s="18" t="s">
        <v>579</v>
      </c>
      <c r="BB1067" t="b">
        <v>1</v>
      </c>
      <c r="BC1067" t="s">
        <v>81</v>
      </c>
      <c r="BD1067" t="s">
        <v>33</v>
      </c>
      <c r="BE1067" t="s">
        <v>80</v>
      </c>
      <c r="BF1067" t="s">
        <v>33</v>
      </c>
      <c r="BG1067" t="s">
        <v>395</v>
      </c>
      <c r="BH1067" t="s">
        <v>31</v>
      </c>
      <c r="BI1067" t="s">
        <v>31</v>
      </c>
      <c r="BJ1067" s="3">
        <f t="shared" si="537"/>
        <v>2.38</v>
      </c>
      <c r="BK1067" s="3">
        <f t="shared" si="521"/>
        <v>0.37657695705651195</v>
      </c>
      <c r="BL1067">
        <v>2</v>
      </c>
      <c r="BM1067" s="3">
        <f t="shared" si="545"/>
        <v>1.8575169614419567</v>
      </c>
      <c r="BN1067" t="s">
        <v>33</v>
      </c>
      <c r="BO1067" s="3">
        <f t="shared" si="529"/>
        <v>72.030588235294132</v>
      </c>
      <c r="BP1067" t="s">
        <v>33</v>
      </c>
      <c r="BQ1067" t="s">
        <v>33</v>
      </c>
      <c r="BR1067" t="s">
        <v>33</v>
      </c>
      <c r="BS1067" t="s">
        <v>33</v>
      </c>
      <c r="BT1067" t="s">
        <v>32</v>
      </c>
      <c r="BU1067" t="s">
        <v>484</v>
      </c>
      <c r="BV1067">
        <v>2015</v>
      </c>
      <c r="BW1067" t="s">
        <v>485</v>
      </c>
      <c r="BX1067" t="s">
        <v>78</v>
      </c>
      <c r="BY1067" t="s">
        <v>486</v>
      </c>
      <c r="BZ1067" t="s">
        <v>780</v>
      </c>
      <c r="CA1067" t="str">
        <f t="shared" si="530"/>
        <v>high acid</v>
      </c>
    </row>
    <row r="1068" spans="1:79">
      <c r="A1068" t="s">
        <v>589</v>
      </c>
      <c r="B1068" t="s">
        <v>566</v>
      </c>
      <c r="C1068" t="s">
        <v>563</v>
      </c>
      <c r="D1068" t="s">
        <v>33</v>
      </c>
      <c r="E1068" t="s">
        <v>77</v>
      </c>
      <c r="F1068" t="s">
        <v>33</v>
      </c>
      <c r="G1068" t="s">
        <v>33</v>
      </c>
      <c r="H1068">
        <v>35</v>
      </c>
      <c r="I1068" t="b">
        <v>0</v>
      </c>
      <c r="J1068" t="s">
        <v>33</v>
      </c>
      <c r="K1068" t="s">
        <v>33</v>
      </c>
      <c r="L1068">
        <v>22</v>
      </c>
      <c r="M1068" s="4">
        <v>1</v>
      </c>
      <c r="N1068" t="e">
        <f>(#REF!*Y1068)/(T1068*X1068*O1068)</f>
        <v>#REF!</v>
      </c>
      <c r="O1068">
        <v>2</v>
      </c>
      <c r="P1068" t="s">
        <v>33</v>
      </c>
      <c r="Q1068" s="1">
        <f t="shared" si="538"/>
        <v>48.3</v>
      </c>
      <c r="R1068" t="s">
        <v>183</v>
      </c>
      <c r="S1068" t="s">
        <v>613</v>
      </c>
      <c r="T1068">
        <v>1</v>
      </c>
      <c r="U1068">
        <v>2.5</v>
      </c>
      <c r="V1068" t="s">
        <v>33</v>
      </c>
      <c r="W1068">
        <v>0.50249999999999995</v>
      </c>
      <c r="X1068">
        <f>W1068</f>
        <v>0.50249999999999995</v>
      </c>
      <c r="Y1068" t="s">
        <v>33</v>
      </c>
      <c r="Z1068" s="3">
        <f t="shared" ref="Z1068:Z1076" si="546">IFERROR(X1068*M1068*O1068*T1068*AI1068/AF1068, "NA")</f>
        <v>1.0403726708074533E-2</v>
      </c>
      <c r="AA1068" t="s">
        <v>33</v>
      </c>
      <c r="AB1068">
        <f>IFERROR(((X1068*M1068)/Z1068), "NA")</f>
        <v>48.3</v>
      </c>
      <c r="AC1068" s="1" t="str">
        <f t="shared" ref="AC1068:AC1076" si="547">IFERROR(M1068*P1068,"NA")</f>
        <v>NA</v>
      </c>
      <c r="AE1068" s="3">
        <f t="shared" ref="AE1068:AE1076" si="548">IFERROR(((L1068^2)*M1068*O1068*AK1068*10^-6*Q1068*T1068*AI1068), "NA")</f>
        <v>93.508799999999994</v>
      </c>
      <c r="AF1068">
        <v>96.6</v>
      </c>
      <c r="AG1068" s="1" t="str">
        <f>IFERROR((N1068*P1068*Q1068), "NA")</f>
        <v>NA</v>
      </c>
      <c r="AH1068" s="1" t="str">
        <f>IFERROR((AG1068*U1068*AI1068), "NA")</f>
        <v>NA</v>
      </c>
      <c r="AI1068" s="1">
        <v>1</v>
      </c>
      <c r="AJ1068" s="11" t="s">
        <v>31</v>
      </c>
      <c r="AK1068">
        <v>2000</v>
      </c>
      <c r="AL1068" t="s">
        <v>616</v>
      </c>
      <c r="AM1068" s="3" t="s">
        <v>103</v>
      </c>
      <c r="AN1068" t="s">
        <v>130</v>
      </c>
      <c r="AO1068" t="s">
        <v>795</v>
      </c>
      <c r="AP1068">
        <v>7</v>
      </c>
      <c r="AQ1068" t="s">
        <v>33</v>
      </c>
      <c r="AR1068" t="s">
        <v>33</v>
      </c>
      <c r="AS1068">
        <v>9</v>
      </c>
      <c r="AT1068">
        <f>AS1068-AU1068</f>
        <v>5.62</v>
      </c>
      <c r="AU1068" s="6">
        <v>3.38</v>
      </c>
      <c r="AV1068" t="b">
        <v>1</v>
      </c>
      <c r="AW1068" t="s">
        <v>617</v>
      </c>
      <c r="AX1068" t="s">
        <v>33</v>
      </c>
      <c r="AY1068" t="s">
        <v>628</v>
      </c>
      <c r="AZ1068" t="s">
        <v>619</v>
      </c>
      <c r="BA1068" s="18" t="s">
        <v>802</v>
      </c>
      <c r="BB1068" s="3" t="b">
        <v>0</v>
      </c>
      <c r="BC1068" t="s">
        <v>81</v>
      </c>
      <c r="BD1068">
        <v>24</v>
      </c>
      <c r="BE1068" t="s">
        <v>80</v>
      </c>
      <c r="BF1068">
        <v>24</v>
      </c>
      <c r="BG1068" t="s">
        <v>644</v>
      </c>
      <c r="BH1068" t="s">
        <v>31</v>
      </c>
      <c r="BI1068" t="s">
        <v>31</v>
      </c>
      <c r="BJ1068">
        <f t="shared" si="537"/>
        <v>3.38</v>
      </c>
      <c r="BK1068" s="3">
        <f t="shared" si="521"/>
        <v>0.52891670027765469</v>
      </c>
      <c r="BL1068">
        <v>2</v>
      </c>
      <c r="BM1068" s="3">
        <f t="shared" si="545"/>
        <v>1.4419357834462323</v>
      </c>
      <c r="BN1068" t="s">
        <v>33</v>
      </c>
      <c r="BO1068" s="3">
        <f t="shared" si="529"/>
        <v>27.66532544378698</v>
      </c>
      <c r="BP1068" t="s">
        <v>33</v>
      </c>
      <c r="BQ1068" t="s">
        <v>33</v>
      </c>
      <c r="BR1068" t="s">
        <v>33</v>
      </c>
      <c r="BS1068" t="s">
        <v>33</v>
      </c>
      <c r="BT1068" t="s">
        <v>31</v>
      </c>
      <c r="BU1068" s="15" t="s">
        <v>655</v>
      </c>
      <c r="BV1068">
        <v>2003</v>
      </c>
      <c r="BW1068" t="s">
        <v>656</v>
      </c>
      <c r="BX1068" t="s">
        <v>78</v>
      </c>
      <c r="BY1068" s="13" t="s">
        <v>677</v>
      </c>
      <c r="CA1068" t="str">
        <f t="shared" si="530"/>
        <v>low acid</v>
      </c>
    </row>
    <row r="1069" spans="1:79">
      <c r="A1069" t="s">
        <v>496</v>
      </c>
      <c r="B1069" t="s">
        <v>566</v>
      </c>
      <c r="C1069" t="s">
        <v>563</v>
      </c>
      <c r="D1069" t="s">
        <v>279</v>
      </c>
      <c r="E1069" t="s">
        <v>77</v>
      </c>
      <c r="F1069" t="s">
        <v>32</v>
      </c>
      <c r="G1069">
        <v>15</v>
      </c>
      <c r="H1069">
        <v>35</v>
      </c>
      <c r="I1069" t="b">
        <v>0</v>
      </c>
      <c r="J1069" t="s">
        <v>33</v>
      </c>
      <c r="K1069" t="s">
        <v>33</v>
      </c>
      <c r="L1069">
        <v>25</v>
      </c>
      <c r="M1069" s="4">
        <v>1000</v>
      </c>
      <c r="N1069" s="3">
        <f>IFERROR(AF1069/((T1069*X1069/Y1069)*O1069*AI1069),"NA")</f>
        <v>999.99999999999989</v>
      </c>
      <c r="O1069">
        <v>20</v>
      </c>
      <c r="P1069">
        <f>0.02/0.5</f>
        <v>0.04</v>
      </c>
      <c r="Q1069" s="8">
        <f t="shared" si="538"/>
        <v>3.95840674352314E-2</v>
      </c>
      <c r="R1069" t="s">
        <v>183</v>
      </c>
      <c r="S1069" t="s">
        <v>613</v>
      </c>
      <c r="T1069" s="11">
        <v>1</v>
      </c>
      <c r="U1069">
        <v>2.8</v>
      </c>
      <c r="V1069">
        <v>3</v>
      </c>
      <c r="W1069">
        <v>0.02</v>
      </c>
      <c r="X1069" s="9">
        <f>IFERROR(((PI())*(((V1069*10^-1)/2)^2)*(U1069*10^-1)), "NA")</f>
        <v>1.97920337176157E-2</v>
      </c>
      <c r="Y1069">
        <v>0.5</v>
      </c>
      <c r="Z1069" s="3">
        <f t="shared" si="546"/>
        <v>0.5</v>
      </c>
      <c r="AA1069" t="s">
        <v>33</v>
      </c>
      <c r="AB1069" s="4">
        <f>IFERROR(((X1069*M1069)/Y1069), "NA")</f>
        <v>39.584067435231397</v>
      </c>
      <c r="AC1069" s="4">
        <f t="shared" si="547"/>
        <v>40</v>
      </c>
      <c r="AD1069" s="4">
        <f>IFERROR(AB1069*T1069*AI1069, "NA")</f>
        <v>39.584067435231397</v>
      </c>
      <c r="AE1069" s="3">
        <f t="shared" si="548"/>
        <v>89.064151729270648</v>
      </c>
      <c r="AF1069" s="4">
        <f>AI1069*T1069*AB1069*O1069</f>
        <v>791.68134870462791</v>
      </c>
      <c r="AG1069" s="4">
        <f>IFERROR((M1069*O1069*P1069), "NA")</f>
        <v>800</v>
      </c>
      <c r="AH1069" s="4">
        <f>IFERROR((AG1069*T1069*AI1069), "NA")</f>
        <v>800</v>
      </c>
      <c r="AI1069" s="11">
        <v>1</v>
      </c>
      <c r="AJ1069" t="s">
        <v>31</v>
      </c>
      <c r="AK1069" s="11">
        <v>180</v>
      </c>
      <c r="AL1069" t="s">
        <v>492</v>
      </c>
      <c r="AM1069" t="s">
        <v>103</v>
      </c>
      <c r="AN1069" t="s">
        <v>130</v>
      </c>
      <c r="AO1069" t="s">
        <v>795</v>
      </c>
      <c r="AP1069" t="s">
        <v>33</v>
      </c>
      <c r="AQ1069" t="s">
        <v>33</v>
      </c>
      <c r="AR1069" t="s">
        <v>33</v>
      </c>
      <c r="AS1069" s="6">
        <f>LOG(10^9)</f>
        <v>9</v>
      </c>
      <c r="AT1069" s="3">
        <f>IFERROR(AS1069-AU1069,"NA")</f>
        <v>5.62</v>
      </c>
      <c r="AU1069" s="6">
        <v>3.38</v>
      </c>
      <c r="AV1069" t="b">
        <v>1</v>
      </c>
      <c r="AW1069" t="s">
        <v>29</v>
      </c>
      <c r="AX1069" t="s">
        <v>30</v>
      </c>
      <c r="AY1069" t="s">
        <v>33</v>
      </c>
      <c r="AZ1069" t="s">
        <v>33</v>
      </c>
      <c r="BA1069" s="18" t="s">
        <v>798</v>
      </c>
      <c r="BB1069" t="b">
        <v>0</v>
      </c>
      <c r="BC1069" t="s">
        <v>81</v>
      </c>
      <c r="BD1069" t="s">
        <v>33</v>
      </c>
      <c r="BE1069" t="s">
        <v>159</v>
      </c>
      <c r="BF1069" s="11">
        <v>24</v>
      </c>
      <c r="BG1069" t="s">
        <v>569</v>
      </c>
      <c r="BH1069" t="s">
        <v>31</v>
      </c>
      <c r="BI1069" t="s">
        <v>31</v>
      </c>
      <c r="BJ1069" s="3">
        <f t="shared" si="537"/>
        <v>3.38</v>
      </c>
      <c r="BK1069" s="3">
        <f t="shared" si="521"/>
        <v>0.52891670027765469</v>
      </c>
      <c r="BL1069">
        <v>2</v>
      </c>
      <c r="BM1069" s="3">
        <f t="shared" si="545"/>
        <v>1.4207862356454046</v>
      </c>
      <c r="BN1069" t="s">
        <v>33</v>
      </c>
      <c r="BO1069" s="3">
        <f t="shared" si="529"/>
        <v>26.350340748304927</v>
      </c>
      <c r="BP1069" t="s">
        <v>33</v>
      </c>
      <c r="BQ1069" t="s">
        <v>33</v>
      </c>
      <c r="BR1069" t="s">
        <v>33</v>
      </c>
      <c r="BS1069" t="s">
        <v>33</v>
      </c>
      <c r="BT1069" t="s">
        <v>32</v>
      </c>
      <c r="BU1069" t="s">
        <v>497</v>
      </c>
      <c r="BV1069" s="11">
        <v>2017</v>
      </c>
      <c r="BW1069" t="s">
        <v>498</v>
      </c>
      <c r="BX1069" t="s">
        <v>78</v>
      </c>
      <c r="BY1069" t="s">
        <v>499</v>
      </c>
      <c r="BZ1069" t="s">
        <v>500</v>
      </c>
      <c r="CA1069" t="str">
        <f t="shared" si="530"/>
        <v>low acid</v>
      </c>
    </row>
    <row r="1070" spans="1:79">
      <c r="A1070" t="s">
        <v>733</v>
      </c>
      <c r="B1070" t="s">
        <v>566</v>
      </c>
      <c r="C1070" t="s">
        <v>563</v>
      </c>
      <c r="D1070" t="s">
        <v>699</v>
      </c>
      <c r="E1070" t="s">
        <v>77</v>
      </c>
      <c r="F1070" t="s">
        <v>32</v>
      </c>
      <c r="G1070">
        <v>20</v>
      </c>
      <c r="H1070">
        <v>42.5</v>
      </c>
      <c r="I1070" t="b">
        <v>1</v>
      </c>
      <c r="J1070" t="s">
        <v>33</v>
      </c>
      <c r="K1070" t="s">
        <v>33</v>
      </c>
      <c r="L1070">
        <v>20</v>
      </c>
      <c r="M1070" s="4">
        <v>47</v>
      </c>
      <c r="N1070" s="3">
        <f>IFERROR(AF1070/((T1070*X1070/Y1070)*O1070*AI1070),"NA")</f>
        <v>46.759259259259245</v>
      </c>
      <c r="O1070">
        <v>5</v>
      </c>
      <c r="P1070">
        <v>0.43</v>
      </c>
      <c r="Q1070" s="8">
        <f>IFERROR(X1070/Y1070, "NA")</f>
        <v>0.43200000000000011</v>
      </c>
      <c r="R1070" t="s">
        <v>183</v>
      </c>
      <c r="S1070" t="s">
        <v>612</v>
      </c>
      <c r="T1070" s="11">
        <v>1</v>
      </c>
      <c r="U1070">
        <v>4</v>
      </c>
      <c r="V1070" t="s">
        <v>33</v>
      </c>
      <c r="W1070">
        <f>0.4*3*0.5</f>
        <v>0.60000000000000009</v>
      </c>
      <c r="X1070" s="9">
        <f>W1070</f>
        <v>0.60000000000000009</v>
      </c>
      <c r="Y1070" s="6">
        <f>5000/3600</f>
        <v>1.3888888888888888</v>
      </c>
      <c r="Z1070" s="3">
        <f t="shared" si="546"/>
        <v>1.3960396039603959</v>
      </c>
      <c r="AA1070" t="s">
        <v>33</v>
      </c>
      <c r="AB1070" s="4">
        <f>IFERROR(((X1070*M1070)/Y1070), "NA")</f>
        <v>20.304000000000002</v>
      </c>
      <c r="AC1070" s="4">
        <f t="shared" si="547"/>
        <v>20.21</v>
      </c>
      <c r="AD1070" s="4">
        <f>AB1070*T1070*AI1070</f>
        <v>20.304000000000002</v>
      </c>
      <c r="AE1070" s="3">
        <f t="shared" si="548"/>
        <v>81.216000000000022</v>
      </c>
      <c r="AF1070">
        <v>101</v>
      </c>
      <c r="AG1070" s="4">
        <f>IFERROR((M1070*O1070*P1070), "NA")</f>
        <v>101.05</v>
      </c>
      <c r="AH1070" s="4">
        <f>IFERROR((AG1070*T1070*AI1070), "NA")</f>
        <v>101.05</v>
      </c>
      <c r="AI1070">
        <v>1</v>
      </c>
      <c r="AJ1070" s="11" t="s">
        <v>31</v>
      </c>
      <c r="AK1070">
        <v>2000</v>
      </c>
      <c r="AL1070" t="s">
        <v>784</v>
      </c>
      <c r="AM1070" t="s">
        <v>103</v>
      </c>
      <c r="AN1070" t="s">
        <v>130</v>
      </c>
      <c r="AO1070" t="s">
        <v>795</v>
      </c>
      <c r="AP1070">
        <v>7</v>
      </c>
      <c r="AQ1070" t="s">
        <v>33</v>
      </c>
      <c r="AR1070" t="s">
        <v>33</v>
      </c>
      <c r="AS1070" s="6">
        <f>LOG(AVERAGE(10^8, 10^9))</f>
        <v>8.7403626894942441</v>
      </c>
      <c r="AT1070" s="3">
        <f>IFERROR(AS1070-AU1070,"NA")</f>
        <v>5.6243626894942444</v>
      </c>
      <c r="AU1070" s="6">
        <v>3.1160000000000001</v>
      </c>
      <c r="AV1070" t="b">
        <v>1</v>
      </c>
      <c r="AW1070" t="s">
        <v>172</v>
      </c>
      <c r="AX1070" t="s">
        <v>173</v>
      </c>
      <c r="AY1070" t="s">
        <v>736</v>
      </c>
      <c r="AZ1070" t="s">
        <v>33</v>
      </c>
      <c r="BA1070" s="18" t="s">
        <v>799</v>
      </c>
      <c r="BB1070" s="3" t="b">
        <v>0</v>
      </c>
      <c r="BC1070" t="s">
        <v>81</v>
      </c>
      <c r="BD1070">
        <v>24</v>
      </c>
      <c r="BE1070" t="s">
        <v>80</v>
      </c>
      <c r="BF1070">
        <v>48</v>
      </c>
      <c r="BG1070" t="s">
        <v>734</v>
      </c>
      <c r="BH1070" t="s">
        <v>31</v>
      </c>
      <c r="BI1070" t="s">
        <v>31</v>
      </c>
      <c r="BJ1070" s="3">
        <f t="shared" si="537"/>
        <v>3.1160000000000001</v>
      </c>
      <c r="BK1070" s="3">
        <f t="shared" ref="BK1070:BK1131" si="549">LOG10(BJ1070)</f>
        <v>0.49359744900052688</v>
      </c>
      <c r="BL1070">
        <v>2</v>
      </c>
      <c r="BM1070" s="3">
        <f t="shared" si="545"/>
        <v>1.4160441470780651</v>
      </c>
      <c r="BN1070" t="s">
        <v>33</v>
      </c>
      <c r="BO1070" s="3">
        <f t="shared" si="529"/>
        <v>26.064184852374847</v>
      </c>
      <c r="BP1070" t="s">
        <v>33</v>
      </c>
      <c r="BQ1070" t="s">
        <v>33</v>
      </c>
      <c r="BR1070" t="s">
        <v>33</v>
      </c>
      <c r="BS1070" t="s">
        <v>33</v>
      </c>
      <c r="BT1070" t="s">
        <v>32</v>
      </c>
      <c r="BU1070" t="s">
        <v>709</v>
      </c>
      <c r="BV1070">
        <v>2024</v>
      </c>
      <c r="BW1070" t="s">
        <v>710</v>
      </c>
      <c r="BX1070" t="s">
        <v>78</v>
      </c>
      <c r="BY1070" t="s">
        <v>711</v>
      </c>
      <c r="CA1070" t="str">
        <f t="shared" si="530"/>
        <v>low acid</v>
      </c>
    </row>
    <row r="1071" spans="1:79">
      <c r="A1071" t="s">
        <v>237</v>
      </c>
      <c r="B1071" t="s">
        <v>565</v>
      </c>
      <c r="C1071" t="s">
        <v>563</v>
      </c>
      <c r="D1071" t="s">
        <v>118</v>
      </c>
      <c r="E1071" t="s">
        <v>77</v>
      </c>
      <c r="F1071" t="s">
        <v>32</v>
      </c>
      <c r="G1071">
        <v>4</v>
      </c>
      <c r="H1071">
        <v>32.5</v>
      </c>
      <c r="I1071" t="b">
        <v>0</v>
      </c>
      <c r="J1071" t="s">
        <v>33</v>
      </c>
      <c r="K1071" t="s">
        <v>33</v>
      </c>
      <c r="L1071">
        <v>25</v>
      </c>
      <c r="M1071" s="4">
        <v>200</v>
      </c>
      <c r="N1071" s="3">
        <f>IFERROR(AF1071/((T1071*X1071/Y1071)*O1071*AI1071),"NA")</f>
        <v>772.75686432737871</v>
      </c>
      <c r="O1071">
        <v>4</v>
      </c>
      <c r="P1071" t="s">
        <v>33</v>
      </c>
      <c r="Q1071" s="9">
        <f t="shared" ref="Q1071:Q1082" si="550">IFERROR(X1071/Z1071, "NA")</f>
        <v>4.6874999999999993E-2</v>
      </c>
      <c r="R1071" t="s">
        <v>183</v>
      </c>
      <c r="S1071" t="s">
        <v>612</v>
      </c>
      <c r="T1071" s="11">
        <v>8</v>
      </c>
      <c r="U1071">
        <v>2.92</v>
      </c>
      <c r="V1071">
        <v>2.2999999999999998</v>
      </c>
      <c r="W1071">
        <v>1.2E-2</v>
      </c>
      <c r="X1071" s="8">
        <f>IFERROR(((PI())*(((V1071*10^-1)/2)^2)*(U1071*10^-1)), "NA")</f>
        <v>1.2131888350367701E-2</v>
      </c>
      <c r="Y1071" s="6">
        <f>60/60</f>
        <v>1</v>
      </c>
      <c r="Z1071" s="3">
        <f t="shared" si="546"/>
        <v>0.25881361814117765</v>
      </c>
      <c r="AA1071" t="s">
        <v>33</v>
      </c>
      <c r="AB1071" s="6">
        <f t="shared" ref="AB1071:AB1076" si="551">IFERROR(((X1071*M1071)/Z1071), "NA")</f>
        <v>9.3749999999999982</v>
      </c>
      <c r="AC1071" t="str">
        <f t="shared" si="547"/>
        <v>NA</v>
      </c>
      <c r="AD1071" s="4">
        <f>AB1071*T1071*AI1071</f>
        <v>74.999999999999986</v>
      </c>
      <c r="AE1071" s="3">
        <f t="shared" si="548"/>
        <v>794.99999999999989</v>
      </c>
      <c r="AF1071">
        <v>300</v>
      </c>
      <c r="AG1071" t="str">
        <f>IFERROR((M1071*O1071*P1071), "NA")</f>
        <v>NA</v>
      </c>
      <c r="AH1071" t="str">
        <f>IFERROR((AG1071*T1071*AI1071), "NA")</f>
        <v>NA</v>
      </c>
      <c r="AI1071">
        <v>1</v>
      </c>
      <c r="AJ1071" t="s">
        <v>31</v>
      </c>
      <c r="AK1071">
        <v>4240</v>
      </c>
      <c r="AL1071" t="s">
        <v>238</v>
      </c>
      <c r="AM1071" t="s">
        <v>86</v>
      </c>
      <c r="AN1071" t="s">
        <v>205</v>
      </c>
      <c r="AO1071" t="s">
        <v>789</v>
      </c>
      <c r="AP1071">
        <v>3.56</v>
      </c>
      <c r="AQ1071" t="s">
        <v>33</v>
      </c>
      <c r="AR1071" t="s">
        <v>33</v>
      </c>
      <c r="AS1071">
        <f>LOG(10^8)</f>
        <v>8</v>
      </c>
      <c r="AT1071" s="3">
        <f>IFERROR(AS1071-AU1071,"NA")</f>
        <v>5.6269999999999998</v>
      </c>
      <c r="AU1071" s="6">
        <v>2.3730000000000002</v>
      </c>
      <c r="AV1071" t="b">
        <v>1</v>
      </c>
      <c r="AW1071" t="s">
        <v>172</v>
      </c>
      <c r="AX1071" t="s">
        <v>173</v>
      </c>
      <c r="AY1071" t="s">
        <v>239</v>
      </c>
      <c r="AZ1071" t="s">
        <v>33</v>
      </c>
      <c r="BA1071" s="18" t="s">
        <v>799</v>
      </c>
      <c r="BB1071" t="b">
        <v>0</v>
      </c>
      <c r="BC1071" t="s">
        <v>81</v>
      </c>
      <c r="BD1071">
        <v>48</v>
      </c>
      <c r="BE1071" t="s">
        <v>80</v>
      </c>
      <c r="BF1071" s="11">
        <v>120</v>
      </c>
      <c r="BG1071" t="s">
        <v>571</v>
      </c>
      <c r="BH1071" t="s">
        <v>31</v>
      </c>
      <c r="BI1071" t="s">
        <v>31</v>
      </c>
      <c r="BJ1071" s="3">
        <f t="shared" si="537"/>
        <v>2.3730000000000002</v>
      </c>
      <c r="BK1071" s="3">
        <f t="shared" si="549"/>
        <v>0.37529773821733903</v>
      </c>
      <c r="BL1071">
        <v>2</v>
      </c>
      <c r="BM1071" s="3">
        <f t="shared" si="545"/>
        <v>2.525069390439131</v>
      </c>
      <c r="BN1071" t="s">
        <v>33</v>
      </c>
      <c r="BO1071" s="3">
        <f t="shared" si="529"/>
        <v>335.01896333754735</v>
      </c>
      <c r="BP1071" t="s">
        <v>33</v>
      </c>
      <c r="BQ1071" t="s">
        <v>33</v>
      </c>
      <c r="BR1071" t="s">
        <v>33</v>
      </c>
      <c r="BS1071" t="s">
        <v>33</v>
      </c>
      <c r="BT1071" t="s">
        <v>31</v>
      </c>
      <c r="BU1071" t="s">
        <v>240</v>
      </c>
      <c r="BV1071">
        <v>2004</v>
      </c>
      <c r="BW1071" t="s">
        <v>241</v>
      </c>
      <c r="BX1071" t="s">
        <v>78</v>
      </c>
      <c r="BY1071" t="s">
        <v>33</v>
      </c>
      <c r="BZ1071" t="s">
        <v>33</v>
      </c>
      <c r="CA1071" t="str">
        <f t="shared" si="530"/>
        <v>high acid</v>
      </c>
    </row>
    <row r="1072" spans="1:79">
      <c r="A1072" t="s">
        <v>79</v>
      </c>
      <c r="B1072" t="s">
        <v>565</v>
      </c>
      <c r="C1072" t="s">
        <v>563</v>
      </c>
      <c r="D1072" t="s">
        <v>76</v>
      </c>
      <c r="E1072" t="s">
        <v>77</v>
      </c>
      <c r="F1072" t="s">
        <v>32</v>
      </c>
      <c r="G1072">
        <v>4</v>
      </c>
      <c r="H1072">
        <f>30</f>
        <v>30</v>
      </c>
      <c r="I1072" t="b">
        <v>0</v>
      </c>
      <c r="J1072" t="s">
        <v>33</v>
      </c>
      <c r="K1072" t="s">
        <v>33</v>
      </c>
      <c r="L1072">
        <v>30</v>
      </c>
      <c r="M1072" s="4">
        <v>1000</v>
      </c>
      <c r="N1072" s="3">
        <f>IFERROR(AF1072/((T1072*X1072/Y1072)*O1072*AI1072),"NA")</f>
        <v>1497.3326532020833</v>
      </c>
      <c r="O1072">
        <v>8</v>
      </c>
      <c r="P1072" t="s">
        <v>33</v>
      </c>
      <c r="Q1072" s="8">
        <f t="shared" si="550"/>
        <v>1.6249999999999999E-3</v>
      </c>
      <c r="R1072" t="s">
        <v>183</v>
      </c>
      <c r="S1072" t="s">
        <v>612</v>
      </c>
      <c r="T1072" s="11">
        <v>1</v>
      </c>
      <c r="U1072">
        <f>4.7</f>
        <v>4.7</v>
      </c>
      <c r="V1072">
        <v>3.5</v>
      </c>
      <c r="W1072" t="s">
        <v>33</v>
      </c>
      <c r="X1072" s="8">
        <f>IFERROR(((PI())*(((V1072*10^-1)/2)^2)*(U1072*10^-1)), "NA")</f>
        <v>4.5219299257608099E-2</v>
      </c>
      <c r="Y1072" s="6">
        <f>2.5*1000/60</f>
        <v>41.666666666666664</v>
      </c>
      <c r="Z1072" s="3">
        <f t="shared" si="546"/>
        <v>27.827261081604984</v>
      </c>
      <c r="AA1072" t="s">
        <v>33</v>
      </c>
      <c r="AB1072" s="6">
        <f t="shared" si="551"/>
        <v>1.625</v>
      </c>
      <c r="AC1072" t="str">
        <f t="shared" si="547"/>
        <v>NA</v>
      </c>
      <c r="AD1072" s="4">
        <f>IFERROR(AB1072*T1072*AI1072, "NA")</f>
        <v>1.625</v>
      </c>
      <c r="AE1072" s="3">
        <f t="shared" si="548"/>
        <v>64.349999999999994</v>
      </c>
      <c r="AF1072">
        <v>13</v>
      </c>
      <c r="AG1072" t="str">
        <f>IFERROR((M1072*O1072*P1072), "NA")</f>
        <v>NA</v>
      </c>
      <c r="AH1072" t="str">
        <f>IFERROR((AG1072*T1072*AI1072), "NA")</f>
        <v>NA</v>
      </c>
      <c r="AI1072" s="11">
        <v>1</v>
      </c>
      <c r="AJ1072" t="s">
        <v>31</v>
      </c>
      <c r="AK1072">
        <v>5500</v>
      </c>
      <c r="AL1072" t="s">
        <v>540</v>
      </c>
      <c r="AM1072" t="s">
        <v>157</v>
      </c>
      <c r="AN1072" t="s">
        <v>186</v>
      </c>
      <c r="AO1072" t="s">
        <v>792</v>
      </c>
      <c r="AP1072" s="3">
        <f>(6.53+6.6)/2</f>
        <v>6.5649999999999995</v>
      </c>
      <c r="AQ1072" t="s">
        <v>33</v>
      </c>
      <c r="AR1072" t="s">
        <v>33</v>
      </c>
      <c r="AS1072">
        <v>8</v>
      </c>
      <c r="AT1072" s="3">
        <f>IFERROR(AS1072-AU1072,"NA")</f>
        <v>5.63</v>
      </c>
      <c r="AU1072" s="6">
        <v>2.37</v>
      </c>
      <c r="AV1072" t="b">
        <v>1</v>
      </c>
      <c r="AW1072" t="s">
        <v>29</v>
      </c>
      <c r="AX1072" t="s">
        <v>30</v>
      </c>
      <c r="AY1072" t="s">
        <v>216</v>
      </c>
      <c r="AZ1072" t="s">
        <v>33</v>
      </c>
      <c r="BA1072" s="18" t="s">
        <v>798</v>
      </c>
      <c r="BB1072" t="b">
        <v>0</v>
      </c>
      <c r="BC1072" t="s">
        <v>81</v>
      </c>
      <c r="BD1072">
        <v>24</v>
      </c>
      <c r="BE1072" t="s">
        <v>80</v>
      </c>
      <c r="BF1072" s="11">
        <v>24</v>
      </c>
      <c r="BG1072" t="s">
        <v>572</v>
      </c>
      <c r="BH1072" t="s">
        <v>31</v>
      </c>
      <c r="BI1072" t="s">
        <v>31</v>
      </c>
      <c r="BJ1072" s="3">
        <f t="shared" si="537"/>
        <v>2.37</v>
      </c>
      <c r="BK1072" s="3">
        <f t="shared" si="549"/>
        <v>0.37474834601010387</v>
      </c>
      <c r="BL1072">
        <v>2</v>
      </c>
      <c r="BM1072" s="3">
        <f t="shared" si="545"/>
        <v>1.4338002052303016</v>
      </c>
      <c r="BN1072" t="s">
        <v>33</v>
      </c>
      <c r="BO1072" s="3">
        <f t="shared" si="529"/>
        <v>27.151898734177212</v>
      </c>
      <c r="BP1072" t="s">
        <v>33</v>
      </c>
      <c r="BQ1072" t="s">
        <v>33</v>
      </c>
      <c r="BR1072" t="s">
        <v>33</v>
      </c>
      <c r="BS1072" t="s">
        <v>33</v>
      </c>
      <c r="BT1072" t="s">
        <v>32</v>
      </c>
      <c r="BU1072" t="s">
        <v>117</v>
      </c>
      <c r="BV1072">
        <v>2021</v>
      </c>
      <c r="BW1072" s="2" t="s">
        <v>82</v>
      </c>
      <c r="BX1072" t="s">
        <v>78</v>
      </c>
      <c r="BY1072" t="s">
        <v>90</v>
      </c>
      <c r="CA1072" t="str">
        <f t="shared" si="530"/>
        <v>low acid</v>
      </c>
    </row>
    <row r="1073" spans="1:79">
      <c r="A1073" t="s">
        <v>592</v>
      </c>
      <c r="B1073" t="s">
        <v>566</v>
      </c>
      <c r="C1073" t="s">
        <v>563</v>
      </c>
      <c r="D1073" t="s">
        <v>607</v>
      </c>
      <c r="E1073" t="s">
        <v>77</v>
      </c>
      <c r="F1073" t="s">
        <v>32</v>
      </c>
      <c r="G1073" t="s">
        <v>33</v>
      </c>
      <c r="H1073">
        <v>35</v>
      </c>
      <c r="I1073" t="b">
        <v>0</v>
      </c>
      <c r="J1073">
        <v>30000</v>
      </c>
      <c r="K1073">
        <v>200</v>
      </c>
      <c r="L1073">
        <v>25</v>
      </c>
      <c r="M1073" s="4">
        <v>1</v>
      </c>
      <c r="N1073" t="e">
        <f>(#REF!*Y1073)/(T1073*X1073*O1073)</f>
        <v>#REF!</v>
      </c>
      <c r="O1073">
        <v>3</v>
      </c>
      <c r="P1073" t="s">
        <v>33</v>
      </c>
      <c r="Q1073" s="1">
        <f t="shared" si="550"/>
        <v>50.693333333333342</v>
      </c>
      <c r="R1073" t="s">
        <v>183</v>
      </c>
      <c r="S1073" t="s">
        <v>33</v>
      </c>
      <c r="T1073">
        <v>1</v>
      </c>
      <c r="U1073">
        <v>2.5</v>
      </c>
      <c r="V1073" t="s">
        <v>33</v>
      </c>
      <c r="W1073">
        <v>0.50249999999999995</v>
      </c>
      <c r="X1073">
        <f>W1073</f>
        <v>0.50249999999999995</v>
      </c>
      <c r="Y1073" t="s">
        <v>33</v>
      </c>
      <c r="Z1073" s="3">
        <f t="shared" si="546"/>
        <v>9.9125460284060999E-3</v>
      </c>
      <c r="AA1073" t="s">
        <v>33</v>
      </c>
      <c r="AB1073">
        <f t="shared" si="551"/>
        <v>50.693333333333342</v>
      </c>
      <c r="AC1073" s="1" t="str">
        <f t="shared" si="547"/>
        <v>NA</v>
      </c>
      <c r="AE1073" s="3">
        <f t="shared" si="548"/>
        <v>95.050000000000011</v>
      </c>
      <c r="AF1073">
        <v>152.08000000000001</v>
      </c>
      <c r="AG1073" s="1" t="str">
        <f>IFERROR((N1073*P1073*Q1073), "NA")</f>
        <v>NA</v>
      </c>
      <c r="AH1073" s="1" t="str">
        <f>IFERROR((AG1073*U1073*AI1073), "NA")</f>
        <v>NA</v>
      </c>
      <c r="AI1073" s="1">
        <v>1</v>
      </c>
      <c r="AJ1073" s="11" t="s">
        <v>31</v>
      </c>
      <c r="AK1073">
        <v>1000</v>
      </c>
      <c r="AL1073" t="s">
        <v>614</v>
      </c>
      <c r="AM1073" s="3" t="s">
        <v>103</v>
      </c>
      <c r="AN1073" t="s">
        <v>305</v>
      </c>
      <c r="AO1073" t="s">
        <v>790</v>
      </c>
      <c r="AP1073">
        <v>4.5</v>
      </c>
      <c r="AQ1073" t="s">
        <v>33</v>
      </c>
      <c r="AR1073" t="s">
        <v>33</v>
      </c>
      <c r="AS1073">
        <v>8</v>
      </c>
      <c r="AT1073">
        <f>AS1073-AU1073</f>
        <v>5.63</v>
      </c>
      <c r="AU1073" s="6">
        <v>2.37</v>
      </c>
      <c r="AV1073" t="b">
        <v>1</v>
      </c>
      <c r="AW1073" t="s">
        <v>626</v>
      </c>
      <c r="AX1073" t="s">
        <v>627</v>
      </c>
      <c r="AY1073" t="s">
        <v>633</v>
      </c>
      <c r="AZ1073" t="s">
        <v>33</v>
      </c>
      <c r="BA1073" s="18" t="s">
        <v>800</v>
      </c>
      <c r="BB1073" s="3" t="b">
        <v>0</v>
      </c>
      <c r="BC1073" t="s">
        <v>81</v>
      </c>
      <c r="BD1073">
        <v>24</v>
      </c>
      <c r="BE1073" t="s">
        <v>80</v>
      </c>
      <c r="BF1073">
        <v>48</v>
      </c>
      <c r="BG1073" t="s">
        <v>569</v>
      </c>
      <c r="BH1073" t="s">
        <v>31</v>
      </c>
      <c r="BI1073" t="s">
        <v>31</v>
      </c>
      <c r="BJ1073">
        <f t="shared" si="537"/>
        <v>2.37</v>
      </c>
      <c r="BK1073" s="3">
        <f t="shared" si="549"/>
        <v>0.37474834601010387</v>
      </c>
      <c r="BL1073">
        <v>2</v>
      </c>
      <c r="BM1073" s="3">
        <f t="shared" si="545"/>
        <v>1.6032037751913581</v>
      </c>
      <c r="BN1073" t="s">
        <v>33</v>
      </c>
      <c r="BO1073" s="3">
        <f t="shared" si="529"/>
        <v>40.105485232067515</v>
      </c>
      <c r="BP1073" t="s">
        <v>33</v>
      </c>
      <c r="BQ1073" t="s">
        <v>33</v>
      </c>
      <c r="BR1073" t="s">
        <v>33</v>
      </c>
      <c r="BS1073" t="s">
        <v>33</v>
      </c>
      <c r="BT1073" t="s">
        <v>31</v>
      </c>
      <c r="BU1073" s="15" t="s">
        <v>255</v>
      </c>
      <c r="BV1073">
        <v>2010</v>
      </c>
      <c r="BW1073" t="s">
        <v>659</v>
      </c>
      <c r="BX1073" t="s">
        <v>78</v>
      </c>
      <c r="BY1073" s="13" t="s">
        <v>680</v>
      </c>
      <c r="CA1073" t="str">
        <f t="shared" si="530"/>
        <v>high acid</v>
      </c>
    </row>
    <row r="1074" spans="1:79">
      <c r="A1074" t="s">
        <v>592</v>
      </c>
      <c r="B1074" t="s">
        <v>566</v>
      </c>
      <c r="C1074" t="s">
        <v>563</v>
      </c>
      <c r="D1074" t="s">
        <v>607</v>
      </c>
      <c r="E1074" t="s">
        <v>77</v>
      </c>
      <c r="F1074" t="s">
        <v>32</v>
      </c>
      <c r="G1074" t="s">
        <v>33</v>
      </c>
      <c r="H1074">
        <v>35</v>
      </c>
      <c r="I1074" t="b">
        <v>0</v>
      </c>
      <c r="J1074">
        <v>30000</v>
      </c>
      <c r="K1074">
        <v>200</v>
      </c>
      <c r="L1074">
        <v>35</v>
      </c>
      <c r="M1074" s="4">
        <v>1</v>
      </c>
      <c r="N1074" t="e">
        <f>(#REF!*Y1074)/(T1074*X1074*O1074)</f>
        <v>#REF!</v>
      </c>
      <c r="O1074">
        <v>3</v>
      </c>
      <c r="P1074" t="s">
        <v>33</v>
      </c>
      <c r="Q1074" s="1">
        <f t="shared" si="550"/>
        <v>9.9333333333333336</v>
      </c>
      <c r="R1074" t="s">
        <v>183</v>
      </c>
      <c r="S1074" t="s">
        <v>33</v>
      </c>
      <c r="T1074">
        <v>1</v>
      </c>
      <c r="U1074">
        <v>2.5</v>
      </c>
      <c r="V1074" t="s">
        <v>33</v>
      </c>
      <c r="W1074">
        <v>0.50249999999999995</v>
      </c>
      <c r="X1074">
        <f>W1074</f>
        <v>0.50249999999999995</v>
      </c>
      <c r="Y1074" t="s">
        <v>33</v>
      </c>
      <c r="Z1074" s="3">
        <f t="shared" si="546"/>
        <v>5.0587248322147643E-2</v>
      </c>
      <c r="AA1074" t="s">
        <v>33</v>
      </c>
      <c r="AB1074">
        <f t="shared" si="551"/>
        <v>9.9333333333333336</v>
      </c>
      <c r="AC1074" s="1" t="str">
        <f t="shared" si="547"/>
        <v>NA</v>
      </c>
      <c r="AE1074" s="3">
        <f t="shared" si="548"/>
        <v>36.505000000000003</v>
      </c>
      <c r="AF1074">
        <v>29.8</v>
      </c>
      <c r="AG1074" s="1" t="str">
        <f>IFERROR((N1074*P1074*Q1074), "NA")</f>
        <v>NA</v>
      </c>
      <c r="AH1074" s="1" t="str">
        <f>IFERROR((AG1074*U1074*AI1074), "NA")</f>
        <v>NA</v>
      </c>
      <c r="AI1074" s="1">
        <v>1</v>
      </c>
      <c r="AJ1074" s="11" t="s">
        <v>31</v>
      </c>
      <c r="AK1074">
        <v>1000</v>
      </c>
      <c r="AL1074" t="s">
        <v>614</v>
      </c>
      <c r="AM1074" s="3" t="s">
        <v>103</v>
      </c>
      <c r="AN1074" t="s">
        <v>130</v>
      </c>
      <c r="AO1074" t="s">
        <v>795</v>
      </c>
      <c r="AP1074">
        <v>7</v>
      </c>
      <c r="AQ1074" t="s">
        <v>33</v>
      </c>
      <c r="AR1074" t="s">
        <v>33</v>
      </c>
      <c r="AS1074">
        <v>8</v>
      </c>
      <c r="AT1074">
        <f>AS1074-AU1074</f>
        <v>5.63</v>
      </c>
      <c r="AU1074" s="6">
        <v>2.37</v>
      </c>
      <c r="AV1074" t="b">
        <v>1</v>
      </c>
      <c r="AW1074" t="s">
        <v>626</v>
      </c>
      <c r="AX1074" t="s">
        <v>627</v>
      </c>
      <c r="AY1074" t="s">
        <v>633</v>
      </c>
      <c r="AZ1074" t="s">
        <v>33</v>
      </c>
      <c r="BA1074" s="18" t="s">
        <v>800</v>
      </c>
      <c r="BB1074" s="3" t="b">
        <v>0</v>
      </c>
      <c r="BC1074" t="s">
        <v>81</v>
      </c>
      <c r="BD1074">
        <v>24</v>
      </c>
      <c r="BE1074" t="s">
        <v>80</v>
      </c>
      <c r="BF1074">
        <v>48</v>
      </c>
      <c r="BG1074" t="s">
        <v>569</v>
      </c>
      <c r="BH1074" t="s">
        <v>31</v>
      </c>
      <c r="BI1074" t="s">
        <v>31</v>
      </c>
      <c r="BJ1074">
        <f t="shared" si="537"/>
        <v>2.37</v>
      </c>
      <c r="BK1074" s="3">
        <f t="shared" si="549"/>
        <v>0.37474834601010387</v>
      </c>
      <c r="BL1074">
        <v>2</v>
      </c>
      <c r="BM1074" s="3">
        <f t="shared" si="545"/>
        <v>1.1876040067667026</v>
      </c>
      <c r="BN1074" t="s">
        <v>33</v>
      </c>
      <c r="BO1074" s="3">
        <f t="shared" si="529"/>
        <v>15.40295358649789</v>
      </c>
      <c r="BP1074" t="s">
        <v>33</v>
      </c>
      <c r="BQ1074" t="s">
        <v>33</v>
      </c>
      <c r="BR1074" t="s">
        <v>33</v>
      </c>
      <c r="BS1074" t="s">
        <v>33</v>
      </c>
      <c r="BT1074" t="s">
        <v>31</v>
      </c>
      <c r="BU1074" s="15" t="s">
        <v>255</v>
      </c>
      <c r="BV1074">
        <v>2010</v>
      </c>
      <c r="BW1074" t="s">
        <v>659</v>
      </c>
      <c r="BX1074" t="s">
        <v>78</v>
      </c>
      <c r="BY1074" s="13" t="s">
        <v>680</v>
      </c>
      <c r="CA1074" t="str">
        <f t="shared" si="530"/>
        <v>low acid</v>
      </c>
    </row>
    <row r="1075" spans="1:79">
      <c r="A1075" t="s">
        <v>535</v>
      </c>
      <c r="B1075" t="s">
        <v>565</v>
      </c>
      <c r="C1075" t="s">
        <v>564</v>
      </c>
      <c r="D1075" t="s">
        <v>243</v>
      </c>
      <c r="E1075" t="s">
        <v>77</v>
      </c>
      <c r="F1075" t="s">
        <v>32</v>
      </c>
      <c r="G1075">
        <v>40</v>
      </c>
      <c r="H1075">
        <v>43</v>
      </c>
      <c r="I1075" t="b">
        <v>0</v>
      </c>
      <c r="J1075" t="s">
        <v>33</v>
      </c>
      <c r="K1075" t="s">
        <v>33</v>
      </c>
      <c r="L1075">
        <v>9</v>
      </c>
      <c r="M1075" s="4">
        <v>120</v>
      </c>
      <c r="N1075" s="3">
        <f>IFERROR(AF1075/((T1075*X1075/Y1075)*O1075*AI1075),"NA")</f>
        <v>200.55685355651937</v>
      </c>
      <c r="O1075">
        <v>3</v>
      </c>
      <c r="P1075" t="s">
        <v>33</v>
      </c>
      <c r="Q1075" s="9">
        <f t="shared" si="550"/>
        <v>6.3888888888888884E-2</v>
      </c>
      <c r="R1075" t="s">
        <v>183</v>
      </c>
      <c r="S1075" t="s">
        <v>612</v>
      </c>
      <c r="T1075" s="11">
        <v>4</v>
      </c>
      <c r="U1075">
        <v>3</v>
      </c>
      <c r="V1075">
        <v>2.6</v>
      </c>
      <c r="W1075">
        <v>1.5900000000000001E-2</v>
      </c>
      <c r="X1075" s="8">
        <f>IFERROR(((PI())*(((V1075*10^-1)/2)^2)*(U1075*10^-1)), "NA")</f>
        <v>1.5927874753700257E-2</v>
      </c>
      <c r="Y1075" s="6">
        <f>25/60</f>
        <v>0.41666666666666669</v>
      </c>
      <c r="Z1075" s="3">
        <f t="shared" si="546"/>
        <v>0.249305865710091</v>
      </c>
      <c r="AA1075" t="s">
        <v>33</v>
      </c>
      <c r="AB1075" s="6">
        <f t="shared" si="551"/>
        <v>7.6666666666666661</v>
      </c>
      <c r="AC1075" t="str">
        <f t="shared" si="547"/>
        <v>NA</v>
      </c>
      <c r="AD1075" s="4">
        <f>IFERROR(AB1075*T1075*AI1075, "NA")</f>
        <v>30.666666666666664</v>
      </c>
      <c r="AE1075" s="3">
        <f t="shared" si="548"/>
        <v>6.8558399999999988</v>
      </c>
      <c r="AF1075">
        <v>92</v>
      </c>
      <c r="AG1075" t="str">
        <f>IFERROR((M1075*O1075*P1075), "NA")</f>
        <v>NA</v>
      </c>
      <c r="AH1075" t="str">
        <f>IFERROR((AG1075*T1075*AI1075), "NA")</f>
        <v>NA</v>
      </c>
      <c r="AI1075" s="11">
        <v>1</v>
      </c>
      <c r="AJ1075" t="s">
        <v>31</v>
      </c>
      <c r="AK1075">
        <v>920</v>
      </c>
      <c r="AL1075" t="s">
        <v>551</v>
      </c>
      <c r="AM1075" t="s">
        <v>86</v>
      </c>
      <c r="AN1075" t="s">
        <v>186</v>
      </c>
      <c r="AO1075" t="s">
        <v>794</v>
      </c>
      <c r="AP1075">
        <v>5.92</v>
      </c>
      <c r="AQ1075" t="s">
        <v>33</v>
      </c>
      <c r="AR1075" t="s">
        <v>33</v>
      </c>
      <c r="AS1075" s="6">
        <f>LOG(1.1*10^7)</f>
        <v>7.0413926851582254</v>
      </c>
      <c r="AT1075" s="3">
        <f>IFERROR(AS1075-AU1075,"NA")</f>
        <v>5.6353926851582257</v>
      </c>
      <c r="AU1075" s="6">
        <v>1.4059999999999999</v>
      </c>
      <c r="AV1075" t="b">
        <v>1</v>
      </c>
      <c r="AW1075" t="s">
        <v>172</v>
      </c>
      <c r="AX1075" t="s">
        <v>173</v>
      </c>
      <c r="AY1075" t="s">
        <v>246</v>
      </c>
      <c r="AZ1075" t="s">
        <v>33</v>
      </c>
      <c r="BA1075" s="18" t="s">
        <v>799</v>
      </c>
      <c r="BB1075" t="b">
        <v>0</v>
      </c>
      <c r="BC1075" t="s">
        <v>81</v>
      </c>
      <c r="BD1075">
        <v>72</v>
      </c>
      <c r="BE1075" t="s">
        <v>80</v>
      </c>
      <c r="BF1075" s="11">
        <v>72</v>
      </c>
      <c r="BG1075" t="s">
        <v>522</v>
      </c>
      <c r="BH1075" t="s">
        <v>31</v>
      </c>
      <c r="BI1075" t="s">
        <v>31</v>
      </c>
      <c r="BJ1075" s="3">
        <f t="shared" si="537"/>
        <v>1.4059999999999999</v>
      </c>
      <c r="BK1075" s="3">
        <f t="shared" si="549"/>
        <v>0.14798532068380513</v>
      </c>
      <c r="BL1075">
        <v>2</v>
      </c>
      <c r="BM1075" s="3">
        <f t="shared" si="545"/>
        <v>0.68807535288595512</v>
      </c>
      <c r="BN1075" t="s">
        <v>33</v>
      </c>
      <c r="BO1075" s="3">
        <f t="shared" si="529"/>
        <v>4.876130867709815</v>
      </c>
      <c r="BP1075" t="s">
        <v>33</v>
      </c>
      <c r="BQ1075" t="s">
        <v>33</v>
      </c>
      <c r="BR1075" t="s">
        <v>33</v>
      </c>
      <c r="BS1075" t="s">
        <v>33</v>
      </c>
      <c r="BT1075" t="s">
        <v>32</v>
      </c>
      <c r="BU1075" t="s">
        <v>207</v>
      </c>
      <c r="BV1075">
        <v>2014</v>
      </c>
      <c r="BW1075" s="2" t="s">
        <v>242</v>
      </c>
      <c r="BX1075" t="s">
        <v>78</v>
      </c>
      <c r="BY1075" t="s">
        <v>33</v>
      </c>
      <c r="BZ1075" t="s">
        <v>33</v>
      </c>
      <c r="CA1075" t="str">
        <f t="shared" si="530"/>
        <v>low acid</v>
      </c>
    </row>
    <row r="1076" spans="1:79">
      <c r="A1076" t="s">
        <v>588</v>
      </c>
      <c r="B1076" t="s">
        <v>565</v>
      </c>
      <c r="C1076" t="s">
        <v>563</v>
      </c>
      <c r="D1076" t="s">
        <v>608</v>
      </c>
      <c r="E1076" t="s">
        <v>77</v>
      </c>
      <c r="F1076" t="s">
        <v>32</v>
      </c>
      <c r="G1076" t="s">
        <v>33</v>
      </c>
      <c r="H1076">
        <v>40</v>
      </c>
      <c r="I1076" t="b">
        <v>0</v>
      </c>
      <c r="J1076" t="s">
        <v>33</v>
      </c>
      <c r="K1076" t="s">
        <v>33</v>
      </c>
      <c r="L1076">
        <v>35</v>
      </c>
      <c r="M1076" s="4">
        <v>250</v>
      </c>
      <c r="N1076" t="e">
        <f>(#REF!*Y1076)/(T1076*X1076*O1076)</f>
        <v>#REF!</v>
      </c>
      <c r="O1076">
        <v>3.7</v>
      </c>
      <c r="P1076" t="s">
        <v>33</v>
      </c>
      <c r="Q1076" s="1">
        <f t="shared" si="550"/>
        <v>1.6216216216216214E-2</v>
      </c>
      <c r="R1076" t="s">
        <v>183</v>
      </c>
      <c r="S1076" t="s">
        <v>613</v>
      </c>
      <c r="T1076">
        <v>6</v>
      </c>
      <c r="U1076">
        <v>1.9</v>
      </c>
      <c r="V1076">
        <v>2.2999999999999998</v>
      </c>
      <c r="W1076" t="s">
        <v>33</v>
      </c>
      <c r="X1076">
        <f>IFERROR(((PI())*(((V1076*10^-1)/2)^2)*(U1076*10^-1)), "NA")</f>
        <v>7.8940369403077502E-3</v>
      </c>
      <c r="Y1076">
        <v>1</v>
      </c>
      <c r="Z1076" s="3">
        <f t="shared" si="546"/>
        <v>0.48679894465231133</v>
      </c>
      <c r="AA1076" t="s">
        <v>33</v>
      </c>
      <c r="AB1076">
        <f t="shared" si="551"/>
        <v>4.0540540540540535</v>
      </c>
      <c r="AC1076" s="1" t="str">
        <f t="shared" si="547"/>
        <v>NA</v>
      </c>
      <c r="AE1076" s="3">
        <f t="shared" si="548"/>
        <v>529.19999999999993</v>
      </c>
      <c r="AF1076">
        <v>90</v>
      </c>
      <c r="AG1076" s="1" t="str">
        <f>IFERROR((N1076*P1076*Q1076), "NA")</f>
        <v>NA</v>
      </c>
      <c r="AH1076" s="1" t="str">
        <f>IFERROR((AG1076*U1076*AI1076), "NA")</f>
        <v>NA</v>
      </c>
      <c r="AI1076" s="1">
        <v>1</v>
      </c>
      <c r="AJ1076" s="11" t="s">
        <v>31</v>
      </c>
      <c r="AK1076">
        <v>4800</v>
      </c>
      <c r="AL1076" t="s">
        <v>156</v>
      </c>
      <c r="AM1076" t="s">
        <v>157</v>
      </c>
      <c r="AN1076" t="s">
        <v>186</v>
      </c>
      <c r="AO1076" t="s">
        <v>792</v>
      </c>
      <c r="AP1076">
        <v>6.53</v>
      </c>
      <c r="AQ1076" t="s">
        <v>33</v>
      </c>
      <c r="AR1076" t="s">
        <v>33</v>
      </c>
      <c r="AS1076">
        <v>6.5</v>
      </c>
      <c r="AT1076">
        <v>5.64</v>
      </c>
      <c r="AU1076" s="6">
        <f>AS1076-AT1076</f>
        <v>0.86000000000000032</v>
      </c>
      <c r="AV1076" t="b">
        <v>1</v>
      </c>
      <c r="AW1076" t="s">
        <v>626</v>
      </c>
      <c r="AX1076" t="s">
        <v>627</v>
      </c>
      <c r="AY1076" t="s">
        <v>625</v>
      </c>
      <c r="AZ1076" t="s">
        <v>33</v>
      </c>
      <c r="BA1076" s="18" t="s">
        <v>800</v>
      </c>
      <c r="BB1076" s="3" t="b">
        <v>0</v>
      </c>
      <c r="BC1076" t="s">
        <v>81</v>
      </c>
      <c r="BD1076">
        <v>12</v>
      </c>
      <c r="BE1076" t="s">
        <v>80</v>
      </c>
      <c r="BF1076">
        <v>48</v>
      </c>
      <c r="BG1076" t="s">
        <v>568</v>
      </c>
      <c r="BH1076" t="s">
        <v>31</v>
      </c>
      <c r="BI1076" t="s">
        <v>31</v>
      </c>
      <c r="BJ1076">
        <f t="shared" si="537"/>
        <v>0.86000000000000032</v>
      </c>
      <c r="BK1076" s="3">
        <f t="shared" si="549"/>
        <v>-6.5501548756432118E-2</v>
      </c>
      <c r="BL1076">
        <v>2</v>
      </c>
      <c r="BM1076" s="3">
        <f t="shared" si="545"/>
        <v>2.7891213842718954</v>
      </c>
      <c r="BN1076" t="s">
        <v>33</v>
      </c>
      <c r="BO1076" s="3">
        <f t="shared" si="529"/>
        <v>615.34883720930202</v>
      </c>
      <c r="BP1076" t="s">
        <v>33</v>
      </c>
      <c r="BQ1076" t="s">
        <v>33</v>
      </c>
      <c r="BR1076" t="s">
        <v>33</v>
      </c>
      <c r="BS1076" t="s">
        <v>33</v>
      </c>
      <c r="BT1076" t="s">
        <v>31</v>
      </c>
      <c r="BU1076" s="13" t="s">
        <v>163</v>
      </c>
      <c r="BV1076">
        <v>2004</v>
      </c>
      <c r="BW1076" t="s">
        <v>654</v>
      </c>
      <c r="BX1076" t="s">
        <v>78</v>
      </c>
      <c r="BY1076" s="13" t="s">
        <v>677</v>
      </c>
      <c r="CA1076" t="str">
        <f t="shared" si="530"/>
        <v>low acid</v>
      </c>
    </row>
    <row r="1077" spans="1:79">
      <c r="A1077" t="s">
        <v>459</v>
      </c>
      <c r="B1077" t="s">
        <v>565</v>
      </c>
      <c r="C1077" t="s">
        <v>563</v>
      </c>
      <c r="D1077" t="s">
        <v>182</v>
      </c>
      <c r="E1077" t="s">
        <v>77</v>
      </c>
      <c r="F1077" t="s">
        <v>32</v>
      </c>
      <c r="G1077">
        <v>18</v>
      </c>
      <c r="H1077">
        <v>48</v>
      </c>
      <c r="I1077" t="b">
        <v>1</v>
      </c>
      <c r="J1077" t="s">
        <v>33</v>
      </c>
      <c r="K1077" t="s">
        <v>33</v>
      </c>
      <c r="L1077">
        <v>22</v>
      </c>
      <c r="M1077" s="4" t="s">
        <v>33</v>
      </c>
      <c r="N1077" s="3">
        <f>IFERROR(AF1077/((T1077*X1077/Y1077)*O1077*AI1077),"NA")</f>
        <v>330.20830099655922</v>
      </c>
      <c r="O1077">
        <v>10</v>
      </c>
      <c r="P1077">
        <f>0.047/2</f>
        <v>2.35E-2</v>
      </c>
      <c r="Q1077" s="8">
        <f t="shared" si="550"/>
        <v>2.3318614270936316E-2</v>
      </c>
      <c r="R1077" t="s">
        <v>183</v>
      </c>
      <c r="S1077" t="s">
        <v>613</v>
      </c>
      <c r="T1077" s="11">
        <v>2</v>
      </c>
      <c r="U1077">
        <v>5.6</v>
      </c>
      <c r="V1077">
        <v>4.5</v>
      </c>
      <c r="W1077" t="s">
        <v>33</v>
      </c>
      <c r="X1077" s="9">
        <f>IFERROR(((PI())*(((V1077*10^-1)/2)^2)*(U1077*10^-1)), "NA")</f>
        <v>8.9064151729270638E-2</v>
      </c>
      <c r="Y1077" s="6">
        <f>13750/3600</f>
        <v>3.8194444444444446</v>
      </c>
      <c r="Z1077" s="3">
        <f>IFERROR(X1077*N1077*O1077*T1077*AI1077/AF1077, "NA")</f>
        <v>3.8194444444444438</v>
      </c>
      <c r="AA1077" t="s">
        <v>33</v>
      </c>
      <c r="AB1077" s="4">
        <f>IFERROR(((X1077*N1077)/Y1077), "NA")</f>
        <v>7.6999999999999984</v>
      </c>
      <c r="AC1077" s="4">
        <f>IFERROR(N1077*P1077,"NA")</f>
        <v>7.7598950734191412</v>
      </c>
      <c r="AD1077" s="4">
        <f>IFERROR(AB1077*T1077*AI1077, "NA")</f>
        <v>15.399999999999997</v>
      </c>
      <c r="AE1077" s="3">
        <f>IFERROR(((L1077^2)*N1077*O1077*AK1077*10^-6*Q1077*T1077*AI1077), "NA")</f>
        <v>171.43280000000001</v>
      </c>
      <c r="AF1077">
        <v>154</v>
      </c>
      <c r="AG1077" s="4">
        <f>IFERROR((N1077*O1077*P1077), "NA")</f>
        <v>77.598950734191419</v>
      </c>
      <c r="AH1077" s="4">
        <f>IFERROR((AG1077*T1077*AI1077), "NA")</f>
        <v>155.19790146838284</v>
      </c>
      <c r="AI1077" s="11">
        <v>1</v>
      </c>
      <c r="AJ1077" t="s">
        <v>31</v>
      </c>
      <c r="AK1077">
        <v>2300</v>
      </c>
      <c r="AL1077" t="s">
        <v>805</v>
      </c>
      <c r="AM1077" t="s">
        <v>515</v>
      </c>
      <c r="AN1077" t="s">
        <v>205</v>
      </c>
      <c r="AO1077" t="s">
        <v>788</v>
      </c>
      <c r="AP1077">
        <v>3.68</v>
      </c>
      <c r="AQ1077" t="s">
        <v>33</v>
      </c>
      <c r="AR1077" t="s">
        <v>33</v>
      </c>
      <c r="AS1077">
        <f>LOG(10^8)</f>
        <v>8</v>
      </c>
      <c r="AT1077" s="3">
        <f>IFERROR(AS1077-AU1077,"NA")</f>
        <v>5.6400000000000006</v>
      </c>
      <c r="AU1077" s="6">
        <v>2.36</v>
      </c>
      <c r="AV1077" t="b">
        <v>1</v>
      </c>
      <c r="AW1077" t="s">
        <v>480</v>
      </c>
      <c r="AX1077" t="s">
        <v>478</v>
      </c>
      <c r="AY1077" t="s">
        <v>481</v>
      </c>
      <c r="AZ1077" t="s">
        <v>33</v>
      </c>
      <c r="BA1077" s="18" t="s">
        <v>579</v>
      </c>
      <c r="BB1077" t="b">
        <v>1</v>
      </c>
      <c r="BC1077" t="s">
        <v>81</v>
      </c>
      <c r="BD1077" t="s">
        <v>33</v>
      </c>
      <c r="BE1077" t="s">
        <v>80</v>
      </c>
      <c r="BF1077" t="s">
        <v>33</v>
      </c>
      <c r="BG1077" t="s">
        <v>395</v>
      </c>
      <c r="BH1077" t="s">
        <v>31</v>
      </c>
      <c r="BI1077" t="s">
        <v>31</v>
      </c>
      <c r="BJ1077" s="3">
        <f t="shared" si="537"/>
        <v>2.36</v>
      </c>
      <c r="BK1077" s="3">
        <f t="shared" si="549"/>
        <v>0.37291200297010657</v>
      </c>
      <c r="BL1077">
        <v>2</v>
      </c>
      <c r="BM1077" s="3">
        <f t="shared" si="545"/>
        <v>1.861181915528362</v>
      </c>
      <c r="BN1077" t="s">
        <v>33</v>
      </c>
      <c r="BO1077" s="3">
        <f t="shared" si="529"/>
        <v>72.641016949152558</v>
      </c>
      <c r="BP1077" t="s">
        <v>33</v>
      </c>
      <c r="BQ1077" t="s">
        <v>33</v>
      </c>
      <c r="BR1077" t="s">
        <v>33</v>
      </c>
      <c r="BS1077" t="s">
        <v>33</v>
      </c>
      <c r="BT1077" t="s">
        <v>32</v>
      </c>
      <c r="BU1077" t="s">
        <v>484</v>
      </c>
      <c r="BV1077">
        <v>2015</v>
      </c>
      <c r="BW1077" t="s">
        <v>485</v>
      </c>
      <c r="BX1077" t="s">
        <v>78</v>
      </c>
      <c r="BY1077" t="s">
        <v>486</v>
      </c>
      <c r="BZ1077" t="s">
        <v>780</v>
      </c>
      <c r="CA1077" t="str">
        <f t="shared" si="530"/>
        <v>high acid</v>
      </c>
    </row>
    <row r="1078" spans="1:79">
      <c r="A1078" t="s">
        <v>597</v>
      </c>
      <c r="B1078" t="s">
        <v>565</v>
      </c>
      <c r="C1078" t="s">
        <v>563</v>
      </c>
      <c r="D1078" t="s">
        <v>33</v>
      </c>
      <c r="E1078" t="s">
        <v>77</v>
      </c>
      <c r="F1078" t="s">
        <v>33</v>
      </c>
      <c r="G1078">
        <v>20</v>
      </c>
      <c r="H1078">
        <v>35</v>
      </c>
      <c r="I1078" t="b">
        <v>0</v>
      </c>
      <c r="J1078" t="s">
        <v>33</v>
      </c>
      <c r="K1078" t="s">
        <v>33</v>
      </c>
      <c r="L1078">
        <v>22</v>
      </c>
      <c r="M1078" s="4">
        <v>1</v>
      </c>
      <c r="N1078" t="e">
        <f>(#REF!*Y1078)/(T1078*X1078*O1078)</f>
        <v>#REF!</v>
      </c>
      <c r="O1078">
        <v>2</v>
      </c>
      <c r="P1078" t="s">
        <v>33</v>
      </c>
      <c r="Q1078" s="1">
        <f t="shared" si="550"/>
        <v>300</v>
      </c>
      <c r="R1078" t="s">
        <v>183</v>
      </c>
      <c r="S1078" t="s">
        <v>33</v>
      </c>
      <c r="T1078">
        <v>1</v>
      </c>
      <c r="U1078">
        <v>2.5</v>
      </c>
      <c r="V1078" t="s">
        <v>33</v>
      </c>
      <c r="W1078">
        <v>0.50249999999999995</v>
      </c>
      <c r="X1078">
        <f>W1078</f>
        <v>0.50249999999999995</v>
      </c>
      <c r="Y1078" t="s">
        <v>33</v>
      </c>
      <c r="Z1078" s="3">
        <f>IFERROR(X1078*M1078*O1078*T1078*AI1078/AF1078, "NA")</f>
        <v>1.6749999999999998E-3</v>
      </c>
      <c r="AA1078" t="s">
        <v>33</v>
      </c>
      <c r="AB1078">
        <f>IFERROR(((X1078*M1078)/Z1078), "NA")</f>
        <v>300</v>
      </c>
      <c r="AC1078" s="1" t="str">
        <f>IFERROR(M1078*P1078,"NA")</f>
        <v>NA</v>
      </c>
      <c r="AE1078" s="3">
        <f>IFERROR(((L1078^2)*M1078*O1078*AK1078*10^-6*Q1078*T1078*AI1078), "NA")</f>
        <v>580.79999999999995</v>
      </c>
      <c r="AF1078">
        <v>600</v>
      </c>
      <c r="AG1078" s="1" t="str">
        <f>IFERROR((N1078*P1078*Q1078), "NA")</f>
        <v>NA</v>
      </c>
      <c r="AH1078" s="1" t="str">
        <f>IFERROR((AG1078*U1078*AI1078), "NA")</f>
        <v>NA</v>
      </c>
      <c r="AI1078" s="1">
        <v>1</v>
      </c>
      <c r="AJ1078" s="11" t="s">
        <v>31</v>
      </c>
      <c r="AK1078">
        <v>2000</v>
      </c>
      <c r="AL1078" t="s">
        <v>784</v>
      </c>
      <c r="AM1078" s="3" t="s">
        <v>103</v>
      </c>
      <c r="AN1078" t="s">
        <v>130</v>
      </c>
      <c r="AO1078" t="s">
        <v>795</v>
      </c>
      <c r="AP1078">
        <v>7</v>
      </c>
      <c r="AQ1078" t="s">
        <v>33</v>
      </c>
      <c r="AR1078" t="s">
        <v>33</v>
      </c>
      <c r="AS1078">
        <v>9</v>
      </c>
      <c r="AT1078">
        <f>AS1078-AU1078</f>
        <v>5.6400000000000006</v>
      </c>
      <c r="AU1078" s="6">
        <v>3.36</v>
      </c>
      <c r="AV1078" t="b">
        <v>1</v>
      </c>
      <c r="AW1078" t="s">
        <v>617</v>
      </c>
      <c r="AX1078" t="s">
        <v>635</v>
      </c>
      <c r="AY1078" t="s">
        <v>636</v>
      </c>
      <c r="AZ1078" t="s">
        <v>33</v>
      </c>
      <c r="BA1078" s="18" t="s">
        <v>802</v>
      </c>
      <c r="BB1078" s="3" t="b">
        <v>0</v>
      </c>
      <c r="BC1078" t="s">
        <v>81</v>
      </c>
      <c r="BD1078">
        <v>24</v>
      </c>
      <c r="BE1078" t="s">
        <v>80</v>
      </c>
      <c r="BF1078">
        <v>24</v>
      </c>
      <c r="BG1078" t="s">
        <v>644</v>
      </c>
      <c r="BH1078" t="s">
        <v>31</v>
      </c>
      <c r="BI1078" t="s">
        <v>31</v>
      </c>
      <c r="BJ1078">
        <f t="shared" si="537"/>
        <v>3.36</v>
      </c>
      <c r="BK1078" s="3">
        <f t="shared" si="549"/>
        <v>0.52633927738984398</v>
      </c>
      <c r="BL1078">
        <v>2</v>
      </c>
      <c r="BM1078" s="3">
        <f t="shared" si="545"/>
        <v>2.2376873303021934</v>
      </c>
      <c r="BN1078" t="s">
        <v>33</v>
      </c>
      <c r="BO1078" s="3">
        <f t="shared" si="529"/>
        <v>172.85714285714286</v>
      </c>
      <c r="BP1078" t="s">
        <v>33</v>
      </c>
      <c r="BQ1078" t="s">
        <v>33</v>
      </c>
      <c r="BR1078" t="s">
        <v>33</v>
      </c>
      <c r="BS1078" t="s">
        <v>33</v>
      </c>
      <c r="BT1078" t="s">
        <v>31</v>
      </c>
      <c r="BU1078" t="s">
        <v>664</v>
      </c>
      <c r="BV1078">
        <v>2000</v>
      </c>
      <c r="BW1078" t="s">
        <v>665</v>
      </c>
      <c r="BX1078" t="s">
        <v>78</v>
      </c>
      <c r="BY1078" s="13" t="s">
        <v>685</v>
      </c>
      <c r="CA1078" t="str">
        <f t="shared" si="530"/>
        <v>low acid</v>
      </c>
    </row>
    <row r="1079" spans="1:79">
      <c r="A1079" t="s">
        <v>458</v>
      </c>
      <c r="B1079" t="s">
        <v>565</v>
      </c>
      <c r="C1079" t="s">
        <v>563</v>
      </c>
      <c r="D1079" t="s">
        <v>182</v>
      </c>
      <c r="E1079" t="s">
        <v>77</v>
      </c>
      <c r="F1079" t="s">
        <v>32</v>
      </c>
      <c r="G1079">
        <v>18</v>
      </c>
      <c r="H1079">
        <v>49</v>
      </c>
      <c r="I1079" t="b">
        <v>1</v>
      </c>
      <c r="J1079" t="s">
        <v>33</v>
      </c>
      <c r="K1079" t="s">
        <v>33</v>
      </c>
      <c r="L1079">
        <v>33</v>
      </c>
      <c r="M1079" s="4" t="s">
        <v>33</v>
      </c>
      <c r="N1079" s="3">
        <f>IFERROR(AF1079/((T1079*X1079/Y1079)*O1079*AI1079),"NA")</f>
        <v>281.42752925843115</v>
      </c>
      <c r="O1079">
        <v>8</v>
      </c>
      <c r="P1079">
        <f>0.047/2</f>
        <v>2.35E-2</v>
      </c>
      <c r="Q1079" s="8">
        <f t="shared" si="550"/>
        <v>2.3318614270936313E-2</v>
      </c>
      <c r="R1079" t="s">
        <v>183</v>
      </c>
      <c r="S1079" t="s">
        <v>613</v>
      </c>
      <c r="T1079" s="11">
        <v>2</v>
      </c>
      <c r="U1079">
        <v>5.6</v>
      </c>
      <c r="V1079">
        <v>4.5</v>
      </c>
      <c r="W1079" t="s">
        <v>33</v>
      </c>
      <c r="X1079" s="9">
        <f>IFERROR(((PI())*(((V1079*10^-1)/2)^2)*(U1079*10^-1)), "NA")</f>
        <v>8.9064151729270638E-2</v>
      </c>
      <c r="Y1079" s="6">
        <f>13750/3600</f>
        <v>3.8194444444444446</v>
      </c>
      <c r="Z1079" s="3">
        <f>IFERROR(X1079*N1079*O1079*T1079*AI1079/AF1079, "NA")</f>
        <v>3.8194444444444442</v>
      </c>
      <c r="AA1079" t="s">
        <v>33</v>
      </c>
      <c r="AB1079" s="4">
        <f>IFERROR(((X1079*N1079)/Y1079), "NA")</f>
        <v>6.5624999999999991</v>
      </c>
      <c r="AC1079" s="4">
        <f>IFERROR(N1079*P1079,"NA")</f>
        <v>6.6135469375731324</v>
      </c>
      <c r="AD1079" s="4">
        <f>AB1079*T1079*AI1079</f>
        <v>13.124999999999998</v>
      </c>
      <c r="AE1079" s="3">
        <f>IFERROR(((L1079^2)*N1079*O1079*AK1079*10^-6*Q1079*T1079*AI1079), "NA")</f>
        <v>262.99349999999998</v>
      </c>
      <c r="AF1079">
        <v>105</v>
      </c>
      <c r="AG1079" s="4">
        <f>IFERROR((N1079*O1079*P1079), "NA")</f>
        <v>52.908375500585059</v>
      </c>
      <c r="AH1079" s="4">
        <f>IFERROR((AG1079*T1079*AI1079), "NA")</f>
        <v>105.81675100117012</v>
      </c>
      <c r="AI1079" s="11">
        <v>1</v>
      </c>
      <c r="AJ1079" t="s">
        <v>31</v>
      </c>
      <c r="AK1079">
        <v>2300</v>
      </c>
      <c r="AL1079" t="s">
        <v>805</v>
      </c>
      <c r="AM1079" t="s">
        <v>515</v>
      </c>
      <c r="AN1079" t="s">
        <v>205</v>
      </c>
      <c r="AO1079" t="s">
        <v>788</v>
      </c>
      <c r="AP1079">
        <v>3.68</v>
      </c>
      <c r="AQ1079" t="s">
        <v>33</v>
      </c>
      <c r="AR1079" t="s">
        <v>33</v>
      </c>
      <c r="AS1079">
        <f>LOG(10^8)</f>
        <v>8</v>
      </c>
      <c r="AT1079" s="3">
        <f>IFERROR(AS1079-AU1079,"NA")</f>
        <v>5.65</v>
      </c>
      <c r="AU1079" s="6">
        <v>2.35</v>
      </c>
      <c r="AV1079" t="b">
        <v>1</v>
      </c>
      <c r="AW1079" t="s">
        <v>480</v>
      </c>
      <c r="AX1079" t="s">
        <v>472</v>
      </c>
      <c r="AY1079" t="s">
        <v>476</v>
      </c>
      <c r="AZ1079" t="s">
        <v>33</v>
      </c>
      <c r="BA1079" s="18" t="s">
        <v>579</v>
      </c>
      <c r="BB1079" t="b">
        <v>1</v>
      </c>
      <c r="BC1079" t="s">
        <v>81</v>
      </c>
      <c r="BD1079" t="s">
        <v>33</v>
      </c>
      <c r="BE1079" t="s">
        <v>80</v>
      </c>
      <c r="BF1079" t="s">
        <v>33</v>
      </c>
      <c r="BG1079" t="s">
        <v>395</v>
      </c>
      <c r="BH1079" t="s">
        <v>31</v>
      </c>
      <c r="BI1079" t="s">
        <v>31</v>
      </c>
      <c r="BJ1079" s="3">
        <f t="shared" si="537"/>
        <v>2.35</v>
      </c>
      <c r="BK1079" s="3">
        <f t="shared" si="549"/>
        <v>0.37106786227173627</v>
      </c>
      <c r="BL1079">
        <v>2</v>
      </c>
      <c r="BM1079" s="3">
        <f t="shared" si="545"/>
        <v>2.0488771525715697</v>
      </c>
      <c r="BN1079" t="s">
        <v>33</v>
      </c>
      <c r="BO1079" s="3">
        <f t="shared" si="529"/>
        <v>111.91212765957445</v>
      </c>
      <c r="BP1079" t="s">
        <v>33</v>
      </c>
      <c r="BQ1079" t="s">
        <v>33</v>
      </c>
      <c r="BR1079" t="s">
        <v>33</v>
      </c>
      <c r="BS1079" t="s">
        <v>33</v>
      </c>
      <c r="BT1079" t="s">
        <v>32</v>
      </c>
      <c r="BU1079" t="s">
        <v>484</v>
      </c>
      <c r="BV1079">
        <v>2015</v>
      </c>
      <c r="BW1079" t="s">
        <v>485</v>
      </c>
      <c r="BX1079" t="s">
        <v>78</v>
      </c>
      <c r="BY1079" t="s">
        <v>486</v>
      </c>
      <c r="CA1079" t="str">
        <f t="shared" si="530"/>
        <v>high acid</v>
      </c>
    </row>
    <row r="1080" spans="1:79">
      <c r="A1080" t="s">
        <v>583</v>
      </c>
      <c r="B1080" t="s">
        <v>566</v>
      </c>
      <c r="C1080" t="s">
        <v>563</v>
      </c>
      <c r="D1080" t="s">
        <v>33</v>
      </c>
      <c r="E1080" t="s">
        <v>77</v>
      </c>
      <c r="F1080" t="s">
        <v>32</v>
      </c>
      <c r="G1080" t="s">
        <v>33</v>
      </c>
      <c r="H1080">
        <v>30</v>
      </c>
      <c r="I1080" t="b">
        <v>1</v>
      </c>
      <c r="J1080" t="s">
        <v>33</v>
      </c>
      <c r="K1080" t="s">
        <v>33</v>
      </c>
      <c r="L1080">
        <v>30</v>
      </c>
      <c r="M1080" s="4">
        <v>2</v>
      </c>
      <c r="N1080" t="e">
        <f>(#REF!*Y1080)/(T1080*X1080*O1080)</f>
        <v>#REF!</v>
      </c>
      <c r="O1080">
        <v>2</v>
      </c>
      <c r="P1080" t="s">
        <v>33</v>
      </c>
      <c r="Q1080" s="1">
        <f t="shared" si="550"/>
        <v>30</v>
      </c>
      <c r="R1080" t="s">
        <v>183</v>
      </c>
      <c r="S1080" t="s">
        <v>613</v>
      </c>
      <c r="T1080">
        <v>1</v>
      </c>
      <c r="U1080">
        <v>5</v>
      </c>
      <c r="V1080" t="s">
        <v>33</v>
      </c>
      <c r="W1080">
        <v>0.71</v>
      </c>
      <c r="X1080">
        <f>W1080</f>
        <v>0.71</v>
      </c>
      <c r="Y1080">
        <v>0.1</v>
      </c>
      <c r="Z1080" s="3">
        <f>IFERROR(X1080*M1080*O1080*T1080*AI1080/AF1080, "NA")</f>
        <v>2.3666666666666666E-2</v>
      </c>
      <c r="AA1080" t="s">
        <v>33</v>
      </c>
      <c r="AB1080">
        <f>IFERROR(((X1080*M1080)/Z1080), "NA")</f>
        <v>60</v>
      </c>
      <c r="AC1080" s="1" t="str">
        <f t="shared" ref="AC1080:AC1085" si="552">IFERROR(M1080*P1080,"NA")</f>
        <v>NA</v>
      </c>
      <c r="AE1080" s="3">
        <f t="shared" ref="AE1080:AE1085" si="553">IFERROR(((L1080^2)*M1080*O1080*AK1080*10^-6*Q1080*T1080*AI1080), "NA")</f>
        <v>507.59999999999997</v>
      </c>
      <c r="AF1080">
        <v>120</v>
      </c>
      <c r="AG1080" s="1" t="str">
        <f>IFERROR((N1080*P1080*Q1080), "NA")</f>
        <v>NA</v>
      </c>
      <c r="AH1080" s="1" t="str">
        <f>IFERROR((AG1080*U1080*AI1080), "NA")</f>
        <v>NA</v>
      </c>
      <c r="AI1080" s="1">
        <v>1</v>
      </c>
      <c r="AJ1080" s="11" t="s">
        <v>31</v>
      </c>
      <c r="AK1080">
        <v>4700</v>
      </c>
      <c r="AL1080" t="s">
        <v>562</v>
      </c>
      <c r="AM1080" s="3" t="s">
        <v>786</v>
      </c>
      <c r="AN1080" t="s">
        <v>186</v>
      </c>
      <c r="AO1080" t="s">
        <v>793</v>
      </c>
      <c r="AP1080" t="s">
        <v>33</v>
      </c>
      <c r="AQ1080" t="s">
        <v>33</v>
      </c>
      <c r="AR1080" t="s">
        <v>33</v>
      </c>
      <c r="AS1080">
        <v>8</v>
      </c>
      <c r="AT1080">
        <f>AS1080-AU1080</f>
        <v>5.65</v>
      </c>
      <c r="AU1080" s="6">
        <v>2.35</v>
      </c>
      <c r="AV1080" t="b">
        <v>1</v>
      </c>
      <c r="AW1080" t="s">
        <v>617</v>
      </c>
      <c r="AX1080" t="s">
        <v>33</v>
      </c>
      <c r="AY1080" t="s">
        <v>622</v>
      </c>
      <c r="AZ1080" t="s">
        <v>619</v>
      </c>
      <c r="BA1080" s="18" t="s">
        <v>802</v>
      </c>
      <c r="BB1080" s="3" t="b">
        <v>0</v>
      </c>
      <c r="BC1080" t="s">
        <v>81</v>
      </c>
      <c r="BD1080">
        <v>18</v>
      </c>
      <c r="BE1080" t="s">
        <v>80</v>
      </c>
      <c r="BF1080">
        <v>24</v>
      </c>
      <c r="BG1080" t="s">
        <v>696</v>
      </c>
      <c r="BH1080" t="s">
        <v>32</v>
      </c>
      <c r="BI1080" t="s">
        <v>31</v>
      </c>
      <c r="BJ1080">
        <f t="shared" si="537"/>
        <v>2.35</v>
      </c>
      <c r="BK1080" s="3">
        <f t="shared" si="549"/>
        <v>0.37106786227173627</v>
      </c>
      <c r="BL1080">
        <v>2</v>
      </c>
      <c r="BM1080" s="3">
        <f t="shared" si="545"/>
        <v>2.3344537511509307</v>
      </c>
      <c r="BN1080" t="s">
        <v>33</v>
      </c>
      <c r="BO1080" s="3">
        <f t="shared" si="529"/>
        <v>215.99999999999997</v>
      </c>
      <c r="BP1080" t="s">
        <v>33</v>
      </c>
      <c r="BQ1080" t="s">
        <v>33</v>
      </c>
      <c r="BR1080" t="s">
        <v>33</v>
      </c>
      <c r="BS1080" t="s">
        <v>33</v>
      </c>
      <c r="BT1080" t="s">
        <v>31</v>
      </c>
      <c r="BU1080" t="s">
        <v>338</v>
      </c>
      <c r="BV1080">
        <v>2005</v>
      </c>
      <c r="BW1080" t="s">
        <v>342</v>
      </c>
      <c r="BX1080" t="s">
        <v>78</v>
      </c>
      <c r="BY1080" s="13" t="s">
        <v>673</v>
      </c>
      <c r="CA1080" t="str">
        <f t="shared" si="530"/>
        <v>low acid</v>
      </c>
    </row>
    <row r="1081" spans="1:79">
      <c r="A1081" t="s">
        <v>593</v>
      </c>
      <c r="B1081" t="s">
        <v>565</v>
      </c>
      <c r="C1081" t="s">
        <v>563</v>
      </c>
      <c r="D1081" t="s">
        <v>118</v>
      </c>
      <c r="E1081" t="s">
        <v>77</v>
      </c>
      <c r="F1081" t="s">
        <v>32</v>
      </c>
      <c r="G1081" t="s">
        <v>33</v>
      </c>
      <c r="H1081">
        <v>35</v>
      </c>
      <c r="I1081" t="b">
        <v>0</v>
      </c>
      <c r="J1081" t="s">
        <v>33</v>
      </c>
      <c r="K1081" t="s">
        <v>33</v>
      </c>
      <c r="L1081">
        <v>30</v>
      </c>
      <c r="M1081" s="4">
        <v>400</v>
      </c>
      <c r="N1081" t="e">
        <f>(#REF!*Y1081)/(T1081*X1081*O1081)</f>
        <v>#REF!</v>
      </c>
      <c r="O1081">
        <v>2</v>
      </c>
      <c r="P1081" t="s">
        <v>33</v>
      </c>
      <c r="Q1081" s="1">
        <f t="shared" si="550"/>
        <v>0.03</v>
      </c>
      <c r="R1081" t="s">
        <v>183</v>
      </c>
      <c r="S1081" t="s">
        <v>613</v>
      </c>
      <c r="T1081">
        <v>6</v>
      </c>
      <c r="U1081">
        <v>2.92</v>
      </c>
      <c r="V1081">
        <v>2.2999999999999998</v>
      </c>
      <c r="W1081" t="s">
        <v>33</v>
      </c>
      <c r="X1081">
        <f>IFERROR(((PI())*(((V1081*10^-1)/2)^2)*(U1081*10^-1)), "NA")</f>
        <v>1.2131888350367701E-2</v>
      </c>
      <c r="Y1081">
        <v>1</v>
      </c>
      <c r="Z1081" s="3">
        <f>IFERROR(X1081*M1081*O1081*T1081*AI1081/AF1081, "NA")</f>
        <v>0.40439627834559005</v>
      </c>
      <c r="AA1081" t="s">
        <v>33</v>
      </c>
      <c r="AB1081">
        <f>IFERROR(((X1081*M1081)/Z1081), "NA")</f>
        <v>12</v>
      </c>
      <c r="AC1081" s="1" t="str">
        <f t="shared" si="552"/>
        <v>NA</v>
      </c>
      <c r="AE1081" s="3">
        <f t="shared" si="553"/>
        <v>298.08</v>
      </c>
      <c r="AF1081">
        <v>144</v>
      </c>
      <c r="AG1081" s="1" t="str">
        <f>IFERROR((N1081*P1081*Q1081), "NA")</f>
        <v>NA</v>
      </c>
      <c r="AH1081" s="1" t="str">
        <f>IFERROR((AG1081*U1081*AI1081), "NA")</f>
        <v>NA</v>
      </c>
      <c r="AI1081">
        <v>1</v>
      </c>
      <c r="AJ1081" s="11" t="s">
        <v>31</v>
      </c>
      <c r="AK1081">
        <v>2300</v>
      </c>
      <c r="AL1081" t="s">
        <v>693</v>
      </c>
      <c r="AM1081" t="s">
        <v>530</v>
      </c>
      <c r="AN1081" t="s">
        <v>186</v>
      </c>
      <c r="AO1081" t="s">
        <v>796</v>
      </c>
      <c r="AP1081">
        <v>7.19</v>
      </c>
      <c r="AQ1081" t="s">
        <v>33</v>
      </c>
      <c r="AR1081" t="s">
        <v>33</v>
      </c>
      <c r="AS1081">
        <v>6.5</v>
      </c>
      <c r="AT1081">
        <f>AS1081-AU1081</f>
        <v>5.65</v>
      </c>
      <c r="AU1081" s="6">
        <v>0.85</v>
      </c>
      <c r="AV1081" t="b">
        <v>1</v>
      </c>
      <c r="AW1081" t="s">
        <v>626</v>
      </c>
      <c r="AX1081" t="s">
        <v>627</v>
      </c>
      <c r="AY1081" t="s">
        <v>625</v>
      </c>
      <c r="AZ1081" t="s">
        <v>33</v>
      </c>
      <c r="BA1081" s="18" t="s">
        <v>800</v>
      </c>
      <c r="BB1081" s="3" t="b">
        <v>0</v>
      </c>
      <c r="BC1081" t="s">
        <v>81</v>
      </c>
      <c r="BD1081">
        <f>AVERAGE(14, 16)</f>
        <v>15</v>
      </c>
      <c r="BE1081" t="s">
        <v>80</v>
      </c>
      <c r="BF1081">
        <v>48</v>
      </c>
      <c r="BG1081" t="s">
        <v>568</v>
      </c>
      <c r="BH1081" t="s">
        <v>31</v>
      </c>
      <c r="BI1081" t="s">
        <v>31</v>
      </c>
      <c r="BJ1081">
        <f t="shared" si="537"/>
        <v>0.85</v>
      </c>
      <c r="BK1081" s="3">
        <f t="shared" si="549"/>
        <v>-7.0581074285707285E-2</v>
      </c>
      <c r="BL1081">
        <v>2</v>
      </c>
      <c r="BM1081" s="3">
        <f t="shared" si="545"/>
        <v>2.5449139118378747</v>
      </c>
      <c r="BN1081" t="s">
        <v>33</v>
      </c>
      <c r="BO1081" s="3">
        <f t="shared" si="529"/>
        <v>350.68235294117648</v>
      </c>
      <c r="BP1081" t="s">
        <v>33</v>
      </c>
      <c r="BQ1081" t="s">
        <v>33</v>
      </c>
      <c r="BR1081" t="s">
        <v>33</v>
      </c>
      <c r="BS1081" t="s">
        <v>33</v>
      </c>
      <c r="BT1081" t="s">
        <v>31</v>
      </c>
      <c r="BU1081" s="15" t="s">
        <v>217</v>
      </c>
      <c r="BV1081">
        <v>2012</v>
      </c>
      <c r="BW1081" t="s">
        <v>660</v>
      </c>
      <c r="BX1081" t="s">
        <v>78</v>
      </c>
      <c r="BY1081" s="13" t="s">
        <v>681</v>
      </c>
      <c r="CA1081" t="str">
        <f t="shared" si="530"/>
        <v>low acid</v>
      </c>
    </row>
    <row r="1082" spans="1:79">
      <c r="A1082" t="s">
        <v>593</v>
      </c>
      <c r="B1082" t="s">
        <v>565</v>
      </c>
      <c r="C1082" t="s">
        <v>563</v>
      </c>
      <c r="D1082" t="s">
        <v>118</v>
      </c>
      <c r="E1082" t="s">
        <v>77</v>
      </c>
      <c r="F1082" t="s">
        <v>32</v>
      </c>
      <c r="G1082" t="s">
        <v>33</v>
      </c>
      <c r="H1082">
        <v>35</v>
      </c>
      <c r="I1082" t="b">
        <v>0</v>
      </c>
      <c r="J1082" t="s">
        <v>33</v>
      </c>
      <c r="K1082" t="s">
        <v>33</v>
      </c>
      <c r="L1082">
        <v>40</v>
      </c>
      <c r="M1082" s="4">
        <v>400</v>
      </c>
      <c r="N1082" t="e">
        <f>(#REF!*Y1082)/(T1082*X1082*O1082)</f>
        <v>#REF!</v>
      </c>
      <c r="O1082">
        <v>2</v>
      </c>
      <c r="P1082" t="s">
        <v>33</v>
      </c>
      <c r="Q1082" s="1">
        <f t="shared" si="550"/>
        <v>1.4999999999999999E-2</v>
      </c>
      <c r="R1082" t="s">
        <v>183</v>
      </c>
      <c r="S1082" t="s">
        <v>613</v>
      </c>
      <c r="T1082">
        <v>6</v>
      </c>
      <c r="U1082">
        <v>2.92</v>
      </c>
      <c r="V1082">
        <v>2.2999999999999998</v>
      </c>
      <c r="W1082" t="s">
        <v>33</v>
      </c>
      <c r="X1082">
        <f>IFERROR(((PI())*(((V1082*10^-1)/2)^2)*(U1082*10^-1)), "NA")</f>
        <v>1.2131888350367701E-2</v>
      </c>
      <c r="Y1082">
        <v>1</v>
      </c>
      <c r="Z1082" s="3">
        <f>IFERROR(X1082*M1082*O1082*T1082*AI1082/AF1082, "NA")</f>
        <v>0.80879255669118011</v>
      </c>
      <c r="AA1082" t="s">
        <v>33</v>
      </c>
      <c r="AB1082">
        <f>IFERROR(((X1082*M1082)/Z1082), "NA")</f>
        <v>6</v>
      </c>
      <c r="AC1082" s="1" t="str">
        <f t="shared" si="552"/>
        <v>NA</v>
      </c>
      <c r="AE1082" s="3">
        <f t="shared" si="553"/>
        <v>230.39999999999998</v>
      </c>
      <c r="AF1082">
        <v>72</v>
      </c>
      <c r="AG1082" s="1" t="str">
        <f>IFERROR((N1082*P1082*Q1082), "NA")</f>
        <v>NA</v>
      </c>
      <c r="AH1082" s="1" t="str">
        <f>IFERROR((AG1082*U1082*AI1082), "NA")</f>
        <v>NA</v>
      </c>
      <c r="AI1082">
        <v>1</v>
      </c>
      <c r="AJ1082" s="11" t="s">
        <v>31</v>
      </c>
      <c r="AK1082">
        <v>2000</v>
      </c>
      <c r="AL1082" t="s">
        <v>693</v>
      </c>
      <c r="AM1082" t="s">
        <v>530</v>
      </c>
      <c r="AN1082" t="s">
        <v>186</v>
      </c>
      <c r="AO1082" t="s">
        <v>796</v>
      </c>
      <c r="AP1082">
        <v>7.21</v>
      </c>
      <c r="AQ1082" t="s">
        <v>33</v>
      </c>
      <c r="AR1082" t="s">
        <v>33</v>
      </c>
      <c r="AS1082">
        <v>6.5</v>
      </c>
      <c r="AT1082">
        <f>AS1082-AU1082</f>
        <v>5.65</v>
      </c>
      <c r="AU1082" s="6">
        <v>0.85</v>
      </c>
      <c r="AV1082" t="b">
        <v>1</v>
      </c>
      <c r="AW1082" t="s">
        <v>626</v>
      </c>
      <c r="AX1082" t="s">
        <v>627</v>
      </c>
      <c r="AY1082" t="s">
        <v>625</v>
      </c>
      <c r="AZ1082" t="s">
        <v>33</v>
      </c>
      <c r="BA1082" s="18" t="s">
        <v>800</v>
      </c>
      <c r="BB1082" s="3" t="b">
        <v>0</v>
      </c>
      <c r="BC1082" t="s">
        <v>81</v>
      </c>
      <c r="BD1082">
        <f>AVERAGE(14, 16)</f>
        <v>15</v>
      </c>
      <c r="BE1082" t="s">
        <v>80</v>
      </c>
      <c r="BF1082">
        <v>48</v>
      </c>
      <c r="BG1082" t="s">
        <v>568</v>
      </c>
      <c r="BH1082" t="s">
        <v>31</v>
      </c>
      <c r="BI1082" t="s">
        <v>31</v>
      </c>
      <c r="BJ1082">
        <f t="shared" si="537"/>
        <v>0.85</v>
      </c>
      <c r="BK1082" s="3">
        <f t="shared" si="549"/>
        <v>-7.0581074285707285E-2</v>
      </c>
      <c r="BL1082">
        <v>2</v>
      </c>
      <c r="BM1082" s="3">
        <f t="shared" si="545"/>
        <v>2.4330635490368815</v>
      </c>
      <c r="BN1082" t="s">
        <v>33</v>
      </c>
      <c r="BO1082" s="3">
        <f t="shared" si="529"/>
        <v>271.05882352941177</v>
      </c>
      <c r="BP1082" t="s">
        <v>33</v>
      </c>
      <c r="BQ1082" t="s">
        <v>33</v>
      </c>
      <c r="BR1082" t="s">
        <v>33</v>
      </c>
      <c r="BS1082" t="s">
        <v>33</v>
      </c>
      <c r="BT1082" t="s">
        <v>31</v>
      </c>
      <c r="BU1082" s="15" t="s">
        <v>217</v>
      </c>
      <c r="BV1082">
        <v>2012</v>
      </c>
      <c r="BW1082" t="s">
        <v>660</v>
      </c>
      <c r="BX1082" t="s">
        <v>78</v>
      </c>
      <c r="BY1082" s="13" t="s">
        <v>681</v>
      </c>
      <c r="CA1082" t="str">
        <f t="shared" si="530"/>
        <v>low acid</v>
      </c>
    </row>
    <row r="1083" spans="1:79">
      <c r="A1083" t="s">
        <v>764</v>
      </c>
      <c r="B1083" t="s">
        <v>566</v>
      </c>
      <c r="C1083" t="s">
        <v>563</v>
      </c>
      <c r="D1083" t="s">
        <v>765</v>
      </c>
      <c r="E1083" t="s">
        <v>77</v>
      </c>
      <c r="F1083" t="s">
        <v>31</v>
      </c>
      <c r="G1083">
        <v>22</v>
      </c>
      <c r="H1083">
        <v>34</v>
      </c>
      <c r="I1083" t="b">
        <v>0</v>
      </c>
      <c r="J1083" t="s">
        <v>33</v>
      </c>
      <c r="K1083" t="s">
        <v>33</v>
      </c>
      <c r="L1083">
        <v>16</v>
      </c>
      <c r="M1083" s="4">
        <f>N1083</f>
        <v>27.793209876543216</v>
      </c>
      <c r="N1083" s="3">
        <f>IFERROR(AF1083/((T1083*X1083/Y1083)*O1083*AI1083),"NA")</f>
        <v>27.793209876543216</v>
      </c>
      <c r="O1083">
        <v>3</v>
      </c>
      <c r="P1083">
        <v>4.3</v>
      </c>
      <c r="Q1083" s="8">
        <f>IFERROR(X1083/Y1083, "NA")</f>
        <v>4.3199999999999994</v>
      </c>
      <c r="R1083" t="s">
        <v>183</v>
      </c>
      <c r="S1083" t="s">
        <v>33</v>
      </c>
      <c r="T1083" s="11">
        <v>1</v>
      </c>
      <c r="U1083">
        <v>8.1000000000000003E-2</v>
      </c>
      <c r="V1083" t="s">
        <v>33</v>
      </c>
      <c r="W1083">
        <v>7.1999999999999998E-3</v>
      </c>
      <c r="X1083">
        <f>W1083</f>
        <v>7.1999999999999998E-3</v>
      </c>
      <c r="Y1083" s="6">
        <f>0.1/60</f>
        <v>1.6666666666666668E-3</v>
      </c>
      <c r="Z1083" s="6">
        <f>Y1083</f>
        <v>1.6666666666666668E-3</v>
      </c>
      <c r="AA1083" t="s">
        <v>33</v>
      </c>
      <c r="AB1083" s="4">
        <f>IFERROR(((X1083*M1083)/Y1083), "NA")</f>
        <v>120.06666666666669</v>
      </c>
      <c r="AC1083" s="4">
        <f t="shared" si="552"/>
        <v>119.51080246913583</v>
      </c>
      <c r="AD1083" s="4">
        <f>AB1083*T1083*AI1083</f>
        <v>120.06666666666669</v>
      </c>
      <c r="AE1083" s="3">
        <f t="shared" si="553"/>
        <v>276.6336</v>
      </c>
      <c r="AF1083">
        <v>360.2</v>
      </c>
      <c r="AG1083" s="4">
        <f>IFERROR((M1083*O1083*P1083), "NA")</f>
        <v>358.53240740740745</v>
      </c>
      <c r="AH1083" s="4">
        <f>IFERROR((AG1083*T1083*AI1083), "NA")</f>
        <v>358.53240740740745</v>
      </c>
      <c r="AI1083">
        <v>1</v>
      </c>
      <c r="AJ1083" s="11" t="s">
        <v>31</v>
      </c>
      <c r="AK1083">
        <v>3000</v>
      </c>
      <c r="AL1083" t="s">
        <v>169</v>
      </c>
      <c r="AM1083" t="s">
        <v>103</v>
      </c>
      <c r="AN1083" t="s">
        <v>130</v>
      </c>
      <c r="AO1083" t="s">
        <v>795</v>
      </c>
      <c r="AP1083">
        <v>7.3</v>
      </c>
      <c r="AQ1083" t="s">
        <v>33</v>
      </c>
      <c r="AR1083" t="s">
        <v>33</v>
      </c>
      <c r="AS1083">
        <v>7</v>
      </c>
      <c r="AT1083" s="3">
        <f>IFERROR(AS1083-AU1083,"NA")</f>
        <v>5.6509999999999998</v>
      </c>
      <c r="AU1083" s="6">
        <v>1.349</v>
      </c>
      <c r="AV1083" t="b">
        <v>1</v>
      </c>
      <c r="AW1083" t="s">
        <v>29</v>
      </c>
      <c r="AX1083" t="s">
        <v>30</v>
      </c>
      <c r="AY1083" t="s">
        <v>766</v>
      </c>
      <c r="AZ1083" t="s">
        <v>33</v>
      </c>
      <c r="BA1083" s="18" t="s">
        <v>798</v>
      </c>
      <c r="BB1083" s="3" t="b">
        <v>0</v>
      </c>
      <c r="BC1083" t="s">
        <v>81</v>
      </c>
      <c r="BD1083">
        <v>16</v>
      </c>
      <c r="BE1083" t="s">
        <v>80</v>
      </c>
      <c r="BF1083">
        <v>24</v>
      </c>
      <c r="BG1083" t="s">
        <v>569</v>
      </c>
      <c r="BH1083" t="s">
        <v>31</v>
      </c>
      <c r="BI1083" t="s">
        <v>31</v>
      </c>
      <c r="BJ1083" s="3">
        <f t="shared" si="537"/>
        <v>1.349</v>
      </c>
      <c r="BK1083" s="3">
        <f t="shared" si="549"/>
        <v>0.13001194967190424</v>
      </c>
      <c r="BL1083">
        <v>2</v>
      </c>
      <c r="BM1083" s="3">
        <f t="shared" si="545"/>
        <v>2.3118929788431224</v>
      </c>
      <c r="BN1083" t="s">
        <v>33</v>
      </c>
      <c r="BO1083" s="3">
        <f t="shared" si="529"/>
        <v>205.06567828020758</v>
      </c>
      <c r="BP1083" t="s">
        <v>33</v>
      </c>
      <c r="BQ1083" t="s">
        <v>33</v>
      </c>
      <c r="BR1083" t="s">
        <v>33</v>
      </c>
      <c r="BS1083" t="s">
        <v>33</v>
      </c>
      <c r="BT1083" t="s">
        <v>31</v>
      </c>
      <c r="BU1083" t="s">
        <v>767</v>
      </c>
      <c r="BV1083">
        <v>2021</v>
      </c>
      <c r="BW1083" t="s">
        <v>768</v>
      </c>
      <c r="BX1083" t="s">
        <v>78</v>
      </c>
      <c r="BY1083" t="s">
        <v>769</v>
      </c>
      <c r="CA1083" t="str">
        <f t="shared" si="530"/>
        <v>low acid</v>
      </c>
    </row>
    <row r="1084" spans="1:79">
      <c r="A1084" t="s">
        <v>698</v>
      </c>
      <c r="B1084" t="s">
        <v>566</v>
      </c>
      <c r="C1084" t="s">
        <v>563</v>
      </c>
      <c r="D1084" t="s">
        <v>699</v>
      </c>
      <c r="E1084" t="s">
        <v>77</v>
      </c>
      <c r="F1084" t="s">
        <v>32</v>
      </c>
      <c r="G1084">
        <v>20</v>
      </c>
      <c r="H1084">
        <v>42.5</v>
      </c>
      <c r="I1084" t="b">
        <v>1</v>
      </c>
      <c r="J1084" t="s">
        <v>33</v>
      </c>
      <c r="K1084" t="s">
        <v>33</v>
      </c>
      <c r="L1084">
        <v>20</v>
      </c>
      <c r="M1084" s="4">
        <v>47</v>
      </c>
      <c r="N1084" s="3">
        <f>IFERROR(AF1084/((T1084*X1084/Y1084)*O1084*AI1084),"NA")</f>
        <v>46.759259259259245</v>
      </c>
      <c r="O1084">
        <v>5</v>
      </c>
      <c r="P1084">
        <v>0.43</v>
      </c>
      <c r="Q1084" s="8">
        <f>IFERROR(X1084/Y1084, "NA")</f>
        <v>0.43200000000000011</v>
      </c>
      <c r="R1084" t="s">
        <v>183</v>
      </c>
      <c r="S1084" t="s">
        <v>612</v>
      </c>
      <c r="T1084" s="11">
        <v>1</v>
      </c>
      <c r="U1084">
        <v>4</v>
      </c>
      <c r="V1084" t="s">
        <v>33</v>
      </c>
      <c r="W1084">
        <f>0.4*3*0.5</f>
        <v>0.60000000000000009</v>
      </c>
      <c r="X1084" s="9">
        <f>W1084</f>
        <v>0.60000000000000009</v>
      </c>
      <c r="Y1084" s="6">
        <f>5000/3600</f>
        <v>1.3888888888888888</v>
      </c>
      <c r="Z1084" s="3">
        <f>IFERROR(X1084*M1084*O1084*T1084*AI1084/AF1084, "NA")</f>
        <v>1.3960396039603959</v>
      </c>
      <c r="AA1084" t="s">
        <v>33</v>
      </c>
      <c r="AB1084" s="4">
        <f>IFERROR(((X1084*M1084)/Y1084), "NA")</f>
        <v>20.304000000000002</v>
      </c>
      <c r="AC1084" s="4">
        <f t="shared" si="552"/>
        <v>20.21</v>
      </c>
      <c r="AD1084" s="4">
        <f>AB1084*T1084*AI1084</f>
        <v>20.304000000000002</v>
      </c>
      <c r="AE1084" s="3">
        <f t="shared" si="553"/>
        <v>81.216000000000022</v>
      </c>
      <c r="AF1084">
        <v>101</v>
      </c>
      <c r="AG1084" s="4">
        <f>IFERROR((M1084*O1084*P1084), "NA")</f>
        <v>101.05</v>
      </c>
      <c r="AH1084" s="4">
        <f>IFERROR((AG1084*T1084*AI1084), "NA")</f>
        <v>101.05</v>
      </c>
      <c r="AI1084">
        <v>1</v>
      </c>
      <c r="AJ1084" s="11" t="s">
        <v>31</v>
      </c>
      <c r="AK1084">
        <v>2000</v>
      </c>
      <c r="AL1084" t="s">
        <v>784</v>
      </c>
      <c r="AM1084" t="s">
        <v>103</v>
      </c>
      <c r="AN1084" t="s">
        <v>130</v>
      </c>
      <c r="AO1084" t="s">
        <v>795</v>
      </c>
      <c r="AP1084">
        <v>7</v>
      </c>
      <c r="AQ1084" t="s">
        <v>33</v>
      </c>
      <c r="AR1084" t="s">
        <v>33</v>
      </c>
      <c r="AS1084" s="6">
        <f>LOG(AVERAGE(10^8, 10^9))</f>
        <v>8.7403626894942441</v>
      </c>
      <c r="AT1084" s="3">
        <f>IFERROR(AS1084-AU1084,"NA")</f>
        <v>5.6553626894942441</v>
      </c>
      <c r="AU1084" s="6">
        <v>3.085</v>
      </c>
      <c r="AV1084" t="b">
        <v>1</v>
      </c>
      <c r="AW1084" t="s">
        <v>29</v>
      </c>
      <c r="AX1084" t="s">
        <v>30</v>
      </c>
      <c r="AY1084" t="s">
        <v>706</v>
      </c>
      <c r="AZ1084" t="s">
        <v>33</v>
      </c>
      <c r="BA1084" s="18" t="s">
        <v>798</v>
      </c>
      <c r="BB1084" s="3" t="b">
        <v>0</v>
      </c>
      <c r="BC1084" t="s">
        <v>81</v>
      </c>
      <c r="BD1084">
        <v>24</v>
      </c>
      <c r="BE1084" t="s">
        <v>80</v>
      </c>
      <c r="BF1084">
        <v>24</v>
      </c>
      <c r="BG1084" t="s">
        <v>568</v>
      </c>
      <c r="BH1084" t="s">
        <v>31</v>
      </c>
      <c r="BI1084" t="s">
        <v>31</v>
      </c>
      <c r="BJ1084" s="3">
        <f t="shared" si="537"/>
        <v>3.085</v>
      </c>
      <c r="BK1084" s="3">
        <f t="shared" si="549"/>
        <v>0.48925516836926047</v>
      </c>
      <c r="BL1084">
        <v>2</v>
      </c>
      <c r="BM1084" s="3">
        <f t="shared" si="545"/>
        <v>1.4203864277093317</v>
      </c>
      <c r="BN1084" t="s">
        <v>33</v>
      </c>
      <c r="BO1084" s="3">
        <f t="shared" si="529"/>
        <v>26.326094003241497</v>
      </c>
      <c r="BP1084" t="s">
        <v>33</v>
      </c>
      <c r="BQ1084" t="s">
        <v>33</v>
      </c>
      <c r="BR1084" t="s">
        <v>33</v>
      </c>
      <c r="BS1084" t="s">
        <v>33</v>
      </c>
      <c r="BT1084" t="s">
        <v>32</v>
      </c>
      <c r="BU1084" t="s">
        <v>709</v>
      </c>
      <c r="BV1084">
        <v>2024</v>
      </c>
      <c r="BW1084" t="s">
        <v>710</v>
      </c>
      <c r="BX1084" t="s">
        <v>78</v>
      </c>
      <c r="BY1084" t="s">
        <v>711</v>
      </c>
      <c r="CA1084" t="str">
        <f t="shared" si="530"/>
        <v>low acid</v>
      </c>
    </row>
    <row r="1085" spans="1:79">
      <c r="A1085" t="s">
        <v>343</v>
      </c>
      <c r="B1085" t="s">
        <v>566</v>
      </c>
      <c r="C1085" t="s">
        <v>563</v>
      </c>
      <c r="D1085" t="s">
        <v>33</v>
      </c>
      <c r="E1085" t="s">
        <v>77</v>
      </c>
      <c r="F1085" t="s">
        <v>32</v>
      </c>
      <c r="G1085">
        <v>20</v>
      </c>
      <c r="H1085">
        <v>23</v>
      </c>
      <c r="I1085" t="b">
        <v>0</v>
      </c>
      <c r="J1085" t="s">
        <v>33</v>
      </c>
      <c r="K1085" t="s">
        <v>33</v>
      </c>
      <c r="L1085">
        <v>30</v>
      </c>
      <c r="M1085" s="4">
        <v>2</v>
      </c>
      <c r="N1085" s="3">
        <f>IFERROR(AF1085/((T1085*X1085/Y1085)*O1085*AI1085),"NA")</f>
        <v>2.1126760563380285</v>
      </c>
      <c r="O1085">
        <v>2</v>
      </c>
      <c r="P1085" t="s">
        <v>33</v>
      </c>
      <c r="Q1085" s="8">
        <f t="shared" ref="Q1085:Q1102" si="554">IFERROR(X1085/Z1085, "NA")</f>
        <v>7.5</v>
      </c>
      <c r="R1085" t="s">
        <v>183</v>
      </c>
      <c r="S1085" t="s">
        <v>613</v>
      </c>
      <c r="T1085" s="11">
        <v>1</v>
      </c>
      <c r="U1085">
        <v>5</v>
      </c>
      <c r="V1085" t="s">
        <v>33</v>
      </c>
      <c r="W1085">
        <v>0.71</v>
      </c>
      <c r="X1085" s="8">
        <f>W1085</f>
        <v>0.71</v>
      </c>
      <c r="Y1085">
        <f>6/60</f>
        <v>0.1</v>
      </c>
      <c r="Z1085" s="3">
        <f>IFERROR(X1085*M1085*O1085*T1085*AI1085/AF1085, "NA")</f>
        <v>9.4666666666666663E-2</v>
      </c>
      <c r="AA1085">
        <v>15</v>
      </c>
      <c r="AB1085" s="6">
        <f>IFERROR(((X1085*M1085)/Z1085), "NA")</f>
        <v>15</v>
      </c>
      <c r="AC1085" t="str">
        <f t="shared" si="552"/>
        <v>NA</v>
      </c>
      <c r="AD1085" s="4">
        <f>AB1085*T1085*AI1085</f>
        <v>105</v>
      </c>
      <c r="AE1085" s="3">
        <f t="shared" si="553"/>
        <v>1105.6499999999999</v>
      </c>
      <c r="AF1085">
        <v>210</v>
      </c>
      <c r="AG1085" t="str">
        <f>IFERROR((M1085*O1085*P1085), "NA")</f>
        <v>NA</v>
      </c>
      <c r="AH1085" t="str">
        <f>IFERROR((AG1085*T1085*AI1085), "NA")</f>
        <v>NA</v>
      </c>
      <c r="AI1085">
        <v>7</v>
      </c>
      <c r="AJ1085" s="11" t="s">
        <v>32</v>
      </c>
      <c r="AK1085">
        <v>5850</v>
      </c>
      <c r="AL1085" t="s">
        <v>562</v>
      </c>
      <c r="AM1085" s="3" t="s">
        <v>786</v>
      </c>
      <c r="AN1085" t="s">
        <v>186</v>
      </c>
      <c r="AO1085" t="s">
        <v>793</v>
      </c>
      <c r="AP1085" t="s">
        <v>33</v>
      </c>
      <c r="AQ1085" t="s">
        <v>33</v>
      </c>
      <c r="AR1085" t="s">
        <v>33</v>
      </c>
      <c r="AS1085" s="6">
        <f>LOG(10^8)</f>
        <v>8</v>
      </c>
      <c r="AT1085" s="3">
        <f>IFERROR(AS1085-AU1085,"NA")</f>
        <v>5.6619999999999999</v>
      </c>
      <c r="AU1085" s="6">
        <v>2.3380000000000001</v>
      </c>
      <c r="AV1085" t="b">
        <v>1</v>
      </c>
      <c r="AW1085" t="s">
        <v>29</v>
      </c>
      <c r="AX1085" t="s">
        <v>30</v>
      </c>
      <c r="AY1085" t="s">
        <v>33</v>
      </c>
      <c r="AZ1085" t="s">
        <v>134</v>
      </c>
      <c r="BA1085" s="18" t="s">
        <v>798</v>
      </c>
      <c r="BB1085" t="b">
        <v>0</v>
      </c>
      <c r="BC1085" t="s">
        <v>81</v>
      </c>
      <c r="BD1085">
        <v>18</v>
      </c>
      <c r="BE1085" t="s">
        <v>80</v>
      </c>
      <c r="BF1085" s="11">
        <v>21</v>
      </c>
      <c r="BG1085" t="s">
        <v>694</v>
      </c>
      <c r="BH1085" t="s">
        <v>31</v>
      </c>
      <c r="BI1085" t="s">
        <v>31</v>
      </c>
      <c r="BJ1085" s="3">
        <f t="shared" si="537"/>
        <v>2.3380000000000001</v>
      </c>
      <c r="BK1085" s="3">
        <f t="shared" si="549"/>
        <v>0.36884450682582132</v>
      </c>
      <c r="BL1085">
        <v>2</v>
      </c>
      <c r="BM1085" s="3">
        <f t="shared" si="545"/>
        <v>2.6747731634296033</v>
      </c>
      <c r="BN1085" t="s">
        <v>33</v>
      </c>
      <c r="BO1085" s="3">
        <f t="shared" si="529"/>
        <v>472.90419161676641</v>
      </c>
      <c r="BP1085" t="s">
        <v>33</v>
      </c>
      <c r="BQ1085" t="s">
        <v>33</v>
      </c>
      <c r="BR1085" t="s">
        <v>33</v>
      </c>
      <c r="BS1085" t="s">
        <v>33</v>
      </c>
      <c r="BT1085" t="s">
        <v>31</v>
      </c>
      <c r="BU1085" t="s">
        <v>338</v>
      </c>
      <c r="BV1085">
        <v>2005</v>
      </c>
      <c r="BW1085" s="2" t="s">
        <v>342</v>
      </c>
      <c r="BX1085" t="s">
        <v>78</v>
      </c>
      <c r="BY1085" t="s">
        <v>340</v>
      </c>
      <c r="BZ1085" t="s">
        <v>33</v>
      </c>
      <c r="CA1085" t="str">
        <f t="shared" si="530"/>
        <v>low acid</v>
      </c>
    </row>
    <row r="1086" spans="1:79">
      <c r="A1086" t="s">
        <v>450</v>
      </c>
      <c r="B1086" t="s">
        <v>565</v>
      </c>
      <c r="C1086" t="s">
        <v>563</v>
      </c>
      <c r="D1086" t="s">
        <v>182</v>
      </c>
      <c r="E1086" t="s">
        <v>77</v>
      </c>
      <c r="F1086" t="s">
        <v>32</v>
      </c>
      <c r="G1086">
        <v>18</v>
      </c>
      <c r="H1086">
        <v>48</v>
      </c>
      <c r="I1086" t="b">
        <v>1</v>
      </c>
      <c r="J1086" t="s">
        <v>33</v>
      </c>
      <c r="K1086" t="s">
        <v>33</v>
      </c>
      <c r="L1086">
        <v>22</v>
      </c>
      <c r="M1086" s="4" t="s">
        <v>33</v>
      </c>
      <c r="N1086" s="3">
        <f>IFERROR(AF1086/((T1086*X1086/Y1086)*O1086*AI1086),"NA")</f>
        <v>330.20830099655922</v>
      </c>
      <c r="O1086">
        <v>10</v>
      </c>
      <c r="P1086">
        <f>0.047/2</f>
        <v>2.35E-2</v>
      </c>
      <c r="Q1086" s="8">
        <f t="shared" si="554"/>
        <v>2.3318614270936316E-2</v>
      </c>
      <c r="R1086" t="s">
        <v>183</v>
      </c>
      <c r="S1086" t="s">
        <v>613</v>
      </c>
      <c r="T1086" s="11">
        <v>2</v>
      </c>
      <c r="U1086">
        <v>5.6</v>
      </c>
      <c r="V1086">
        <v>4.5</v>
      </c>
      <c r="W1086" t="s">
        <v>33</v>
      </c>
      <c r="X1086" s="9">
        <f>IFERROR(((PI())*(((V1086*10^-1)/2)^2)*(U1086*10^-1)), "NA")</f>
        <v>8.9064151729270638E-2</v>
      </c>
      <c r="Y1086" s="6">
        <f>13750/3600</f>
        <v>3.8194444444444446</v>
      </c>
      <c r="Z1086" s="3">
        <f>IFERROR(X1086*N1086*O1086*T1086*AI1086/AF1086, "NA")</f>
        <v>3.8194444444444438</v>
      </c>
      <c r="AA1086" t="s">
        <v>33</v>
      </c>
      <c r="AB1086" s="4">
        <f>IFERROR(((X1086*N1086)/Y1086), "NA")</f>
        <v>7.6999999999999984</v>
      </c>
      <c r="AC1086" s="4">
        <f>IFERROR(N1086*P1086,"NA")</f>
        <v>7.7598950734191412</v>
      </c>
      <c r="AD1086" s="4">
        <f>IFERROR(AB1086*T1086*AI1086, "NA")</f>
        <v>15.399999999999997</v>
      </c>
      <c r="AE1086" s="3">
        <f>IFERROR(((L1086^2)*N1086*O1086*AK1086*10^-6*Q1086*T1086*AI1086), "NA")</f>
        <v>171.43280000000001</v>
      </c>
      <c r="AF1086">
        <v>154</v>
      </c>
      <c r="AG1086" s="4">
        <f>IFERROR((N1086*O1086*P1086), "NA")</f>
        <v>77.598950734191419</v>
      </c>
      <c r="AH1086" s="4">
        <f>IFERROR((AG1086*T1086*AI1086), "NA")</f>
        <v>155.19790146838284</v>
      </c>
      <c r="AI1086" s="11">
        <v>1</v>
      </c>
      <c r="AJ1086" t="s">
        <v>31</v>
      </c>
      <c r="AK1086">
        <v>2300</v>
      </c>
      <c r="AL1086" t="s">
        <v>805</v>
      </c>
      <c r="AM1086" t="s">
        <v>515</v>
      </c>
      <c r="AN1086" t="s">
        <v>205</v>
      </c>
      <c r="AO1086" t="s">
        <v>788</v>
      </c>
      <c r="AP1086">
        <v>3.68</v>
      </c>
      <c r="AQ1086" t="s">
        <v>33</v>
      </c>
      <c r="AR1086" t="s">
        <v>33</v>
      </c>
      <c r="AS1086">
        <f>LOG(10^8)</f>
        <v>8</v>
      </c>
      <c r="AT1086" s="3">
        <f>IFERROR(AS1086-AU1086,"NA")</f>
        <v>5.67</v>
      </c>
      <c r="AU1086" s="6">
        <v>2.33</v>
      </c>
      <c r="AV1086" t="b">
        <v>1</v>
      </c>
      <c r="AW1086" t="s">
        <v>123</v>
      </c>
      <c r="AX1086" t="s">
        <v>461</v>
      </c>
      <c r="AY1086" t="s">
        <v>466</v>
      </c>
      <c r="AZ1086" t="s">
        <v>33</v>
      </c>
      <c r="BA1086" s="18" t="s">
        <v>579</v>
      </c>
      <c r="BB1086" t="b">
        <v>1</v>
      </c>
      <c r="BC1086" t="s">
        <v>81</v>
      </c>
      <c r="BD1086" t="s">
        <v>33</v>
      </c>
      <c r="BE1086" t="s">
        <v>80</v>
      </c>
      <c r="BF1086" t="s">
        <v>33</v>
      </c>
      <c r="BG1086" t="s">
        <v>395</v>
      </c>
      <c r="BH1086" t="s">
        <v>31</v>
      </c>
      <c r="BI1086" t="s">
        <v>31</v>
      </c>
      <c r="BJ1086" s="3">
        <f t="shared" si="537"/>
        <v>2.33</v>
      </c>
      <c r="BK1086" s="3">
        <f t="shared" si="549"/>
        <v>0.36735592102601899</v>
      </c>
      <c r="BL1086">
        <v>2</v>
      </c>
      <c r="BM1086" s="3">
        <f t="shared" si="545"/>
        <v>1.8667379974724494</v>
      </c>
      <c r="BN1086" t="s">
        <v>33</v>
      </c>
      <c r="BO1086" s="3">
        <f t="shared" si="529"/>
        <v>73.576309012875541</v>
      </c>
      <c r="BP1086" t="s">
        <v>33</v>
      </c>
      <c r="BQ1086" t="s">
        <v>33</v>
      </c>
      <c r="BR1086" t="s">
        <v>33</v>
      </c>
      <c r="BS1086" t="s">
        <v>33</v>
      </c>
      <c r="BT1086" t="s">
        <v>32</v>
      </c>
      <c r="BU1086" t="s">
        <v>484</v>
      </c>
      <c r="BV1086">
        <v>2015</v>
      </c>
      <c r="BW1086" t="s">
        <v>485</v>
      </c>
      <c r="BX1086" t="s">
        <v>78</v>
      </c>
      <c r="BY1086" t="s">
        <v>486</v>
      </c>
      <c r="BZ1086" t="s">
        <v>780</v>
      </c>
      <c r="CA1086" t="str">
        <f t="shared" si="530"/>
        <v>high acid</v>
      </c>
    </row>
    <row r="1087" spans="1:79">
      <c r="A1087" t="s">
        <v>459</v>
      </c>
      <c r="B1087" t="s">
        <v>565</v>
      </c>
      <c r="C1087" t="s">
        <v>563</v>
      </c>
      <c r="D1087" t="s">
        <v>182</v>
      </c>
      <c r="E1087" t="s">
        <v>77</v>
      </c>
      <c r="F1087" t="s">
        <v>32</v>
      </c>
      <c r="G1087">
        <v>18</v>
      </c>
      <c r="H1087">
        <v>49</v>
      </c>
      <c r="I1087" t="b">
        <v>1</v>
      </c>
      <c r="J1087" t="s">
        <v>33</v>
      </c>
      <c r="K1087" t="s">
        <v>33</v>
      </c>
      <c r="L1087">
        <v>33</v>
      </c>
      <c r="M1087" s="4" t="s">
        <v>33</v>
      </c>
      <c r="N1087" s="3">
        <f>IFERROR(AF1087/((T1087*X1087/Y1087)*O1087*AI1087),"NA")</f>
        <v>281.42752925843115</v>
      </c>
      <c r="O1087">
        <v>8</v>
      </c>
      <c r="P1087">
        <f>0.047/2</f>
        <v>2.35E-2</v>
      </c>
      <c r="Q1087" s="8">
        <f t="shared" si="554"/>
        <v>2.3318614270936313E-2</v>
      </c>
      <c r="R1087" t="s">
        <v>183</v>
      </c>
      <c r="S1087" t="s">
        <v>613</v>
      </c>
      <c r="T1087" s="11">
        <v>2</v>
      </c>
      <c r="U1087">
        <v>5.6</v>
      </c>
      <c r="V1087">
        <v>4.5</v>
      </c>
      <c r="W1087" t="s">
        <v>33</v>
      </c>
      <c r="X1087" s="9">
        <f>IFERROR(((PI())*(((V1087*10^-1)/2)^2)*(U1087*10^-1)), "NA")</f>
        <v>8.9064151729270638E-2</v>
      </c>
      <c r="Y1087" s="6">
        <f>13750/3600</f>
        <v>3.8194444444444446</v>
      </c>
      <c r="Z1087" s="3">
        <f>IFERROR(X1087*N1087*O1087*T1087*AI1087/AF1087, "NA")</f>
        <v>3.8194444444444442</v>
      </c>
      <c r="AA1087" t="s">
        <v>33</v>
      </c>
      <c r="AB1087" s="4">
        <f>IFERROR(((X1087*N1087)/Y1087), "NA")</f>
        <v>6.5624999999999991</v>
      </c>
      <c r="AC1087" s="4">
        <f>IFERROR(N1087*P1087,"NA")</f>
        <v>6.6135469375731324</v>
      </c>
      <c r="AD1087" s="4">
        <f>AB1087*T1087*AI1087</f>
        <v>13.124999999999998</v>
      </c>
      <c r="AE1087" s="3">
        <f>IFERROR(((L1087^2)*N1087*O1087*AK1087*10^-6*Q1087*T1087*AI1087), "NA")</f>
        <v>262.99349999999998</v>
      </c>
      <c r="AF1087">
        <v>105</v>
      </c>
      <c r="AG1087" s="4">
        <f>IFERROR((N1087*O1087*P1087), "NA")</f>
        <v>52.908375500585059</v>
      </c>
      <c r="AH1087" s="4">
        <f>IFERROR((AG1087*T1087*AI1087), "NA")</f>
        <v>105.81675100117012</v>
      </c>
      <c r="AI1087" s="11">
        <v>1</v>
      </c>
      <c r="AJ1087" t="s">
        <v>31</v>
      </c>
      <c r="AK1087">
        <v>2300</v>
      </c>
      <c r="AL1087" t="s">
        <v>805</v>
      </c>
      <c r="AM1087" t="s">
        <v>515</v>
      </c>
      <c r="AN1087" t="s">
        <v>205</v>
      </c>
      <c r="AO1087" t="s">
        <v>788</v>
      </c>
      <c r="AP1087">
        <v>3.68</v>
      </c>
      <c r="AQ1087" t="s">
        <v>33</v>
      </c>
      <c r="AR1087" t="s">
        <v>33</v>
      </c>
      <c r="AS1087">
        <f>LOG(10^8)</f>
        <v>8</v>
      </c>
      <c r="AT1087" s="3">
        <f>IFERROR(AS1087-AU1087,"NA")</f>
        <v>5.67</v>
      </c>
      <c r="AU1087" s="6">
        <v>2.33</v>
      </c>
      <c r="AV1087" t="b">
        <v>1</v>
      </c>
      <c r="AW1087" t="s">
        <v>480</v>
      </c>
      <c r="AX1087" t="s">
        <v>478</v>
      </c>
      <c r="AY1087" t="s">
        <v>481</v>
      </c>
      <c r="AZ1087" t="s">
        <v>33</v>
      </c>
      <c r="BA1087" s="18" t="s">
        <v>579</v>
      </c>
      <c r="BB1087" t="b">
        <v>1</v>
      </c>
      <c r="BC1087" t="s">
        <v>81</v>
      </c>
      <c r="BD1087" t="s">
        <v>33</v>
      </c>
      <c r="BE1087" t="s">
        <v>80</v>
      </c>
      <c r="BF1087" t="s">
        <v>33</v>
      </c>
      <c r="BG1087" t="s">
        <v>395</v>
      </c>
      <c r="BH1087" t="s">
        <v>31</v>
      </c>
      <c r="BI1087" t="s">
        <v>31</v>
      </c>
      <c r="BJ1087" s="3">
        <f t="shared" si="537"/>
        <v>2.33</v>
      </c>
      <c r="BK1087" s="3">
        <f t="shared" si="549"/>
        <v>0.36735592102601899</v>
      </c>
      <c r="BL1087">
        <v>2</v>
      </c>
      <c r="BM1087" s="3">
        <f t="shared" si="545"/>
        <v>2.052589093817287</v>
      </c>
      <c r="BN1087" t="s">
        <v>33</v>
      </c>
      <c r="BO1087" s="3">
        <f t="shared" si="529"/>
        <v>112.87274678111586</v>
      </c>
      <c r="BP1087" t="s">
        <v>33</v>
      </c>
      <c r="BQ1087" t="s">
        <v>33</v>
      </c>
      <c r="BR1087" t="s">
        <v>33</v>
      </c>
      <c r="BS1087" t="s">
        <v>33</v>
      </c>
      <c r="BT1087" t="s">
        <v>32</v>
      </c>
      <c r="BU1087" t="s">
        <v>484</v>
      </c>
      <c r="BV1087">
        <v>2015</v>
      </c>
      <c r="BW1087" t="s">
        <v>485</v>
      </c>
      <c r="BX1087" t="s">
        <v>78</v>
      </c>
      <c r="BY1087" t="s">
        <v>486</v>
      </c>
      <c r="CA1087" t="str">
        <f t="shared" si="530"/>
        <v>high acid</v>
      </c>
    </row>
    <row r="1088" spans="1:79">
      <c r="A1088" t="s">
        <v>588</v>
      </c>
      <c r="B1088" t="s">
        <v>565</v>
      </c>
      <c r="C1088" t="s">
        <v>563</v>
      </c>
      <c r="D1088" t="s">
        <v>608</v>
      </c>
      <c r="E1088" t="s">
        <v>77</v>
      </c>
      <c r="F1088" t="s">
        <v>32</v>
      </c>
      <c r="G1088" t="s">
        <v>33</v>
      </c>
      <c r="H1088">
        <v>40</v>
      </c>
      <c r="I1088" t="b">
        <v>0</v>
      </c>
      <c r="J1088" t="s">
        <v>33</v>
      </c>
      <c r="K1088" t="s">
        <v>33</v>
      </c>
      <c r="L1088">
        <v>35</v>
      </c>
      <c r="M1088" s="4">
        <v>250</v>
      </c>
      <c r="N1088" t="e">
        <f>(#REF!*Y1088)/(T1088*X1088*O1088)</f>
        <v>#REF!</v>
      </c>
      <c r="O1088">
        <v>3.7</v>
      </c>
      <c r="P1088" t="s">
        <v>33</v>
      </c>
      <c r="Q1088" s="1">
        <f t="shared" si="554"/>
        <v>1.6216216216216214E-2</v>
      </c>
      <c r="R1088" t="s">
        <v>183</v>
      </c>
      <c r="S1088" t="s">
        <v>613</v>
      </c>
      <c r="T1088">
        <v>6</v>
      </c>
      <c r="U1088">
        <v>1.9</v>
      </c>
      <c r="V1088">
        <v>2.2999999999999998</v>
      </c>
      <c r="W1088" t="s">
        <v>33</v>
      </c>
      <c r="X1088">
        <f>IFERROR(((PI())*(((V1088*10^-1)/2)^2)*(U1088*10^-1)), "NA")</f>
        <v>7.8940369403077502E-3</v>
      </c>
      <c r="Y1088">
        <v>1</v>
      </c>
      <c r="Z1088" s="3">
        <f t="shared" ref="Z1088:Z1093" si="555">IFERROR(X1088*M1088*O1088*T1088*AI1088/AF1088, "NA")</f>
        <v>0.48679894465231133</v>
      </c>
      <c r="AA1088" t="s">
        <v>33</v>
      </c>
      <c r="AB1088">
        <f t="shared" ref="AB1088:AB1093" si="556">IFERROR(((X1088*M1088)/Z1088), "NA")</f>
        <v>4.0540540540540535</v>
      </c>
      <c r="AC1088" s="1" t="str">
        <f t="shared" ref="AC1088:AC1093" si="557">IFERROR(M1088*P1088,"NA")</f>
        <v>NA</v>
      </c>
      <c r="AE1088" s="3">
        <f t="shared" ref="AE1088:AE1093" si="558">IFERROR(((L1088^2)*M1088*O1088*AK1088*10^-6*Q1088*T1088*AI1088), "NA")</f>
        <v>529.19999999999993</v>
      </c>
      <c r="AF1088">
        <v>90</v>
      </c>
      <c r="AG1088" s="1" t="str">
        <f>IFERROR((N1088*P1088*Q1088), "NA")</f>
        <v>NA</v>
      </c>
      <c r="AH1088" s="1" t="str">
        <f>IFERROR((AG1088*U1088*AI1088), "NA")</f>
        <v>NA</v>
      </c>
      <c r="AI1088" s="1">
        <v>1</v>
      </c>
      <c r="AJ1088" s="11" t="s">
        <v>31</v>
      </c>
      <c r="AK1088">
        <v>4800</v>
      </c>
      <c r="AL1088" t="s">
        <v>156</v>
      </c>
      <c r="AM1088" t="s">
        <v>157</v>
      </c>
      <c r="AN1088" t="s">
        <v>186</v>
      </c>
      <c r="AO1088" t="s">
        <v>792</v>
      </c>
      <c r="AP1088">
        <v>6.53</v>
      </c>
      <c r="AQ1088" t="s">
        <v>33</v>
      </c>
      <c r="AR1088" t="s">
        <v>33</v>
      </c>
      <c r="AS1088">
        <v>6.5</v>
      </c>
      <c r="AT1088">
        <v>5.67</v>
      </c>
      <c r="AU1088" s="6">
        <f>AS1088-AT1088</f>
        <v>0.83000000000000007</v>
      </c>
      <c r="AV1088" t="b">
        <v>1</v>
      </c>
      <c r="AW1088" t="s">
        <v>626</v>
      </c>
      <c r="AX1088" t="s">
        <v>627</v>
      </c>
      <c r="AY1088" t="s">
        <v>625</v>
      </c>
      <c r="AZ1088" t="s">
        <v>33</v>
      </c>
      <c r="BA1088" s="18" t="s">
        <v>800</v>
      </c>
      <c r="BB1088" s="3" t="b">
        <v>0</v>
      </c>
      <c r="BC1088" t="s">
        <v>81</v>
      </c>
      <c r="BD1088">
        <v>12</v>
      </c>
      <c r="BE1088" t="s">
        <v>80</v>
      </c>
      <c r="BF1088">
        <v>48</v>
      </c>
      <c r="BG1088" t="s">
        <v>643</v>
      </c>
      <c r="BH1088" t="s">
        <v>31</v>
      </c>
      <c r="BI1088" t="s">
        <v>31</v>
      </c>
      <c r="BJ1088">
        <f t="shared" si="537"/>
        <v>0.83000000000000007</v>
      </c>
      <c r="BK1088" s="3">
        <f t="shared" si="549"/>
        <v>-8.0921907623926065E-2</v>
      </c>
      <c r="BL1088">
        <v>2</v>
      </c>
      <c r="BM1088" s="3">
        <f t="shared" si="545"/>
        <v>2.8045417431393895</v>
      </c>
      <c r="BN1088" t="s">
        <v>33</v>
      </c>
      <c r="BO1088" s="3">
        <f t="shared" si="529"/>
        <v>637.59036144578295</v>
      </c>
      <c r="BP1088" t="s">
        <v>33</v>
      </c>
      <c r="BQ1088" t="s">
        <v>33</v>
      </c>
      <c r="BR1088" t="s">
        <v>33</v>
      </c>
      <c r="BS1088" t="s">
        <v>33</v>
      </c>
      <c r="BT1088" t="s">
        <v>31</v>
      </c>
      <c r="BU1088" s="13" t="s">
        <v>163</v>
      </c>
      <c r="BV1088">
        <v>2004</v>
      </c>
      <c r="BW1088" t="s">
        <v>654</v>
      </c>
      <c r="BX1088" t="s">
        <v>78</v>
      </c>
      <c r="BY1088" s="13" t="s">
        <v>677</v>
      </c>
      <c r="CA1088" t="str">
        <f t="shared" si="530"/>
        <v>low acid</v>
      </c>
    </row>
    <row r="1089" spans="1:79">
      <c r="A1089" t="s">
        <v>533</v>
      </c>
      <c r="B1089" t="s">
        <v>565</v>
      </c>
      <c r="C1089" t="s">
        <v>564</v>
      </c>
      <c r="D1089" t="s">
        <v>209</v>
      </c>
      <c r="E1089" t="s">
        <v>77</v>
      </c>
      <c r="F1089" t="s">
        <v>32</v>
      </c>
      <c r="G1089">
        <v>30</v>
      </c>
      <c r="H1089">
        <v>38.200000000000003</v>
      </c>
      <c r="I1089" t="b">
        <v>0</v>
      </c>
      <c r="J1089" t="s">
        <v>33</v>
      </c>
      <c r="K1089" t="s">
        <v>33</v>
      </c>
      <c r="L1089">
        <v>12</v>
      </c>
      <c r="M1089" s="4">
        <v>120</v>
      </c>
      <c r="N1089" s="3">
        <f>IFERROR(AF1089/((T1089*X1089/Y1089)*O1089*AI1089),"NA")</f>
        <v>79.525152366758988</v>
      </c>
      <c r="O1089">
        <v>3</v>
      </c>
      <c r="P1089" t="s">
        <v>33</v>
      </c>
      <c r="Q1089" s="8">
        <f t="shared" si="554"/>
        <v>8.3333333333333329E-2</v>
      </c>
      <c r="R1089" t="s">
        <v>183</v>
      </c>
      <c r="S1089" t="s">
        <v>612</v>
      </c>
      <c r="T1089" s="11">
        <v>4</v>
      </c>
      <c r="U1089">
        <v>3</v>
      </c>
      <c r="V1089">
        <v>2.6</v>
      </c>
      <c r="W1089" t="s">
        <v>33</v>
      </c>
      <c r="X1089" s="8">
        <f>IFERROR(((PI())*(((V1089*10^-1)/2)^2)*(U1089*10^-1)), "NA")</f>
        <v>1.5927874753700257E-2</v>
      </c>
      <c r="Y1089" s="6">
        <f>7.6/60</f>
        <v>0.12666666666666665</v>
      </c>
      <c r="Z1089" s="3">
        <f t="shared" si="555"/>
        <v>0.19113449704440308</v>
      </c>
      <c r="AA1089" t="s">
        <v>33</v>
      </c>
      <c r="AB1089" s="6">
        <f t="shared" si="556"/>
        <v>10</v>
      </c>
      <c r="AC1089" t="str">
        <f t="shared" si="557"/>
        <v>NA</v>
      </c>
      <c r="AD1089" s="4">
        <f>IFERROR(AB1089*T1089*AI1089, "NA")</f>
        <v>40</v>
      </c>
      <c r="AE1089" s="3">
        <f t="shared" si="558"/>
        <v>16.934399999999997</v>
      </c>
      <c r="AF1089">
        <v>120</v>
      </c>
      <c r="AG1089" t="str">
        <f>IFERROR((M1089*O1089*P1089), "NA")</f>
        <v>NA</v>
      </c>
      <c r="AH1089" t="str">
        <f>IFERROR((AG1089*T1089*AI1089), "NA")</f>
        <v>NA</v>
      </c>
      <c r="AI1089" s="11">
        <v>1</v>
      </c>
      <c r="AJ1089" t="s">
        <v>31</v>
      </c>
      <c r="AK1089">
        <v>980</v>
      </c>
      <c r="AL1089" t="s">
        <v>551</v>
      </c>
      <c r="AM1089" t="s">
        <v>86</v>
      </c>
      <c r="AN1089" t="s">
        <v>186</v>
      </c>
      <c r="AO1089" t="s">
        <v>794</v>
      </c>
      <c r="AP1089">
        <v>5.98</v>
      </c>
      <c r="AQ1089" t="s">
        <v>33</v>
      </c>
      <c r="AR1089" t="s">
        <v>33</v>
      </c>
      <c r="AS1089" s="6">
        <v>6.5</v>
      </c>
      <c r="AT1089" s="3">
        <f>IFERROR(AS1089-AU1089,"NA")</f>
        <v>5.67</v>
      </c>
      <c r="AU1089" s="6">
        <v>0.83</v>
      </c>
      <c r="AV1089" t="b">
        <v>1</v>
      </c>
      <c r="AW1089" t="s">
        <v>29</v>
      </c>
      <c r="AX1089" t="s">
        <v>30</v>
      </c>
      <c r="AY1089" t="s">
        <v>211</v>
      </c>
      <c r="AZ1089" t="s">
        <v>33</v>
      </c>
      <c r="BA1089" s="18" t="s">
        <v>798</v>
      </c>
      <c r="BB1089" t="b">
        <v>0</v>
      </c>
      <c r="BC1089" t="s">
        <v>81</v>
      </c>
      <c r="BD1089">
        <v>20</v>
      </c>
      <c r="BE1089" t="s">
        <v>80</v>
      </c>
      <c r="BF1089" s="11">
        <v>20</v>
      </c>
      <c r="BG1089" t="s">
        <v>570</v>
      </c>
      <c r="BH1089" t="s">
        <v>31</v>
      </c>
      <c r="BI1089" t="s">
        <v>31</v>
      </c>
      <c r="BJ1089" s="3">
        <f t="shared" si="537"/>
        <v>0.83</v>
      </c>
      <c r="BK1089" s="3">
        <f t="shared" si="549"/>
        <v>-8.092190762392612E-2</v>
      </c>
      <c r="BL1089">
        <v>2</v>
      </c>
      <c r="BM1089" s="3">
        <f t="shared" si="545"/>
        <v>1.3096917214592954</v>
      </c>
      <c r="BN1089" t="s">
        <v>33</v>
      </c>
      <c r="BO1089" s="3">
        <f t="shared" si="529"/>
        <v>20.402891566265058</v>
      </c>
      <c r="BP1089" t="s">
        <v>33</v>
      </c>
      <c r="BQ1089" t="s">
        <v>33</v>
      </c>
      <c r="BR1089" t="s">
        <v>33</v>
      </c>
      <c r="BS1089" t="s">
        <v>33</v>
      </c>
      <c r="BT1089" t="s">
        <v>32</v>
      </c>
      <c r="BU1089" t="s">
        <v>207</v>
      </c>
      <c r="BV1089">
        <v>2014</v>
      </c>
      <c r="BW1089" t="s">
        <v>208</v>
      </c>
      <c r="BX1089" t="s">
        <v>78</v>
      </c>
      <c r="BY1089" t="s">
        <v>33</v>
      </c>
      <c r="BZ1089" t="s">
        <v>33</v>
      </c>
      <c r="CA1089" t="str">
        <f t="shared" si="530"/>
        <v>low acid</v>
      </c>
    </row>
    <row r="1090" spans="1:79">
      <c r="A1090" t="s">
        <v>386</v>
      </c>
      <c r="B1090" t="s">
        <v>566</v>
      </c>
      <c r="C1090" t="s">
        <v>563</v>
      </c>
      <c r="D1090" t="s">
        <v>387</v>
      </c>
      <c r="E1090" t="s">
        <v>77</v>
      </c>
      <c r="F1090" t="s">
        <v>31</v>
      </c>
      <c r="G1090">
        <v>25</v>
      </c>
      <c r="H1090">
        <v>34</v>
      </c>
      <c r="I1090" t="b">
        <v>0</v>
      </c>
      <c r="J1090" t="s">
        <v>33</v>
      </c>
      <c r="K1090" t="s">
        <v>33</v>
      </c>
      <c r="L1090">
        <v>15</v>
      </c>
      <c r="M1090" s="4">
        <v>10</v>
      </c>
      <c r="N1090" s="3">
        <f>IFERROR(AF1090/((T1090*X1090/Y1090)*O1090*AI1090),"NA")</f>
        <v>9.8876404494382033</v>
      </c>
      <c r="O1090">
        <v>100</v>
      </c>
      <c r="P1090" t="s">
        <v>33</v>
      </c>
      <c r="Q1090" s="8">
        <f t="shared" si="554"/>
        <v>0.8</v>
      </c>
      <c r="R1090" t="s">
        <v>183</v>
      </c>
      <c r="S1090" t="s">
        <v>612</v>
      </c>
      <c r="T1090" s="11">
        <v>1</v>
      </c>
      <c r="U1090">
        <v>2.5</v>
      </c>
      <c r="V1090" t="s">
        <v>33</v>
      </c>
      <c r="W1090" t="s">
        <v>33</v>
      </c>
      <c r="X1090" s="8">
        <f>(0.18*2+0.44*0.8)/2</f>
        <v>0.35599999999999998</v>
      </c>
      <c r="Y1090">
        <v>0.44</v>
      </c>
      <c r="Z1090" s="3">
        <f t="shared" si="555"/>
        <v>0.44499999999999995</v>
      </c>
      <c r="AA1090">
        <v>8</v>
      </c>
      <c r="AB1090" s="6">
        <f t="shared" si="556"/>
        <v>8</v>
      </c>
      <c r="AC1090" t="str">
        <f t="shared" si="557"/>
        <v>NA</v>
      </c>
      <c r="AD1090" s="4">
        <f>IFERROR(AB1090*T1090*AI1090, "NA")</f>
        <v>8</v>
      </c>
      <c r="AE1090" s="3">
        <f t="shared" si="558"/>
        <v>0.84599999999999997</v>
      </c>
      <c r="AF1090">
        <v>800</v>
      </c>
      <c r="AG1090" t="str">
        <f>IFERROR((M1090*O1090*P1090), "NA")</f>
        <v>NA</v>
      </c>
      <c r="AH1090" t="str">
        <f>IFERROR((AG1090*T1090*AI1090), "NA")</f>
        <v>NA</v>
      </c>
      <c r="AI1090" s="11">
        <v>1</v>
      </c>
      <c r="AJ1090" t="s">
        <v>31</v>
      </c>
      <c r="AK1090" s="11">
        <v>4.7</v>
      </c>
      <c r="AL1090" t="s">
        <v>492</v>
      </c>
      <c r="AM1090" t="s">
        <v>103</v>
      </c>
      <c r="AN1090" t="s">
        <v>130</v>
      </c>
      <c r="AO1090" t="s">
        <v>795</v>
      </c>
      <c r="AP1090">
        <f>(7+7.4)/2</f>
        <v>7.2</v>
      </c>
      <c r="AQ1090" t="s">
        <v>33</v>
      </c>
      <c r="AR1090" t="s">
        <v>33</v>
      </c>
      <c r="AS1090" s="6">
        <f>LOG(10^7)</f>
        <v>7</v>
      </c>
      <c r="AT1090" s="3">
        <f>IFERROR(AS1090-AU1090,"NA")</f>
        <v>5.68</v>
      </c>
      <c r="AU1090" s="6">
        <v>1.32</v>
      </c>
      <c r="AV1090" t="b">
        <v>1</v>
      </c>
      <c r="AW1090" t="s">
        <v>29</v>
      </c>
      <c r="AX1090" t="s">
        <v>30</v>
      </c>
      <c r="AY1090" t="s">
        <v>361</v>
      </c>
      <c r="AZ1090" t="s">
        <v>33</v>
      </c>
      <c r="BA1090" s="18" t="s">
        <v>798</v>
      </c>
      <c r="BB1090" t="b">
        <v>0</v>
      </c>
      <c r="BC1090" t="s">
        <v>81</v>
      </c>
      <c r="BD1090">
        <v>17</v>
      </c>
      <c r="BE1090" t="s">
        <v>80</v>
      </c>
      <c r="BF1090" s="11">
        <v>24</v>
      </c>
      <c r="BG1090" t="s">
        <v>245</v>
      </c>
      <c r="BH1090" t="s">
        <v>31</v>
      </c>
      <c r="BI1090" t="s">
        <v>31</v>
      </c>
      <c r="BJ1090" s="3">
        <f t="shared" si="537"/>
        <v>1.32</v>
      </c>
      <c r="BK1090" s="3">
        <f t="shared" si="549"/>
        <v>0.12057393120584989</v>
      </c>
      <c r="BL1090">
        <v>2</v>
      </c>
      <c r="BM1090" s="3">
        <f t="shared" si="545"/>
        <v>-0.19320356816682635</v>
      </c>
      <c r="BN1090" t="s">
        <v>33</v>
      </c>
      <c r="BO1090" s="3">
        <f t="shared" ref="BO1090:BO1153" si="559">IFERROR((AE1090/BJ1090),"NA")</f>
        <v>0.64090909090909087</v>
      </c>
      <c r="BP1090" t="s">
        <v>33</v>
      </c>
      <c r="BQ1090" t="s">
        <v>33</v>
      </c>
      <c r="BR1090" t="s">
        <v>33</v>
      </c>
      <c r="BS1090" t="s">
        <v>33</v>
      </c>
      <c r="BT1090" t="s">
        <v>32</v>
      </c>
      <c r="BU1090" t="s">
        <v>388</v>
      </c>
      <c r="BV1090" s="11">
        <v>2017</v>
      </c>
      <c r="BW1090" t="s">
        <v>389</v>
      </c>
      <c r="BX1090" t="s">
        <v>78</v>
      </c>
      <c r="BY1090" t="s">
        <v>390</v>
      </c>
      <c r="BZ1090" t="s">
        <v>33</v>
      </c>
      <c r="CA1090" t="str">
        <f t="shared" si="530"/>
        <v>low acid</v>
      </c>
    </row>
    <row r="1091" spans="1:79">
      <c r="A1091" t="s">
        <v>583</v>
      </c>
      <c r="B1091" t="s">
        <v>566</v>
      </c>
      <c r="C1091" t="s">
        <v>563</v>
      </c>
      <c r="D1091" t="s">
        <v>33</v>
      </c>
      <c r="E1091" t="s">
        <v>77</v>
      </c>
      <c r="F1091" t="s">
        <v>32</v>
      </c>
      <c r="G1091" t="s">
        <v>33</v>
      </c>
      <c r="H1091">
        <v>30</v>
      </c>
      <c r="I1091" t="b">
        <v>1</v>
      </c>
      <c r="J1091" t="s">
        <v>33</v>
      </c>
      <c r="K1091" t="s">
        <v>33</v>
      </c>
      <c r="L1091">
        <v>20</v>
      </c>
      <c r="M1091" s="4">
        <v>2</v>
      </c>
      <c r="N1091" t="e">
        <f>(#REF!*Y1091)/(T1091*X1091*O1091)</f>
        <v>#REF!</v>
      </c>
      <c r="O1091">
        <v>2</v>
      </c>
      <c r="P1091" t="s">
        <v>33</v>
      </c>
      <c r="Q1091" s="1">
        <f t="shared" si="554"/>
        <v>52.5</v>
      </c>
      <c r="R1091" t="s">
        <v>183</v>
      </c>
      <c r="S1091" t="s">
        <v>613</v>
      </c>
      <c r="T1091">
        <v>1</v>
      </c>
      <c r="U1091">
        <v>5</v>
      </c>
      <c r="V1091" t="s">
        <v>33</v>
      </c>
      <c r="W1091">
        <v>0.71</v>
      </c>
      <c r="X1091">
        <f>W1091</f>
        <v>0.71</v>
      </c>
      <c r="Y1091">
        <v>0.1</v>
      </c>
      <c r="Z1091" s="3">
        <f t="shared" si="555"/>
        <v>1.3523809523809523E-2</v>
      </c>
      <c r="AA1091" t="s">
        <v>33</v>
      </c>
      <c r="AB1091">
        <f t="shared" si="556"/>
        <v>105</v>
      </c>
      <c r="AC1091" s="1" t="str">
        <f t="shared" si="557"/>
        <v>NA</v>
      </c>
      <c r="AE1091" s="3">
        <f t="shared" si="558"/>
        <v>394.79999999999995</v>
      </c>
      <c r="AF1091">
        <v>210</v>
      </c>
      <c r="AG1091" s="1" t="str">
        <f>IFERROR((N1091*P1091*Q1091), "NA")</f>
        <v>NA</v>
      </c>
      <c r="AH1091" s="1" t="str">
        <f>IFERROR((AG1091*U1091*AI1091), "NA")</f>
        <v>NA</v>
      </c>
      <c r="AI1091" s="1">
        <v>1</v>
      </c>
      <c r="AJ1091" s="11" t="s">
        <v>31</v>
      </c>
      <c r="AK1091">
        <v>4700</v>
      </c>
      <c r="AL1091" t="s">
        <v>562</v>
      </c>
      <c r="AM1091" s="3" t="s">
        <v>786</v>
      </c>
      <c r="AN1091" t="s">
        <v>186</v>
      </c>
      <c r="AO1091" t="s">
        <v>793</v>
      </c>
      <c r="AP1091" t="s">
        <v>33</v>
      </c>
      <c r="AQ1091" t="s">
        <v>33</v>
      </c>
      <c r="AR1091" t="s">
        <v>33</v>
      </c>
      <c r="AS1091">
        <v>8</v>
      </c>
      <c r="AT1091">
        <f>AS1091-AU1091</f>
        <v>5.68</v>
      </c>
      <c r="AU1091" s="6">
        <v>2.3199999999999998</v>
      </c>
      <c r="AV1091" t="b">
        <v>1</v>
      </c>
      <c r="AW1091" t="s">
        <v>617</v>
      </c>
      <c r="AX1091" t="s">
        <v>33</v>
      </c>
      <c r="AY1091" t="s">
        <v>622</v>
      </c>
      <c r="AZ1091" t="s">
        <v>619</v>
      </c>
      <c r="BA1091" s="18" t="s">
        <v>802</v>
      </c>
      <c r="BB1091" s="3" t="b">
        <v>0</v>
      </c>
      <c r="BC1091" t="s">
        <v>81</v>
      </c>
      <c r="BD1091">
        <v>18</v>
      </c>
      <c r="BE1091" t="s">
        <v>80</v>
      </c>
      <c r="BF1091">
        <v>24</v>
      </c>
      <c r="BG1091" t="s">
        <v>696</v>
      </c>
      <c r="BH1091" t="s">
        <v>32</v>
      </c>
      <c r="BI1091" t="s">
        <v>31</v>
      </c>
      <c r="BJ1091">
        <f t="shared" si="537"/>
        <v>2.3199999999999998</v>
      </c>
      <c r="BK1091" s="3">
        <f t="shared" si="549"/>
        <v>0.36548798489089962</v>
      </c>
      <c r="BL1091">
        <v>2</v>
      </c>
      <c r="BM1091" s="3">
        <f t="shared" si="545"/>
        <v>2.2308891591066993</v>
      </c>
      <c r="BN1091" t="s">
        <v>33</v>
      </c>
      <c r="BO1091" s="3">
        <f t="shared" si="559"/>
        <v>170.17241379310343</v>
      </c>
      <c r="BP1091" t="s">
        <v>33</v>
      </c>
      <c r="BQ1091" t="s">
        <v>33</v>
      </c>
      <c r="BR1091" t="s">
        <v>33</v>
      </c>
      <c r="BS1091" t="s">
        <v>33</v>
      </c>
      <c r="BT1091" t="s">
        <v>31</v>
      </c>
      <c r="BU1091" t="s">
        <v>338</v>
      </c>
      <c r="BV1091">
        <v>2005</v>
      </c>
      <c r="BW1091" t="s">
        <v>342</v>
      </c>
      <c r="BX1091" t="s">
        <v>78</v>
      </c>
      <c r="BY1091" s="13" t="s">
        <v>673</v>
      </c>
      <c r="CA1091" t="str">
        <f t="shared" ref="CA1091:CA1154" si="560">IF(OR(AN1091="low acidic liquid medium", AN1091="low acidic food product"), "low acid",
    IF(OR(AN1091="high acidic food product", AN1091="high acidic liquid medium"), "high acid", "NA"))</f>
        <v>low acid</v>
      </c>
    </row>
    <row r="1092" spans="1:79">
      <c r="A1092" t="s">
        <v>597</v>
      </c>
      <c r="B1092" t="s">
        <v>565</v>
      </c>
      <c r="C1092" t="s">
        <v>563</v>
      </c>
      <c r="D1092" t="s">
        <v>33</v>
      </c>
      <c r="E1092" t="s">
        <v>77</v>
      </c>
      <c r="F1092" t="s">
        <v>33</v>
      </c>
      <c r="G1092">
        <v>20</v>
      </c>
      <c r="H1092">
        <v>35</v>
      </c>
      <c r="I1092" t="b">
        <v>0</v>
      </c>
      <c r="J1092" t="s">
        <v>33</v>
      </c>
      <c r="K1092" t="s">
        <v>33</v>
      </c>
      <c r="L1092">
        <v>19</v>
      </c>
      <c r="M1092" s="4">
        <v>1</v>
      </c>
      <c r="N1092" t="e">
        <f>(#REF!*Y1092)/(T1092*X1092*O1092)</f>
        <v>#REF!</v>
      </c>
      <c r="O1092">
        <v>2</v>
      </c>
      <c r="P1092" t="s">
        <v>33</v>
      </c>
      <c r="Q1092" s="1">
        <f t="shared" si="554"/>
        <v>502.00000000000006</v>
      </c>
      <c r="R1092" t="s">
        <v>183</v>
      </c>
      <c r="S1092" t="s">
        <v>33</v>
      </c>
      <c r="T1092">
        <v>1</v>
      </c>
      <c r="U1092">
        <v>2.5</v>
      </c>
      <c r="V1092" t="s">
        <v>33</v>
      </c>
      <c r="W1092">
        <v>0.50249999999999995</v>
      </c>
      <c r="X1092">
        <f>W1092</f>
        <v>0.50249999999999995</v>
      </c>
      <c r="Y1092" t="s">
        <v>33</v>
      </c>
      <c r="Z1092" s="3">
        <f t="shared" si="555"/>
        <v>1.0009960159362548E-3</v>
      </c>
      <c r="AA1092" t="s">
        <v>33</v>
      </c>
      <c r="AB1092">
        <f t="shared" si="556"/>
        <v>502.00000000000006</v>
      </c>
      <c r="AC1092" s="1" t="str">
        <f t="shared" si="557"/>
        <v>NA</v>
      </c>
      <c r="AE1092" s="3">
        <f t="shared" si="558"/>
        <v>724.88800000000003</v>
      </c>
      <c r="AF1092">
        <v>1004</v>
      </c>
      <c r="AG1092" s="1" t="str">
        <f>IFERROR((N1092*P1092*Q1092), "NA")</f>
        <v>NA</v>
      </c>
      <c r="AH1092" s="1" t="str">
        <f>IFERROR((AG1092*U1092*AI1092), "NA")</f>
        <v>NA</v>
      </c>
      <c r="AI1092" s="1">
        <v>1</v>
      </c>
      <c r="AJ1092" s="11" t="s">
        <v>31</v>
      </c>
      <c r="AK1092">
        <v>2000</v>
      </c>
      <c r="AL1092" t="s">
        <v>784</v>
      </c>
      <c r="AM1092" s="3" t="s">
        <v>103</v>
      </c>
      <c r="AN1092" t="s">
        <v>130</v>
      </c>
      <c r="AO1092" t="s">
        <v>795</v>
      </c>
      <c r="AP1092">
        <v>7</v>
      </c>
      <c r="AQ1092" t="s">
        <v>33</v>
      </c>
      <c r="AR1092" t="s">
        <v>33</v>
      </c>
      <c r="AS1092">
        <v>9</v>
      </c>
      <c r="AT1092">
        <f>AS1092-AU1092</f>
        <v>5.68</v>
      </c>
      <c r="AU1092" s="6">
        <v>3.32</v>
      </c>
      <c r="AV1092" t="b">
        <v>1</v>
      </c>
      <c r="AW1092" t="s">
        <v>617</v>
      </c>
      <c r="AX1092" t="s">
        <v>635</v>
      </c>
      <c r="AY1092" t="s">
        <v>636</v>
      </c>
      <c r="AZ1092" t="s">
        <v>33</v>
      </c>
      <c r="BA1092" s="18" t="s">
        <v>802</v>
      </c>
      <c r="BB1092" s="3" t="b">
        <v>0</v>
      </c>
      <c r="BC1092" t="s">
        <v>81</v>
      </c>
      <c r="BD1092">
        <v>24</v>
      </c>
      <c r="BE1092" t="s">
        <v>80</v>
      </c>
      <c r="BF1092">
        <v>24</v>
      </c>
      <c r="BG1092" t="s">
        <v>644</v>
      </c>
      <c r="BH1092" t="s">
        <v>31</v>
      </c>
      <c r="BI1092" t="s">
        <v>31</v>
      </c>
      <c r="BJ1092">
        <f t="shared" si="537"/>
        <v>3.32</v>
      </c>
      <c r="BK1092" s="3">
        <f t="shared" si="549"/>
        <v>0.52113808370403625</v>
      </c>
      <c r="BL1092">
        <v>2</v>
      </c>
      <c r="BM1092" s="3">
        <f t="shared" si="545"/>
        <v>2.3391328266746032</v>
      </c>
      <c r="BN1092" t="s">
        <v>33</v>
      </c>
      <c r="BO1092" s="3">
        <f t="shared" si="559"/>
        <v>218.33975903614459</v>
      </c>
      <c r="BP1092" t="s">
        <v>33</v>
      </c>
      <c r="BQ1092" t="s">
        <v>33</v>
      </c>
      <c r="BR1092" t="s">
        <v>33</v>
      </c>
      <c r="BS1092" t="s">
        <v>33</v>
      </c>
      <c r="BT1092" t="s">
        <v>31</v>
      </c>
      <c r="BU1092" t="s">
        <v>664</v>
      </c>
      <c r="BV1092">
        <v>2000</v>
      </c>
      <c r="BW1092" t="s">
        <v>665</v>
      </c>
      <c r="BX1092" t="s">
        <v>78</v>
      </c>
      <c r="BY1092" s="13" t="s">
        <v>685</v>
      </c>
      <c r="CA1092" t="str">
        <f t="shared" si="560"/>
        <v>low acid</v>
      </c>
    </row>
    <row r="1093" spans="1:79">
      <c r="A1093" t="s">
        <v>325</v>
      </c>
      <c r="B1093" t="s">
        <v>565</v>
      </c>
      <c r="C1093" t="s">
        <v>563</v>
      </c>
      <c r="D1093" t="s">
        <v>304</v>
      </c>
      <c r="E1093" t="s">
        <v>77</v>
      </c>
      <c r="F1093" t="s">
        <v>32</v>
      </c>
      <c r="G1093">
        <v>30</v>
      </c>
      <c r="H1093">
        <v>31.7</v>
      </c>
      <c r="I1093" t="b">
        <v>1</v>
      </c>
      <c r="J1093">
        <v>12600</v>
      </c>
      <c r="K1093">
        <v>50.4</v>
      </c>
      <c r="L1093">
        <v>35.799999999999997</v>
      </c>
      <c r="M1093" s="4">
        <v>340</v>
      </c>
      <c r="N1093" s="3">
        <f t="shared" ref="N1093:N1098" si="561">IFERROR(AF1093/((T1093*X1093/Y1093)*O1093*AI1093),"NA")</f>
        <v>332.87308359089212</v>
      </c>
      <c r="O1093">
        <v>1</v>
      </c>
      <c r="P1093">
        <v>2.4E-2</v>
      </c>
      <c r="Q1093" s="8">
        <f t="shared" si="554"/>
        <v>2.3529411764705882E-2</v>
      </c>
      <c r="R1093" t="s">
        <v>183</v>
      </c>
      <c r="S1093" t="s">
        <v>612</v>
      </c>
      <c r="T1093" s="11">
        <v>1</v>
      </c>
      <c r="U1093">
        <v>3.4</v>
      </c>
      <c r="V1093">
        <v>3</v>
      </c>
      <c r="W1093">
        <v>2.4E-2</v>
      </c>
      <c r="X1093" s="8">
        <f t="shared" ref="X1093:X1098" si="562">IFERROR(((PI())*(((V1093*10^-1)/2)^2)*(U1093*10^-1)), "NA")</f>
        <v>2.4033183799961926E-2</v>
      </c>
      <c r="Y1093" s="6">
        <f>1</f>
        <v>1</v>
      </c>
      <c r="Z1093" s="3">
        <f t="shared" si="555"/>
        <v>1.0214103114983819</v>
      </c>
      <c r="AA1093">
        <v>8.1999999999999993</v>
      </c>
      <c r="AB1093" s="6">
        <f t="shared" si="556"/>
        <v>8</v>
      </c>
      <c r="AC1093">
        <f t="shared" si="557"/>
        <v>8.16</v>
      </c>
      <c r="AD1093" s="4">
        <f>IFERROR(AB1093*T1093*AI1093, "NA")</f>
        <v>8</v>
      </c>
      <c r="AE1093" s="3">
        <f t="shared" si="558"/>
        <v>10.253119999999999</v>
      </c>
      <c r="AF1093">
        <v>8</v>
      </c>
      <c r="AG1093">
        <f>IFERROR((M1093*O1093*P1093), "NA")</f>
        <v>8.16</v>
      </c>
      <c r="AH1093">
        <f t="shared" ref="AH1093:AH1098" si="563">IFERROR((AG1093*T1093*AI1093), "NA")</f>
        <v>8.16</v>
      </c>
      <c r="AI1093" s="11">
        <v>1</v>
      </c>
      <c r="AJ1093" t="s">
        <v>31</v>
      </c>
      <c r="AK1093">
        <v>1000</v>
      </c>
      <c r="AL1093" t="s">
        <v>169</v>
      </c>
      <c r="AM1093" t="s">
        <v>103</v>
      </c>
      <c r="AN1093" t="s">
        <v>305</v>
      </c>
      <c r="AO1093" t="s">
        <v>790</v>
      </c>
      <c r="AP1093">
        <v>4.5</v>
      </c>
      <c r="AQ1093" t="s">
        <v>33</v>
      </c>
      <c r="AR1093" t="s">
        <v>33</v>
      </c>
      <c r="AS1093" s="6">
        <f>LOG(3*10^7)</f>
        <v>7.4771212547196626</v>
      </c>
      <c r="AT1093" s="3">
        <f t="shared" ref="AT1093:AT1098" si="564">IFERROR(AS1093-AU1093,"NA")</f>
        <v>5.6871212547196626</v>
      </c>
      <c r="AU1093" s="6">
        <v>1.79</v>
      </c>
      <c r="AV1093" t="b">
        <v>1</v>
      </c>
      <c r="AW1093" t="s">
        <v>123</v>
      </c>
      <c r="AX1093" t="s">
        <v>88</v>
      </c>
      <c r="AY1093" t="s">
        <v>306</v>
      </c>
      <c r="AZ1093" t="s">
        <v>33</v>
      </c>
      <c r="BA1093" s="18" t="s">
        <v>579</v>
      </c>
      <c r="BB1093" t="b">
        <v>1</v>
      </c>
      <c r="BC1093" t="s">
        <v>81</v>
      </c>
      <c r="BD1093">
        <v>48</v>
      </c>
      <c r="BE1093" t="s">
        <v>80</v>
      </c>
      <c r="BF1093" s="11">
        <v>120</v>
      </c>
      <c r="BG1093" t="s">
        <v>395</v>
      </c>
      <c r="BH1093" t="s">
        <v>31</v>
      </c>
      <c r="BI1093" t="s">
        <v>31</v>
      </c>
      <c r="BJ1093" s="3">
        <f t="shared" si="537"/>
        <v>1.79</v>
      </c>
      <c r="BK1093" s="3">
        <f t="shared" si="549"/>
        <v>0.2528530309798932</v>
      </c>
      <c r="BL1093">
        <v>2</v>
      </c>
      <c r="BM1093" s="3">
        <f t="shared" si="545"/>
        <v>0.75800300929979914</v>
      </c>
      <c r="BN1093" t="s">
        <v>33</v>
      </c>
      <c r="BO1093" s="3">
        <f t="shared" si="559"/>
        <v>5.7279999999999998</v>
      </c>
      <c r="BP1093" t="s">
        <v>33</v>
      </c>
      <c r="BQ1093" t="s">
        <v>33</v>
      </c>
      <c r="BR1093" t="s">
        <v>33</v>
      </c>
      <c r="BS1093" t="s">
        <v>33</v>
      </c>
      <c r="BT1093" t="s">
        <v>32</v>
      </c>
      <c r="BU1093" t="s">
        <v>323</v>
      </c>
      <c r="BV1093">
        <v>2003</v>
      </c>
      <c r="BW1093" s="2" t="s">
        <v>322</v>
      </c>
      <c r="BX1093" t="s">
        <v>78</v>
      </c>
      <c r="BY1093" t="s">
        <v>33</v>
      </c>
      <c r="BZ1093" t="s">
        <v>33</v>
      </c>
      <c r="CA1093" t="str">
        <f t="shared" si="560"/>
        <v>high acid</v>
      </c>
    </row>
    <row r="1094" spans="1:79">
      <c r="A1094" t="s">
        <v>452</v>
      </c>
      <c r="B1094" t="s">
        <v>565</v>
      </c>
      <c r="C1094" t="s">
        <v>563</v>
      </c>
      <c r="D1094" t="s">
        <v>182</v>
      </c>
      <c r="E1094" t="s">
        <v>77</v>
      </c>
      <c r="F1094" t="s">
        <v>32</v>
      </c>
      <c r="G1094">
        <v>18</v>
      </c>
      <c r="H1094">
        <v>48</v>
      </c>
      <c r="I1094" t="b">
        <v>1</v>
      </c>
      <c r="J1094" t="s">
        <v>33</v>
      </c>
      <c r="K1094" t="s">
        <v>33</v>
      </c>
      <c r="L1094">
        <v>22</v>
      </c>
      <c r="M1094" s="4" t="s">
        <v>33</v>
      </c>
      <c r="N1094" s="3">
        <f t="shared" si="561"/>
        <v>330.20830099655922</v>
      </c>
      <c r="O1094">
        <v>10</v>
      </c>
      <c r="P1094">
        <f>0.047/2</f>
        <v>2.35E-2</v>
      </c>
      <c r="Q1094" s="8">
        <f t="shared" si="554"/>
        <v>2.3318614270936316E-2</v>
      </c>
      <c r="R1094" t="s">
        <v>183</v>
      </c>
      <c r="S1094" t="s">
        <v>613</v>
      </c>
      <c r="T1094" s="11">
        <v>2</v>
      </c>
      <c r="U1094">
        <v>5.6</v>
      </c>
      <c r="V1094">
        <v>4.5</v>
      </c>
      <c r="W1094" t="s">
        <v>33</v>
      </c>
      <c r="X1094" s="9">
        <f t="shared" si="562"/>
        <v>8.9064151729270638E-2</v>
      </c>
      <c r="Y1094" s="6">
        <f>13750/3600</f>
        <v>3.8194444444444446</v>
      </c>
      <c r="Z1094" s="3">
        <f>IFERROR(X1094*N1094*O1094*T1094*AI1094/AF1094, "NA")</f>
        <v>3.8194444444444438</v>
      </c>
      <c r="AA1094" t="s">
        <v>33</v>
      </c>
      <c r="AB1094" s="4">
        <f>IFERROR(((X1094*N1094)/Y1094), "NA")</f>
        <v>7.6999999999999984</v>
      </c>
      <c r="AC1094" s="4">
        <f>IFERROR(N1094*P1094,"NA")</f>
        <v>7.7598950734191412</v>
      </c>
      <c r="AD1094" s="4">
        <f>IFERROR(AB1094*T1094*AI1094, "NA")</f>
        <v>15.399999999999997</v>
      </c>
      <c r="AE1094" s="3">
        <f>IFERROR(((L1094^2)*N1094*O1094*AK1094*10^-6*Q1094*T1094*AI1094), "NA")</f>
        <v>171.43280000000001</v>
      </c>
      <c r="AF1094">
        <v>154</v>
      </c>
      <c r="AG1094" s="4">
        <f>IFERROR((N1094*O1094*P1094), "NA")</f>
        <v>77.598950734191419</v>
      </c>
      <c r="AH1094" s="4">
        <f t="shared" si="563"/>
        <v>155.19790146838284</v>
      </c>
      <c r="AI1094" s="11">
        <v>1</v>
      </c>
      <c r="AJ1094" t="s">
        <v>31</v>
      </c>
      <c r="AK1094">
        <v>2300</v>
      </c>
      <c r="AL1094" t="s">
        <v>805</v>
      </c>
      <c r="AM1094" t="s">
        <v>515</v>
      </c>
      <c r="AN1094" t="s">
        <v>205</v>
      </c>
      <c r="AO1094" t="s">
        <v>788</v>
      </c>
      <c r="AP1094">
        <v>3.68</v>
      </c>
      <c r="AQ1094" t="s">
        <v>33</v>
      </c>
      <c r="AR1094" t="s">
        <v>33</v>
      </c>
      <c r="AS1094">
        <f>LOG(10^8)</f>
        <v>8</v>
      </c>
      <c r="AT1094" s="3">
        <f t="shared" si="564"/>
        <v>5.6899999999999995</v>
      </c>
      <c r="AU1094" s="6">
        <v>2.31</v>
      </c>
      <c r="AV1094" t="b">
        <v>1</v>
      </c>
      <c r="AW1094" t="s">
        <v>123</v>
      </c>
      <c r="AX1094" t="s">
        <v>463</v>
      </c>
      <c r="AY1094" t="s">
        <v>467</v>
      </c>
      <c r="AZ1094" t="s">
        <v>33</v>
      </c>
      <c r="BA1094" s="18" t="s">
        <v>579</v>
      </c>
      <c r="BB1094" t="b">
        <v>1</v>
      </c>
      <c r="BC1094" t="s">
        <v>81</v>
      </c>
      <c r="BD1094" t="s">
        <v>33</v>
      </c>
      <c r="BE1094" t="s">
        <v>80</v>
      </c>
      <c r="BF1094" t="s">
        <v>33</v>
      </c>
      <c r="BG1094" t="s">
        <v>395</v>
      </c>
      <c r="BH1094" t="s">
        <v>31</v>
      </c>
      <c r="BI1094" t="s">
        <v>31</v>
      </c>
      <c r="BJ1094" s="3">
        <f t="shared" si="537"/>
        <v>2.31</v>
      </c>
      <c r="BK1094" s="3">
        <f t="shared" si="549"/>
        <v>0.36361197989214433</v>
      </c>
      <c r="BL1094">
        <v>2</v>
      </c>
      <c r="BM1094" s="3">
        <f t="shared" si="545"/>
        <v>1.8704819386063241</v>
      </c>
      <c r="BN1094" t="s">
        <v>33</v>
      </c>
      <c r="BO1094" s="3">
        <f t="shared" si="559"/>
        <v>74.213333333333338</v>
      </c>
      <c r="BP1094" t="s">
        <v>33</v>
      </c>
      <c r="BQ1094" t="s">
        <v>33</v>
      </c>
      <c r="BR1094" t="s">
        <v>33</v>
      </c>
      <c r="BS1094" t="s">
        <v>33</v>
      </c>
      <c r="BT1094" t="s">
        <v>32</v>
      </c>
      <c r="BU1094" t="s">
        <v>484</v>
      </c>
      <c r="BV1094">
        <v>2015</v>
      </c>
      <c r="BW1094" t="s">
        <v>485</v>
      </c>
      <c r="BX1094" t="s">
        <v>78</v>
      </c>
      <c r="BY1094" t="s">
        <v>486</v>
      </c>
      <c r="BZ1094" t="s">
        <v>780</v>
      </c>
      <c r="CA1094" t="str">
        <f t="shared" si="560"/>
        <v>high acid</v>
      </c>
    </row>
    <row r="1095" spans="1:79">
      <c r="A1095" t="s">
        <v>535</v>
      </c>
      <c r="B1095" t="s">
        <v>565</v>
      </c>
      <c r="C1095" t="s">
        <v>564</v>
      </c>
      <c r="D1095" t="s">
        <v>243</v>
      </c>
      <c r="E1095" t="s">
        <v>77</v>
      </c>
      <c r="F1095" t="s">
        <v>32</v>
      </c>
      <c r="G1095">
        <v>40</v>
      </c>
      <c r="H1095">
        <v>43</v>
      </c>
      <c r="I1095" t="b">
        <v>0</v>
      </c>
      <c r="J1095" t="s">
        <v>33</v>
      </c>
      <c r="K1095" t="s">
        <v>33</v>
      </c>
      <c r="L1095">
        <v>15</v>
      </c>
      <c r="M1095" s="4">
        <v>120</v>
      </c>
      <c r="N1095" s="3">
        <f t="shared" si="561"/>
        <v>85.018666181567994</v>
      </c>
      <c r="O1095">
        <v>3</v>
      </c>
      <c r="P1095" t="s">
        <v>33</v>
      </c>
      <c r="Q1095" s="9">
        <f t="shared" si="554"/>
        <v>2.7083333333333331E-2</v>
      </c>
      <c r="R1095" t="s">
        <v>183</v>
      </c>
      <c r="S1095" t="s">
        <v>612</v>
      </c>
      <c r="T1095" s="11">
        <v>4</v>
      </c>
      <c r="U1095">
        <v>3</v>
      </c>
      <c r="V1095">
        <v>2.6</v>
      </c>
      <c r="W1095">
        <v>1.5900000000000001E-2</v>
      </c>
      <c r="X1095" s="8">
        <f t="shared" si="562"/>
        <v>1.5927874753700257E-2</v>
      </c>
      <c r="Y1095" s="6">
        <f>25/60</f>
        <v>0.41666666666666669</v>
      </c>
      <c r="Z1095" s="3">
        <f t="shared" ref="Z1095:Z1102" si="565">IFERROR(X1095*M1095*O1095*T1095*AI1095/AF1095, "NA")</f>
        <v>0.58810614475200951</v>
      </c>
      <c r="AA1095" t="s">
        <v>33</v>
      </c>
      <c r="AB1095" s="6">
        <f t="shared" ref="AB1095:AB1102" si="566">IFERROR(((X1095*M1095)/Z1095), "NA")</f>
        <v>3.25</v>
      </c>
      <c r="AC1095" t="str">
        <f t="shared" ref="AC1095:AC1108" si="567">IFERROR(M1095*P1095,"NA")</f>
        <v>NA</v>
      </c>
      <c r="AD1095" s="4">
        <f>IFERROR(AB1095*T1095*AI1095, "NA")</f>
        <v>13</v>
      </c>
      <c r="AE1095" s="3">
        <f t="shared" ref="AE1095:AE1108" si="568">IFERROR(((L1095^2)*M1095*O1095*AK1095*10^-6*Q1095*T1095*AI1095), "NA")</f>
        <v>8.0729999999999986</v>
      </c>
      <c r="AF1095">
        <v>39</v>
      </c>
      <c r="AG1095" t="str">
        <f>IFERROR((M1095*O1095*P1095), "NA")</f>
        <v>NA</v>
      </c>
      <c r="AH1095" t="str">
        <f t="shared" si="563"/>
        <v>NA</v>
      </c>
      <c r="AI1095" s="11">
        <v>1</v>
      </c>
      <c r="AJ1095" t="s">
        <v>31</v>
      </c>
      <c r="AK1095">
        <v>920</v>
      </c>
      <c r="AL1095" t="s">
        <v>551</v>
      </c>
      <c r="AM1095" t="s">
        <v>86</v>
      </c>
      <c r="AN1095" t="s">
        <v>186</v>
      </c>
      <c r="AO1095" t="s">
        <v>794</v>
      </c>
      <c r="AP1095">
        <v>5.92</v>
      </c>
      <c r="AQ1095" t="s">
        <v>33</v>
      </c>
      <c r="AR1095" t="s">
        <v>33</v>
      </c>
      <c r="AS1095" s="6">
        <f>LOG(1.1*10^7)</f>
        <v>7.0413926851582254</v>
      </c>
      <c r="AT1095" s="3">
        <f t="shared" si="564"/>
        <v>5.6963926851582256</v>
      </c>
      <c r="AU1095" s="6">
        <v>1.345</v>
      </c>
      <c r="AV1095" t="b">
        <v>1</v>
      </c>
      <c r="AW1095" t="s">
        <v>172</v>
      </c>
      <c r="AX1095" t="s">
        <v>173</v>
      </c>
      <c r="AY1095" t="s">
        <v>246</v>
      </c>
      <c r="AZ1095" t="s">
        <v>33</v>
      </c>
      <c r="BA1095" s="18" t="s">
        <v>799</v>
      </c>
      <c r="BB1095" t="b">
        <v>0</v>
      </c>
      <c r="BC1095" t="s">
        <v>81</v>
      </c>
      <c r="BD1095">
        <v>72</v>
      </c>
      <c r="BE1095" t="s">
        <v>80</v>
      </c>
      <c r="BF1095" s="11">
        <v>72</v>
      </c>
      <c r="BG1095" t="s">
        <v>522</v>
      </c>
      <c r="BH1095" t="s">
        <v>31</v>
      </c>
      <c r="BI1095" t="s">
        <v>31</v>
      </c>
      <c r="BJ1095" s="3">
        <f t="shared" si="537"/>
        <v>1.345</v>
      </c>
      <c r="BK1095" s="3">
        <f t="shared" si="549"/>
        <v>0.12872228433842678</v>
      </c>
      <c r="BL1095">
        <v>2</v>
      </c>
      <c r="BM1095" s="3">
        <f t="shared" si="545"/>
        <v>0.77831266814499012</v>
      </c>
      <c r="BN1095" t="s">
        <v>33</v>
      </c>
      <c r="BO1095" s="3">
        <f t="shared" si="559"/>
        <v>6.0022304832713749</v>
      </c>
      <c r="BP1095" t="s">
        <v>33</v>
      </c>
      <c r="BQ1095" t="s">
        <v>33</v>
      </c>
      <c r="BR1095" t="s">
        <v>33</v>
      </c>
      <c r="BS1095" t="s">
        <v>33</v>
      </c>
      <c r="BT1095" t="s">
        <v>32</v>
      </c>
      <c r="BU1095" t="s">
        <v>207</v>
      </c>
      <c r="BV1095">
        <v>2014</v>
      </c>
      <c r="BW1095" s="2" t="s">
        <v>242</v>
      </c>
      <c r="BX1095" t="s">
        <v>78</v>
      </c>
      <c r="BY1095" t="s">
        <v>33</v>
      </c>
      <c r="BZ1095" t="s">
        <v>33</v>
      </c>
      <c r="CA1095" t="str">
        <f t="shared" si="560"/>
        <v>low acid</v>
      </c>
    </row>
    <row r="1096" spans="1:79">
      <c r="A1096" t="s">
        <v>237</v>
      </c>
      <c r="B1096" t="s">
        <v>565</v>
      </c>
      <c r="C1096" t="s">
        <v>563</v>
      </c>
      <c r="D1096" t="s">
        <v>118</v>
      </c>
      <c r="E1096" t="s">
        <v>77</v>
      </c>
      <c r="F1096" t="s">
        <v>32</v>
      </c>
      <c r="G1096">
        <v>4</v>
      </c>
      <c r="H1096">
        <v>32.5</v>
      </c>
      <c r="I1096" t="b">
        <v>0</v>
      </c>
      <c r="J1096" t="s">
        <v>33</v>
      </c>
      <c r="K1096" t="s">
        <v>33</v>
      </c>
      <c r="L1096">
        <v>25</v>
      </c>
      <c r="M1096" s="4">
        <v>200</v>
      </c>
      <c r="N1096" s="3">
        <f t="shared" si="561"/>
        <v>772.75686432737871</v>
      </c>
      <c r="O1096">
        <v>4</v>
      </c>
      <c r="P1096" t="s">
        <v>33</v>
      </c>
      <c r="Q1096" s="9">
        <f t="shared" si="554"/>
        <v>4.6874999999999993E-2</v>
      </c>
      <c r="R1096" t="s">
        <v>183</v>
      </c>
      <c r="S1096" t="s">
        <v>613</v>
      </c>
      <c r="T1096" s="11">
        <v>8</v>
      </c>
      <c r="U1096">
        <v>2.92</v>
      </c>
      <c r="V1096">
        <v>2.2999999999999998</v>
      </c>
      <c r="W1096">
        <v>1.2E-2</v>
      </c>
      <c r="X1096" s="8">
        <f t="shared" si="562"/>
        <v>1.2131888350367701E-2</v>
      </c>
      <c r="Y1096" s="6">
        <f>60/60</f>
        <v>1</v>
      </c>
      <c r="Z1096" s="3">
        <f t="shared" si="565"/>
        <v>0.25881361814117765</v>
      </c>
      <c r="AA1096" t="s">
        <v>33</v>
      </c>
      <c r="AB1096" s="6">
        <f t="shared" si="566"/>
        <v>9.3749999999999982</v>
      </c>
      <c r="AC1096" t="str">
        <f t="shared" si="567"/>
        <v>NA</v>
      </c>
      <c r="AD1096" s="4">
        <f>AB1096*T1096*AI1096</f>
        <v>74.999999999999986</v>
      </c>
      <c r="AE1096" s="3">
        <f t="shared" si="568"/>
        <v>794.99999999999989</v>
      </c>
      <c r="AF1096">
        <v>300</v>
      </c>
      <c r="AG1096" t="str">
        <f>IFERROR((M1096*O1096*P1096), "NA")</f>
        <v>NA</v>
      </c>
      <c r="AH1096" t="str">
        <f t="shared" si="563"/>
        <v>NA</v>
      </c>
      <c r="AI1096">
        <v>1</v>
      </c>
      <c r="AJ1096" t="s">
        <v>31</v>
      </c>
      <c r="AK1096">
        <v>4240</v>
      </c>
      <c r="AL1096" t="s">
        <v>238</v>
      </c>
      <c r="AM1096" t="s">
        <v>86</v>
      </c>
      <c r="AN1096" t="s">
        <v>205</v>
      </c>
      <c r="AO1096" t="s">
        <v>789</v>
      </c>
      <c r="AP1096">
        <v>3.56</v>
      </c>
      <c r="AQ1096" t="s">
        <v>33</v>
      </c>
      <c r="AR1096" t="s">
        <v>33</v>
      </c>
      <c r="AS1096">
        <f>LOG(10^8)</f>
        <v>8</v>
      </c>
      <c r="AT1096" s="3">
        <f t="shared" si="564"/>
        <v>5.6989999999999998</v>
      </c>
      <c r="AU1096" s="6">
        <v>2.3010000000000002</v>
      </c>
      <c r="AV1096" t="b">
        <v>1</v>
      </c>
      <c r="AW1096" t="s">
        <v>172</v>
      </c>
      <c r="AX1096" t="s">
        <v>173</v>
      </c>
      <c r="AY1096" t="s">
        <v>239</v>
      </c>
      <c r="AZ1096" t="s">
        <v>33</v>
      </c>
      <c r="BA1096" s="18" t="s">
        <v>799</v>
      </c>
      <c r="BB1096" t="b">
        <v>0</v>
      </c>
      <c r="BC1096" t="s">
        <v>81</v>
      </c>
      <c r="BD1096">
        <v>48</v>
      </c>
      <c r="BE1096" t="s">
        <v>80</v>
      </c>
      <c r="BF1096" s="11">
        <v>120</v>
      </c>
      <c r="BG1096" t="s">
        <v>571</v>
      </c>
      <c r="BH1096" t="s">
        <v>31</v>
      </c>
      <c r="BI1096" t="s">
        <v>31</v>
      </c>
      <c r="BJ1096" s="3">
        <f t="shared" si="537"/>
        <v>2.3010000000000002</v>
      </c>
      <c r="BK1096" s="3">
        <f t="shared" si="549"/>
        <v>0.36191661866864344</v>
      </c>
      <c r="BL1096">
        <v>2</v>
      </c>
      <c r="BM1096" s="3">
        <f t="shared" ref="BM1096:BM1118" si="569">IFERROR(LOG(BO1096),"NA")</f>
        <v>2.5384505099878267</v>
      </c>
      <c r="BN1096" t="s">
        <v>33</v>
      </c>
      <c r="BO1096" s="3">
        <f t="shared" si="559"/>
        <v>345.50195567144715</v>
      </c>
      <c r="BP1096" t="s">
        <v>33</v>
      </c>
      <c r="BQ1096" t="s">
        <v>33</v>
      </c>
      <c r="BR1096" t="s">
        <v>33</v>
      </c>
      <c r="BS1096" t="s">
        <v>33</v>
      </c>
      <c r="BT1096" t="s">
        <v>31</v>
      </c>
      <c r="BU1096" t="s">
        <v>240</v>
      </c>
      <c r="BV1096">
        <v>2004</v>
      </c>
      <c r="BW1096" t="s">
        <v>241</v>
      </c>
      <c r="BX1096" t="s">
        <v>78</v>
      </c>
      <c r="BY1096" t="s">
        <v>33</v>
      </c>
      <c r="BZ1096" t="s">
        <v>33</v>
      </c>
      <c r="CA1096" t="str">
        <f t="shared" si="560"/>
        <v>high acid</v>
      </c>
    </row>
    <row r="1097" spans="1:79">
      <c r="A1097" t="s">
        <v>225</v>
      </c>
      <c r="B1097" t="s">
        <v>565</v>
      </c>
      <c r="C1097" t="s">
        <v>563</v>
      </c>
      <c r="D1097" t="s">
        <v>33</v>
      </c>
      <c r="E1097" t="s">
        <v>77</v>
      </c>
      <c r="F1097" t="s">
        <v>32</v>
      </c>
      <c r="G1097">
        <v>30</v>
      </c>
      <c r="H1097">
        <v>61</v>
      </c>
      <c r="I1097" t="b">
        <v>1</v>
      </c>
      <c r="J1097" t="s">
        <v>33</v>
      </c>
      <c r="K1097" t="s">
        <v>33</v>
      </c>
      <c r="L1097">
        <v>25</v>
      </c>
      <c r="M1097" s="4">
        <v>250</v>
      </c>
      <c r="N1097" s="3">
        <f t="shared" si="561"/>
        <v>260.5243209473274</v>
      </c>
      <c r="O1097">
        <v>2</v>
      </c>
      <c r="P1097" t="s">
        <v>33</v>
      </c>
      <c r="Q1097" s="8">
        <f t="shared" si="554"/>
        <v>1.3333333333333332E-2</v>
      </c>
      <c r="R1097" t="s">
        <v>183</v>
      </c>
      <c r="S1097" t="s">
        <v>613</v>
      </c>
      <c r="T1097" s="11">
        <v>6</v>
      </c>
      <c r="U1097">
        <v>2.2999999999999998</v>
      </c>
      <c r="V1097">
        <v>2.2000000000000002</v>
      </c>
      <c r="W1097" t="s">
        <v>33</v>
      </c>
      <c r="X1097" s="8">
        <f t="shared" si="562"/>
        <v>8.7430523549403959E-3</v>
      </c>
      <c r="Y1097" s="6">
        <f>41/60</f>
        <v>0.68333333333333335</v>
      </c>
      <c r="Z1097" s="3">
        <f t="shared" si="565"/>
        <v>0.65572892662052973</v>
      </c>
      <c r="AA1097" s="3">
        <f>20/6</f>
        <v>3.3333333333333335</v>
      </c>
      <c r="AB1097" s="6">
        <f t="shared" si="566"/>
        <v>3.333333333333333</v>
      </c>
      <c r="AC1097" t="str">
        <f t="shared" si="567"/>
        <v>NA</v>
      </c>
      <c r="AD1097" s="4">
        <f>IFERROR(AB1097*T1097*AI1097, "NA")</f>
        <v>20</v>
      </c>
      <c r="AE1097" s="3">
        <f t="shared" si="568"/>
        <v>99.999999999999986</v>
      </c>
      <c r="AF1097">
        <v>40</v>
      </c>
      <c r="AG1097" t="str">
        <f>IFERROR((M1097*O1097*P1097), "NA")</f>
        <v>NA</v>
      </c>
      <c r="AH1097" t="str">
        <f t="shared" si="563"/>
        <v>NA</v>
      </c>
      <c r="AI1097" s="11">
        <v>1</v>
      </c>
      <c r="AJ1097" t="s">
        <v>31</v>
      </c>
      <c r="AK1097">
        <v>4000</v>
      </c>
      <c r="AL1097" t="s">
        <v>546</v>
      </c>
      <c r="AM1097" t="s">
        <v>103</v>
      </c>
      <c r="AN1097" t="s">
        <v>130</v>
      </c>
      <c r="AO1097" t="s">
        <v>795</v>
      </c>
      <c r="AP1097">
        <v>5</v>
      </c>
      <c r="AQ1097" t="s">
        <v>33</v>
      </c>
      <c r="AR1097" t="s">
        <v>33</v>
      </c>
      <c r="AS1097" s="6">
        <v>8.1</v>
      </c>
      <c r="AT1097" s="3">
        <f t="shared" si="564"/>
        <v>5.6999999999999993</v>
      </c>
      <c r="AU1097" s="6">
        <v>2.4</v>
      </c>
      <c r="AV1097" t="b">
        <v>1</v>
      </c>
      <c r="AW1097" t="s">
        <v>29</v>
      </c>
      <c r="AX1097" t="s">
        <v>30</v>
      </c>
      <c r="AY1097" t="s">
        <v>226</v>
      </c>
      <c r="AZ1097" t="s">
        <v>33</v>
      </c>
      <c r="BA1097" s="18" t="s">
        <v>798</v>
      </c>
      <c r="BB1097" t="b">
        <v>0</v>
      </c>
      <c r="BC1097" t="s">
        <v>81</v>
      </c>
      <c r="BD1097">
        <v>14</v>
      </c>
      <c r="BE1097" t="s">
        <v>80</v>
      </c>
      <c r="BF1097" s="11">
        <v>120</v>
      </c>
      <c r="BG1097" t="s">
        <v>139</v>
      </c>
      <c r="BH1097" t="s">
        <v>31</v>
      </c>
      <c r="BI1097" t="s">
        <v>31</v>
      </c>
      <c r="BJ1097" s="3">
        <f t="shared" si="537"/>
        <v>2.4</v>
      </c>
      <c r="BK1097" s="3">
        <f t="shared" si="549"/>
        <v>0.38021124171160603</v>
      </c>
      <c r="BL1097">
        <v>2</v>
      </c>
      <c r="BM1097" s="3">
        <f t="shared" si="569"/>
        <v>1.6197887582883939</v>
      </c>
      <c r="BN1097" t="s">
        <v>33</v>
      </c>
      <c r="BO1097" s="3">
        <f t="shared" si="559"/>
        <v>41.666666666666664</v>
      </c>
      <c r="BP1097" t="s">
        <v>33</v>
      </c>
      <c r="BQ1097" t="s">
        <v>33</v>
      </c>
      <c r="BR1097" t="s">
        <v>33</v>
      </c>
      <c r="BS1097" t="s">
        <v>33</v>
      </c>
      <c r="BT1097" t="s">
        <v>31</v>
      </c>
      <c r="BU1097" t="s">
        <v>227</v>
      </c>
      <c r="BV1097">
        <v>2001</v>
      </c>
      <c r="BW1097" t="s">
        <v>228</v>
      </c>
      <c r="BX1097" t="s">
        <v>78</v>
      </c>
      <c r="BY1097" t="s">
        <v>33</v>
      </c>
      <c r="BZ1097" t="s">
        <v>33</v>
      </c>
      <c r="CA1097" t="str">
        <f t="shared" si="560"/>
        <v>low acid</v>
      </c>
    </row>
    <row r="1098" spans="1:79">
      <c r="A1098" t="s">
        <v>229</v>
      </c>
      <c r="B1098" t="s">
        <v>565</v>
      </c>
      <c r="C1098" t="s">
        <v>563</v>
      </c>
      <c r="D1098" t="s">
        <v>33</v>
      </c>
      <c r="E1098" t="s">
        <v>77</v>
      </c>
      <c r="F1098" t="s">
        <v>32</v>
      </c>
      <c r="G1098">
        <v>30</v>
      </c>
      <c r="H1098">
        <v>61</v>
      </c>
      <c r="I1098" t="b">
        <v>1</v>
      </c>
      <c r="J1098" t="s">
        <v>33</v>
      </c>
      <c r="K1098" t="s">
        <v>33</v>
      </c>
      <c r="L1098">
        <v>30</v>
      </c>
      <c r="M1098" s="4">
        <v>500</v>
      </c>
      <c r="N1098" s="3">
        <f t="shared" si="561"/>
        <v>521.04864189465479</v>
      </c>
      <c r="O1098">
        <v>4</v>
      </c>
      <c r="P1098" t="s">
        <v>33</v>
      </c>
      <c r="Q1098" s="8">
        <f t="shared" si="554"/>
        <v>1.3333333333333332E-2</v>
      </c>
      <c r="R1098" t="s">
        <v>183</v>
      </c>
      <c r="S1098" t="s">
        <v>613</v>
      </c>
      <c r="T1098" s="11">
        <v>6</v>
      </c>
      <c r="U1098">
        <v>2.2999999999999998</v>
      </c>
      <c r="V1098">
        <v>2.2000000000000002</v>
      </c>
      <c r="W1098" t="s">
        <v>33</v>
      </c>
      <c r="X1098" s="8">
        <f t="shared" si="562"/>
        <v>8.7430523549403959E-3</v>
      </c>
      <c r="Y1098" s="6">
        <f>41/60</f>
        <v>0.68333333333333335</v>
      </c>
      <c r="Z1098" s="3">
        <f t="shared" si="565"/>
        <v>0.65572892662052973</v>
      </c>
      <c r="AA1098" s="3">
        <f>40/6</f>
        <v>6.666666666666667</v>
      </c>
      <c r="AB1098" s="6">
        <f t="shared" si="566"/>
        <v>6.6666666666666661</v>
      </c>
      <c r="AC1098" t="str">
        <f t="shared" si="567"/>
        <v>NA</v>
      </c>
      <c r="AD1098" s="4">
        <f>AB1098*T1098*AI1098</f>
        <v>40</v>
      </c>
      <c r="AE1098" s="3">
        <f t="shared" si="568"/>
        <v>576</v>
      </c>
      <c r="AF1098">
        <v>160</v>
      </c>
      <c r="AG1098" t="str">
        <f>IFERROR((M1098*O1098*P1098), "NA")</f>
        <v>NA</v>
      </c>
      <c r="AH1098" t="str">
        <f t="shared" si="563"/>
        <v>NA</v>
      </c>
      <c r="AI1098">
        <v>1</v>
      </c>
      <c r="AJ1098" t="s">
        <v>31</v>
      </c>
      <c r="AK1098">
        <v>4000</v>
      </c>
      <c r="AL1098" t="s">
        <v>546</v>
      </c>
      <c r="AM1098" t="s">
        <v>103</v>
      </c>
      <c r="AN1098" t="s">
        <v>130</v>
      </c>
      <c r="AO1098" t="s">
        <v>795</v>
      </c>
      <c r="AP1098">
        <v>5</v>
      </c>
      <c r="AQ1098" t="s">
        <v>33</v>
      </c>
      <c r="AR1098" t="s">
        <v>33</v>
      </c>
      <c r="AS1098" s="6">
        <v>8.4</v>
      </c>
      <c r="AT1098" s="3">
        <f t="shared" si="564"/>
        <v>5.7</v>
      </c>
      <c r="AU1098" s="6">
        <v>2.7</v>
      </c>
      <c r="AV1098" t="b">
        <v>1</v>
      </c>
      <c r="AW1098" t="s">
        <v>92</v>
      </c>
      <c r="AX1098" t="s">
        <v>119</v>
      </c>
      <c r="AY1098" t="s">
        <v>230</v>
      </c>
      <c r="AZ1098" t="s">
        <v>33</v>
      </c>
      <c r="BA1098" s="18" t="s">
        <v>801</v>
      </c>
      <c r="BB1098" t="b">
        <v>0</v>
      </c>
      <c r="BC1098" t="s">
        <v>81</v>
      </c>
      <c r="BD1098">
        <v>14</v>
      </c>
      <c r="BE1098" t="s">
        <v>80</v>
      </c>
      <c r="BF1098" s="11">
        <v>120</v>
      </c>
      <c r="BG1098" t="s">
        <v>139</v>
      </c>
      <c r="BH1098" t="s">
        <v>31</v>
      </c>
      <c r="BI1098" t="s">
        <v>31</v>
      </c>
      <c r="BJ1098" s="3">
        <f t="shared" si="537"/>
        <v>2.7</v>
      </c>
      <c r="BK1098" s="3">
        <f t="shared" si="549"/>
        <v>0.43136376415898736</v>
      </c>
      <c r="BL1098">
        <v>2</v>
      </c>
      <c r="BM1098" s="3">
        <f t="shared" si="569"/>
        <v>2.3290587192642245</v>
      </c>
      <c r="BN1098" t="s">
        <v>33</v>
      </c>
      <c r="BO1098" s="3">
        <f t="shared" si="559"/>
        <v>213.33333333333331</v>
      </c>
      <c r="BP1098" t="s">
        <v>33</v>
      </c>
      <c r="BQ1098" t="s">
        <v>33</v>
      </c>
      <c r="BR1098" t="s">
        <v>33</v>
      </c>
      <c r="BS1098" t="s">
        <v>33</v>
      </c>
      <c r="BT1098" t="s">
        <v>31</v>
      </c>
      <c r="BU1098" t="s">
        <v>227</v>
      </c>
      <c r="BV1098">
        <v>2001</v>
      </c>
      <c r="BW1098" t="s">
        <v>228</v>
      </c>
      <c r="BX1098" t="s">
        <v>78</v>
      </c>
      <c r="BY1098" t="s">
        <v>33</v>
      </c>
      <c r="BZ1098" t="s">
        <v>33</v>
      </c>
      <c r="CA1098" t="str">
        <f t="shared" si="560"/>
        <v>low acid</v>
      </c>
    </row>
    <row r="1099" spans="1:79">
      <c r="A1099" t="s">
        <v>589</v>
      </c>
      <c r="B1099" t="s">
        <v>566</v>
      </c>
      <c r="C1099" t="s">
        <v>563</v>
      </c>
      <c r="D1099" t="s">
        <v>33</v>
      </c>
      <c r="E1099" t="s">
        <v>77</v>
      </c>
      <c r="F1099" t="s">
        <v>33</v>
      </c>
      <c r="G1099" t="s">
        <v>33</v>
      </c>
      <c r="H1099">
        <v>35</v>
      </c>
      <c r="I1099" t="b">
        <v>0</v>
      </c>
      <c r="J1099" t="s">
        <v>33</v>
      </c>
      <c r="K1099" t="s">
        <v>33</v>
      </c>
      <c r="L1099">
        <v>25</v>
      </c>
      <c r="M1099" s="4">
        <v>1</v>
      </c>
      <c r="N1099" t="e">
        <f>(#REF!*Y1099)/(T1099*X1099*O1099)</f>
        <v>#REF!</v>
      </c>
      <c r="O1099">
        <v>2</v>
      </c>
      <c r="P1099" t="s">
        <v>33</v>
      </c>
      <c r="Q1099" s="1">
        <f t="shared" si="554"/>
        <v>45.25</v>
      </c>
      <c r="R1099" t="s">
        <v>183</v>
      </c>
      <c r="S1099" t="s">
        <v>613</v>
      </c>
      <c r="T1099">
        <v>1</v>
      </c>
      <c r="U1099">
        <v>2.5</v>
      </c>
      <c r="V1099" t="s">
        <v>33</v>
      </c>
      <c r="W1099">
        <v>0.50249999999999995</v>
      </c>
      <c r="X1099">
        <f>W1099</f>
        <v>0.50249999999999995</v>
      </c>
      <c r="Y1099" t="s">
        <v>33</v>
      </c>
      <c r="Z1099" s="3">
        <f t="shared" si="565"/>
        <v>1.1104972375690607E-2</v>
      </c>
      <c r="AA1099" t="s">
        <v>33</v>
      </c>
      <c r="AB1099">
        <f t="shared" si="566"/>
        <v>45.25</v>
      </c>
      <c r="AC1099" s="1" t="str">
        <f t="shared" si="567"/>
        <v>NA</v>
      </c>
      <c r="AE1099" s="3">
        <f t="shared" si="568"/>
        <v>113.125</v>
      </c>
      <c r="AF1099">
        <v>90.5</v>
      </c>
      <c r="AG1099" s="1" t="str">
        <f>IFERROR((N1099*P1099*Q1099), "NA")</f>
        <v>NA</v>
      </c>
      <c r="AH1099" s="1" t="str">
        <f>IFERROR((AG1099*U1099*AI1099), "NA")</f>
        <v>NA</v>
      </c>
      <c r="AI1099" s="1">
        <v>1</v>
      </c>
      <c r="AJ1099" s="11" t="s">
        <v>31</v>
      </c>
      <c r="AK1099">
        <v>2000</v>
      </c>
      <c r="AL1099" t="s">
        <v>616</v>
      </c>
      <c r="AM1099" s="3" t="s">
        <v>103</v>
      </c>
      <c r="AN1099" t="s">
        <v>130</v>
      </c>
      <c r="AO1099" t="s">
        <v>795</v>
      </c>
      <c r="AP1099">
        <v>7</v>
      </c>
      <c r="AQ1099" t="s">
        <v>33</v>
      </c>
      <c r="AR1099" t="s">
        <v>33</v>
      </c>
      <c r="AS1099">
        <v>9</v>
      </c>
      <c r="AT1099">
        <f>AS1099-AU1099</f>
        <v>5.7</v>
      </c>
      <c r="AU1099" s="6">
        <v>3.3</v>
      </c>
      <c r="AV1099" t="b">
        <v>1</v>
      </c>
      <c r="AW1099" t="s">
        <v>617</v>
      </c>
      <c r="AX1099" t="s">
        <v>33</v>
      </c>
      <c r="AY1099" t="s">
        <v>628</v>
      </c>
      <c r="AZ1099" t="s">
        <v>619</v>
      </c>
      <c r="BA1099" s="18" t="s">
        <v>802</v>
      </c>
      <c r="BB1099" s="3" t="b">
        <v>0</v>
      </c>
      <c r="BC1099" t="s">
        <v>81</v>
      </c>
      <c r="BD1099">
        <v>24</v>
      </c>
      <c r="BE1099" t="s">
        <v>80</v>
      </c>
      <c r="BF1099">
        <v>24</v>
      </c>
      <c r="BG1099" t="s">
        <v>644</v>
      </c>
      <c r="BH1099" t="s">
        <v>31</v>
      </c>
      <c r="BI1099" t="s">
        <v>31</v>
      </c>
      <c r="BJ1099">
        <f t="shared" si="537"/>
        <v>3.3</v>
      </c>
      <c r="BK1099" s="3">
        <f t="shared" si="549"/>
        <v>0.51851393987788741</v>
      </c>
      <c r="BL1099">
        <v>2</v>
      </c>
      <c r="BM1099" s="3">
        <f t="shared" si="569"/>
        <v>1.5350446523353722</v>
      </c>
      <c r="BN1099" t="s">
        <v>33</v>
      </c>
      <c r="BO1099" s="3">
        <f t="shared" si="559"/>
        <v>34.280303030303031</v>
      </c>
      <c r="BP1099" t="s">
        <v>33</v>
      </c>
      <c r="BQ1099" t="s">
        <v>33</v>
      </c>
      <c r="BR1099" t="s">
        <v>33</v>
      </c>
      <c r="BS1099" t="s">
        <v>33</v>
      </c>
      <c r="BT1099" t="s">
        <v>31</v>
      </c>
      <c r="BU1099" s="15" t="s">
        <v>655</v>
      </c>
      <c r="BV1099">
        <v>2003</v>
      </c>
      <c r="BW1099" t="s">
        <v>656</v>
      </c>
      <c r="BX1099" t="s">
        <v>78</v>
      </c>
      <c r="BY1099" s="13" t="s">
        <v>677</v>
      </c>
      <c r="CA1099" t="str">
        <f t="shared" si="560"/>
        <v>low acid</v>
      </c>
    </row>
    <row r="1100" spans="1:79">
      <c r="A1100" t="s">
        <v>597</v>
      </c>
      <c r="B1100" t="s">
        <v>565</v>
      </c>
      <c r="C1100" t="s">
        <v>563</v>
      </c>
      <c r="D1100" t="s">
        <v>33</v>
      </c>
      <c r="E1100" t="s">
        <v>77</v>
      </c>
      <c r="F1100" t="s">
        <v>33</v>
      </c>
      <c r="G1100">
        <v>20</v>
      </c>
      <c r="H1100">
        <v>35</v>
      </c>
      <c r="I1100" t="b">
        <v>0</v>
      </c>
      <c r="J1100" t="s">
        <v>33</v>
      </c>
      <c r="K1100" t="s">
        <v>33</v>
      </c>
      <c r="L1100">
        <v>12</v>
      </c>
      <c r="M1100" s="4">
        <v>1</v>
      </c>
      <c r="N1100" t="e">
        <f>(#REF!*Y1100)/(T1100*X1100*O1100)</f>
        <v>#REF!</v>
      </c>
      <c r="O1100">
        <v>2</v>
      </c>
      <c r="P1100" t="s">
        <v>33</v>
      </c>
      <c r="Q1100" s="1">
        <f t="shared" si="554"/>
        <v>100.4</v>
      </c>
      <c r="R1100" t="s">
        <v>183</v>
      </c>
      <c r="S1100" t="s">
        <v>33</v>
      </c>
      <c r="T1100">
        <v>1</v>
      </c>
      <c r="U1100">
        <v>2.5</v>
      </c>
      <c r="V1100" t="s">
        <v>33</v>
      </c>
      <c r="W1100">
        <v>0.50249999999999995</v>
      </c>
      <c r="X1100">
        <f>W1100</f>
        <v>0.50249999999999995</v>
      </c>
      <c r="Y1100" t="s">
        <v>33</v>
      </c>
      <c r="Z1100" s="3">
        <f t="shared" si="565"/>
        <v>5.0049800796812738E-3</v>
      </c>
      <c r="AA1100" t="s">
        <v>33</v>
      </c>
      <c r="AB1100">
        <f t="shared" si="566"/>
        <v>100.4</v>
      </c>
      <c r="AC1100" s="1" t="str">
        <f t="shared" si="567"/>
        <v>NA</v>
      </c>
      <c r="AE1100" s="3">
        <f t="shared" si="568"/>
        <v>57.830399999999997</v>
      </c>
      <c r="AF1100">
        <v>200.8</v>
      </c>
      <c r="AG1100" s="1" t="str">
        <f>IFERROR((N1100*P1100*Q1100), "NA")</f>
        <v>NA</v>
      </c>
      <c r="AH1100" s="1" t="str">
        <f>IFERROR((AG1100*U1100*AI1100), "NA")</f>
        <v>NA</v>
      </c>
      <c r="AI1100" s="1">
        <v>1</v>
      </c>
      <c r="AJ1100" s="11" t="s">
        <v>31</v>
      </c>
      <c r="AK1100">
        <v>2000</v>
      </c>
      <c r="AL1100" t="s">
        <v>784</v>
      </c>
      <c r="AM1100" s="3" t="s">
        <v>103</v>
      </c>
      <c r="AN1100" t="s">
        <v>130</v>
      </c>
      <c r="AO1100" t="s">
        <v>795</v>
      </c>
      <c r="AP1100">
        <v>7</v>
      </c>
      <c r="AQ1100" t="s">
        <v>33</v>
      </c>
      <c r="AR1100" t="s">
        <v>33</v>
      </c>
      <c r="AS1100">
        <v>9</v>
      </c>
      <c r="AT1100">
        <f>AS1100-AU1100</f>
        <v>5.7</v>
      </c>
      <c r="AU1100" s="6">
        <v>3.3</v>
      </c>
      <c r="AV1100" t="b">
        <v>1</v>
      </c>
      <c r="AW1100" t="s">
        <v>617</v>
      </c>
      <c r="AX1100" t="s">
        <v>635</v>
      </c>
      <c r="AY1100" t="s">
        <v>636</v>
      </c>
      <c r="AZ1100" t="s">
        <v>33</v>
      </c>
      <c r="BA1100" s="18" t="s">
        <v>802</v>
      </c>
      <c r="BB1100" s="3" t="b">
        <v>0</v>
      </c>
      <c r="BC1100" t="s">
        <v>81</v>
      </c>
      <c r="BD1100">
        <v>24</v>
      </c>
      <c r="BE1100" t="s">
        <v>80</v>
      </c>
      <c r="BF1100">
        <v>24</v>
      </c>
      <c r="BG1100" t="s">
        <v>644</v>
      </c>
      <c r="BH1100" t="s">
        <v>31</v>
      </c>
      <c r="BI1100" t="s">
        <v>31</v>
      </c>
      <c r="BJ1100">
        <f t="shared" si="537"/>
        <v>3.3</v>
      </c>
      <c r="BK1100" s="3">
        <f t="shared" si="549"/>
        <v>0.51851393987788741</v>
      </c>
      <c r="BL1100">
        <v>2</v>
      </c>
      <c r="BM1100" s="3">
        <f t="shared" si="569"/>
        <v>1.243642256354325</v>
      </c>
      <c r="BN1100" t="s">
        <v>33</v>
      </c>
      <c r="BO1100" s="3">
        <f t="shared" si="559"/>
        <v>17.524363636363635</v>
      </c>
      <c r="BP1100" t="s">
        <v>33</v>
      </c>
      <c r="BQ1100" t="s">
        <v>33</v>
      </c>
      <c r="BR1100" t="s">
        <v>33</v>
      </c>
      <c r="BS1100" t="s">
        <v>33</v>
      </c>
      <c r="BT1100" t="s">
        <v>31</v>
      </c>
      <c r="BU1100" t="s">
        <v>664</v>
      </c>
      <c r="BV1100">
        <v>2000</v>
      </c>
      <c r="BW1100" t="s">
        <v>665</v>
      </c>
      <c r="BX1100" t="s">
        <v>78</v>
      </c>
      <c r="BY1100" s="13" t="s">
        <v>685</v>
      </c>
      <c r="CA1100" t="str">
        <f t="shared" si="560"/>
        <v>low acid</v>
      </c>
    </row>
    <row r="1101" spans="1:79">
      <c r="A1101" t="s">
        <v>532</v>
      </c>
      <c r="B1101" t="s">
        <v>565</v>
      </c>
      <c r="C1101" t="s">
        <v>564</v>
      </c>
      <c r="D1101" t="s">
        <v>209</v>
      </c>
      <c r="E1101" t="s">
        <v>77</v>
      </c>
      <c r="F1101" t="s">
        <v>32</v>
      </c>
      <c r="G1101">
        <v>30</v>
      </c>
      <c r="H1101">
        <v>38.200000000000003</v>
      </c>
      <c r="I1101" t="b">
        <v>0</v>
      </c>
      <c r="J1101" t="s">
        <v>33</v>
      </c>
      <c r="K1101" t="s">
        <v>33</v>
      </c>
      <c r="L1101">
        <v>12</v>
      </c>
      <c r="M1101" s="4">
        <v>120</v>
      </c>
      <c r="N1101" s="3">
        <f>IFERROR(AF1101/((T1101*X1101/Y1101)*O1101*AI1101),"NA")</f>
        <v>39.762576183379494</v>
      </c>
      <c r="O1101">
        <v>3</v>
      </c>
      <c r="P1101" t="s">
        <v>33</v>
      </c>
      <c r="Q1101" s="9">
        <f t="shared" si="554"/>
        <v>4.1666666666666664E-2</v>
      </c>
      <c r="R1101" t="s">
        <v>183</v>
      </c>
      <c r="S1101" t="s">
        <v>612</v>
      </c>
      <c r="T1101" s="11">
        <v>4</v>
      </c>
      <c r="U1101">
        <v>3</v>
      </c>
      <c r="V1101">
        <v>2.6</v>
      </c>
      <c r="W1101" t="s">
        <v>33</v>
      </c>
      <c r="X1101" s="8">
        <f>IFERROR(((PI())*(((V1101*10^-1)/2)^2)*(U1101*10^-1)), "NA")</f>
        <v>1.5927874753700257E-2</v>
      </c>
      <c r="Y1101" s="6">
        <f>7.6/60</f>
        <v>0.12666666666666665</v>
      </c>
      <c r="Z1101" s="3">
        <f t="shared" si="565"/>
        <v>0.38226899408880616</v>
      </c>
      <c r="AA1101" t="s">
        <v>33</v>
      </c>
      <c r="AB1101" s="6">
        <f t="shared" si="566"/>
        <v>5</v>
      </c>
      <c r="AC1101" t="str">
        <f t="shared" si="567"/>
        <v>NA</v>
      </c>
      <c r="AD1101" s="4">
        <f>IFERROR(AB1101*T1101*AI1101, "NA")</f>
        <v>20</v>
      </c>
      <c r="AE1101" s="3">
        <f t="shared" si="568"/>
        <v>8.4671999999999983</v>
      </c>
      <c r="AF1101">
        <v>60</v>
      </c>
      <c r="AG1101" t="str">
        <f>IFERROR((M1101*O1101*P1101), "NA")</f>
        <v>NA</v>
      </c>
      <c r="AH1101" t="str">
        <f>IFERROR((AG1101*T1101*AI1101), "NA")</f>
        <v>NA</v>
      </c>
      <c r="AI1101" s="11">
        <v>1</v>
      </c>
      <c r="AJ1101" t="s">
        <v>31</v>
      </c>
      <c r="AK1101">
        <v>980</v>
      </c>
      <c r="AL1101" t="s">
        <v>551</v>
      </c>
      <c r="AM1101" t="s">
        <v>86</v>
      </c>
      <c r="AN1101" t="s">
        <v>186</v>
      </c>
      <c r="AO1101" t="s">
        <v>794</v>
      </c>
      <c r="AP1101">
        <v>5.98</v>
      </c>
      <c r="AQ1101" t="s">
        <v>33</v>
      </c>
      <c r="AR1101" t="s">
        <v>33</v>
      </c>
      <c r="AS1101" s="6">
        <v>6.5</v>
      </c>
      <c r="AT1101" s="3">
        <f>IFERROR(AS1101-AU1101,"NA")</f>
        <v>5.7080000000000002</v>
      </c>
      <c r="AU1101" s="6">
        <v>0.79200000000000004</v>
      </c>
      <c r="AV1101" t="b">
        <v>1</v>
      </c>
      <c r="AW1101" t="s">
        <v>172</v>
      </c>
      <c r="AX1101" t="s">
        <v>173</v>
      </c>
      <c r="AY1101" t="s">
        <v>246</v>
      </c>
      <c r="AZ1101" t="s">
        <v>33</v>
      </c>
      <c r="BA1101" s="18" t="s">
        <v>799</v>
      </c>
      <c r="BB1101" t="b">
        <v>0</v>
      </c>
      <c r="BC1101" t="s">
        <v>81</v>
      </c>
      <c r="BD1101">
        <v>72</v>
      </c>
      <c r="BE1101" t="s">
        <v>80</v>
      </c>
      <c r="BF1101" s="11">
        <v>72</v>
      </c>
      <c r="BG1101" t="s">
        <v>522</v>
      </c>
      <c r="BH1101" t="s">
        <v>31</v>
      </c>
      <c r="BI1101" t="s">
        <v>31</v>
      </c>
      <c r="BJ1101" s="3">
        <f t="shared" si="537"/>
        <v>0.79200000000000004</v>
      </c>
      <c r="BK1101" s="3">
        <f t="shared" si="549"/>
        <v>-0.10127481841050648</v>
      </c>
      <c r="BL1101">
        <v>2</v>
      </c>
      <c r="BM1101" s="3">
        <f t="shared" si="569"/>
        <v>1.0290146365818946</v>
      </c>
      <c r="BN1101" t="s">
        <v>33</v>
      </c>
      <c r="BO1101" s="3">
        <f t="shared" si="559"/>
        <v>10.690909090909088</v>
      </c>
      <c r="BP1101" t="s">
        <v>33</v>
      </c>
      <c r="BQ1101" t="s">
        <v>33</v>
      </c>
      <c r="BR1101" t="s">
        <v>33</v>
      </c>
      <c r="BS1101" t="s">
        <v>33</v>
      </c>
      <c r="BT1101" t="s">
        <v>32</v>
      </c>
      <c r="BU1101" t="s">
        <v>207</v>
      </c>
      <c r="BV1101">
        <v>2014</v>
      </c>
      <c r="BW1101" t="s">
        <v>208</v>
      </c>
      <c r="BX1101" t="s">
        <v>78</v>
      </c>
      <c r="BY1101" t="s">
        <v>33</v>
      </c>
      <c r="BZ1101" t="s">
        <v>33</v>
      </c>
      <c r="CA1101" t="str">
        <f t="shared" si="560"/>
        <v>low acid</v>
      </c>
    </row>
    <row r="1102" spans="1:79">
      <c r="A1102" t="s">
        <v>592</v>
      </c>
      <c r="B1102" t="s">
        <v>566</v>
      </c>
      <c r="C1102" t="s">
        <v>563</v>
      </c>
      <c r="D1102" t="s">
        <v>607</v>
      </c>
      <c r="E1102" t="s">
        <v>77</v>
      </c>
      <c r="F1102" t="s">
        <v>32</v>
      </c>
      <c r="G1102" t="s">
        <v>33</v>
      </c>
      <c r="H1102">
        <v>35</v>
      </c>
      <c r="I1102" t="b">
        <v>0</v>
      </c>
      <c r="J1102">
        <v>30000</v>
      </c>
      <c r="K1102">
        <v>200</v>
      </c>
      <c r="L1102">
        <v>25</v>
      </c>
      <c r="M1102" s="4">
        <v>1</v>
      </c>
      <c r="N1102" t="e">
        <f>(#REF!*Y1102)/(T1102*X1102*O1102)</f>
        <v>#REF!</v>
      </c>
      <c r="O1102">
        <v>3</v>
      </c>
      <c r="P1102" t="s">
        <v>33</v>
      </c>
      <c r="Q1102" s="1">
        <f t="shared" si="554"/>
        <v>25.933333333333334</v>
      </c>
      <c r="R1102" t="s">
        <v>183</v>
      </c>
      <c r="S1102" t="s">
        <v>33</v>
      </c>
      <c r="T1102">
        <v>1</v>
      </c>
      <c r="U1102">
        <v>2.5</v>
      </c>
      <c r="V1102" t="s">
        <v>33</v>
      </c>
      <c r="W1102">
        <v>0.50249999999999995</v>
      </c>
      <c r="X1102">
        <f>W1102</f>
        <v>0.50249999999999995</v>
      </c>
      <c r="Y1102" t="s">
        <v>33</v>
      </c>
      <c r="Z1102" s="3">
        <f t="shared" si="565"/>
        <v>1.9376606683804625E-2</v>
      </c>
      <c r="AA1102" t="s">
        <v>33</v>
      </c>
      <c r="AB1102">
        <f t="shared" si="566"/>
        <v>25.933333333333334</v>
      </c>
      <c r="AC1102" s="1" t="str">
        <f t="shared" si="567"/>
        <v>NA</v>
      </c>
      <c r="AE1102" s="3">
        <f t="shared" si="568"/>
        <v>48.625</v>
      </c>
      <c r="AF1102">
        <v>77.8</v>
      </c>
      <c r="AG1102" s="1" t="str">
        <f>IFERROR((N1102*P1102*Q1102), "NA")</f>
        <v>NA</v>
      </c>
      <c r="AH1102" s="1" t="str">
        <f>IFERROR((AG1102*U1102*AI1102), "NA")</f>
        <v>NA</v>
      </c>
      <c r="AI1102" s="1">
        <v>1</v>
      </c>
      <c r="AJ1102" s="11" t="s">
        <v>31</v>
      </c>
      <c r="AK1102">
        <v>1000</v>
      </c>
      <c r="AL1102" t="s">
        <v>614</v>
      </c>
      <c r="AM1102" s="3" t="s">
        <v>103</v>
      </c>
      <c r="AN1102" t="s">
        <v>130</v>
      </c>
      <c r="AO1102" t="s">
        <v>795</v>
      </c>
      <c r="AP1102">
        <v>5.5</v>
      </c>
      <c r="AQ1102" t="s">
        <v>33</v>
      </c>
      <c r="AR1102" t="s">
        <v>33</v>
      </c>
      <c r="AS1102">
        <v>8</v>
      </c>
      <c r="AT1102">
        <f>AS1102-AU1102</f>
        <v>5.71</v>
      </c>
      <c r="AU1102" s="6">
        <v>2.29</v>
      </c>
      <c r="AV1102" t="b">
        <v>1</v>
      </c>
      <c r="AW1102" t="s">
        <v>626</v>
      </c>
      <c r="AX1102" t="s">
        <v>627</v>
      </c>
      <c r="AY1102" t="s">
        <v>633</v>
      </c>
      <c r="AZ1102" t="s">
        <v>33</v>
      </c>
      <c r="BA1102" s="18" t="s">
        <v>800</v>
      </c>
      <c r="BB1102" s="3" t="b">
        <v>0</v>
      </c>
      <c r="BC1102" t="s">
        <v>81</v>
      </c>
      <c r="BD1102">
        <v>24</v>
      </c>
      <c r="BE1102" t="s">
        <v>80</v>
      </c>
      <c r="BF1102">
        <v>48</v>
      </c>
      <c r="BG1102" t="s">
        <v>569</v>
      </c>
      <c r="BH1102" t="s">
        <v>31</v>
      </c>
      <c r="BI1102" t="s">
        <v>31</v>
      </c>
      <c r="BJ1102">
        <f t="shared" si="537"/>
        <v>2.29</v>
      </c>
      <c r="BK1102" s="3">
        <f t="shared" si="549"/>
        <v>0.35983548233988799</v>
      </c>
      <c r="BL1102">
        <v>2</v>
      </c>
      <c r="BM1102" s="3">
        <f t="shared" si="569"/>
        <v>1.3270241319938763</v>
      </c>
      <c r="BN1102" t="s">
        <v>33</v>
      </c>
      <c r="BO1102" s="3">
        <f t="shared" si="559"/>
        <v>21.233624454148472</v>
      </c>
      <c r="BP1102" t="s">
        <v>33</v>
      </c>
      <c r="BQ1102" t="s">
        <v>33</v>
      </c>
      <c r="BR1102" t="s">
        <v>33</v>
      </c>
      <c r="BS1102" t="s">
        <v>33</v>
      </c>
      <c r="BT1102" t="s">
        <v>31</v>
      </c>
      <c r="BU1102" s="15" t="s">
        <v>255</v>
      </c>
      <c r="BV1102">
        <v>2010</v>
      </c>
      <c r="BW1102" t="s">
        <v>659</v>
      </c>
      <c r="BX1102" t="s">
        <v>78</v>
      </c>
      <c r="BY1102" s="13" t="s">
        <v>680</v>
      </c>
      <c r="CA1102" t="str">
        <f t="shared" si="560"/>
        <v>low acid</v>
      </c>
    </row>
    <row r="1103" spans="1:79">
      <c r="A1103" t="s">
        <v>764</v>
      </c>
      <c r="B1103" t="s">
        <v>565</v>
      </c>
      <c r="C1103" t="s">
        <v>563</v>
      </c>
      <c r="D1103" t="s">
        <v>765</v>
      </c>
      <c r="E1103" t="s">
        <v>77</v>
      </c>
      <c r="F1103" t="s">
        <v>31</v>
      </c>
      <c r="G1103">
        <v>23</v>
      </c>
      <c r="H1103">
        <v>52</v>
      </c>
      <c r="I1103" t="b">
        <v>0</v>
      </c>
      <c r="J1103" t="s">
        <v>33</v>
      </c>
      <c r="K1103" t="s">
        <v>33</v>
      </c>
      <c r="L1103">
        <v>16</v>
      </c>
      <c r="M1103" s="4">
        <f>N1103</f>
        <v>912.96296296296293</v>
      </c>
      <c r="N1103" s="3">
        <f>IFERROR(AF1103/((T1103*X1103/Y1103)*O1103*AI1103),"NA")</f>
        <v>912.96296296296293</v>
      </c>
      <c r="O1103">
        <v>3</v>
      </c>
      <c r="P1103">
        <v>5.4399999999999997E-2</v>
      </c>
      <c r="Q1103" s="8">
        <f>IFERROR(X1103/Y1103, "NA")</f>
        <v>5.3999999999999999E-2</v>
      </c>
      <c r="R1103" t="s">
        <v>183</v>
      </c>
      <c r="S1103" t="s">
        <v>33</v>
      </c>
      <c r="T1103" s="11">
        <v>1</v>
      </c>
      <c r="U1103" t="s">
        <v>33</v>
      </c>
      <c r="V1103" t="s">
        <v>33</v>
      </c>
      <c r="W1103">
        <v>4.4999999999999997E-3</v>
      </c>
      <c r="X1103">
        <f>W1103</f>
        <v>4.4999999999999997E-3</v>
      </c>
      <c r="Y1103" s="6">
        <f>5/60</f>
        <v>8.3333333333333329E-2</v>
      </c>
      <c r="Z1103" s="6">
        <f>Y1103</f>
        <v>8.3333333333333329E-2</v>
      </c>
      <c r="AA1103" t="s">
        <v>33</v>
      </c>
      <c r="AB1103" s="4">
        <f>IFERROR(((X1103*M1103)/Y1103), "NA")</f>
        <v>49.29999999999999</v>
      </c>
      <c r="AC1103" s="4">
        <f t="shared" si="567"/>
        <v>49.66518518518518</v>
      </c>
      <c r="AD1103" s="4">
        <f>AB1103*T1103*AI1103</f>
        <v>49.29999999999999</v>
      </c>
      <c r="AE1103" s="3">
        <f t="shared" si="568"/>
        <v>113.58719999999998</v>
      </c>
      <c r="AF1103">
        <v>147.9</v>
      </c>
      <c r="AG1103" s="4">
        <f>IFERROR((M1103*O1103*P1103), "NA")</f>
        <v>148.99555555555554</v>
      </c>
      <c r="AH1103" s="4">
        <f>IFERROR((AG1103*T1103*AI1103), "NA")</f>
        <v>148.99555555555554</v>
      </c>
      <c r="AI1103">
        <v>1</v>
      </c>
      <c r="AJ1103" s="11" t="s">
        <v>31</v>
      </c>
      <c r="AK1103">
        <v>3000</v>
      </c>
      <c r="AL1103" t="s">
        <v>169</v>
      </c>
      <c r="AM1103" t="s">
        <v>103</v>
      </c>
      <c r="AN1103" t="s">
        <v>130</v>
      </c>
      <c r="AO1103" t="s">
        <v>795</v>
      </c>
      <c r="AP1103">
        <v>7.3</v>
      </c>
      <c r="AQ1103" t="s">
        <v>33</v>
      </c>
      <c r="AR1103" t="s">
        <v>33</v>
      </c>
      <c r="AS1103">
        <v>7</v>
      </c>
      <c r="AT1103" s="3">
        <f>IFERROR(AS1103-AU1103,"NA")</f>
        <v>5.7110000000000003</v>
      </c>
      <c r="AU1103" s="6">
        <v>1.2889999999999999</v>
      </c>
      <c r="AV1103" t="b">
        <v>1</v>
      </c>
      <c r="AW1103" t="s">
        <v>29</v>
      </c>
      <c r="AX1103" t="s">
        <v>30</v>
      </c>
      <c r="AY1103" t="s">
        <v>766</v>
      </c>
      <c r="AZ1103" t="s">
        <v>33</v>
      </c>
      <c r="BA1103" s="18" t="s">
        <v>798</v>
      </c>
      <c r="BB1103" s="3" t="b">
        <v>0</v>
      </c>
      <c r="BC1103" t="s">
        <v>81</v>
      </c>
      <c r="BD1103">
        <v>16</v>
      </c>
      <c r="BE1103" t="s">
        <v>80</v>
      </c>
      <c r="BF1103">
        <v>24</v>
      </c>
      <c r="BG1103" t="s">
        <v>569</v>
      </c>
      <c r="BH1103" t="s">
        <v>31</v>
      </c>
      <c r="BI1103" t="s">
        <v>31</v>
      </c>
      <c r="BJ1103" s="3">
        <f t="shared" si="537"/>
        <v>1.2889999999999999</v>
      </c>
      <c r="BK1103" s="3">
        <f t="shared" si="549"/>
        <v>0.11025291735340299</v>
      </c>
      <c r="BL1103">
        <v>2</v>
      </c>
      <c r="BM1103" s="3">
        <f t="shared" si="569"/>
        <v>1.9450764766750013</v>
      </c>
      <c r="BN1103" t="s">
        <v>33</v>
      </c>
      <c r="BO1103" s="3">
        <f t="shared" si="559"/>
        <v>88.120403413498821</v>
      </c>
      <c r="BP1103" t="s">
        <v>33</v>
      </c>
      <c r="BQ1103" t="s">
        <v>33</v>
      </c>
      <c r="BR1103" t="s">
        <v>33</v>
      </c>
      <c r="BS1103" t="s">
        <v>33</v>
      </c>
      <c r="BT1103" t="s">
        <v>31</v>
      </c>
      <c r="BU1103" t="s">
        <v>767</v>
      </c>
      <c r="BV1103">
        <v>2021</v>
      </c>
      <c r="BW1103" t="s">
        <v>768</v>
      </c>
      <c r="BX1103" t="s">
        <v>78</v>
      </c>
      <c r="BY1103" t="s">
        <v>769</v>
      </c>
      <c r="CA1103" t="str">
        <f t="shared" si="560"/>
        <v>low acid</v>
      </c>
    </row>
    <row r="1104" spans="1:79">
      <c r="A1104" t="s">
        <v>536</v>
      </c>
      <c r="B1104" t="s">
        <v>565</v>
      </c>
      <c r="C1104" t="s">
        <v>563</v>
      </c>
      <c r="D1104" t="s">
        <v>118</v>
      </c>
      <c r="E1104" t="s">
        <v>77</v>
      </c>
      <c r="F1104" t="s">
        <v>32</v>
      </c>
      <c r="G1104">
        <v>20</v>
      </c>
      <c r="H1104">
        <v>55</v>
      </c>
      <c r="I1104" t="b">
        <v>0</v>
      </c>
      <c r="J1104" t="s">
        <v>33</v>
      </c>
      <c r="K1104" t="s">
        <v>33</v>
      </c>
      <c r="L1104">
        <v>22</v>
      </c>
      <c r="M1104" s="4">
        <v>500</v>
      </c>
      <c r="N1104" s="3">
        <f>IFERROR(AF1104/((T1104*X1104/Y1104)*O1104*AI1104),"NA")</f>
        <v>497.97518208793286</v>
      </c>
      <c r="O1104">
        <v>2</v>
      </c>
      <c r="P1104" t="s">
        <v>33</v>
      </c>
      <c r="Q1104">
        <f t="shared" ref="Q1104:Q1126" si="570">IFERROR(X1104/Z1104, "NA")</f>
        <v>6.0000000000000001E-3</v>
      </c>
      <c r="R1104" t="s">
        <v>183</v>
      </c>
      <c r="S1104" t="s">
        <v>613</v>
      </c>
      <c r="T1104" s="11">
        <v>6</v>
      </c>
      <c r="U1104">
        <v>2.9</v>
      </c>
      <c r="V1104">
        <v>2.2999999999999998</v>
      </c>
      <c r="W1104" t="s">
        <v>33</v>
      </c>
      <c r="X1104" s="8">
        <f>IFERROR(((PI())*(((V1104*10^-1)/2)^2)*(U1104*10^-1)), "NA")</f>
        <v>1.204879322468025E-2</v>
      </c>
      <c r="Y1104">
        <v>2</v>
      </c>
      <c r="Z1104" s="3">
        <f>IFERROR(X1104*M1104*O1104*T1104*AI1104/AF1104, "NA")</f>
        <v>2.0081322041133749</v>
      </c>
      <c r="AA1104" t="s">
        <v>33</v>
      </c>
      <c r="AB1104" s="6">
        <f>IFERROR(((X1104*M1104)/Z1104), "NA")</f>
        <v>3.0000000000000004</v>
      </c>
      <c r="AC1104" t="str">
        <f t="shared" si="567"/>
        <v>NA</v>
      </c>
      <c r="AD1104" s="4">
        <f>IFERROR(AB1104*T1104*AI1104, "NA")</f>
        <v>18.000000000000004</v>
      </c>
      <c r="AE1104" s="3">
        <f t="shared" si="568"/>
        <v>78.408000000000001</v>
      </c>
      <c r="AF1104">
        <v>36</v>
      </c>
      <c r="AG1104" t="str">
        <f>IFERROR((M1104*O1104*P1104), "NA")</f>
        <v>NA</v>
      </c>
      <c r="AH1104" t="str">
        <f>IFERROR((AG1104*T1104*AI1104), "NA")</f>
        <v>NA</v>
      </c>
      <c r="AI1104" s="11">
        <v>1</v>
      </c>
      <c r="AJ1104" t="s">
        <v>31</v>
      </c>
      <c r="AK1104">
        <v>4500</v>
      </c>
      <c r="AL1104" t="s">
        <v>265</v>
      </c>
      <c r="AM1104" t="s">
        <v>86</v>
      </c>
      <c r="AN1104" t="s">
        <v>205</v>
      </c>
      <c r="AO1104" t="s">
        <v>789</v>
      </c>
      <c r="AP1104">
        <v>3.8</v>
      </c>
      <c r="AQ1104" t="s">
        <v>33</v>
      </c>
      <c r="AR1104" t="s">
        <v>33</v>
      </c>
      <c r="AS1104" s="6">
        <f>LOG(10^7)</f>
        <v>7</v>
      </c>
      <c r="AT1104" s="3">
        <f>IFERROR(AS1104-AU1104,"NA")</f>
        <v>5.7160000000000002</v>
      </c>
      <c r="AU1104" s="6">
        <v>1.284</v>
      </c>
      <c r="AV1104" t="b">
        <v>1</v>
      </c>
      <c r="AW1104" t="s">
        <v>29</v>
      </c>
      <c r="AX1104" t="s">
        <v>30</v>
      </c>
      <c r="AY1104" t="s">
        <v>270</v>
      </c>
      <c r="AZ1104" t="s">
        <v>33</v>
      </c>
      <c r="BA1104" s="18" t="s">
        <v>798</v>
      </c>
      <c r="BB1104" t="b">
        <v>0</v>
      </c>
      <c r="BC1104" t="s">
        <v>81</v>
      </c>
      <c r="BD1104">
        <v>48</v>
      </c>
      <c r="BE1104" t="s">
        <v>80</v>
      </c>
      <c r="BF1104" s="11">
        <v>24</v>
      </c>
      <c r="BG1104" t="s">
        <v>568</v>
      </c>
      <c r="BH1104" t="s">
        <v>31</v>
      </c>
      <c r="BI1104" t="s">
        <v>31</v>
      </c>
      <c r="BJ1104" s="3">
        <f t="shared" si="537"/>
        <v>1.284</v>
      </c>
      <c r="BK1104" s="3">
        <f t="shared" si="549"/>
        <v>0.10856502373283448</v>
      </c>
      <c r="BL1104">
        <v>2</v>
      </c>
      <c r="BM1104" s="3">
        <f t="shared" si="569"/>
        <v>1.785795352454209</v>
      </c>
      <c r="BN1104" t="s">
        <v>33</v>
      </c>
      <c r="BO1104" s="3">
        <f t="shared" si="559"/>
        <v>61.065420560747661</v>
      </c>
      <c r="BP1104" t="s">
        <v>33</v>
      </c>
      <c r="BQ1104" t="s">
        <v>33</v>
      </c>
      <c r="BR1104" t="s">
        <v>33</v>
      </c>
      <c r="BS1104" t="s">
        <v>33</v>
      </c>
      <c r="BT1104" t="s">
        <v>32</v>
      </c>
      <c r="BU1104" t="s">
        <v>263</v>
      </c>
      <c r="BV1104">
        <v>2015</v>
      </c>
      <c r="BW1104" s="2" t="s">
        <v>264</v>
      </c>
      <c r="BX1104" t="s">
        <v>78</v>
      </c>
      <c r="BY1104" t="s">
        <v>33</v>
      </c>
      <c r="BZ1104" t="s">
        <v>33</v>
      </c>
      <c r="CA1104" t="str">
        <f t="shared" si="560"/>
        <v>high acid</v>
      </c>
    </row>
    <row r="1105" spans="1:79">
      <c r="A1105" t="s">
        <v>325</v>
      </c>
      <c r="B1105" t="s">
        <v>565</v>
      </c>
      <c r="C1105" t="s">
        <v>563</v>
      </c>
      <c r="D1105" t="s">
        <v>304</v>
      </c>
      <c r="E1105" t="s">
        <v>77</v>
      </c>
      <c r="F1105" t="s">
        <v>32</v>
      </c>
      <c r="G1105">
        <v>30</v>
      </c>
      <c r="H1105">
        <v>31.9</v>
      </c>
      <c r="I1105" t="b">
        <v>1</v>
      </c>
      <c r="J1105">
        <v>12600</v>
      </c>
      <c r="K1105">
        <v>50.4</v>
      </c>
      <c r="L1105">
        <v>21</v>
      </c>
      <c r="M1105" s="4">
        <v>189</v>
      </c>
      <c r="N1105" s="3">
        <f>IFERROR(AF1105/((T1105*X1105/Y1105)*O1105*AI1105),"NA")</f>
        <v>191.40202306476294</v>
      </c>
      <c r="O1105">
        <v>5</v>
      </c>
      <c r="P1105">
        <v>2.4E-2</v>
      </c>
      <c r="Q1105" s="8">
        <f t="shared" si="570"/>
        <v>2.433862433862434E-2</v>
      </c>
      <c r="R1105" t="s">
        <v>183</v>
      </c>
      <c r="S1105" t="s">
        <v>612</v>
      </c>
      <c r="T1105" s="11">
        <v>1</v>
      </c>
      <c r="U1105">
        <v>3.4</v>
      </c>
      <c r="V1105">
        <v>3</v>
      </c>
      <c r="W1105">
        <v>2.4E-2</v>
      </c>
      <c r="X1105" s="8">
        <f>IFERROR(((PI())*(((V1105*10^-1)/2)^2)*(U1105*10^-1)), "NA")</f>
        <v>2.4033183799961926E-2</v>
      </c>
      <c r="Y1105" s="6">
        <f>1</f>
        <v>1</v>
      </c>
      <c r="Z1105" s="3">
        <f>IFERROR(X1105*M1105*O1105*T1105*AI1105/AF1105, "NA")</f>
        <v>0.98745037786800083</v>
      </c>
      <c r="AA1105">
        <v>4.5</v>
      </c>
      <c r="AB1105" s="6">
        <f>IFERROR(((X1105*M1105)/Z1105), "NA")</f>
        <v>4.6000000000000005</v>
      </c>
      <c r="AC1105">
        <f t="shared" si="567"/>
        <v>4.5360000000000005</v>
      </c>
      <c r="AD1105" s="4">
        <f>IFERROR(AB1105*T1105*AI1105, "NA")</f>
        <v>4.6000000000000005</v>
      </c>
      <c r="AE1105" s="3">
        <f t="shared" si="568"/>
        <v>10.143000000000001</v>
      </c>
      <c r="AF1105">
        <v>23</v>
      </c>
      <c r="AG1105">
        <f>IFERROR((M1105*O1105*P1105), "NA")</f>
        <v>22.68</v>
      </c>
      <c r="AH1105">
        <f>IFERROR((AG1105*T1105*AI1105), "NA")</f>
        <v>22.68</v>
      </c>
      <c r="AI1105" s="11">
        <v>1</v>
      </c>
      <c r="AJ1105" t="s">
        <v>31</v>
      </c>
      <c r="AK1105">
        <v>1000</v>
      </c>
      <c r="AL1105" t="s">
        <v>169</v>
      </c>
      <c r="AM1105" t="s">
        <v>103</v>
      </c>
      <c r="AN1105" t="s">
        <v>305</v>
      </c>
      <c r="AO1105" t="s">
        <v>790</v>
      </c>
      <c r="AP1105">
        <v>4.5</v>
      </c>
      <c r="AQ1105" t="s">
        <v>33</v>
      </c>
      <c r="AR1105" t="s">
        <v>33</v>
      </c>
      <c r="AS1105" s="6">
        <f>LOG(3*10^7)</f>
        <v>7.4771212547196626</v>
      </c>
      <c r="AT1105" s="3">
        <f>IFERROR(AS1105-AU1105,"NA")</f>
        <v>5.7171212547196628</v>
      </c>
      <c r="AU1105" s="6">
        <v>1.76</v>
      </c>
      <c r="AV1105" t="b">
        <v>1</v>
      </c>
      <c r="AW1105" t="s">
        <v>123</v>
      </c>
      <c r="AX1105" t="s">
        <v>88</v>
      </c>
      <c r="AY1105" t="s">
        <v>306</v>
      </c>
      <c r="AZ1105" t="s">
        <v>33</v>
      </c>
      <c r="BA1105" s="18" t="s">
        <v>579</v>
      </c>
      <c r="BB1105" t="b">
        <v>1</v>
      </c>
      <c r="BC1105" t="s">
        <v>81</v>
      </c>
      <c r="BD1105">
        <v>48</v>
      </c>
      <c r="BE1105" t="s">
        <v>80</v>
      </c>
      <c r="BF1105" s="11">
        <v>120</v>
      </c>
      <c r="BG1105" t="s">
        <v>395</v>
      </c>
      <c r="BH1105" t="s">
        <v>31</v>
      </c>
      <c r="BI1105" t="s">
        <v>31</v>
      </c>
      <c r="BJ1105" s="3">
        <f t="shared" si="537"/>
        <v>1.76</v>
      </c>
      <c r="BK1105" s="3">
        <f t="shared" si="549"/>
        <v>0.24551266781414982</v>
      </c>
      <c r="BL1105">
        <v>2</v>
      </c>
      <c r="BM1105" s="3">
        <f t="shared" si="569"/>
        <v>0.76065375767128163</v>
      </c>
      <c r="BN1105" t="s">
        <v>33</v>
      </c>
      <c r="BO1105" s="3">
        <f t="shared" si="559"/>
        <v>5.7630681818181824</v>
      </c>
      <c r="BP1105" t="s">
        <v>33</v>
      </c>
      <c r="BQ1105" t="s">
        <v>33</v>
      </c>
      <c r="BR1105" t="s">
        <v>33</v>
      </c>
      <c r="BS1105" t="s">
        <v>33</v>
      </c>
      <c r="BT1105" t="s">
        <v>32</v>
      </c>
      <c r="BU1105" t="s">
        <v>323</v>
      </c>
      <c r="BV1105">
        <v>2003</v>
      </c>
      <c r="BW1105" s="2" t="s">
        <v>322</v>
      </c>
      <c r="BX1105" t="s">
        <v>78</v>
      </c>
      <c r="BY1105" t="s">
        <v>33</v>
      </c>
      <c r="BZ1105" t="s">
        <v>33</v>
      </c>
      <c r="CA1105" t="str">
        <f t="shared" si="560"/>
        <v>high acid</v>
      </c>
    </row>
    <row r="1106" spans="1:79">
      <c r="A1106" t="s">
        <v>592</v>
      </c>
      <c r="B1106" t="s">
        <v>566</v>
      </c>
      <c r="C1106" t="s">
        <v>563</v>
      </c>
      <c r="D1106" t="s">
        <v>607</v>
      </c>
      <c r="E1106" t="s">
        <v>77</v>
      </c>
      <c r="F1106" t="s">
        <v>32</v>
      </c>
      <c r="G1106" t="s">
        <v>33</v>
      </c>
      <c r="H1106">
        <v>35</v>
      </c>
      <c r="I1106" t="b">
        <v>0</v>
      </c>
      <c r="J1106">
        <v>30000</v>
      </c>
      <c r="K1106">
        <v>200</v>
      </c>
      <c r="L1106">
        <v>35</v>
      </c>
      <c r="M1106" s="4">
        <v>1</v>
      </c>
      <c r="N1106" t="e">
        <f>(#REF!*Y1106)/(T1106*X1106*O1106)</f>
        <v>#REF!</v>
      </c>
      <c r="O1106">
        <v>3</v>
      </c>
      <c r="P1106" t="s">
        <v>33</v>
      </c>
      <c r="Q1106" s="1">
        <f t="shared" si="570"/>
        <v>5.3933333333333326</v>
      </c>
      <c r="R1106" t="s">
        <v>183</v>
      </c>
      <c r="S1106" t="s">
        <v>33</v>
      </c>
      <c r="T1106">
        <v>1</v>
      </c>
      <c r="U1106">
        <v>2.5</v>
      </c>
      <c r="V1106" t="s">
        <v>33</v>
      </c>
      <c r="W1106">
        <v>0.50249999999999995</v>
      </c>
      <c r="X1106">
        <f>W1106</f>
        <v>0.50249999999999995</v>
      </c>
      <c r="Y1106" t="s">
        <v>33</v>
      </c>
      <c r="Z1106" s="3">
        <f>IFERROR(X1106*M1106*O1106*T1106*AI1106/AF1106, "NA")</f>
        <v>9.3170580964153274E-2</v>
      </c>
      <c r="AA1106" t="s">
        <v>33</v>
      </c>
      <c r="AB1106">
        <f>IFERROR(((X1106*M1106)/Z1106), "NA")</f>
        <v>5.3933333333333326</v>
      </c>
      <c r="AC1106" s="1" t="str">
        <f t="shared" si="567"/>
        <v>NA</v>
      </c>
      <c r="AE1106" s="3">
        <f t="shared" si="568"/>
        <v>19.820499999999996</v>
      </c>
      <c r="AF1106">
        <v>16.18</v>
      </c>
      <c r="AG1106" s="1" t="str">
        <f>IFERROR((N1106*P1106*Q1106), "NA")</f>
        <v>NA</v>
      </c>
      <c r="AH1106" s="1" t="str">
        <f>IFERROR((AG1106*U1106*AI1106), "NA")</f>
        <v>NA</v>
      </c>
      <c r="AI1106" s="1">
        <v>1</v>
      </c>
      <c r="AJ1106" s="11" t="s">
        <v>31</v>
      </c>
      <c r="AK1106">
        <v>1000</v>
      </c>
      <c r="AL1106" t="s">
        <v>614</v>
      </c>
      <c r="AM1106" s="3" t="s">
        <v>103</v>
      </c>
      <c r="AN1106" t="s">
        <v>305</v>
      </c>
      <c r="AO1106" t="s">
        <v>790</v>
      </c>
      <c r="AP1106">
        <v>4.5</v>
      </c>
      <c r="AQ1106" t="s">
        <v>33</v>
      </c>
      <c r="AR1106" t="s">
        <v>33</v>
      </c>
      <c r="AS1106">
        <v>8</v>
      </c>
      <c r="AT1106">
        <f>AS1106-AU1106</f>
        <v>5.7200000000000006</v>
      </c>
      <c r="AU1106" s="6">
        <v>2.2799999999999998</v>
      </c>
      <c r="AV1106" t="b">
        <v>1</v>
      </c>
      <c r="AW1106" t="s">
        <v>626</v>
      </c>
      <c r="AX1106" t="s">
        <v>627</v>
      </c>
      <c r="AY1106" t="s">
        <v>633</v>
      </c>
      <c r="AZ1106" t="s">
        <v>33</v>
      </c>
      <c r="BA1106" s="18" t="s">
        <v>800</v>
      </c>
      <c r="BB1106" s="3" t="b">
        <v>0</v>
      </c>
      <c r="BC1106" t="s">
        <v>81</v>
      </c>
      <c r="BD1106">
        <v>24</v>
      </c>
      <c r="BE1106" t="s">
        <v>80</v>
      </c>
      <c r="BF1106">
        <v>48</v>
      </c>
      <c r="BG1106" t="s">
        <v>569</v>
      </c>
      <c r="BH1106" t="s">
        <v>31</v>
      </c>
      <c r="BI1106" t="s">
        <v>31</v>
      </c>
      <c r="BJ1106">
        <f t="shared" si="537"/>
        <v>2.2799999999999998</v>
      </c>
      <c r="BK1106" s="3">
        <f t="shared" si="549"/>
        <v>0.35793484700045375</v>
      </c>
      <c r="BL1106">
        <v>2</v>
      </c>
      <c r="BM1106" s="3">
        <f t="shared" si="569"/>
        <v>0.93917975897635086</v>
      </c>
      <c r="BN1106" t="s">
        <v>33</v>
      </c>
      <c r="BO1106" s="3">
        <f t="shared" si="559"/>
        <v>8.6932017543859637</v>
      </c>
      <c r="BP1106" t="s">
        <v>33</v>
      </c>
      <c r="BQ1106" t="s">
        <v>33</v>
      </c>
      <c r="BR1106" t="s">
        <v>33</v>
      </c>
      <c r="BS1106" t="s">
        <v>33</v>
      </c>
      <c r="BT1106" t="s">
        <v>31</v>
      </c>
      <c r="BU1106" s="15" t="s">
        <v>255</v>
      </c>
      <c r="BV1106">
        <v>2010</v>
      </c>
      <c r="BW1106" t="s">
        <v>659</v>
      </c>
      <c r="BX1106" t="s">
        <v>78</v>
      </c>
      <c r="BY1106" s="13" t="s">
        <v>680</v>
      </c>
      <c r="CA1106" t="str">
        <f t="shared" si="560"/>
        <v>high acid</v>
      </c>
    </row>
    <row r="1107" spans="1:79">
      <c r="A1107" t="s">
        <v>597</v>
      </c>
      <c r="B1107" t="s">
        <v>565</v>
      </c>
      <c r="C1107" t="s">
        <v>563</v>
      </c>
      <c r="D1107" t="s">
        <v>33</v>
      </c>
      <c r="E1107" t="s">
        <v>77</v>
      </c>
      <c r="F1107" t="s">
        <v>33</v>
      </c>
      <c r="G1107">
        <v>20</v>
      </c>
      <c r="H1107">
        <v>35</v>
      </c>
      <c r="I1107" t="b">
        <v>0</v>
      </c>
      <c r="J1107" t="s">
        <v>33</v>
      </c>
      <c r="K1107" t="s">
        <v>33</v>
      </c>
      <c r="L1107">
        <v>22</v>
      </c>
      <c r="M1107" s="4">
        <v>1</v>
      </c>
      <c r="N1107" t="e">
        <f>(#REF!*Y1107)/(T1107*X1107*O1107)</f>
        <v>#REF!</v>
      </c>
      <c r="O1107">
        <v>2</v>
      </c>
      <c r="P1107" t="s">
        <v>33</v>
      </c>
      <c r="Q1107" s="1">
        <f t="shared" si="570"/>
        <v>300</v>
      </c>
      <c r="R1107" t="s">
        <v>183</v>
      </c>
      <c r="S1107" t="s">
        <v>33</v>
      </c>
      <c r="T1107">
        <v>1</v>
      </c>
      <c r="U1107">
        <v>2.5</v>
      </c>
      <c r="V1107" t="s">
        <v>33</v>
      </c>
      <c r="W1107">
        <v>0.50249999999999995</v>
      </c>
      <c r="X1107">
        <f>W1107</f>
        <v>0.50249999999999995</v>
      </c>
      <c r="Y1107" t="s">
        <v>33</v>
      </c>
      <c r="Z1107" s="3">
        <f>IFERROR(X1107*M1107*O1107*T1107*AI1107/AF1107, "NA")</f>
        <v>1.6749999999999998E-3</v>
      </c>
      <c r="AA1107" t="s">
        <v>33</v>
      </c>
      <c r="AB1107">
        <f>IFERROR(((X1107*M1107)/Z1107), "NA")</f>
        <v>300</v>
      </c>
      <c r="AC1107" s="1" t="str">
        <f t="shared" si="567"/>
        <v>NA</v>
      </c>
      <c r="AE1107" s="3">
        <f t="shared" si="568"/>
        <v>580.79999999999995</v>
      </c>
      <c r="AF1107">
        <v>600</v>
      </c>
      <c r="AG1107" s="1" t="str">
        <f>IFERROR((N1107*P1107*Q1107), "NA")</f>
        <v>NA</v>
      </c>
      <c r="AH1107" s="1" t="str">
        <f>IFERROR((AG1107*U1107*AI1107), "NA")</f>
        <v>NA</v>
      </c>
      <c r="AI1107" s="1">
        <v>1</v>
      </c>
      <c r="AJ1107" s="11" t="s">
        <v>31</v>
      </c>
      <c r="AK1107">
        <v>2000</v>
      </c>
      <c r="AL1107" t="s">
        <v>784</v>
      </c>
      <c r="AM1107" s="3" t="s">
        <v>103</v>
      </c>
      <c r="AN1107" t="s">
        <v>130</v>
      </c>
      <c r="AO1107" t="s">
        <v>795</v>
      </c>
      <c r="AP1107">
        <v>7</v>
      </c>
      <c r="AQ1107" t="s">
        <v>33</v>
      </c>
      <c r="AR1107" t="s">
        <v>33</v>
      </c>
      <c r="AS1107">
        <v>9</v>
      </c>
      <c r="AT1107">
        <f>AS1107-AU1107</f>
        <v>5.7200000000000006</v>
      </c>
      <c r="AU1107" s="6">
        <v>3.28</v>
      </c>
      <c r="AV1107" t="b">
        <v>1</v>
      </c>
      <c r="AW1107" t="s">
        <v>617</v>
      </c>
      <c r="AX1107" t="s">
        <v>635</v>
      </c>
      <c r="AY1107" t="s">
        <v>636</v>
      </c>
      <c r="AZ1107" t="s">
        <v>33</v>
      </c>
      <c r="BA1107" s="18" t="s">
        <v>802</v>
      </c>
      <c r="BB1107" s="3" t="b">
        <v>0</v>
      </c>
      <c r="BC1107" t="s">
        <v>81</v>
      </c>
      <c r="BD1107">
        <v>24</v>
      </c>
      <c r="BE1107" t="s">
        <v>80</v>
      </c>
      <c r="BF1107">
        <v>24</v>
      </c>
      <c r="BG1107" t="s">
        <v>644</v>
      </c>
      <c r="BH1107" t="s">
        <v>31</v>
      </c>
      <c r="BI1107" t="s">
        <v>31</v>
      </c>
      <c r="BJ1107">
        <f t="shared" si="537"/>
        <v>3.28</v>
      </c>
      <c r="BK1107" s="3">
        <f t="shared" si="549"/>
        <v>0.5158738437116791</v>
      </c>
      <c r="BL1107">
        <v>2</v>
      </c>
      <c r="BM1107" s="3">
        <f t="shared" si="569"/>
        <v>2.2481527639803582</v>
      </c>
      <c r="BN1107" t="s">
        <v>33</v>
      </c>
      <c r="BO1107" s="3">
        <f t="shared" si="559"/>
        <v>177.07317073170731</v>
      </c>
      <c r="BP1107" t="s">
        <v>33</v>
      </c>
      <c r="BQ1107" t="s">
        <v>33</v>
      </c>
      <c r="BR1107" t="s">
        <v>33</v>
      </c>
      <c r="BS1107" t="s">
        <v>33</v>
      </c>
      <c r="BT1107" t="s">
        <v>31</v>
      </c>
      <c r="BU1107" t="s">
        <v>664</v>
      </c>
      <c r="BV1107">
        <v>2000</v>
      </c>
      <c r="BW1107" t="s">
        <v>665</v>
      </c>
      <c r="BX1107" t="s">
        <v>78</v>
      </c>
      <c r="BY1107" s="13" t="s">
        <v>685</v>
      </c>
      <c r="CA1107" t="str">
        <f t="shared" si="560"/>
        <v>low acid</v>
      </c>
    </row>
    <row r="1108" spans="1:79">
      <c r="A1108" t="s">
        <v>514</v>
      </c>
      <c r="B1108" t="s">
        <v>566</v>
      </c>
      <c r="C1108" t="s">
        <v>563</v>
      </c>
      <c r="D1108" t="s">
        <v>33</v>
      </c>
      <c r="E1108" t="s">
        <v>77</v>
      </c>
      <c r="F1108" t="s">
        <v>31</v>
      </c>
      <c r="G1108">
        <v>22</v>
      </c>
      <c r="H1108" t="s">
        <v>33</v>
      </c>
      <c r="I1108" t="b">
        <v>0</v>
      </c>
      <c r="J1108">
        <v>2500</v>
      </c>
      <c r="K1108">
        <v>9</v>
      </c>
      <c r="L1108">
        <v>12.5</v>
      </c>
      <c r="M1108" s="4">
        <v>1</v>
      </c>
      <c r="N1108" s="3">
        <f>IFERROR(AF1108/((T1108*X1108/Y1108)*O1108*AI1108),"NA")</f>
        <v>1.0133333333333332</v>
      </c>
      <c r="O1108">
        <v>100</v>
      </c>
      <c r="P1108" s="6">
        <f>0.5/(3.8/60)</f>
        <v>7.8947368421052646</v>
      </c>
      <c r="Q1108" s="8">
        <f t="shared" si="570"/>
        <v>8</v>
      </c>
      <c r="R1108" t="s">
        <v>183</v>
      </c>
      <c r="S1108" t="s">
        <v>612</v>
      </c>
      <c r="T1108" s="11">
        <v>1</v>
      </c>
      <c r="U1108">
        <v>2</v>
      </c>
      <c r="V1108" t="s">
        <v>33</v>
      </c>
      <c r="W1108">
        <v>0.5</v>
      </c>
      <c r="X1108" s="9">
        <f>W1108</f>
        <v>0.5</v>
      </c>
      <c r="Y1108">
        <f>3.8/60</f>
        <v>6.3333333333333325E-2</v>
      </c>
      <c r="Z1108" s="3">
        <f>IFERROR(X1108*M1108*O1108*T1108*AI1108/AF1108, "NA")</f>
        <v>6.25E-2</v>
      </c>
      <c r="AA1108">
        <v>8</v>
      </c>
      <c r="AB1108" s="4">
        <f>IFERROR(((X1108*M1108)/Y1108), "NA")</f>
        <v>7.8947368421052646</v>
      </c>
      <c r="AC1108" s="4">
        <f t="shared" si="567"/>
        <v>7.8947368421052646</v>
      </c>
      <c r="AD1108" s="4">
        <f>IFERROR(AB1108*T1108*AI1108, "NA")</f>
        <v>7.8947368421052646</v>
      </c>
      <c r="AE1108" s="3">
        <f t="shared" si="568"/>
        <v>68.75</v>
      </c>
      <c r="AF1108">
        <v>800</v>
      </c>
      <c r="AG1108" s="4">
        <f>IFERROR((M1108*O1108*P1108), "NA")</f>
        <v>789.47368421052647</v>
      </c>
      <c r="AH1108" s="4">
        <f>IFERROR((AG1108*T1108*AI1108), "NA")</f>
        <v>789.47368421052647</v>
      </c>
      <c r="AI1108" s="11">
        <v>1</v>
      </c>
      <c r="AJ1108" t="s">
        <v>31</v>
      </c>
      <c r="AK1108" s="11">
        <f>(400+700)/2</f>
        <v>550</v>
      </c>
      <c r="AL1108" t="s">
        <v>492</v>
      </c>
      <c r="AM1108" t="s">
        <v>103</v>
      </c>
      <c r="AN1108" t="s">
        <v>130</v>
      </c>
      <c r="AO1108" t="s">
        <v>795</v>
      </c>
      <c r="AP1108" t="s">
        <v>33</v>
      </c>
      <c r="AQ1108" t="s">
        <v>33</v>
      </c>
      <c r="AR1108" t="s">
        <v>33</v>
      </c>
      <c r="AS1108" s="6">
        <f>LOG(5*10^7)</f>
        <v>7.6989700043360187</v>
      </c>
      <c r="AT1108" s="3">
        <f>IFERROR(AS1108-AU1108,"NA")</f>
        <v>5.720970004336019</v>
      </c>
      <c r="AU1108" s="6">
        <v>1.978</v>
      </c>
      <c r="AV1108" t="b">
        <v>1</v>
      </c>
      <c r="AW1108" t="s">
        <v>509</v>
      </c>
      <c r="AX1108" t="s">
        <v>510</v>
      </c>
      <c r="AY1108" t="s">
        <v>511</v>
      </c>
      <c r="AZ1108" t="s">
        <v>33</v>
      </c>
      <c r="BA1108" s="18" t="s">
        <v>579</v>
      </c>
      <c r="BB1108" t="b">
        <v>1</v>
      </c>
      <c r="BC1108" t="s">
        <v>81</v>
      </c>
      <c r="BD1108">
        <v>11</v>
      </c>
      <c r="BE1108" t="s">
        <v>159</v>
      </c>
      <c r="BF1108" s="11">
        <v>24</v>
      </c>
      <c r="BG1108" t="s">
        <v>395</v>
      </c>
      <c r="BH1108" t="s">
        <v>31</v>
      </c>
      <c r="BI1108" t="s">
        <v>31</v>
      </c>
      <c r="BJ1108" s="3">
        <f t="shared" si="537"/>
        <v>1.978</v>
      </c>
      <c r="BK1108" s="3">
        <f t="shared" si="549"/>
        <v>0.29622628726116057</v>
      </c>
      <c r="BL1108">
        <v>2</v>
      </c>
      <c r="BM1108" s="3">
        <f t="shared" si="569"/>
        <v>1.5410464152411396</v>
      </c>
      <c r="BN1108" t="s">
        <v>33</v>
      </c>
      <c r="BO1108" s="3">
        <f t="shared" si="559"/>
        <v>34.75733063700708</v>
      </c>
      <c r="BP1108" t="s">
        <v>33</v>
      </c>
      <c r="BQ1108" t="s">
        <v>33</v>
      </c>
      <c r="BR1108" t="s">
        <v>33</v>
      </c>
      <c r="BS1108" t="s">
        <v>33</v>
      </c>
      <c r="BT1108" t="s">
        <v>32</v>
      </c>
      <c r="BU1108" t="s">
        <v>512</v>
      </c>
      <c r="BV1108" s="11">
        <v>2021</v>
      </c>
      <c r="BW1108" t="s">
        <v>513</v>
      </c>
      <c r="BX1108" t="s">
        <v>78</v>
      </c>
      <c r="BY1108" t="s">
        <v>508</v>
      </c>
      <c r="CA1108" t="str">
        <f t="shared" si="560"/>
        <v>low acid</v>
      </c>
    </row>
    <row r="1109" spans="1:79">
      <c r="A1109" t="s">
        <v>456</v>
      </c>
      <c r="B1109" t="s">
        <v>565</v>
      </c>
      <c r="C1109" t="s">
        <v>563</v>
      </c>
      <c r="D1109" t="s">
        <v>182</v>
      </c>
      <c r="E1109" t="s">
        <v>77</v>
      </c>
      <c r="F1109" t="s">
        <v>32</v>
      </c>
      <c r="G1109">
        <v>18</v>
      </c>
      <c r="H1109">
        <v>47</v>
      </c>
      <c r="I1109" t="b">
        <v>1</v>
      </c>
      <c r="J1109" t="s">
        <v>33</v>
      </c>
      <c r="K1109" t="s">
        <v>33</v>
      </c>
      <c r="L1109">
        <v>27</v>
      </c>
      <c r="M1109" s="4" t="s">
        <v>33</v>
      </c>
      <c r="N1109" s="3">
        <f>IFERROR(AF1109/((T1109*X1109/Y1109)*O1109*AI1109),"NA")</f>
        <v>220.85360391328314</v>
      </c>
      <c r="O1109">
        <v>10</v>
      </c>
      <c r="P1109">
        <f>0.047/2</f>
        <v>2.35E-2</v>
      </c>
      <c r="Q1109" s="8">
        <f t="shared" si="570"/>
        <v>2.3318614270936313E-2</v>
      </c>
      <c r="R1109" t="s">
        <v>183</v>
      </c>
      <c r="S1109" t="s">
        <v>613</v>
      </c>
      <c r="T1109" s="11">
        <v>2</v>
      </c>
      <c r="U1109">
        <v>5.6</v>
      </c>
      <c r="V1109">
        <v>4.5</v>
      </c>
      <c r="W1109" t="s">
        <v>33</v>
      </c>
      <c r="X1109" s="9">
        <f>IFERROR(((PI())*(((V1109*10^-1)/2)^2)*(U1109*10^-1)), "NA")</f>
        <v>8.9064151729270638E-2</v>
      </c>
      <c r="Y1109" s="6">
        <f>13750/3600</f>
        <v>3.8194444444444446</v>
      </c>
      <c r="Z1109" s="3">
        <f>IFERROR(X1109*N1109*O1109*T1109*AI1109/AF1109, "NA")</f>
        <v>3.8194444444444442</v>
      </c>
      <c r="AA1109" t="s">
        <v>33</v>
      </c>
      <c r="AB1109" s="4">
        <f>IFERROR(((X1109*N1109)/Y1109), "NA")</f>
        <v>5.1499999999999995</v>
      </c>
      <c r="AC1109" s="4">
        <f>IFERROR(N1109*P1109,"NA")</f>
        <v>5.190059691962154</v>
      </c>
      <c r="AD1109" s="4">
        <f>IFERROR(AB1109*T1109*AI1109, "NA")</f>
        <v>10.299999999999999</v>
      </c>
      <c r="AE1109" s="3">
        <f>IFERROR(((L1109^2)*N1109*O1109*AK1109*10^-6*Q1109*T1109*AI1109), "NA")</f>
        <v>172.70010000000002</v>
      </c>
      <c r="AF1109">
        <v>103</v>
      </c>
      <c r="AG1109" s="4">
        <f>IFERROR((N1109*O1109*P1109), "NA")</f>
        <v>51.900596919621535</v>
      </c>
      <c r="AH1109" s="4">
        <f>IFERROR((AG1109*T1109*AI1109), "NA")</f>
        <v>103.80119383924307</v>
      </c>
      <c r="AI1109" s="11">
        <v>1</v>
      </c>
      <c r="AJ1109" t="s">
        <v>31</v>
      </c>
      <c r="AK1109">
        <v>2300</v>
      </c>
      <c r="AL1109" t="s">
        <v>805</v>
      </c>
      <c r="AM1109" t="s">
        <v>515</v>
      </c>
      <c r="AN1109" t="s">
        <v>205</v>
      </c>
      <c r="AO1109" t="s">
        <v>788</v>
      </c>
      <c r="AP1109">
        <v>3.68</v>
      </c>
      <c r="AQ1109" t="s">
        <v>33</v>
      </c>
      <c r="AR1109" t="s">
        <v>33</v>
      </c>
      <c r="AS1109">
        <f>LOG(10^8)</f>
        <v>8</v>
      </c>
      <c r="AT1109" s="3">
        <f>IFERROR(AS1109-AU1109,"NA")</f>
        <v>5.74</v>
      </c>
      <c r="AU1109" s="6">
        <v>2.2599999999999998</v>
      </c>
      <c r="AV1109" t="b">
        <v>1</v>
      </c>
      <c r="AW1109" t="s">
        <v>477</v>
      </c>
      <c r="AX1109" t="s">
        <v>471</v>
      </c>
      <c r="AY1109" t="s">
        <v>475</v>
      </c>
      <c r="AZ1109" t="s">
        <v>33</v>
      </c>
      <c r="BA1109" s="18" t="s">
        <v>579</v>
      </c>
      <c r="BB1109" t="b">
        <v>1</v>
      </c>
      <c r="BC1109" t="s">
        <v>81</v>
      </c>
      <c r="BD1109" t="s">
        <v>33</v>
      </c>
      <c r="BE1109" t="s">
        <v>80</v>
      </c>
      <c r="BF1109" t="s">
        <v>33</v>
      </c>
      <c r="BG1109" t="s">
        <v>483</v>
      </c>
      <c r="BH1109" t="s">
        <v>31</v>
      </c>
      <c r="BI1109" t="s">
        <v>31</v>
      </c>
      <c r="BJ1109" s="3">
        <f t="shared" si="537"/>
        <v>2.2599999999999998</v>
      </c>
      <c r="BK1109" s="3">
        <f t="shared" si="549"/>
        <v>0.35410843914740087</v>
      </c>
      <c r="BL1109">
        <v>2</v>
      </c>
      <c r="BM1109" s="3">
        <f t="shared" si="569"/>
        <v>1.8831841498933388</v>
      </c>
      <c r="BN1109" t="s">
        <v>33</v>
      </c>
      <c r="BO1109" s="3">
        <f t="shared" si="559"/>
        <v>76.415973451327446</v>
      </c>
      <c r="BP1109" t="s">
        <v>33</v>
      </c>
      <c r="BQ1109" t="s">
        <v>33</v>
      </c>
      <c r="BR1109" t="s">
        <v>33</v>
      </c>
      <c r="BS1109" t="s">
        <v>33</v>
      </c>
      <c r="BT1109" t="s">
        <v>32</v>
      </c>
      <c r="BU1109" t="s">
        <v>484</v>
      </c>
      <c r="BV1109">
        <v>2015</v>
      </c>
      <c r="BW1109" t="s">
        <v>485</v>
      </c>
      <c r="BX1109" t="s">
        <v>78</v>
      </c>
      <c r="BY1109" t="s">
        <v>486</v>
      </c>
      <c r="CA1109" t="str">
        <f t="shared" si="560"/>
        <v>high acid</v>
      </c>
    </row>
    <row r="1110" spans="1:79">
      <c r="A1110" t="s">
        <v>589</v>
      </c>
      <c r="B1110" t="s">
        <v>566</v>
      </c>
      <c r="C1110" t="s">
        <v>563</v>
      </c>
      <c r="D1110" t="s">
        <v>33</v>
      </c>
      <c r="E1110" t="s">
        <v>77</v>
      </c>
      <c r="F1110" t="s">
        <v>33</v>
      </c>
      <c r="G1110" t="s">
        <v>33</v>
      </c>
      <c r="H1110">
        <v>35</v>
      </c>
      <c r="I1110" t="b">
        <v>0</v>
      </c>
      <c r="J1110" t="s">
        <v>33</v>
      </c>
      <c r="K1110" t="s">
        <v>33</v>
      </c>
      <c r="L1110">
        <v>25</v>
      </c>
      <c r="M1110" s="4">
        <v>1</v>
      </c>
      <c r="N1110" t="e">
        <f>(#REF!*Y1110)/(T1110*X1110*O1110)</f>
        <v>#REF!</v>
      </c>
      <c r="O1110">
        <v>2</v>
      </c>
      <c r="P1110" t="s">
        <v>33</v>
      </c>
      <c r="Q1110" s="1">
        <f t="shared" si="570"/>
        <v>98.75</v>
      </c>
      <c r="R1110" t="s">
        <v>183</v>
      </c>
      <c r="S1110" t="s">
        <v>613</v>
      </c>
      <c r="T1110">
        <v>1</v>
      </c>
      <c r="U1110">
        <v>2.5</v>
      </c>
      <c r="V1110" t="s">
        <v>33</v>
      </c>
      <c r="W1110">
        <v>0.50249999999999995</v>
      </c>
      <c r="X1110">
        <f>W1110</f>
        <v>0.50249999999999995</v>
      </c>
      <c r="Y1110" t="s">
        <v>33</v>
      </c>
      <c r="Z1110" s="3">
        <f>IFERROR(X1110*M1110*O1110*T1110*AI1110/AF1110, "NA")</f>
        <v>5.0886075949367086E-3</v>
      </c>
      <c r="AA1110" t="s">
        <v>33</v>
      </c>
      <c r="AB1110">
        <f>IFERROR(((X1110*M1110)/Z1110), "NA")</f>
        <v>98.75</v>
      </c>
      <c r="AC1110" s="1" t="str">
        <f>IFERROR(M1110*P1110,"NA")</f>
        <v>NA</v>
      </c>
      <c r="AE1110" s="3">
        <f>IFERROR(((L1110^2)*M1110*O1110*AK1110*10^-6*Q1110*T1110*AI1110), "NA")</f>
        <v>246.875</v>
      </c>
      <c r="AF1110">
        <v>197.5</v>
      </c>
      <c r="AG1110" s="1" t="str">
        <f>IFERROR((N1110*P1110*Q1110), "NA")</f>
        <v>NA</v>
      </c>
      <c r="AH1110" s="1" t="str">
        <f>IFERROR((AG1110*U1110*AI1110), "NA")</f>
        <v>NA</v>
      </c>
      <c r="AI1110" s="1">
        <v>1</v>
      </c>
      <c r="AJ1110" s="11" t="s">
        <v>31</v>
      </c>
      <c r="AK1110">
        <v>2000</v>
      </c>
      <c r="AL1110" t="s">
        <v>616</v>
      </c>
      <c r="AM1110" s="3" t="s">
        <v>103</v>
      </c>
      <c r="AN1110" t="s">
        <v>130</v>
      </c>
      <c r="AO1110" t="s">
        <v>795</v>
      </c>
      <c r="AP1110">
        <v>7</v>
      </c>
      <c r="AQ1110" t="s">
        <v>33</v>
      </c>
      <c r="AR1110" t="s">
        <v>33</v>
      </c>
      <c r="AS1110">
        <v>9</v>
      </c>
      <c r="AT1110">
        <f>AS1110-AU1110</f>
        <v>5.75</v>
      </c>
      <c r="AU1110" s="6">
        <v>3.25</v>
      </c>
      <c r="AV1110" t="b">
        <v>1</v>
      </c>
      <c r="AW1110" t="s">
        <v>617</v>
      </c>
      <c r="AX1110" t="s">
        <v>33</v>
      </c>
      <c r="AY1110" t="s">
        <v>629</v>
      </c>
      <c r="AZ1110" t="s">
        <v>630</v>
      </c>
      <c r="BA1110" s="18" t="s">
        <v>802</v>
      </c>
      <c r="BB1110" s="3" t="b">
        <v>0</v>
      </c>
      <c r="BC1110" t="s">
        <v>81</v>
      </c>
      <c r="BD1110">
        <v>24</v>
      </c>
      <c r="BE1110" t="s">
        <v>80</v>
      </c>
      <c r="BF1110">
        <v>24</v>
      </c>
      <c r="BG1110" t="s">
        <v>644</v>
      </c>
      <c r="BH1110" t="s">
        <v>31</v>
      </c>
      <c r="BI1110" t="s">
        <v>31</v>
      </c>
      <c r="BJ1110">
        <f t="shared" si="537"/>
        <v>3.25</v>
      </c>
      <c r="BK1110" s="3">
        <f t="shared" si="549"/>
        <v>0.51188336097887432</v>
      </c>
      <c r="BL1110">
        <v>2</v>
      </c>
      <c r="BM1110" s="3">
        <f t="shared" si="569"/>
        <v>1.8805937519916611</v>
      </c>
      <c r="BN1110" t="s">
        <v>33</v>
      </c>
      <c r="BO1110" s="3">
        <f t="shared" si="559"/>
        <v>75.961538461538467</v>
      </c>
      <c r="BP1110" t="s">
        <v>33</v>
      </c>
      <c r="BQ1110" t="s">
        <v>33</v>
      </c>
      <c r="BR1110" t="s">
        <v>33</v>
      </c>
      <c r="BS1110" t="s">
        <v>33</v>
      </c>
      <c r="BT1110" t="s">
        <v>31</v>
      </c>
      <c r="BU1110" s="15" t="s">
        <v>655</v>
      </c>
      <c r="BV1110">
        <v>2003</v>
      </c>
      <c r="BW1110" t="s">
        <v>656</v>
      </c>
      <c r="BX1110" t="s">
        <v>78</v>
      </c>
      <c r="BY1110" s="13" t="s">
        <v>677</v>
      </c>
      <c r="CA1110" t="str">
        <f t="shared" si="560"/>
        <v>low acid</v>
      </c>
    </row>
    <row r="1111" spans="1:79">
      <c r="A1111" t="s">
        <v>454</v>
      </c>
      <c r="B1111" t="s">
        <v>565</v>
      </c>
      <c r="C1111" t="s">
        <v>563</v>
      </c>
      <c r="D1111" t="s">
        <v>182</v>
      </c>
      <c r="E1111" t="s">
        <v>77</v>
      </c>
      <c r="F1111" t="s">
        <v>32</v>
      </c>
      <c r="G1111">
        <v>18</v>
      </c>
      <c r="H1111">
        <v>39</v>
      </c>
      <c r="I1111" t="b">
        <v>1</v>
      </c>
      <c r="J1111" t="s">
        <v>33</v>
      </c>
      <c r="K1111" t="s">
        <v>33</v>
      </c>
      <c r="L1111">
        <v>27</v>
      </c>
      <c r="M1111" s="4" t="s">
        <v>33</v>
      </c>
      <c r="N1111" s="3">
        <f>IFERROR(AF1111/((T1111*X1111/Y1111)*O1111*AI1111),"NA")</f>
        <v>329.67224855987649</v>
      </c>
      <c r="O1111">
        <v>8</v>
      </c>
      <c r="P1111">
        <f>0.047/2</f>
        <v>2.35E-2</v>
      </c>
      <c r="Q1111" s="8">
        <f t="shared" si="570"/>
        <v>2.3318614270936313E-2</v>
      </c>
      <c r="R1111" t="s">
        <v>183</v>
      </c>
      <c r="S1111" t="s">
        <v>613</v>
      </c>
      <c r="T1111" s="11">
        <v>2</v>
      </c>
      <c r="U1111">
        <v>5.6</v>
      </c>
      <c r="V1111">
        <v>4.5</v>
      </c>
      <c r="W1111" t="s">
        <v>33</v>
      </c>
      <c r="X1111" s="9">
        <f>IFERROR(((PI())*(((V1111*10^-1)/2)^2)*(U1111*10^-1)), "NA")</f>
        <v>8.9064151729270638E-2</v>
      </c>
      <c r="Y1111" s="6">
        <f>13750/3600</f>
        <v>3.8194444444444446</v>
      </c>
      <c r="Z1111" s="3">
        <f>IFERROR(X1111*N1111*O1111*T1111*AI1111/AF1111, "NA")</f>
        <v>3.8194444444444442</v>
      </c>
      <c r="AA1111" t="s">
        <v>33</v>
      </c>
      <c r="AB1111" s="4">
        <f>IFERROR(((X1111*N1111)/Y1111), "NA")</f>
        <v>7.6874999999999991</v>
      </c>
      <c r="AC1111" s="4">
        <f>IFERROR(N1111*P1111,"NA")</f>
        <v>7.7472978411570974</v>
      </c>
      <c r="AD1111" s="4">
        <f>AB1111*T1111*AI1111</f>
        <v>15.374999999999998</v>
      </c>
      <c r="AE1111" s="3">
        <f>IFERROR(((L1111^2)*N1111*O1111*AK1111*10^-6*Q1111*T1111*AI1111), "NA")</f>
        <v>206.23409999999998</v>
      </c>
      <c r="AF1111">
        <v>123</v>
      </c>
      <c r="AG1111" s="4">
        <f>IFERROR((N1111*O1111*P1111), "NA")</f>
        <v>61.978382729256779</v>
      </c>
      <c r="AH1111" s="4">
        <f>IFERROR((AG1111*T1111*AI1111), "NA")</f>
        <v>123.95676545851356</v>
      </c>
      <c r="AI1111" s="11">
        <v>1</v>
      </c>
      <c r="AJ1111" t="s">
        <v>31</v>
      </c>
      <c r="AK1111">
        <v>2300</v>
      </c>
      <c r="AL1111" t="s">
        <v>805</v>
      </c>
      <c r="AM1111" t="s">
        <v>515</v>
      </c>
      <c r="AN1111" t="s">
        <v>205</v>
      </c>
      <c r="AO1111" t="s">
        <v>788</v>
      </c>
      <c r="AP1111">
        <v>3.68</v>
      </c>
      <c r="AQ1111" t="s">
        <v>33</v>
      </c>
      <c r="AR1111" t="s">
        <v>33</v>
      </c>
      <c r="AS1111">
        <f>LOG(10^8)</f>
        <v>8</v>
      </c>
      <c r="AT1111" s="3">
        <f>IFERROR(AS1111-AU1111,"NA")</f>
        <v>5.76</v>
      </c>
      <c r="AU1111" s="6">
        <v>2.2400000000000002</v>
      </c>
      <c r="AV1111" t="b">
        <v>1</v>
      </c>
      <c r="AW1111" t="s">
        <v>470</v>
      </c>
      <c r="AX1111" t="s">
        <v>464</v>
      </c>
      <c r="AY1111" t="s">
        <v>469</v>
      </c>
      <c r="AZ1111" t="s">
        <v>33</v>
      </c>
      <c r="BA1111" s="18" t="s">
        <v>579</v>
      </c>
      <c r="BB1111" t="b">
        <v>1</v>
      </c>
      <c r="BC1111" t="s">
        <v>81</v>
      </c>
      <c r="BD1111" t="s">
        <v>33</v>
      </c>
      <c r="BE1111" t="s">
        <v>80</v>
      </c>
      <c r="BF1111" t="s">
        <v>33</v>
      </c>
      <c r="BG1111" t="s">
        <v>395</v>
      </c>
      <c r="BH1111" t="s">
        <v>31</v>
      </c>
      <c r="BI1111" t="s">
        <v>31</v>
      </c>
      <c r="BJ1111" s="3">
        <f t="shared" ref="BJ1111:BJ1174" si="571">AU1111</f>
        <v>2.2400000000000002</v>
      </c>
      <c r="BK1111" s="3">
        <f t="shared" si="549"/>
        <v>0.35024801833416286</v>
      </c>
      <c r="BL1111">
        <v>2</v>
      </c>
      <c r="BM1111" s="3">
        <f t="shared" si="569"/>
        <v>1.9641124574408027</v>
      </c>
      <c r="BN1111" t="s">
        <v>33</v>
      </c>
      <c r="BO1111" s="3">
        <f t="shared" si="559"/>
        <v>92.068794642857128</v>
      </c>
      <c r="BP1111" t="s">
        <v>33</v>
      </c>
      <c r="BQ1111" t="s">
        <v>33</v>
      </c>
      <c r="BR1111" t="s">
        <v>33</v>
      </c>
      <c r="BS1111" t="s">
        <v>33</v>
      </c>
      <c r="BT1111" t="s">
        <v>32</v>
      </c>
      <c r="BU1111" t="s">
        <v>484</v>
      </c>
      <c r="BV1111">
        <v>2015</v>
      </c>
      <c r="BW1111" t="s">
        <v>485</v>
      </c>
      <c r="BX1111" t="s">
        <v>78</v>
      </c>
      <c r="BY1111" t="s">
        <v>486</v>
      </c>
      <c r="CA1111" t="str">
        <f t="shared" si="560"/>
        <v>high acid</v>
      </c>
    </row>
    <row r="1112" spans="1:79">
      <c r="A1112" t="s">
        <v>583</v>
      </c>
      <c r="B1112" t="s">
        <v>566</v>
      </c>
      <c r="C1112" t="s">
        <v>563</v>
      </c>
      <c r="D1112" t="s">
        <v>33</v>
      </c>
      <c r="E1112" t="s">
        <v>77</v>
      </c>
      <c r="F1112" t="s">
        <v>32</v>
      </c>
      <c r="G1112" t="s">
        <v>33</v>
      </c>
      <c r="H1112">
        <v>30</v>
      </c>
      <c r="I1112" t="b">
        <v>1</v>
      </c>
      <c r="J1112" t="s">
        <v>33</v>
      </c>
      <c r="K1112" t="s">
        <v>33</v>
      </c>
      <c r="L1112">
        <v>20</v>
      </c>
      <c r="M1112" s="4">
        <v>2</v>
      </c>
      <c r="N1112" t="e">
        <f>(#REF!*Y1112)/(T1112*X1112*O1112)</f>
        <v>#REF!</v>
      </c>
      <c r="O1112">
        <v>2</v>
      </c>
      <c r="P1112" t="s">
        <v>33</v>
      </c>
      <c r="Q1112" s="1">
        <f t="shared" si="570"/>
        <v>45</v>
      </c>
      <c r="R1112" t="s">
        <v>183</v>
      </c>
      <c r="S1112" t="s">
        <v>613</v>
      </c>
      <c r="T1112">
        <v>1</v>
      </c>
      <c r="U1112">
        <v>5</v>
      </c>
      <c r="V1112" t="s">
        <v>33</v>
      </c>
      <c r="W1112">
        <v>0.71</v>
      </c>
      <c r="X1112">
        <f>W1112</f>
        <v>0.71</v>
      </c>
      <c r="Y1112">
        <v>0.1</v>
      </c>
      <c r="Z1112" s="3">
        <f>IFERROR(X1112*M1112*O1112*T1112*AI1112/AF1112, "NA")</f>
        <v>1.5777777777777776E-2</v>
      </c>
      <c r="AA1112" t="s">
        <v>33</v>
      </c>
      <c r="AB1112">
        <f>IFERROR(((X1112*M1112)/Z1112), "NA")</f>
        <v>90</v>
      </c>
      <c r="AC1112" s="1" t="str">
        <f t="shared" ref="AC1112:AC1123" si="572">IFERROR(M1112*P1112,"NA")</f>
        <v>NA</v>
      </c>
      <c r="AE1112" s="3">
        <f t="shared" ref="AE1112:AE1123" si="573">IFERROR(((L1112^2)*M1112*O1112*AK1112*10^-6*Q1112*T1112*AI1112), "NA")</f>
        <v>338.4</v>
      </c>
      <c r="AF1112">
        <v>180</v>
      </c>
      <c r="AG1112" s="1" t="str">
        <f>IFERROR((N1112*P1112*Q1112), "NA")</f>
        <v>NA</v>
      </c>
      <c r="AH1112" s="1" t="str">
        <f>IFERROR((AG1112*U1112*AI1112), "NA")</f>
        <v>NA</v>
      </c>
      <c r="AI1112" s="1">
        <v>1</v>
      </c>
      <c r="AJ1112" s="11" t="s">
        <v>31</v>
      </c>
      <c r="AK1112">
        <v>4700</v>
      </c>
      <c r="AL1112" t="s">
        <v>562</v>
      </c>
      <c r="AM1112" s="3" t="s">
        <v>786</v>
      </c>
      <c r="AN1112" t="s">
        <v>186</v>
      </c>
      <c r="AO1112" t="s">
        <v>793</v>
      </c>
      <c r="AP1112" t="s">
        <v>33</v>
      </c>
      <c r="AQ1112" t="s">
        <v>33</v>
      </c>
      <c r="AR1112" t="s">
        <v>33</v>
      </c>
      <c r="AS1112">
        <v>8</v>
      </c>
      <c r="AT1112">
        <f>AS1112-AU1112</f>
        <v>5.76</v>
      </c>
      <c r="AU1112" s="6">
        <v>2.2400000000000002</v>
      </c>
      <c r="AV1112" t="b">
        <v>1</v>
      </c>
      <c r="AW1112" t="s">
        <v>617</v>
      </c>
      <c r="AX1112" t="s">
        <v>33</v>
      </c>
      <c r="AY1112" t="s">
        <v>622</v>
      </c>
      <c r="AZ1112" t="s">
        <v>619</v>
      </c>
      <c r="BA1112" s="18" t="s">
        <v>802</v>
      </c>
      <c r="BB1112" s="3" t="b">
        <v>0</v>
      </c>
      <c r="BC1112" t="s">
        <v>81</v>
      </c>
      <c r="BD1112">
        <v>18</v>
      </c>
      <c r="BE1112" t="s">
        <v>80</v>
      </c>
      <c r="BF1112">
        <v>24</v>
      </c>
      <c r="BG1112" t="s">
        <v>696</v>
      </c>
      <c r="BH1112" t="s">
        <v>32</v>
      </c>
      <c r="BI1112" t="s">
        <v>31</v>
      </c>
      <c r="BJ1112">
        <f t="shared" si="571"/>
        <v>2.2400000000000002</v>
      </c>
      <c r="BK1112" s="3">
        <f t="shared" si="549"/>
        <v>0.35024801833416286</v>
      </c>
      <c r="BL1112">
        <v>2</v>
      </c>
      <c r="BM1112" s="3">
        <f t="shared" si="569"/>
        <v>2.1791823360328229</v>
      </c>
      <c r="BN1112" t="s">
        <v>33</v>
      </c>
      <c r="BO1112" s="3">
        <f t="shared" si="559"/>
        <v>151.07142857142856</v>
      </c>
      <c r="BP1112" t="s">
        <v>33</v>
      </c>
      <c r="BQ1112" t="s">
        <v>33</v>
      </c>
      <c r="BR1112" t="s">
        <v>33</v>
      </c>
      <c r="BS1112" t="s">
        <v>33</v>
      </c>
      <c r="BT1112" t="s">
        <v>31</v>
      </c>
      <c r="BU1112" t="s">
        <v>338</v>
      </c>
      <c r="BV1112">
        <v>2005</v>
      </c>
      <c r="BW1112" t="s">
        <v>342</v>
      </c>
      <c r="BX1112" t="s">
        <v>78</v>
      </c>
      <c r="BY1112" s="13" t="s">
        <v>673</v>
      </c>
      <c r="CA1112" t="str">
        <f t="shared" si="560"/>
        <v>low acid</v>
      </c>
    </row>
    <row r="1113" spans="1:79">
      <c r="A1113" t="s">
        <v>594</v>
      </c>
      <c r="B1113" t="s">
        <v>566</v>
      </c>
      <c r="C1113" t="s">
        <v>563</v>
      </c>
      <c r="D1113" t="s">
        <v>33</v>
      </c>
      <c r="E1113" t="s">
        <v>77</v>
      </c>
      <c r="F1113" t="s">
        <v>32</v>
      </c>
      <c r="G1113" t="s">
        <v>33</v>
      </c>
      <c r="H1113">
        <v>20</v>
      </c>
      <c r="I1113" t="b">
        <v>1</v>
      </c>
      <c r="J1113" t="s">
        <v>33</v>
      </c>
      <c r="K1113" t="s">
        <v>33</v>
      </c>
      <c r="L1113">
        <v>30</v>
      </c>
      <c r="M1113" s="4">
        <v>2</v>
      </c>
      <c r="N1113" t="e">
        <f>(#REF!*Y1113)/(T1113*X1113*O1113)</f>
        <v>#REF!</v>
      </c>
      <c r="O1113">
        <v>2</v>
      </c>
      <c r="P1113" t="s">
        <v>33</v>
      </c>
      <c r="Q1113" s="1">
        <f t="shared" si="570"/>
        <v>7.1</v>
      </c>
      <c r="R1113" t="s">
        <v>183</v>
      </c>
      <c r="S1113" t="s">
        <v>613</v>
      </c>
      <c r="T1113">
        <v>1</v>
      </c>
      <c r="U1113">
        <v>5</v>
      </c>
      <c r="V1113" t="s">
        <v>33</v>
      </c>
      <c r="W1113">
        <v>0.71</v>
      </c>
      <c r="X1113">
        <f>W1113</f>
        <v>0.71</v>
      </c>
      <c r="Y1113">
        <v>0.1</v>
      </c>
      <c r="Z1113" s="3">
        <f>Y1113</f>
        <v>0.1</v>
      </c>
      <c r="AA1113" s="3">
        <v>14.8409893992932</v>
      </c>
      <c r="AB1113">
        <f>IFERROR(((X1113*M1113)/Y1113), "NA")</f>
        <v>14.2</v>
      </c>
      <c r="AC1113" s="1" t="str">
        <f t="shared" si="572"/>
        <v>NA</v>
      </c>
      <c r="AE1113" s="3">
        <f t="shared" si="573"/>
        <v>654.3359999999999</v>
      </c>
      <c r="AF1113" t="s">
        <v>33</v>
      </c>
      <c r="AG1113" s="1">
        <f>IFERROR((M1113*O1113*Q1113), "NA")</f>
        <v>28.4</v>
      </c>
      <c r="AH1113" s="1">
        <f>IFERROR((AG1113*U1113*AI1113), "NA")</f>
        <v>568</v>
      </c>
      <c r="AI1113" s="1">
        <v>4</v>
      </c>
      <c r="AJ1113" s="11" t="s">
        <v>31</v>
      </c>
      <c r="AK1113">
        <f>AVERAGE(5100, 7700)</f>
        <v>6400</v>
      </c>
      <c r="AL1113" t="s">
        <v>561</v>
      </c>
      <c r="AM1113" s="3" t="s">
        <v>786</v>
      </c>
      <c r="AN1113" t="s">
        <v>186</v>
      </c>
      <c r="AO1113" t="s">
        <v>793</v>
      </c>
      <c r="AP1113" t="s">
        <v>33</v>
      </c>
      <c r="AQ1113" t="s">
        <v>33</v>
      </c>
      <c r="AR1113" t="s">
        <v>33</v>
      </c>
      <c r="AS1113">
        <v>8</v>
      </c>
      <c r="AT1113">
        <f>AS1113-AU1113</f>
        <v>5.76</v>
      </c>
      <c r="AU1113" s="6">
        <v>2.2400000000000002</v>
      </c>
      <c r="AV1113" t="b">
        <v>1</v>
      </c>
      <c r="AW1113" t="s">
        <v>617</v>
      </c>
      <c r="AX1113" t="s">
        <v>624</v>
      </c>
      <c r="AY1113" t="s">
        <v>622</v>
      </c>
      <c r="AZ1113" t="s">
        <v>33</v>
      </c>
      <c r="BA1113" s="18" t="s">
        <v>802</v>
      </c>
      <c r="BB1113" s="3" t="b">
        <v>0</v>
      </c>
      <c r="BC1113" t="s">
        <v>81</v>
      </c>
      <c r="BD1113">
        <v>18</v>
      </c>
      <c r="BE1113" t="s">
        <v>80</v>
      </c>
      <c r="BF1113">
        <v>24</v>
      </c>
      <c r="BG1113" t="s">
        <v>696</v>
      </c>
      <c r="BH1113" t="s">
        <v>32</v>
      </c>
      <c r="BI1113" t="s">
        <v>31</v>
      </c>
      <c r="BJ1113">
        <f t="shared" si="571"/>
        <v>2.2400000000000002</v>
      </c>
      <c r="BK1113" s="3">
        <f t="shared" si="549"/>
        <v>0.35024801833416286</v>
      </c>
      <c r="BL1113">
        <v>2</v>
      </c>
      <c r="BM1113" s="3">
        <f t="shared" si="569"/>
        <v>2.4655527964640491</v>
      </c>
      <c r="BN1113" t="s">
        <v>33</v>
      </c>
      <c r="BO1113" s="3">
        <f t="shared" si="559"/>
        <v>292.11428571428564</v>
      </c>
      <c r="BP1113" t="s">
        <v>33</v>
      </c>
      <c r="BQ1113" t="s">
        <v>33</v>
      </c>
      <c r="BR1113" t="s">
        <v>33</v>
      </c>
      <c r="BS1113" t="s">
        <v>33</v>
      </c>
      <c r="BT1113" t="s">
        <v>31</v>
      </c>
      <c r="BU1113" t="s">
        <v>338</v>
      </c>
      <c r="BV1113">
        <v>2006</v>
      </c>
      <c r="BW1113" t="s">
        <v>339</v>
      </c>
      <c r="BX1113" t="s">
        <v>78</v>
      </c>
      <c r="BY1113" s="13" t="s">
        <v>682</v>
      </c>
      <c r="CA1113" t="str">
        <f t="shared" si="560"/>
        <v>low acid</v>
      </c>
    </row>
    <row r="1114" spans="1:79">
      <c r="A1114" t="s">
        <v>589</v>
      </c>
      <c r="B1114" t="s">
        <v>566</v>
      </c>
      <c r="C1114" t="s">
        <v>563</v>
      </c>
      <c r="D1114" t="s">
        <v>33</v>
      </c>
      <c r="E1114" t="s">
        <v>77</v>
      </c>
      <c r="F1114" t="s">
        <v>33</v>
      </c>
      <c r="G1114" t="s">
        <v>33</v>
      </c>
      <c r="H1114">
        <v>35</v>
      </c>
      <c r="I1114" t="b">
        <v>0</v>
      </c>
      <c r="J1114" t="s">
        <v>33</v>
      </c>
      <c r="K1114" t="s">
        <v>33</v>
      </c>
      <c r="L1114">
        <v>19</v>
      </c>
      <c r="M1114" s="4">
        <v>1</v>
      </c>
      <c r="N1114" t="e">
        <f>(#REF!*Y1114)/(T1114*X1114*O1114)</f>
        <v>#REF!</v>
      </c>
      <c r="O1114">
        <v>2</v>
      </c>
      <c r="P1114" t="s">
        <v>33</v>
      </c>
      <c r="Q1114" s="1">
        <f t="shared" si="570"/>
        <v>196.00000000000003</v>
      </c>
      <c r="R1114" t="s">
        <v>183</v>
      </c>
      <c r="S1114" t="s">
        <v>613</v>
      </c>
      <c r="T1114">
        <v>1</v>
      </c>
      <c r="U1114">
        <v>2.5</v>
      </c>
      <c r="V1114" t="s">
        <v>33</v>
      </c>
      <c r="W1114">
        <v>0.50249999999999995</v>
      </c>
      <c r="X1114">
        <f>W1114</f>
        <v>0.50249999999999995</v>
      </c>
      <c r="Y1114" t="s">
        <v>33</v>
      </c>
      <c r="Z1114" s="3">
        <f t="shared" ref="Z1114:Z1123" si="574">IFERROR(X1114*M1114*O1114*T1114*AI1114/AF1114, "NA")</f>
        <v>2.5637755102040811E-3</v>
      </c>
      <c r="AA1114" t="s">
        <v>33</v>
      </c>
      <c r="AB1114">
        <f>IFERROR(((X1114*M1114)/Z1114), "NA")</f>
        <v>196.00000000000003</v>
      </c>
      <c r="AC1114" s="1" t="str">
        <f t="shared" si="572"/>
        <v>NA</v>
      </c>
      <c r="AE1114" s="3">
        <f t="shared" si="573"/>
        <v>283.02400000000006</v>
      </c>
      <c r="AF1114">
        <v>392</v>
      </c>
      <c r="AG1114" s="1" t="str">
        <f>IFERROR((N1114*P1114*Q1114), "NA")</f>
        <v>NA</v>
      </c>
      <c r="AH1114" s="1" t="str">
        <f>IFERROR((AG1114*U1114*AI1114), "NA")</f>
        <v>NA</v>
      </c>
      <c r="AI1114" s="1">
        <v>1</v>
      </c>
      <c r="AJ1114" s="11" t="s">
        <v>31</v>
      </c>
      <c r="AK1114">
        <v>2000</v>
      </c>
      <c r="AL1114" t="s">
        <v>616</v>
      </c>
      <c r="AM1114" s="3" t="s">
        <v>103</v>
      </c>
      <c r="AN1114" t="s">
        <v>130</v>
      </c>
      <c r="AO1114" t="s">
        <v>795</v>
      </c>
      <c r="AP1114">
        <v>7</v>
      </c>
      <c r="AQ1114" t="s">
        <v>33</v>
      </c>
      <c r="AR1114" t="s">
        <v>33</v>
      </c>
      <c r="AS1114">
        <v>9</v>
      </c>
      <c r="AT1114">
        <f>AS1114-AU1114</f>
        <v>5.76</v>
      </c>
      <c r="AU1114" s="6">
        <v>3.24</v>
      </c>
      <c r="AV1114" t="b">
        <v>1</v>
      </c>
      <c r="AW1114" t="s">
        <v>617</v>
      </c>
      <c r="AX1114" t="s">
        <v>33</v>
      </c>
      <c r="AY1114" t="s">
        <v>628</v>
      </c>
      <c r="AZ1114" t="s">
        <v>619</v>
      </c>
      <c r="BA1114" s="18" t="s">
        <v>802</v>
      </c>
      <c r="BB1114" s="3" t="b">
        <v>0</v>
      </c>
      <c r="BC1114" t="s">
        <v>81</v>
      </c>
      <c r="BD1114">
        <v>24</v>
      </c>
      <c r="BE1114" t="s">
        <v>80</v>
      </c>
      <c r="BF1114">
        <v>24</v>
      </c>
      <c r="BG1114" t="s">
        <v>644</v>
      </c>
      <c r="BH1114" t="s">
        <v>31</v>
      </c>
      <c r="BI1114" t="s">
        <v>31</v>
      </c>
      <c r="BJ1114">
        <f t="shared" si="571"/>
        <v>3.24</v>
      </c>
      <c r="BK1114" s="3">
        <f t="shared" si="549"/>
        <v>0.51054501020661214</v>
      </c>
      <c r="BL1114">
        <v>2</v>
      </c>
      <c r="BM1114" s="3">
        <f t="shared" si="569"/>
        <v>1.9412782543834843</v>
      </c>
      <c r="BN1114" t="s">
        <v>33</v>
      </c>
      <c r="BO1114" s="3">
        <f t="shared" si="559"/>
        <v>87.353086419753097</v>
      </c>
      <c r="BP1114" t="s">
        <v>33</v>
      </c>
      <c r="BQ1114" t="s">
        <v>33</v>
      </c>
      <c r="BR1114" t="s">
        <v>33</v>
      </c>
      <c r="BS1114" t="s">
        <v>33</v>
      </c>
      <c r="BT1114" t="s">
        <v>31</v>
      </c>
      <c r="BU1114" s="15" t="s">
        <v>655</v>
      </c>
      <c r="BV1114">
        <v>2003</v>
      </c>
      <c r="BW1114" t="s">
        <v>656</v>
      </c>
      <c r="BX1114" t="s">
        <v>78</v>
      </c>
      <c r="BY1114" s="13" t="s">
        <v>677</v>
      </c>
      <c r="CA1114" t="str">
        <f t="shared" si="560"/>
        <v>low acid</v>
      </c>
    </row>
    <row r="1115" spans="1:79">
      <c r="A1115" t="s">
        <v>414</v>
      </c>
      <c r="B1115" t="s">
        <v>565</v>
      </c>
      <c r="C1115" t="s">
        <v>563</v>
      </c>
      <c r="D1115" t="s">
        <v>118</v>
      </c>
      <c r="E1115" t="s">
        <v>77</v>
      </c>
      <c r="F1115" t="s">
        <v>32</v>
      </c>
      <c r="G1115">
        <v>22</v>
      </c>
      <c r="H1115">
        <v>35</v>
      </c>
      <c r="I1115" t="b">
        <v>0</v>
      </c>
      <c r="J1115" t="s">
        <v>33</v>
      </c>
      <c r="K1115" t="s">
        <v>33</v>
      </c>
      <c r="L1115">
        <v>15</v>
      </c>
      <c r="M1115" s="4">
        <v>1000</v>
      </c>
      <c r="N1115" s="3">
        <f>IFERROR(AF1115/((T1115*X1115/Y1115)*O1115*AI1115),"NA")</f>
        <v>1000.1191061872564</v>
      </c>
      <c r="O1115">
        <v>3</v>
      </c>
      <c r="P1115" t="s">
        <v>33</v>
      </c>
      <c r="Q1115" s="8">
        <f t="shared" si="570"/>
        <v>1.2133333333333333E-2</v>
      </c>
      <c r="R1115" t="s">
        <v>183</v>
      </c>
      <c r="S1115" t="s">
        <v>613</v>
      </c>
      <c r="T1115" s="11">
        <v>4</v>
      </c>
      <c r="U1115">
        <v>2.92</v>
      </c>
      <c r="V1115">
        <v>2.2999999999999998</v>
      </c>
      <c r="W1115" t="s">
        <v>33</v>
      </c>
      <c r="X1115" s="9">
        <f>IFERROR(((PI())*(((V1115*10^-1)/2)^2)*(U1115*10^-1)), "NA")</f>
        <v>1.2131888350367701E-2</v>
      </c>
      <c r="Y1115" s="6">
        <f>1</f>
        <v>1</v>
      </c>
      <c r="Z1115" s="3">
        <f t="shared" si="574"/>
        <v>0.99988090799733798</v>
      </c>
      <c r="AA1115" t="s">
        <v>33</v>
      </c>
      <c r="AB1115" s="6">
        <f>IFERROR(((X1115*M1115)/Y1115), "NA")</f>
        <v>12.131888350367701</v>
      </c>
      <c r="AC1115" t="str">
        <f t="shared" si="572"/>
        <v>NA</v>
      </c>
      <c r="AD1115" s="4">
        <f>IFERROR(AB1115*T1115*AI1115, "NA")</f>
        <v>48.527553401470804</v>
      </c>
      <c r="AE1115" s="3">
        <f t="shared" si="573"/>
        <v>65.52</v>
      </c>
      <c r="AF1115">
        <v>145.6</v>
      </c>
      <c r="AG1115" t="str">
        <f>IFERROR((M1115*O1115*P1115), "NA")</f>
        <v>NA</v>
      </c>
      <c r="AH1115" t="str">
        <f>IFERROR((AG1115*T1115*AI1115), "NA")</f>
        <v>NA</v>
      </c>
      <c r="AI1115" s="11">
        <v>1</v>
      </c>
      <c r="AJ1115" t="s">
        <v>31</v>
      </c>
      <c r="AK1115">
        <v>2000</v>
      </c>
      <c r="AL1115" t="s">
        <v>114</v>
      </c>
      <c r="AM1115" t="s">
        <v>103</v>
      </c>
      <c r="AN1115" t="s">
        <v>130</v>
      </c>
      <c r="AO1115" t="s">
        <v>795</v>
      </c>
      <c r="AP1115" t="s">
        <v>33</v>
      </c>
      <c r="AQ1115" t="s">
        <v>33</v>
      </c>
      <c r="AR1115" t="s">
        <v>33</v>
      </c>
      <c r="AS1115" s="3">
        <f>LOG(10^7)</f>
        <v>7</v>
      </c>
      <c r="AT1115" s="3">
        <f>IFERROR(AS1115-AU1115,"NA")</f>
        <v>5.7669999999999995</v>
      </c>
      <c r="AU1115" s="6">
        <v>1.2330000000000001</v>
      </c>
      <c r="AV1115" t="b">
        <v>1</v>
      </c>
      <c r="AW1115" t="s">
        <v>123</v>
      </c>
      <c r="AX1115" t="s">
        <v>180</v>
      </c>
      <c r="AY1115" t="s">
        <v>129</v>
      </c>
      <c r="AZ1115" t="s">
        <v>33</v>
      </c>
      <c r="BA1115" s="18" t="s">
        <v>579</v>
      </c>
      <c r="BB1115" t="b">
        <v>1</v>
      </c>
      <c r="BC1115" t="s">
        <v>81</v>
      </c>
      <c r="BD1115">
        <v>16</v>
      </c>
      <c r="BE1115" t="s">
        <v>80</v>
      </c>
      <c r="BF1115" s="11">
        <v>24</v>
      </c>
      <c r="BG1115" t="s">
        <v>395</v>
      </c>
      <c r="BH1115" t="s">
        <v>31</v>
      </c>
      <c r="BI1115" t="s">
        <v>31</v>
      </c>
      <c r="BJ1115" s="3">
        <f t="shared" si="571"/>
        <v>1.2330000000000001</v>
      </c>
      <c r="BK1115" s="3">
        <f t="shared" si="549"/>
        <v>9.0963076595731676E-2</v>
      </c>
      <c r="BL1115">
        <v>2</v>
      </c>
      <c r="BM1115" s="3">
        <f t="shared" si="569"/>
        <v>1.7254108121566303</v>
      </c>
      <c r="BN1115" t="s">
        <v>33</v>
      </c>
      <c r="BO1115" s="3">
        <f t="shared" si="559"/>
        <v>53.138686131386855</v>
      </c>
      <c r="BP1115" t="s">
        <v>33</v>
      </c>
      <c r="BQ1115" t="s">
        <v>33</v>
      </c>
      <c r="BR1115" t="s">
        <v>33</v>
      </c>
      <c r="BS1115" t="s">
        <v>33</v>
      </c>
      <c r="BT1115" t="s">
        <v>32</v>
      </c>
      <c r="BU1115" t="s">
        <v>412</v>
      </c>
      <c r="BV1115">
        <v>2002</v>
      </c>
      <c r="BW1115" t="s">
        <v>403</v>
      </c>
      <c r="BX1115" t="s">
        <v>78</v>
      </c>
      <c r="BY1115" t="s">
        <v>33</v>
      </c>
      <c r="BZ1115" t="s">
        <v>33</v>
      </c>
      <c r="CA1115" t="str">
        <f t="shared" si="560"/>
        <v>low acid</v>
      </c>
    </row>
    <row r="1116" spans="1:79">
      <c r="A1116" t="s">
        <v>487</v>
      </c>
      <c r="B1116" t="s">
        <v>566</v>
      </c>
      <c r="C1116" t="s">
        <v>564</v>
      </c>
      <c r="D1116" t="s">
        <v>321</v>
      </c>
      <c r="E1116" t="s">
        <v>77</v>
      </c>
      <c r="F1116" t="s">
        <v>32</v>
      </c>
      <c r="G1116">
        <v>4</v>
      </c>
      <c r="H1116" t="s">
        <v>33</v>
      </c>
      <c r="I1116" t="b">
        <v>0</v>
      </c>
      <c r="J1116" t="s">
        <v>33</v>
      </c>
      <c r="K1116" t="s">
        <v>33</v>
      </c>
      <c r="L1116">
        <v>15</v>
      </c>
      <c r="M1116" s="4">
        <v>10</v>
      </c>
      <c r="N1116" s="3">
        <f>IFERROR(AF1116/((T1116*X1116/Y1116)*O1116*AI1116),"NA")</f>
        <v>10</v>
      </c>
      <c r="O1116">
        <v>1.5</v>
      </c>
      <c r="P1116" s="3">
        <f>6/(52.5/60)</f>
        <v>6.8571428571428568</v>
      </c>
      <c r="Q1116" s="8">
        <f t="shared" si="570"/>
        <v>6.8571428571428559</v>
      </c>
      <c r="R1116" t="s">
        <v>278</v>
      </c>
      <c r="S1116" t="s">
        <v>613</v>
      </c>
      <c r="T1116" s="11">
        <v>1</v>
      </c>
      <c r="U1116">
        <v>100</v>
      </c>
      <c r="V1116" t="s">
        <v>33</v>
      </c>
      <c r="W1116">
        <v>6</v>
      </c>
      <c r="X1116" s="9">
        <f>W1116</f>
        <v>6</v>
      </c>
      <c r="Y1116" s="6">
        <f>52.5/60</f>
        <v>0.875</v>
      </c>
      <c r="Z1116" s="3">
        <f t="shared" si="574"/>
        <v>0.87500000000000011</v>
      </c>
      <c r="AA1116" t="s">
        <v>33</v>
      </c>
      <c r="AB1116" s="4">
        <f>IFERROR(((X1116*M1116)/Y1116), "NA")</f>
        <v>68.571428571428569</v>
      </c>
      <c r="AC1116" s="4">
        <f t="shared" si="572"/>
        <v>68.571428571428569</v>
      </c>
      <c r="AD1116" s="4">
        <f>AB1116*T1116*AI1116</f>
        <v>1035</v>
      </c>
      <c r="AE1116" s="3">
        <f t="shared" si="573"/>
        <v>1781.4937499999996</v>
      </c>
      <c r="AF1116">
        <f>1035*O1116</f>
        <v>1552.5</v>
      </c>
      <c r="AG1116" s="4">
        <f>IFERROR((M1116*O1116*P1116), "NA")</f>
        <v>102.85714285714285</v>
      </c>
      <c r="AH1116" s="4">
        <f>IFERROR((AG1116*T1116*AI1116), "NA")</f>
        <v>1552.5</v>
      </c>
      <c r="AI1116" s="3">
        <f>AF1116/(AG1116*T1116)</f>
        <v>15.093750000000002</v>
      </c>
      <c r="AJ1116" s="11" t="s">
        <v>32</v>
      </c>
      <c r="AK1116">
        <v>5100</v>
      </c>
      <c r="AL1116" t="s">
        <v>319</v>
      </c>
      <c r="AM1116" t="s">
        <v>86</v>
      </c>
      <c r="AN1116" t="s">
        <v>186</v>
      </c>
      <c r="AO1116" t="s">
        <v>794</v>
      </c>
      <c r="AP1116">
        <v>6.05</v>
      </c>
      <c r="AQ1116" t="s">
        <v>33</v>
      </c>
      <c r="AR1116" t="s">
        <v>33</v>
      </c>
      <c r="AS1116" s="6">
        <f>LOG((10^7+10^8)/2)</f>
        <v>7.7403626894942441</v>
      </c>
      <c r="AT1116" s="3">
        <f>IFERROR(AS1116-AU1116,"NA")</f>
        <v>5.7683626894942446</v>
      </c>
      <c r="AU1116" s="6">
        <v>1.972</v>
      </c>
      <c r="AV1116" t="b">
        <v>1</v>
      </c>
      <c r="AW1116" t="s">
        <v>29</v>
      </c>
      <c r="AX1116" t="s">
        <v>30</v>
      </c>
      <c r="AY1116" t="s">
        <v>320</v>
      </c>
      <c r="AZ1116" t="s">
        <v>33</v>
      </c>
      <c r="BA1116" s="18" t="s">
        <v>798</v>
      </c>
      <c r="BB1116" s="3" t="b">
        <v>0</v>
      </c>
      <c r="BC1116" t="s">
        <v>81</v>
      </c>
      <c r="BD1116">
        <v>12</v>
      </c>
      <c r="BE1116" t="s">
        <v>80</v>
      </c>
      <c r="BF1116" t="s">
        <v>33</v>
      </c>
      <c r="BG1116" t="s">
        <v>488</v>
      </c>
      <c r="BH1116" t="s">
        <v>31</v>
      </c>
      <c r="BI1116" t="s">
        <v>31</v>
      </c>
      <c r="BJ1116" s="3">
        <f t="shared" si="571"/>
        <v>1.972</v>
      </c>
      <c r="BK1116" s="3">
        <f t="shared" si="549"/>
        <v>0.29490691060519242</v>
      </c>
      <c r="BL1116">
        <v>2</v>
      </c>
      <c r="BM1116" s="3">
        <f t="shared" si="569"/>
        <v>2.9558773924527242</v>
      </c>
      <c r="BN1116" t="s">
        <v>33</v>
      </c>
      <c r="BO1116" s="3">
        <f t="shared" si="559"/>
        <v>903.39439655172396</v>
      </c>
      <c r="BP1116" t="s">
        <v>33</v>
      </c>
      <c r="BQ1116" t="s">
        <v>33</v>
      </c>
      <c r="BR1116" t="s">
        <v>33</v>
      </c>
      <c r="BS1116" t="s">
        <v>33</v>
      </c>
      <c r="BT1116" t="s">
        <v>31</v>
      </c>
      <c r="BU1116" t="s">
        <v>318</v>
      </c>
      <c r="BV1116">
        <v>2005</v>
      </c>
      <c r="BW1116" t="s">
        <v>489</v>
      </c>
      <c r="BX1116" t="s">
        <v>78</v>
      </c>
      <c r="BY1116" t="s">
        <v>33</v>
      </c>
      <c r="BZ1116" t="s">
        <v>490</v>
      </c>
      <c r="CA1116" t="str">
        <f t="shared" si="560"/>
        <v>low acid</v>
      </c>
    </row>
    <row r="1117" spans="1:79">
      <c r="A1117" t="s">
        <v>589</v>
      </c>
      <c r="B1117" t="s">
        <v>566</v>
      </c>
      <c r="C1117" t="s">
        <v>563</v>
      </c>
      <c r="D1117" t="s">
        <v>33</v>
      </c>
      <c r="E1117" t="s">
        <v>77</v>
      </c>
      <c r="F1117" t="s">
        <v>33</v>
      </c>
      <c r="G1117" t="s">
        <v>33</v>
      </c>
      <c r="H1117">
        <v>35</v>
      </c>
      <c r="I1117" t="b">
        <v>0</v>
      </c>
      <c r="J1117" t="s">
        <v>33</v>
      </c>
      <c r="K1117" t="s">
        <v>33</v>
      </c>
      <c r="L1117">
        <v>9</v>
      </c>
      <c r="M1117" s="4">
        <v>1</v>
      </c>
      <c r="N1117" t="e">
        <f>(#REF!*Y1117)/(T1117*X1117*O1117)</f>
        <v>#REF!</v>
      </c>
      <c r="O1117">
        <v>2</v>
      </c>
      <c r="P1117" t="s">
        <v>33</v>
      </c>
      <c r="Q1117" s="1">
        <f t="shared" si="570"/>
        <v>700.5</v>
      </c>
      <c r="R1117" t="s">
        <v>183</v>
      </c>
      <c r="S1117" t="s">
        <v>613</v>
      </c>
      <c r="T1117">
        <v>1</v>
      </c>
      <c r="U1117">
        <v>2.5</v>
      </c>
      <c r="V1117" t="s">
        <v>33</v>
      </c>
      <c r="W1117">
        <v>0.50249999999999995</v>
      </c>
      <c r="X1117">
        <f>W1117</f>
        <v>0.50249999999999995</v>
      </c>
      <c r="Y1117" t="s">
        <v>33</v>
      </c>
      <c r="Z1117" s="3">
        <f t="shared" si="574"/>
        <v>7.1734475374732331E-4</v>
      </c>
      <c r="AA1117" t="s">
        <v>33</v>
      </c>
      <c r="AB1117">
        <f t="shared" ref="AB1117:AB1123" si="575">IFERROR(((X1117*M1117)/Z1117), "NA")</f>
        <v>700.5</v>
      </c>
      <c r="AC1117" s="1" t="str">
        <f t="shared" si="572"/>
        <v>NA</v>
      </c>
      <c r="AE1117" s="3">
        <f t="shared" si="573"/>
        <v>226.96200000000002</v>
      </c>
      <c r="AF1117">
        <v>1401</v>
      </c>
      <c r="AG1117" s="1" t="str">
        <f>IFERROR((N1117*P1117*Q1117), "NA")</f>
        <v>NA</v>
      </c>
      <c r="AH1117" s="1" t="str">
        <f>IFERROR((AG1117*U1117*AI1117), "NA")</f>
        <v>NA</v>
      </c>
      <c r="AI1117" s="1">
        <v>1</v>
      </c>
      <c r="AJ1117" s="11" t="s">
        <v>31</v>
      </c>
      <c r="AK1117">
        <v>2000</v>
      </c>
      <c r="AL1117" t="s">
        <v>616</v>
      </c>
      <c r="AM1117" s="3" t="s">
        <v>103</v>
      </c>
      <c r="AN1117" t="s">
        <v>130</v>
      </c>
      <c r="AO1117" t="s">
        <v>795</v>
      </c>
      <c r="AP1117">
        <v>7</v>
      </c>
      <c r="AQ1117" t="s">
        <v>33</v>
      </c>
      <c r="AR1117" t="s">
        <v>33</v>
      </c>
      <c r="AS1117">
        <v>9</v>
      </c>
      <c r="AT1117">
        <f>AS1117-AU1117</f>
        <v>5.7799999999999994</v>
      </c>
      <c r="AU1117" s="6">
        <v>3.22</v>
      </c>
      <c r="AV1117" t="b">
        <v>1</v>
      </c>
      <c r="AW1117" t="s">
        <v>617</v>
      </c>
      <c r="AX1117" t="s">
        <v>33</v>
      </c>
      <c r="AY1117" t="s">
        <v>629</v>
      </c>
      <c r="AZ1117" t="s">
        <v>630</v>
      </c>
      <c r="BA1117" s="18" t="s">
        <v>802</v>
      </c>
      <c r="BB1117" s="3" t="b">
        <v>0</v>
      </c>
      <c r="BC1117" t="s">
        <v>81</v>
      </c>
      <c r="BD1117">
        <v>24</v>
      </c>
      <c r="BE1117" t="s">
        <v>80</v>
      </c>
      <c r="BF1117">
        <v>24</v>
      </c>
      <c r="BG1117" t="s">
        <v>644</v>
      </c>
      <c r="BH1117" t="s">
        <v>31</v>
      </c>
      <c r="BI1117" t="s">
        <v>31</v>
      </c>
      <c r="BJ1117">
        <f t="shared" si="571"/>
        <v>3.22</v>
      </c>
      <c r="BK1117" s="3">
        <f t="shared" si="549"/>
        <v>0.50785587169583091</v>
      </c>
      <c r="BL1117">
        <v>2</v>
      </c>
      <c r="BM1117" s="3">
        <f t="shared" si="569"/>
        <v>1.8480972781325746</v>
      </c>
      <c r="BN1117" t="s">
        <v>33</v>
      </c>
      <c r="BO1117" s="3">
        <f t="shared" si="559"/>
        <v>70.485093167701862</v>
      </c>
      <c r="BP1117" t="s">
        <v>33</v>
      </c>
      <c r="BQ1117" t="s">
        <v>33</v>
      </c>
      <c r="BR1117" t="s">
        <v>33</v>
      </c>
      <c r="BS1117" t="s">
        <v>33</v>
      </c>
      <c r="BT1117" t="s">
        <v>31</v>
      </c>
      <c r="BU1117" s="15" t="s">
        <v>655</v>
      </c>
      <c r="BV1117">
        <v>2003</v>
      </c>
      <c r="BW1117" t="s">
        <v>656</v>
      </c>
      <c r="BX1117" t="s">
        <v>78</v>
      </c>
      <c r="BY1117" s="13" t="s">
        <v>677</v>
      </c>
      <c r="CA1117" t="str">
        <f t="shared" si="560"/>
        <v>low acid</v>
      </c>
    </row>
    <row r="1118" spans="1:79">
      <c r="A1118" t="s">
        <v>589</v>
      </c>
      <c r="B1118" t="s">
        <v>566</v>
      </c>
      <c r="C1118" t="s">
        <v>563</v>
      </c>
      <c r="D1118" t="s">
        <v>33</v>
      </c>
      <c r="E1118" t="s">
        <v>77</v>
      </c>
      <c r="F1118" t="s">
        <v>33</v>
      </c>
      <c r="G1118" t="s">
        <v>33</v>
      </c>
      <c r="H1118">
        <v>35</v>
      </c>
      <c r="I1118" t="b">
        <v>0</v>
      </c>
      <c r="J1118" t="s">
        <v>33</v>
      </c>
      <c r="K1118" t="s">
        <v>33</v>
      </c>
      <c r="L1118">
        <v>28</v>
      </c>
      <c r="M1118" s="4">
        <v>1</v>
      </c>
      <c r="N1118" t="e">
        <f>(#REF!*Y1118)/(T1118*X1118*O1118)</f>
        <v>#REF!</v>
      </c>
      <c r="O1118">
        <v>2</v>
      </c>
      <c r="P1118" t="s">
        <v>33</v>
      </c>
      <c r="Q1118" s="1">
        <f t="shared" si="570"/>
        <v>49.35</v>
      </c>
      <c r="R1118" t="s">
        <v>183</v>
      </c>
      <c r="S1118" t="s">
        <v>613</v>
      </c>
      <c r="T1118">
        <v>1</v>
      </c>
      <c r="U1118">
        <v>2.5</v>
      </c>
      <c r="V1118" t="s">
        <v>33</v>
      </c>
      <c r="W1118">
        <v>0.50249999999999995</v>
      </c>
      <c r="X1118">
        <f>W1118</f>
        <v>0.50249999999999995</v>
      </c>
      <c r="Y1118" t="s">
        <v>33</v>
      </c>
      <c r="Z1118" s="3">
        <f t="shared" si="574"/>
        <v>1.0182370820668692E-2</v>
      </c>
      <c r="AA1118" t="s">
        <v>33</v>
      </c>
      <c r="AB1118">
        <f t="shared" si="575"/>
        <v>49.35</v>
      </c>
      <c r="AC1118" s="1" t="str">
        <f t="shared" si="572"/>
        <v>NA</v>
      </c>
      <c r="AE1118" s="3">
        <f t="shared" si="573"/>
        <v>154.76159999999999</v>
      </c>
      <c r="AF1118">
        <v>98.7</v>
      </c>
      <c r="AG1118" s="1" t="str">
        <f>IFERROR((N1118*P1118*Q1118), "NA")</f>
        <v>NA</v>
      </c>
      <c r="AH1118" s="1" t="str">
        <f>IFERROR((AG1118*U1118*AI1118), "NA")</f>
        <v>NA</v>
      </c>
      <c r="AI1118" s="1">
        <v>1</v>
      </c>
      <c r="AJ1118" s="11" t="s">
        <v>31</v>
      </c>
      <c r="AK1118">
        <v>2000</v>
      </c>
      <c r="AL1118" t="s">
        <v>616</v>
      </c>
      <c r="AM1118" s="3" t="s">
        <v>103</v>
      </c>
      <c r="AN1118" t="s">
        <v>130</v>
      </c>
      <c r="AO1118" t="s">
        <v>795</v>
      </c>
      <c r="AP1118">
        <v>7</v>
      </c>
      <c r="AQ1118" t="s">
        <v>33</v>
      </c>
      <c r="AR1118" t="s">
        <v>33</v>
      </c>
      <c r="AS1118">
        <v>9</v>
      </c>
      <c r="AT1118">
        <f>AS1118-AU1118</f>
        <v>5.7799999999999994</v>
      </c>
      <c r="AU1118" s="6">
        <v>3.22</v>
      </c>
      <c r="AV1118" t="b">
        <v>1</v>
      </c>
      <c r="AW1118" t="s">
        <v>617</v>
      </c>
      <c r="AX1118" t="s">
        <v>33</v>
      </c>
      <c r="AY1118" t="s">
        <v>629</v>
      </c>
      <c r="AZ1118" t="s">
        <v>630</v>
      </c>
      <c r="BA1118" s="18" t="s">
        <v>802</v>
      </c>
      <c r="BB1118" s="3" t="b">
        <v>0</v>
      </c>
      <c r="BC1118" t="s">
        <v>81</v>
      </c>
      <c r="BD1118">
        <v>24</v>
      </c>
      <c r="BE1118" t="s">
        <v>80</v>
      </c>
      <c r="BF1118">
        <v>24</v>
      </c>
      <c r="BG1118" t="s">
        <v>644</v>
      </c>
      <c r="BH1118" t="s">
        <v>31</v>
      </c>
      <c r="BI1118" t="s">
        <v>31</v>
      </c>
      <c r="BJ1118">
        <f t="shared" si="571"/>
        <v>3.22</v>
      </c>
      <c r="BK1118" s="3">
        <f t="shared" si="549"/>
        <v>0.50785587169583091</v>
      </c>
      <c r="BL1118">
        <v>2</v>
      </c>
      <c r="BM1118" s="3">
        <f t="shared" si="569"/>
        <v>1.6818073393222255</v>
      </c>
      <c r="BN1118" t="s">
        <v>33</v>
      </c>
      <c r="BO1118" s="3">
        <f t="shared" si="559"/>
        <v>48.062608695652166</v>
      </c>
      <c r="BP1118" t="s">
        <v>33</v>
      </c>
      <c r="BQ1118" t="s">
        <v>33</v>
      </c>
      <c r="BR1118" t="s">
        <v>33</v>
      </c>
      <c r="BS1118" t="s">
        <v>33</v>
      </c>
      <c r="BT1118" t="s">
        <v>31</v>
      </c>
      <c r="BU1118" s="15" t="s">
        <v>655</v>
      </c>
      <c r="BV1118">
        <v>2003</v>
      </c>
      <c r="BW1118" t="s">
        <v>656</v>
      </c>
      <c r="BX1118" t="s">
        <v>78</v>
      </c>
      <c r="BY1118" s="13" t="s">
        <v>677</v>
      </c>
      <c r="CA1118" t="str">
        <f t="shared" si="560"/>
        <v>low acid</v>
      </c>
    </row>
    <row r="1119" spans="1:79">
      <c r="A1119" t="s">
        <v>89</v>
      </c>
      <c r="B1119" t="s">
        <v>565</v>
      </c>
      <c r="C1119" t="s">
        <v>563</v>
      </c>
      <c r="D1119" t="s">
        <v>118</v>
      </c>
      <c r="E1119" t="s">
        <v>77</v>
      </c>
      <c r="F1119" t="s">
        <v>32</v>
      </c>
      <c r="G1119">
        <v>40</v>
      </c>
      <c r="H1119">
        <f>(42+47)/2</f>
        <v>44.5</v>
      </c>
      <c r="I1119" t="b">
        <v>0</v>
      </c>
      <c r="J1119" t="s">
        <v>33</v>
      </c>
      <c r="K1119" t="s">
        <v>33</v>
      </c>
      <c r="L1119">
        <v>18</v>
      </c>
      <c r="M1119" s="4">
        <v>548</v>
      </c>
      <c r="N1119" s="3">
        <f>IFERROR(AF1119/((T1119*X1119/Y1119)*O1119*AI1119),"NA")</f>
        <v>553.30575787548105</v>
      </c>
      <c r="O1119">
        <v>2.5</v>
      </c>
      <c r="P1119" t="s">
        <v>33</v>
      </c>
      <c r="Q1119" s="8">
        <f t="shared" si="570"/>
        <v>6.0827250608272501E-3</v>
      </c>
      <c r="R1119" t="s">
        <v>183</v>
      </c>
      <c r="S1119" t="s">
        <v>612</v>
      </c>
      <c r="T1119" s="11">
        <v>6</v>
      </c>
      <c r="U1119">
        <v>2.9</v>
      </c>
      <c r="V1119">
        <v>2.2999999999999998</v>
      </c>
      <c r="W1119" t="s">
        <v>33</v>
      </c>
      <c r="X1119" s="8">
        <f t="shared" ref="X1119:X1126" si="576">IFERROR(((PI())*(((V1119*10^-1)/2)^2)*(U1119*10^-1)), "NA")</f>
        <v>1.204879322468025E-2</v>
      </c>
      <c r="Y1119">
        <f>120/60</f>
        <v>2</v>
      </c>
      <c r="Z1119" s="9">
        <f t="shared" si="574"/>
        <v>1.9808216061374333</v>
      </c>
      <c r="AA1119">
        <v>3.3</v>
      </c>
      <c r="AB1119" s="6">
        <f t="shared" si="575"/>
        <v>3.333333333333333</v>
      </c>
      <c r="AC1119" t="str">
        <f t="shared" si="572"/>
        <v>NA</v>
      </c>
      <c r="AD1119" s="4">
        <f>IFERROR(AB1119*T1119*AI1119, "NA")</f>
        <v>20</v>
      </c>
      <c r="AE1119">
        <f t="shared" si="573"/>
        <v>34.83</v>
      </c>
      <c r="AF1119">
        <v>50</v>
      </c>
      <c r="AG1119" t="str">
        <f>IFERROR((M1119*O1119*P1119), "NA")</f>
        <v>NA</v>
      </c>
      <c r="AH1119" t="str">
        <f>IFERROR((AG1119*T1119*AI1119), "NA")</f>
        <v>NA</v>
      </c>
      <c r="AI1119" s="11">
        <v>1</v>
      </c>
      <c r="AJ1119" t="s">
        <v>31</v>
      </c>
      <c r="AK1119">
        <v>2150</v>
      </c>
      <c r="AL1119" t="s">
        <v>238</v>
      </c>
      <c r="AM1119" t="s">
        <v>86</v>
      </c>
      <c r="AN1119" t="s">
        <v>205</v>
      </c>
      <c r="AO1119" t="s">
        <v>789</v>
      </c>
      <c r="AP1119">
        <v>4.16</v>
      </c>
      <c r="AQ1119" t="s">
        <v>33</v>
      </c>
      <c r="AR1119" t="s">
        <v>33</v>
      </c>
      <c r="AS1119" s="3">
        <f>LOG(3.8*10^6)</f>
        <v>6.5797835966168101</v>
      </c>
      <c r="AT1119" s="3">
        <f>IFERROR(AS1119-AU1119,"NA")</f>
        <v>5.7897835966168101</v>
      </c>
      <c r="AU1119" s="6">
        <v>0.79</v>
      </c>
      <c r="AV1119" t="b">
        <v>1</v>
      </c>
      <c r="AW1119" t="s">
        <v>123</v>
      </c>
      <c r="AX1119" t="s">
        <v>88</v>
      </c>
      <c r="AY1119" t="s">
        <v>518</v>
      </c>
      <c r="AZ1119" t="s">
        <v>33</v>
      </c>
      <c r="BA1119" s="18" t="s">
        <v>579</v>
      </c>
      <c r="BB1119" t="b">
        <v>1</v>
      </c>
      <c r="BC1119" t="s">
        <v>81</v>
      </c>
      <c r="BD1119">
        <v>24</v>
      </c>
      <c r="BE1119" t="s">
        <v>80</v>
      </c>
      <c r="BF1119" s="11">
        <v>72</v>
      </c>
      <c r="BG1119" t="s">
        <v>395</v>
      </c>
      <c r="BH1119" t="s">
        <v>31</v>
      </c>
      <c r="BI1119" t="s">
        <v>31</v>
      </c>
      <c r="BJ1119">
        <f t="shared" si="571"/>
        <v>0.79</v>
      </c>
      <c r="BK1119" s="3">
        <f t="shared" si="549"/>
        <v>-0.10237290870955855</v>
      </c>
      <c r="BL1119">
        <v>2</v>
      </c>
      <c r="BM1119" s="3">
        <f>LOG(BO1119)</f>
        <v>1.6443263831677948</v>
      </c>
      <c r="BN1119" t="s">
        <v>33</v>
      </c>
      <c r="BO1119" s="3">
        <f t="shared" si="559"/>
        <v>44.088607594936704</v>
      </c>
      <c r="BP1119" t="s">
        <v>33</v>
      </c>
      <c r="BQ1119" t="s">
        <v>33</v>
      </c>
      <c r="BR1119" t="s">
        <v>33</v>
      </c>
      <c r="BS1119" t="s">
        <v>33</v>
      </c>
      <c r="BT1119" t="s">
        <v>32</v>
      </c>
      <c r="BU1119" t="s">
        <v>84</v>
      </c>
      <c r="BV1119">
        <v>2013</v>
      </c>
      <c r="BW1119" t="s">
        <v>83</v>
      </c>
      <c r="BX1119" t="s">
        <v>78</v>
      </c>
      <c r="BY1119" t="s">
        <v>33</v>
      </c>
      <c r="BZ1119" t="s">
        <v>33</v>
      </c>
      <c r="CA1119" t="str">
        <f t="shared" si="560"/>
        <v>high acid</v>
      </c>
    </row>
    <row r="1120" spans="1:79">
      <c r="A1120" t="s">
        <v>111</v>
      </c>
      <c r="B1120" t="s">
        <v>565</v>
      </c>
      <c r="C1120" t="s">
        <v>563</v>
      </c>
      <c r="D1120" t="s">
        <v>118</v>
      </c>
      <c r="E1120" t="s">
        <v>77</v>
      </c>
      <c r="F1120" t="s">
        <v>32</v>
      </c>
      <c r="G1120">
        <v>23</v>
      </c>
      <c r="H1120">
        <v>40</v>
      </c>
      <c r="I1120" t="b">
        <v>0</v>
      </c>
      <c r="J1120" t="s">
        <v>33</v>
      </c>
      <c r="K1120" t="s">
        <v>33</v>
      </c>
      <c r="L1120">
        <v>25</v>
      </c>
      <c r="M1120" s="4">
        <v>667</v>
      </c>
      <c r="N1120" s="3">
        <f>IFERROR(AF1120/((T1120*X1120/Y1120)*O1120*AI1120),"NA")</f>
        <v>663.96690945057719</v>
      </c>
      <c r="O1120">
        <v>3</v>
      </c>
      <c r="P1120" t="s">
        <v>33</v>
      </c>
      <c r="Q1120" s="8">
        <f t="shared" si="570"/>
        <v>5.9970014992503755E-3</v>
      </c>
      <c r="R1120" t="s">
        <v>183</v>
      </c>
      <c r="S1120" t="s">
        <v>613</v>
      </c>
      <c r="T1120" s="11">
        <v>4</v>
      </c>
      <c r="U1120">
        <v>2.9</v>
      </c>
      <c r="V1120">
        <v>2.2999999999999998</v>
      </c>
      <c r="W1120" t="s">
        <v>33</v>
      </c>
      <c r="X1120">
        <f t="shared" si="576"/>
        <v>1.204879322468025E-2</v>
      </c>
      <c r="Y1120">
        <v>2</v>
      </c>
      <c r="Z1120" s="9">
        <f t="shared" si="574"/>
        <v>2.0091362702154316</v>
      </c>
      <c r="AA1120" t="s">
        <v>33</v>
      </c>
      <c r="AB1120" s="6">
        <f t="shared" si="575"/>
        <v>4</v>
      </c>
      <c r="AC1120" t="str">
        <f t="shared" si="572"/>
        <v>NA</v>
      </c>
      <c r="AD1120" s="4">
        <f>IFERROR(AB1120*T1120*AI1120, "NA")</f>
        <v>16</v>
      </c>
      <c r="AE1120">
        <f t="shared" si="573"/>
        <v>138.00000000000003</v>
      </c>
      <c r="AF1120">
        <v>48</v>
      </c>
      <c r="AG1120" t="str">
        <f>IFERROR((M1120*O1120*P1120), "NA")</f>
        <v>NA</v>
      </c>
      <c r="AH1120" t="str">
        <f>IFERROR((AG1120*T1120*AI1120), "NA")</f>
        <v>NA</v>
      </c>
      <c r="AI1120" s="11">
        <v>1</v>
      </c>
      <c r="AJ1120" t="s">
        <v>31</v>
      </c>
      <c r="AK1120">
        <v>4600</v>
      </c>
      <c r="AL1120" t="s">
        <v>204</v>
      </c>
      <c r="AM1120" t="s">
        <v>785</v>
      </c>
      <c r="AN1120" t="s">
        <v>205</v>
      </c>
      <c r="AO1120" t="s">
        <v>791</v>
      </c>
      <c r="AP1120">
        <v>4.2</v>
      </c>
      <c r="AQ1120" t="s">
        <v>33</v>
      </c>
      <c r="AR1120" t="s">
        <v>33</v>
      </c>
      <c r="AS1120" s="3">
        <v>8</v>
      </c>
      <c r="AT1120" s="3">
        <f>IFERROR(AS1120-AU1120,"NA")</f>
        <v>5.49</v>
      </c>
      <c r="AU1120" s="6">
        <v>2.5099999999999998</v>
      </c>
      <c r="AV1120" t="b">
        <v>1</v>
      </c>
      <c r="AW1120" t="s">
        <v>92</v>
      </c>
      <c r="AX1120" t="s">
        <v>93</v>
      </c>
      <c r="AY1120" t="s">
        <v>101</v>
      </c>
      <c r="AZ1120" t="s">
        <v>33</v>
      </c>
      <c r="BA1120" s="18" t="s">
        <v>801</v>
      </c>
      <c r="BB1120" t="b">
        <v>0</v>
      </c>
      <c r="BC1120" t="s">
        <v>81</v>
      </c>
      <c r="BD1120">
        <v>18</v>
      </c>
      <c r="BE1120" t="s">
        <v>80</v>
      </c>
      <c r="BF1120" t="s">
        <v>33</v>
      </c>
      <c r="BG1120" t="s">
        <v>568</v>
      </c>
      <c r="BH1120" t="s">
        <v>31</v>
      </c>
      <c r="BI1120" t="s">
        <v>31</v>
      </c>
      <c r="BJ1120">
        <f t="shared" si="571"/>
        <v>2.5099999999999998</v>
      </c>
      <c r="BK1120" s="3">
        <f t="shared" si="549"/>
        <v>0.39967372148103808</v>
      </c>
      <c r="BL1120">
        <v>2</v>
      </c>
      <c r="BM1120" s="3">
        <f>LOG(BO1120)</f>
        <v>1.7402053649201985</v>
      </c>
      <c r="BN1120" t="s">
        <v>33</v>
      </c>
      <c r="BO1120" s="3">
        <f t="shared" si="559"/>
        <v>54.980079681274916</v>
      </c>
      <c r="BP1120" t="s">
        <v>33</v>
      </c>
      <c r="BQ1120" t="s">
        <v>33</v>
      </c>
      <c r="BR1120" t="s">
        <v>33</v>
      </c>
      <c r="BS1120" t="s">
        <v>33</v>
      </c>
      <c r="BT1120" t="s">
        <v>32</v>
      </c>
      <c r="BU1120" t="s">
        <v>116</v>
      </c>
      <c r="BV1120">
        <v>2011</v>
      </c>
      <c r="BW1120" t="s">
        <v>91</v>
      </c>
      <c r="BX1120" t="s">
        <v>78</v>
      </c>
      <c r="BY1120" t="s">
        <v>33</v>
      </c>
      <c r="BZ1120" t="s">
        <v>113</v>
      </c>
      <c r="CA1120" t="str">
        <f t="shared" si="560"/>
        <v>high acid</v>
      </c>
    </row>
    <row r="1121" spans="1:79">
      <c r="A1121" t="s">
        <v>533</v>
      </c>
      <c r="B1121" t="s">
        <v>565</v>
      </c>
      <c r="C1121" t="s">
        <v>564</v>
      </c>
      <c r="D1121" t="s">
        <v>209</v>
      </c>
      <c r="E1121" t="s">
        <v>77</v>
      </c>
      <c r="F1121" t="s">
        <v>32</v>
      </c>
      <c r="G1121">
        <v>30</v>
      </c>
      <c r="H1121">
        <v>38.200000000000003</v>
      </c>
      <c r="I1121" t="b">
        <v>0</v>
      </c>
      <c r="J1121" t="s">
        <v>33</v>
      </c>
      <c r="K1121" t="s">
        <v>33</v>
      </c>
      <c r="L1121">
        <v>24</v>
      </c>
      <c r="M1121" s="4">
        <v>120</v>
      </c>
      <c r="N1121" s="3">
        <f>IFERROR(AF1121/((T1121*X1121/Y1121)*O1121*AI1121),"NA")</f>
        <v>19.881288091689747</v>
      </c>
      <c r="O1121">
        <v>3</v>
      </c>
      <c r="P1121" t="s">
        <v>33</v>
      </c>
      <c r="Q1121" s="8">
        <f t="shared" si="570"/>
        <v>2.0833333333333332E-2</v>
      </c>
      <c r="R1121" t="s">
        <v>183</v>
      </c>
      <c r="S1121" t="s">
        <v>612</v>
      </c>
      <c r="T1121" s="11">
        <v>4</v>
      </c>
      <c r="U1121">
        <v>3</v>
      </c>
      <c r="V1121">
        <v>2.6</v>
      </c>
      <c r="W1121" t="s">
        <v>33</v>
      </c>
      <c r="X1121" s="8">
        <f t="shared" si="576"/>
        <v>1.5927874753700257E-2</v>
      </c>
      <c r="Y1121" s="6">
        <f>7.6/60</f>
        <v>0.12666666666666665</v>
      </c>
      <c r="Z1121" s="3">
        <f t="shared" si="574"/>
        <v>0.76453798817761232</v>
      </c>
      <c r="AA1121" t="s">
        <v>33</v>
      </c>
      <c r="AB1121" s="6">
        <f t="shared" si="575"/>
        <v>2.5</v>
      </c>
      <c r="AC1121" t="str">
        <f t="shared" si="572"/>
        <v>NA</v>
      </c>
      <c r="AD1121" s="4">
        <f>IFERROR(AB1121*T1121*AI1121, "NA")</f>
        <v>10</v>
      </c>
      <c r="AE1121" s="3">
        <f t="shared" si="573"/>
        <v>16.934399999999997</v>
      </c>
      <c r="AF1121">
        <v>30</v>
      </c>
      <c r="AG1121" t="str">
        <f>IFERROR((M1121*O1121*P1121), "NA")</f>
        <v>NA</v>
      </c>
      <c r="AH1121" t="str">
        <f>IFERROR((AG1121*T1121*AI1121), "NA")</f>
        <v>NA</v>
      </c>
      <c r="AI1121" s="11">
        <v>1</v>
      </c>
      <c r="AJ1121" t="s">
        <v>31</v>
      </c>
      <c r="AK1121">
        <v>980</v>
      </c>
      <c r="AL1121" t="s">
        <v>551</v>
      </c>
      <c r="AM1121" t="s">
        <v>86</v>
      </c>
      <c r="AN1121" t="s">
        <v>186</v>
      </c>
      <c r="AO1121" t="s">
        <v>794</v>
      </c>
      <c r="AP1121">
        <v>5.98</v>
      </c>
      <c r="AQ1121" t="s">
        <v>33</v>
      </c>
      <c r="AR1121" t="s">
        <v>33</v>
      </c>
      <c r="AS1121" s="6">
        <v>6.5</v>
      </c>
      <c r="AT1121" s="3">
        <f>IFERROR(AS1121-AU1121,"NA")</f>
        <v>5.8019999999999996</v>
      </c>
      <c r="AU1121" s="6">
        <v>0.69799999999999995</v>
      </c>
      <c r="AV1121" t="b">
        <v>1</v>
      </c>
      <c r="AW1121" t="s">
        <v>29</v>
      </c>
      <c r="AX1121" t="s">
        <v>30</v>
      </c>
      <c r="AY1121" t="s">
        <v>211</v>
      </c>
      <c r="AZ1121" t="s">
        <v>33</v>
      </c>
      <c r="BA1121" s="18" t="s">
        <v>798</v>
      </c>
      <c r="BB1121" t="b">
        <v>0</v>
      </c>
      <c r="BC1121" t="s">
        <v>81</v>
      </c>
      <c r="BD1121">
        <v>20</v>
      </c>
      <c r="BE1121" t="s">
        <v>80</v>
      </c>
      <c r="BF1121" s="11">
        <v>20</v>
      </c>
      <c r="BG1121" t="s">
        <v>570</v>
      </c>
      <c r="BH1121" t="s">
        <v>31</v>
      </c>
      <c r="BI1121" t="s">
        <v>31</v>
      </c>
      <c r="BJ1121" s="3">
        <f t="shared" si="571"/>
        <v>0.69799999999999995</v>
      </c>
      <c r="BK1121" s="3">
        <f t="shared" si="549"/>
        <v>-0.15614457737683893</v>
      </c>
      <c r="BL1121">
        <v>2</v>
      </c>
      <c r="BM1121" s="3">
        <f t="shared" ref="BM1121:BM1134" si="577">IFERROR(LOG(BO1121),"NA")</f>
        <v>1.3849143912122082</v>
      </c>
      <c r="BN1121" t="s">
        <v>33</v>
      </c>
      <c r="BO1121" s="3">
        <f t="shared" si="559"/>
        <v>24.261318051575927</v>
      </c>
      <c r="BP1121" t="s">
        <v>33</v>
      </c>
      <c r="BQ1121" t="s">
        <v>33</v>
      </c>
      <c r="BR1121" t="s">
        <v>33</v>
      </c>
      <c r="BS1121" t="s">
        <v>33</v>
      </c>
      <c r="BT1121" t="s">
        <v>32</v>
      </c>
      <c r="BU1121" t="s">
        <v>207</v>
      </c>
      <c r="BV1121">
        <v>2014</v>
      </c>
      <c r="BW1121" t="s">
        <v>208</v>
      </c>
      <c r="BX1121" t="s">
        <v>78</v>
      </c>
      <c r="BY1121" t="s">
        <v>33</v>
      </c>
      <c r="BZ1121" t="s">
        <v>33</v>
      </c>
      <c r="CA1121" t="str">
        <f t="shared" si="560"/>
        <v>low acid</v>
      </c>
    </row>
    <row r="1122" spans="1:79">
      <c r="A1122" t="s">
        <v>147</v>
      </c>
      <c r="B1122" t="s">
        <v>565</v>
      </c>
      <c r="C1122" t="s">
        <v>563</v>
      </c>
      <c r="D1122" t="s">
        <v>118</v>
      </c>
      <c r="E1122" t="s">
        <v>77</v>
      </c>
      <c r="F1122" t="s">
        <v>32</v>
      </c>
      <c r="G1122">
        <v>10</v>
      </c>
      <c r="H1122" t="s">
        <v>33</v>
      </c>
      <c r="I1122" t="b">
        <v>0</v>
      </c>
      <c r="J1122" t="s">
        <v>33</v>
      </c>
      <c r="K1122" t="s">
        <v>33</v>
      </c>
      <c r="L1122">
        <v>17</v>
      </c>
      <c r="M1122" s="4">
        <v>500</v>
      </c>
      <c r="N1122" s="3">
        <f>IFERROR(AF1122/((T1122*X1122/Y1122)*O1122*AI1122),"NA")</f>
        <v>403.45211511753826</v>
      </c>
      <c r="O1122">
        <v>3</v>
      </c>
      <c r="P1122" t="s">
        <v>33</v>
      </c>
      <c r="Q1122" s="8">
        <f t="shared" si="570"/>
        <v>1.1666666666666667E-2</v>
      </c>
      <c r="R1122" t="s">
        <v>183</v>
      </c>
      <c r="S1122" t="s">
        <v>613</v>
      </c>
      <c r="T1122" s="11">
        <v>6</v>
      </c>
      <c r="U1122">
        <v>2.9</v>
      </c>
      <c r="V1122">
        <v>2.2999999999999998</v>
      </c>
      <c r="W1122">
        <v>0.36420000000000002</v>
      </c>
      <c r="X1122" s="8">
        <f t="shared" si="576"/>
        <v>1.204879322468025E-2</v>
      </c>
      <c r="Y1122" s="6">
        <f>50/60</f>
        <v>0.83333333333333337</v>
      </c>
      <c r="Z1122" s="3">
        <f t="shared" si="574"/>
        <v>1.0327537049725928</v>
      </c>
      <c r="AA1122" t="s">
        <v>33</v>
      </c>
      <c r="AB1122" s="6">
        <f t="shared" si="575"/>
        <v>5.8333333333333339</v>
      </c>
      <c r="AC1122" t="str">
        <f t="shared" si="572"/>
        <v>NA</v>
      </c>
      <c r="AD1122" s="4">
        <f>IFERROR(AB1122*T1122*AI1122, "NA")</f>
        <v>35</v>
      </c>
      <c r="AE1122" s="3">
        <f t="shared" si="573"/>
        <v>97.710899999999981</v>
      </c>
      <c r="AF1122">
        <v>105</v>
      </c>
      <c r="AG1122" t="str">
        <f>IFERROR((M1122*O1122*P1122), "NA")</f>
        <v>NA</v>
      </c>
      <c r="AH1122" t="str">
        <f>IFERROR((AG1122*T1122*AI1122), "NA")</f>
        <v>NA</v>
      </c>
      <c r="AI1122" s="11">
        <v>1</v>
      </c>
      <c r="AJ1122" t="s">
        <v>31</v>
      </c>
      <c r="AK1122">
        <v>3220</v>
      </c>
      <c r="AL1122" t="s">
        <v>145</v>
      </c>
      <c r="AM1122" t="s">
        <v>86</v>
      </c>
      <c r="AN1122" t="s">
        <v>205</v>
      </c>
      <c r="AO1122" t="s">
        <v>789</v>
      </c>
      <c r="AP1122">
        <v>3.19</v>
      </c>
      <c r="AQ1122" t="s">
        <v>33</v>
      </c>
      <c r="AR1122" t="s">
        <v>33</v>
      </c>
      <c r="AS1122" s="3">
        <v>7.1470000000000002</v>
      </c>
      <c r="AT1122" s="3">
        <f>IFERROR(AS1122-AU1122,"NA")</f>
        <v>5.8070000000000004</v>
      </c>
      <c r="AU1122" s="6">
        <v>1.34</v>
      </c>
      <c r="AV1122" t="b">
        <v>1</v>
      </c>
      <c r="AW1122" t="s">
        <v>29</v>
      </c>
      <c r="AX1122" t="s">
        <v>30</v>
      </c>
      <c r="AY1122" t="s">
        <v>33</v>
      </c>
      <c r="AZ1122" t="s">
        <v>134</v>
      </c>
      <c r="BA1122" s="18" t="s">
        <v>798</v>
      </c>
      <c r="BB1122" t="b">
        <v>0</v>
      </c>
      <c r="BC1122" t="s">
        <v>81</v>
      </c>
      <c r="BD1122">
        <f>(48+24)/2</f>
        <v>36</v>
      </c>
      <c r="BE1122" t="s">
        <v>80</v>
      </c>
      <c r="BF1122" s="11">
        <f>(48+24)/2</f>
        <v>36</v>
      </c>
      <c r="BG1122" t="s">
        <v>139</v>
      </c>
      <c r="BH1122" t="s">
        <v>31</v>
      </c>
      <c r="BI1122" t="s">
        <v>31</v>
      </c>
      <c r="BJ1122" s="3">
        <f t="shared" si="571"/>
        <v>1.34</v>
      </c>
      <c r="BK1122" s="3">
        <f t="shared" si="549"/>
        <v>0.12710479836480765</v>
      </c>
      <c r="BL1122">
        <v>2</v>
      </c>
      <c r="BM1122" s="3">
        <f t="shared" si="577"/>
        <v>1.8628382151575091</v>
      </c>
      <c r="BN1122" t="s">
        <v>33</v>
      </c>
      <c r="BO1122" s="3">
        <f t="shared" si="559"/>
        <v>72.918582089552217</v>
      </c>
      <c r="BP1122" t="s">
        <v>33</v>
      </c>
      <c r="BQ1122" t="s">
        <v>33</v>
      </c>
      <c r="BR1122" t="s">
        <v>33</v>
      </c>
      <c r="BS1122" t="s">
        <v>33</v>
      </c>
      <c r="BT1122" t="s">
        <v>31</v>
      </c>
      <c r="BU1122" t="s">
        <v>135</v>
      </c>
      <c r="BV1122">
        <v>2010</v>
      </c>
      <c r="BW1122" s="1" t="s">
        <v>140</v>
      </c>
      <c r="BX1122" t="s">
        <v>78</v>
      </c>
      <c r="BY1122" t="s">
        <v>33</v>
      </c>
      <c r="BZ1122" t="s">
        <v>148</v>
      </c>
      <c r="CA1122" t="str">
        <f t="shared" si="560"/>
        <v>high acid</v>
      </c>
    </row>
    <row r="1123" spans="1:79">
      <c r="A1123" t="s">
        <v>605</v>
      </c>
      <c r="B1123" t="s">
        <v>565</v>
      </c>
      <c r="C1123" t="s">
        <v>563</v>
      </c>
      <c r="D1123" t="s">
        <v>118</v>
      </c>
      <c r="E1123" t="s">
        <v>77</v>
      </c>
      <c r="F1123" t="s">
        <v>33</v>
      </c>
      <c r="G1123" t="s">
        <v>33</v>
      </c>
      <c r="H1123" t="s">
        <v>33</v>
      </c>
      <c r="I1123" t="b">
        <v>0</v>
      </c>
      <c r="J1123" t="s">
        <v>33</v>
      </c>
      <c r="K1123" t="s">
        <v>33</v>
      </c>
      <c r="L1123">
        <v>20</v>
      </c>
      <c r="M1123" s="4">
        <v>500</v>
      </c>
      <c r="N1123" t="e">
        <f>(#REF!*Y1123)/(T1123*X1123*O1123)</f>
        <v>#REF!</v>
      </c>
      <c r="O1123">
        <v>3</v>
      </c>
      <c r="P1123" t="s">
        <v>33</v>
      </c>
      <c r="Q1123" s="1">
        <f t="shared" si="570"/>
        <v>1.4555555555555556E-2</v>
      </c>
      <c r="R1123" t="s">
        <v>183</v>
      </c>
      <c r="S1123" t="s">
        <v>613</v>
      </c>
      <c r="T1123">
        <v>6</v>
      </c>
      <c r="U1123">
        <v>2.9</v>
      </c>
      <c r="V1123">
        <v>2.2999999999999998</v>
      </c>
      <c r="W1123" t="s">
        <v>33</v>
      </c>
      <c r="X1123">
        <f t="shared" si="576"/>
        <v>1.204879322468025E-2</v>
      </c>
      <c r="Y1123">
        <v>0.83333299999999999</v>
      </c>
      <c r="Z1123" s="3">
        <f t="shared" si="574"/>
        <v>0.82777968719177286</v>
      </c>
      <c r="AA1123" t="s">
        <v>33</v>
      </c>
      <c r="AB1123">
        <f t="shared" si="575"/>
        <v>7.2777777777777786</v>
      </c>
      <c r="AC1123" s="1" t="str">
        <f t="shared" si="572"/>
        <v>NA</v>
      </c>
      <c r="AE1123" s="3">
        <f t="shared" si="573"/>
        <v>202.26400000000001</v>
      </c>
      <c r="AF1123">
        <v>131</v>
      </c>
      <c r="AG1123" s="1" t="str">
        <f>IFERROR((N1123*P1123*Q1123), "NA")</f>
        <v>NA</v>
      </c>
      <c r="AH1123" s="1" t="str">
        <f>IFERROR((AG1123*U1123*AI1123), "NA")</f>
        <v>NA</v>
      </c>
      <c r="AI1123" s="1">
        <v>1</v>
      </c>
      <c r="AJ1123" s="11" t="s">
        <v>31</v>
      </c>
      <c r="AK1123">
        <f>3.86*10^3</f>
        <v>3860</v>
      </c>
      <c r="AL1123" t="s">
        <v>138</v>
      </c>
      <c r="AM1123" t="s">
        <v>86</v>
      </c>
      <c r="AN1123" t="s">
        <v>205</v>
      </c>
      <c r="AO1123" t="s">
        <v>789</v>
      </c>
      <c r="AP1123">
        <v>3.9</v>
      </c>
      <c r="AQ1123" t="s">
        <v>33</v>
      </c>
      <c r="AR1123" t="s">
        <v>33</v>
      </c>
      <c r="AS1123">
        <v>7.78</v>
      </c>
      <c r="AT1123">
        <v>5.81</v>
      </c>
      <c r="AU1123" s="6">
        <f>AS1123-AT1123</f>
        <v>1.9700000000000006</v>
      </c>
      <c r="AV1123" t="b">
        <v>1</v>
      </c>
      <c r="AW1123" t="s">
        <v>632</v>
      </c>
      <c r="AX1123" t="s">
        <v>639</v>
      </c>
      <c r="AY1123" t="s">
        <v>33</v>
      </c>
      <c r="AZ1123" t="s">
        <v>33</v>
      </c>
      <c r="BA1123" s="18" t="s">
        <v>803</v>
      </c>
      <c r="BB1123" s="3" t="b">
        <v>0</v>
      </c>
      <c r="BC1123" t="s">
        <v>81</v>
      </c>
      <c r="BD1123">
        <f>AVERAGE(24, 48)</f>
        <v>36</v>
      </c>
      <c r="BE1123" t="s">
        <v>80</v>
      </c>
      <c r="BF1123">
        <v>48</v>
      </c>
      <c r="BG1123" t="s">
        <v>647</v>
      </c>
      <c r="BH1123" t="s">
        <v>31</v>
      </c>
      <c r="BI1123" t="s">
        <v>31</v>
      </c>
      <c r="BJ1123" s="3">
        <f t="shared" si="571"/>
        <v>1.9700000000000006</v>
      </c>
      <c r="BK1123" s="3">
        <f t="shared" si="549"/>
        <v>0.29446622616159307</v>
      </c>
      <c r="BL1123">
        <v>2</v>
      </c>
      <c r="BM1123" s="3">
        <f t="shared" si="577"/>
        <v>2.0114523654938887</v>
      </c>
      <c r="BN1123" t="s">
        <v>33</v>
      </c>
      <c r="BO1123" s="3">
        <f t="shared" si="559"/>
        <v>102.67208121827409</v>
      </c>
      <c r="BP1123" t="s">
        <v>33</v>
      </c>
      <c r="BQ1123" t="s">
        <v>33</v>
      </c>
      <c r="BR1123" t="s">
        <v>33</v>
      </c>
      <c r="BS1123" t="s">
        <v>33</v>
      </c>
      <c r="BT1123" t="s">
        <v>31</v>
      </c>
      <c r="BU1123" s="13" t="s">
        <v>135</v>
      </c>
      <c r="BV1123" s="14">
        <v>2009</v>
      </c>
      <c r="BW1123" s="13" t="s">
        <v>136</v>
      </c>
      <c r="BX1123" t="s">
        <v>78</v>
      </c>
      <c r="BY1123" s="13" t="s">
        <v>692</v>
      </c>
      <c r="CA1123" t="str">
        <f t="shared" si="560"/>
        <v>high acid</v>
      </c>
    </row>
    <row r="1124" spans="1:79">
      <c r="A1124" t="s">
        <v>459</v>
      </c>
      <c r="B1124" t="s">
        <v>565</v>
      </c>
      <c r="C1124" t="s">
        <v>563</v>
      </c>
      <c r="D1124" t="s">
        <v>182</v>
      </c>
      <c r="E1124" t="s">
        <v>77</v>
      </c>
      <c r="F1124" t="s">
        <v>32</v>
      </c>
      <c r="G1124">
        <v>18</v>
      </c>
      <c r="H1124">
        <v>47</v>
      </c>
      <c r="I1124" t="b">
        <v>1</v>
      </c>
      <c r="J1124" t="s">
        <v>33</v>
      </c>
      <c r="K1124" t="s">
        <v>33</v>
      </c>
      <c r="L1124">
        <v>27</v>
      </c>
      <c r="M1124" s="4" t="s">
        <v>33</v>
      </c>
      <c r="N1124" s="3">
        <f>IFERROR(AF1124/((T1124*X1124/Y1124)*O1124*AI1124),"NA")</f>
        <v>220.85360391328314</v>
      </c>
      <c r="O1124">
        <v>10</v>
      </c>
      <c r="P1124">
        <f>0.047/2</f>
        <v>2.35E-2</v>
      </c>
      <c r="Q1124" s="8">
        <f t="shared" si="570"/>
        <v>2.3318614270936313E-2</v>
      </c>
      <c r="R1124" t="s">
        <v>183</v>
      </c>
      <c r="S1124" t="s">
        <v>613</v>
      </c>
      <c r="T1124" s="11">
        <v>2</v>
      </c>
      <c r="U1124">
        <v>5.6</v>
      </c>
      <c r="V1124">
        <v>4.5</v>
      </c>
      <c r="W1124" t="s">
        <v>33</v>
      </c>
      <c r="X1124" s="9">
        <f t="shared" si="576"/>
        <v>8.9064151729270638E-2</v>
      </c>
      <c r="Y1124" s="6">
        <f>13750/3600</f>
        <v>3.8194444444444446</v>
      </c>
      <c r="Z1124" s="3">
        <f>IFERROR(X1124*N1124*O1124*T1124*AI1124/AF1124, "NA")</f>
        <v>3.8194444444444442</v>
      </c>
      <c r="AA1124" t="s">
        <v>33</v>
      </c>
      <c r="AB1124" s="4">
        <f>IFERROR(((X1124*N1124)/Y1124), "NA")</f>
        <v>5.1499999999999995</v>
      </c>
      <c r="AC1124" s="4">
        <f>IFERROR(N1124*P1124,"NA")</f>
        <v>5.190059691962154</v>
      </c>
      <c r="AD1124" s="4">
        <f>IFERROR(AB1124*T1124*AI1124, "NA")</f>
        <v>10.299999999999999</v>
      </c>
      <c r="AE1124" s="3">
        <f>IFERROR(((L1124^2)*N1124*O1124*AK1124*10^-6*Q1124*T1124*AI1124), "NA")</f>
        <v>172.70010000000002</v>
      </c>
      <c r="AF1124">
        <v>103</v>
      </c>
      <c r="AG1124" s="4">
        <f>IFERROR((N1124*O1124*P1124), "NA")</f>
        <v>51.900596919621535</v>
      </c>
      <c r="AH1124" s="4">
        <f>IFERROR((AG1124*T1124*AI1124), "NA")</f>
        <v>103.80119383924307</v>
      </c>
      <c r="AI1124" s="11">
        <v>1</v>
      </c>
      <c r="AJ1124" t="s">
        <v>31</v>
      </c>
      <c r="AK1124">
        <v>2300</v>
      </c>
      <c r="AL1124" t="s">
        <v>805</v>
      </c>
      <c r="AM1124" t="s">
        <v>515</v>
      </c>
      <c r="AN1124" t="s">
        <v>205</v>
      </c>
      <c r="AO1124" t="s">
        <v>788</v>
      </c>
      <c r="AP1124">
        <v>3.68</v>
      </c>
      <c r="AQ1124" t="s">
        <v>33</v>
      </c>
      <c r="AR1124" t="s">
        <v>33</v>
      </c>
      <c r="AS1124">
        <f>LOG(10^8)</f>
        <v>8</v>
      </c>
      <c r="AT1124" s="3">
        <f>IFERROR(AS1124-AU1124,"NA")</f>
        <v>5.8100000000000005</v>
      </c>
      <c r="AU1124" s="6">
        <v>2.19</v>
      </c>
      <c r="AV1124" t="b">
        <v>1</v>
      </c>
      <c r="AW1124" t="s">
        <v>480</v>
      </c>
      <c r="AX1124" t="s">
        <v>478</v>
      </c>
      <c r="AY1124" t="s">
        <v>481</v>
      </c>
      <c r="AZ1124" t="s">
        <v>33</v>
      </c>
      <c r="BA1124" s="18" t="s">
        <v>579</v>
      </c>
      <c r="BB1124" t="b">
        <v>1</v>
      </c>
      <c r="BC1124" t="s">
        <v>81</v>
      </c>
      <c r="BD1124" t="s">
        <v>33</v>
      </c>
      <c r="BE1124" t="s">
        <v>80</v>
      </c>
      <c r="BF1124" t="s">
        <v>33</v>
      </c>
      <c r="BG1124" t="s">
        <v>395</v>
      </c>
      <c r="BH1124" t="s">
        <v>31</v>
      </c>
      <c r="BI1124" t="s">
        <v>31</v>
      </c>
      <c r="BJ1124" s="3">
        <f t="shared" si="571"/>
        <v>2.19</v>
      </c>
      <c r="BK1124" s="3">
        <f t="shared" si="549"/>
        <v>0.34044411484011833</v>
      </c>
      <c r="BL1124">
        <v>2</v>
      </c>
      <c r="BM1124" s="3">
        <f t="shared" si="577"/>
        <v>1.8968484742006213</v>
      </c>
      <c r="BN1124" t="s">
        <v>33</v>
      </c>
      <c r="BO1124" s="3">
        <f t="shared" si="559"/>
        <v>78.858493150684936</v>
      </c>
      <c r="BP1124" t="s">
        <v>33</v>
      </c>
      <c r="BQ1124" t="s">
        <v>33</v>
      </c>
      <c r="BR1124" t="s">
        <v>33</v>
      </c>
      <c r="BS1124" t="s">
        <v>33</v>
      </c>
      <c r="BT1124" t="s">
        <v>32</v>
      </c>
      <c r="BU1124" t="s">
        <v>484</v>
      </c>
      <c r="BV1124">
        <v>2015</v>
      </c>
      <c r="BW1124" t="s">
        <v>485</v>
      </c>
      <c r="BX1124" t="s">
        <v>78</v>
      </c>
      <c r="BY1124" t="s">
        <v>486</v>
      </c>
      <c r="CA1124" t="str">
        <f t="shared" si="560"/>
        <v>high acid</v>
      </c>
    </row>
    <row r="1125" spans="1:79">
      <c r="A1125" t="s">
        <v>449</v>
      </c>
      <c r="B1125" t="s">
        <v>565</v>
      </c>
      <c r="C1125" t="s">
        <v>563</v>
      </c>
      <c r="D1125" t="s">
        <v>182</v>
      </c>
      <c r="E1125" t="s">
        <v>77</v>
      </c>
      <c r="F1125" t="s">
        <v>32</v>
      </c>
      <c r="G1125">
        <v>18</v>
      </c>
      <c r="H1125">
        <v>47</v>
      </c>
      <c r="I1125" t="b">
        <v>1</v>
      </c>
      <c r="J1125" t="s">
        <v>33</v>
      </c>
      <c r="K1125" t="s">
        <v>33</v>
      </c>
      <c r="L1125">
        <v>27</v>
      </c>
      <c r="M1125" s="4" t="s">
        <v>33</v>
      </c>
      <c r="N1125" s="3">
        <f>IFERROR(AF1125/((T1125*X1125/Y1125)*O1125*AI1125),"NA")</f>
        <v>220.85360391328314</v>
      </c>
      <c r="O1125">
        <v>10</v>
      </c>
      <c r="P1125">
        <f>0.047/2</f>
        <v>2.35E-2</v>
      </c>
      <c r="Q1125" s="8">
        <f t="shared" si="570"/>
        <v>2.3318614270936313E-2</v>
      </c>
      <c r="R1125" t="s">
        <v>183</v>
      </c>
      <c r="S1125" t="s">
        <v>613</v>
      </c>
      <c r="T1125" s="11">
        <v>2</v>
      </c>
      <c r="U1125">
        <v>5.6</v>
      </c>
      <c r="V1125">
        <v>4.5</v>
      </c>
      <c r="W1125" t="s">
        <v>33</v>
      </c>
      <c r="X1125" s="9">
        <f t="shared" si="576"/>
        <v>8.9064151729270638E-2</v>
      </c>
      <c r="Y1125" s="6">
        <f>13750/3600</f>
        <v>3.8194444444444446</v>
      </c>
      <c r="Z1125" s="3">
        <f>IFERROR(X1125*N1125*O1125*T1125*AI1125/AF1125, "NA")</f>
        <v>3.8194444444444442</v>
      </c>
      <c r="AA1125" t="s">
        <v>33</v>
      </c>
      <c r="AB1125" s="4">
        <f>IFERROR(((X1125*N1125)/Y1125), "NA")</f>
        <v>5.1499999999999995</v>
      </c>
      <c r="AC1125" s="4">
        <f>IFERROR(N1125*P1125,"NA")</f>
        <v>5.190059691962154</v>
      </c>
      <c r="AD1125" s="4">
        <f>IFERROR(AB1125*T1125*AI1125, "NA")</f>
        <v>10.299999999999999</v>
      </c>
      <c r="AE1125" s="3">
        <f>IFERROR(((L1125^2)*N1125*O1125*AK1125*10^-6*Q1125*T1125*AI1125), "NA")</f>
        <v>172.70010000000002</v>
      </c>
      <c r="AF1125">
        <v>103</v>
      </c>
      <c r="AG1125" s="4">
        <f>IFERROR((N1125*O1125*P1125), "NA")</f>
        <v>51.900596919621535</v>
      </c>
      <c r="AH1125" s="4">
        <f>IFERROR((AG1125*T1125*AI1125), "NA")</f>
        <v>103.80119383924307</v>
      </c>
      <c r="AI1125" s="11">
        <v>1</v>
      </c>
      <c r="AJ1125" t="s">
        <v>31</v>
      </c>
      <c r="AK1125">
        <v>2300</v>
      </c>
      <c r="AL1125" t="s">
        <v>805</v>
      </c>
      <c r="AM1125" t="s">
        <v>515</v>
      </c>
      <c r="AN1125" t="s">
        <v>205</v>
      </c>
      <c r="AO1125" t="s">
        <v>788</v>
      </c>
      <c r="AP1125">
        <v>3.68</v>
      </c>
      <c r="AQ1125" t="s">
        <v>33</v>
      </c>
      <c r="AR1125" t="s">
        <v>33</v>
      </c>
      <c r="AS1125">
        <f>LOG(10^8)</f>
        <v>8</v>
      </c>
      <c r="AT1125" s="3">
        <f>IFERROR(AS1125-AU1125,"NA")</f>
        <v>5.82</v>
      </c>
      <c r="AU1125" s="6">
        <v>2.1800000000000002</v>
      </c>
      <c r="AV1125" t="b">
        <v>1</v>
      </c>
      <c r="AW1125" t="s">
        <v>123</v>
      </c>
      <c r="AX1125" t="s">
        <v>393</v>
      </c>
      <c r="AY1125" t="s">
        <v>521</v>
      </c>
      <c r="AZ1125" t="s">
        <v>33</v>
      </c>
      <c r="BA1125" s="18" t="s">
        <v>579</v>
      </c>
      <c r="BB1125" t="b">
        <v>1</v>
      </c>
      <c r="BC1125" t="s">
        <v>81</v>
      </c>
      <c r="BD1125" t="s">
        <v>33</v>
      </c>
      <c r="BE1125" t="s">
        <v>80</v>
      </c>
      <c r="BF1125" t="s">
        <v>33</v>
      </c>
      <c r="BG1125" t="s">
        <v>395</v>
      </c>
      <c r="BH1125" t="s">
        <v>31</v>
      </c>
      <c r="BI1125" t="s">
        <v>31</v>
      </c>
      <c r="BJ1125" s="3">
        <f t="shared" si="571"/>
        <v>2.1800000000000002</v>
      </c>
      <c r="BK1125" s="3">
        <f t="shared" si="549"/>
        <v>0.33845649360460484</v>
      </c>
      <c r="BL1125">
        <v>2</v>
      </c>
      <c r="BM1125" s="3">
        <f t="shared" si="577"/>
        <v>1.898836095436135</v>
      </c>
      <c r="BN1125" t="s">
        <v>33</v>
      </c>
      <c r="BO1125" s="3">
        <f t="shared" si="559"/>
        <v>79.220229357798175</v>
      </c>
      <c r="BP1125" t="s">
        <v>33</v>
      </c>
      <c r="BQ1125" t="s">
        <v>33</v>
      </c>
      <c r="BR1125" t="s">
        <v>33</v>
      </c>
      <c r="BS1125" t="s">
        <v>33</v>
      </c>
      <c r="BT1125" t="s">
        <v>32</v>
      </c>
      <c r="BU1125" t="s">
        <v>484</v>
      </c>
      <c r="BV1125">
        <v>2015</v>
      </c>
      <c r="BW1125" t="s">
        <v>485</v>
      </c>
      <c r="BX1125" t="s">
        <v>78</v>
      </c>
      <c r="BY1125" t="s">
        <v>486</v>
      </c>
      <c r="CA1125" t="str">
        <f t="shared" si="560"/>
        <v>high acid</v>
      </c>
    </row>
    <row r="1126" spans="1:79">
      <c r="A1126" s="3" t="s">
        <v>249</v>
      </c>
      <c r="B1126" t="s">
        <v>566</v>
      </c>
      <c r="C1126" t="s">
        <v>563</v>
      </c>
      <c r="D1126" s="3" t="s">
        <v>279</v>
      </c>
      <c r="E1126" s="3" t="s">
        <v>77</v>
      </c>
      <c r="F1126" t="s">
        <v>32</v>
      </c>
      <c r="G1126" s="11">
        <v>20</v>
      </c>
      <c r="H1126" s="11" t="s">
        <v>33</v>
      </c>
      <c r="I1126" s="3" t="b">
        <v>0</v>
      </c>
      <c r="J1126" s="3" t="s">
        <v>33</v>
      </c>
      <c r="K1126" s="3" t="s">
        <v>33</v>
      </c>
      <c r="L1126" s="3">
        <v>20</v>
      </c>
      <c r="M1126" s="4">
        <v>1000</v>
      </c>
      <c r="N1126" s="3">
        <f>IFERROR(AF1125/((T1126*X1126/Y1126)*O1126*AI1126),"NA")</f>
        <v>86.735233536853002</v>
      </c>
      <c r="O1126" s="3">
        <v>40</v>
      </c>
      <c r="P1126" s="3" t="s">
        <v>33</v>
      </c>
      <c r="Q1126" s="3">
        <f t="shared" si="570"/>
        <v>0.12000000000000001</v>
      </c>
      <c r="R1126" t="s">
        <v>183</v>
      </c>
      <c r="S1126" t="s">
        <v>613</v>
      </c>
      <c r="T1126" s="11">
        <v>1</v>
      </c>
      <c r="U1126" s="3">
        <v>2.8</v>
      </c>
      <c r="V1126" s="3">
        <v>3</v>
      </c>
      <c r="W1126" s="3">
        <v>0.02</v>
      </c>
      <c r="X1126" s="3">
        <f t="shared" si="576"/>
        <v>1.97920337176157E-2</v>
      </c>
      <c r="Y1126" s="3">
        <f>40/60</f>
        <v>0.66666666666666663</v>
      </c>
      <c r="Z1126" s="3">
        <f>IFERROR(X1126*M1126*O1126*T1126*AI1126/AF1126, "NA")</f>
        <v>0.16493361431346415</v>
      </c>
      <c r="AA1126" s="3" t="s">
        <v>33</v>
      </c>
      <c r="AB1126" s="3">
        <f>IFERROR(((X1126*M1126)/Z1126), "NA")</f>
        <v>120</v>
      </c>
      <c r="AC1126" s="3" t="str">
        <f>IFERROR(M1126*P1126,"NA")</f>
        <v>NA</v>
      </c>
      <c r="AD1126" s="4">
        <f>AB1126*T1126*AI1126</f>
        <v>120</v>
      </c>
      <c r="AE1126" s="3">
        <f>IFERROR(((L1126^2)*M1126*O1126*AK1126*10^-6*Q1126*T1126*AI1126), "NA")</f>
        <v>960.00000000000011</v>
      </c>
      <c r="AF1126" s="3">
        <v>4800</v>
      </c>
      <c r="AG1126" s="3" t="str">
        <f>IFERROR((M1126*O1126*P1126), "NA")</f>
        <v>NA</v>
      </c>
      <c r="AH1126" s="3" t="str">
        <f>IFERROR((AG1126*T1126*AI1126), "NA")</f>
        <v>NA</v>
      </c>
      <c r="AI1126" s="3">
        <v>1</v>
      </c>
      <c r="AJ1126" t="s">
        <v>31</v>
      </c>
      <c r="AK1126" s="3">
        <v>500</v>
      </c>
      <c r="AL1126" s="3" t="s">
        <v>250</v>
      </c>
      <c r="AM1126" s="3" t="s">
        <v>103</v>
      </c>
      <c r="AN1126" t="s">
        <v>130</v>
      </c>
      <c r="AO1126" t="s">
        <v>795</v>
      </c>
      <c r="AP1126" s="3">
        <f>(6.5+6.8)/2</f>
        <v>6.65</v>
      </c>
      <c r="AQ1126" s="3" t="s">
        <v>33</v>
      </c>
      <c r="AR1126" s="3" t="s">
        <v>33</v>
      </c>
      <c r="AS1126" s="3">
        <f>LOG((10^6+10^7)/2)</f>
        <v>6.7403626894942441</v>
      </c>
      <c r="AT1126" s="3">
        <f>IFERROR(AS1126-AU1126,"NA")</f>
        <v>5.8213626894942436</v>
      </c>
      <c r="AU1126" s="6">
        <v>0.91900000000000004</v>
      </c>
      <c r="AV1126" s="3" t="b">
        <v>1</v>
      </c>
      <c r="AW1126" s="3" t="s">
        <v>172</v>
      </c>
      <c r="AX1126" s="3" t="s">
        <v>173</v>
      </c>
      <c r="AY1126" s="3" t="s">
        <v>251</v>
      </c>
      <c r="AZ1126" s="3" t="s">
        <v>33</v>
      </c>
      <c r="BA1126" s="18" t="s">
        <v>799</v>
      </c>
      <c r="BB1126" s="3" t="b">
        <v>0</v>
      </c>
      <c r="BC1126" t="s">
        <v>81</v>
      </c>
      <c r="BD1126" s="3">
        <v>0.5</v>
      </c>
      <c r="BE1126" s="3" t="s">
        <v>252</v>
      </c>
      <c r="BF1126" s="11">
        <v>72</v>
      </c>
      <c r="BG1126" s="3" t="s">
        <v>253</v>
      </c>
      <c r="BH1126" s="3" t="s">
        <v>32</v>
      </c>
      <c r="BI1126" s="3" t="s">
        <v>31</v>
      </c>
      <c r="BJ1126" s="3">
        <f t="shared" si="571"/>
        <v>0.91900000000000004</v>
      </c>
      <c r="BK1126" s="3">
        <f t="shared" si="549"/>
        <v>-3.6684488613888719E-2</v>
      </c>
      <c r="BL1126" s="3">
        <v>2</v>
      </c>
      <c r="BM1126" s="3">
        <f t="shared" si="577"/>
        <v>3.018955721653457</v>
      </c>
      <c r="BN1126" s="3" t="s">
        <v>33</v>
      </c>
      <c r="BO1126" s="3">
        <f t="shared" si="559"/>
        <v>1044.613710554951</v>
      </c>
      <c r="BP1126" s="3" t="s">
        <v>33</v>
      </c>
      <c r="BQ1126" s="3" t="s">
        <v>33</v>
      </c>
      <c r="BR1126" s="3" t="s">
        <v>33</v>
      </c>
      <c r="BS1126" s="3" t="s">
        <v>33</v>
      </c>
      <c r="BT1126" t="s">
        <v>31</v>
      </c>
      <c r="BU1126" s="3" t="s">
        <v>247</v>
      </c>
      <c r="BV1126" s="11">
        <v>2015</v>
      </c>
      <c r="BW1126" s="12" t="s">
        <v>248</v>
      </c>
      <c r="BX1126" t="s">
        <v>78</v>
      </c>
      <c r="BY1126" s="3" t="s">
        <v>33</v>
      </c>
      <c r="BZ1126" s="3" t="s">
        <v>33</v>
      </c>
      <c r="CA1126" t="str">
        <f t="shared" si="560"/>
        <v>low acid</v>
      </c>
    </row>
    <row r="1127" spans="1:79">
      <c r="A1127" t="s">
        <v>698</v>
      </c>
      <c r="B1127" t="s">
        <v>566</v>
      </c>
      <c r="C1127" t="s">
        <v>563</v>
      </c>
      <c r="D1127" t="s">
        <v>699</v>
      </c>
      <c r="E1127" t="s">
        <v>77</v>
      </c>
      <c r="F1127" t="s">
        <v>32</v>
      </c>
      <c r="G1127">
        <v>20</v>
      </c>
      <c r="H1127">
        <v>41</v>
      </c>
      <c r="I1127" t="b">
        <v>1</v>
      </c>
      <c r="J1127" t="s">
        <v>33</v>
      </c>
      <c r="K1127" t="s">
        <v>33</v>
      </c>
      <c r="L1127">
        <v>20</v>
      </c>
      <c r="M1127" s="4">
        <v>30</v>
      </c>
      <c r="N1127" s="3">
        <f>IFERROR(AF1127/((T1127*X1127/Y1127)*O1127*AI1127),"NA")</f>
        <v>29.861111111111104</v>
      </c>
      <c r="O1127">
        <v>5</v>
      </c>
      <c r="P1127">
        <v>0.43</v>
      </c>
      <c r="Q1127" s="8">
        <f>IFERROR(X1127/Y1127, "NA")</f>
        <v>0.43200000000000011</v>
      </c>
      <c r="R1127" t="s">
        <v>183</v>
      </c>
      <c r="S1127" t="s">
        <v>612</v>
      </c>
      <c r="T1127" s="11">
        <v>1</v>
      </c>
      <c r="U1127">
        <v>4</v>
      </c>
      <c r="V1127" t="s">
        <v>33</v>
      </c>
      <c r="W1127">
        <f>0.4*3*0.5</f>
        <v>0.60000000000000009</v>
      </c>
      <c r="X1127" s="9">
        <f>W1127</f>
        <v>0.60000000000000009</v>
      </c>
      <c r="Y1127" s="6">
        <f>5000/3600</f>
        <v>1.3888888888888888</v>
      </c>
      <c r="Z1127" s="3">
        <f>IFERROR(X1127*M1127*O1127*T1127*AI1127/AF1127, "NA")</f>
        <v>1.3953488372093026</v>
      </c>
      <c r="AA1127" t="s">
        <v>33</v>
      </c>
      <c r="AB1127" s="4">
        <f>IFERROR(((X1127*M1127)/Y1127), "NA")</f>
        <v>12.960000000000003</v>
      </c>
      <c r="AC1127" s="4">
        <f>IFERROR(M1127*P1127,"NA")</f>
        <v>12.9</v>
      </c>
      <c r="AD1127" s="4">
        <f>AB1127*T1127*AI1127</f>
        <v>12.960000000000003</v>
      </c>
      <c r="AE1127" s="3">
        <f>IFERROR(((L1127^2)*M1127*O1127*AK1127*10^-6*Q1127*T1127*AI1127), "NA")</f>
        <v>51.840000000000011</v>
      </c>
      <c r="AF1127">
        <v>64.5</v>
      </c>
      <c r="AG1127" s="4">
        <f>IFERROR((M1127*O1127*P1127), "NA")</f>
        <v>64.5</v>
      </c>
      <c r="AH1127" s="4">
        <f>IFERROR((AG1127*T1127*AI1127), "NA")</f>
        <v>64.5</v>
      </c>
      <c r="AI1127">
        <v>1</v>
      </c>
      <c r="AJ1127" s="11" t="s">
        <v>31</v>
      </c>
      <c r="AK1127">
        <v>2000</v>
      </c>
      <c r="AL1127" t="s">
        <v>784</v>
      </c>
      <c r="AM1127" t="s">
        <v>103</v>
      </c>
      <c r="AN1127" t="s">
        <v>130</v>
      </c>
      <c r="AO1127" t="s">
        <v>795</v>
      </c>
      <c r="AP1127">
        <v>7</v>
      </c>
      <c r="AQ1127" t="s">
        <v>33</v>
      </c>
      <c r="AR1127" t="s">
        <v>33</v>
      </c>
      <c r="AS1127" s="6">
        <f>LOG(AVERAGE(10^8, 10^9))</f>
        <v>8.7403626894942441</v>
      </c>
      <c r="AT1127" s="3">
        <f>IFERROR(AS1127-AU1127,"NA")</f>
        <v>5.8253626894942441</v>
      </c>
      <c r="AU1127" s="6">
        <v>2.915</v>
      </c>
      <c r="AV1127" t="b">
        <v>1</v>
      </c>
      <c r="AW1127" t="s">
        <v>29</v>
      </c>
      <c r="AX1127" t="s">
        <v>30</v>
      </c>
      <c r="AY1127" t="s">
        <v>702</v>
      </c>
      <c r="AZ1127" t="s">
        <v>33</v>
      </c>
      <c r="BA1127" s="18" t="s">
        <v>798</v>
      </c>
      <c r="BB1127" s="3" t="b">
        <v>0</v>
      </c>
      <c r="BC1127" t="s">
        <v>81</v>
      </c>
      <c r="BD1127">
        <v>24</v>
      </c>
      <c r="BE1127" t="s">
        <v>80</v>
      </c>
      <c r="BF1127">
        <v>24</v>
      </c>
      <c r="BG1127" t="s">
        <v>568</v>
      </c>
      <c r="BH1127" t="s">
        <v>31</v>
      </c>
      <c r="BI1127" t="s">
        <v>31</v>
      </c>
      <c r="BJ1127" s="3">
        <f t="shared" si="571"/>
        <v>2.915</v>
      </c>
      <c r="BK1127" s="3">
        <f t="shared" si="549"/>
        <v>0.46463855909503288</v>
      </c>
      <c r="BL1127">
        <v>2</v>
      </c>
      <c r="BM1127" s="3">
        <f t="shared" si="577"/>
        <v>1.2500264337675042</v>
      </c>
      <c r="BN1127" t="s">
        <v>33</v>
      </c>
      <c r="BO1127" s="3">
        <f t="shared" si="559"/>
        <v>17.783876500857637</v>
      </c>
      <c r="BP1127" t="s">
        <v>33</v>
      </c>
      <c r="BQ1127" t="s">
        <v>33</v>
      </c>
      <c r="BR1127" t="s">
        <v>33</v>
      </c>
      <c r="BS1127" t="s">
        <v>33</v>
      </c>
      <c r="BT1127" t="s">
        <v>32</v>
      </c>
      <c r="BU1127" t="s">
        <v>709</v>
      </c>
      <c r="BV1127">
        <v>2024</v>
      </c>
      <c r="BW1127" t="s">
        <v>710</v>
      </c>
      <c r="BX1127" t="s">
        <v>78</v>
      </c>
      <c r="BY1127" t="s">
        <v>711</v>
      </c>
      <c r="CA1127" t="str">
        <f t="shared" si="560"/>
        <v>low acid</v>
      </c>
    </row>
    <row r="1128" spans="1:79">
      <c r="A1128" t="s">
        <v>453</v>
      </c>
      <c r="B1128" t="s">
        <v>565</v>
      </c>
      <c r="C1128" t="s">
        <v>563</v>
      </c>
      <c r="D1128" t="s">
        <v>182</v>
      </c>
      <c r="E1128" t="s">
        <v>77</v>
      </c>
      <c r="F1128" t="s">
        <v>32</v>
      </c>
      <c r="G1128">
        <v>18</v>
      </c>
      <c r="H1128">
        <v>47</v>
      </c>
      <c r="I1128" t="b">
        <v>1</v>
      </c>
      <c r="J1128" t="s">
        <v>33</v>
      </c>
      <c r="K1128" t="s">
        <v>33</v>
      </c>
      <c r="L1128">
        <v>27</v>
      </c>
      <c r="M1128" s="4" t="s">
        <v>33</v>
      </c>
      <c r="N1128" s="3">
        <f>IFERROR(AF1128/((T1128*X1128/Y1128)*O1128*AI1128),"NA")</f>
        <v>220.85360391328314</v>
      </c>
      <c r="O1128">
        <v>10</v>
      </c>
      <c r="P1128">
        <f>0.047/2</f>
        <v>2.35E-2</v>
      </c>
      <c r="Q1128" s="8">
        <f>IFERROR(X1128/Z1128, "NA")</f>
        <v>2.3318614270936313E-2</v>
      </c>
      <c r="R1128" t="s">
        <v>183</v>
      </c>
      <c r="S1128" t="s">
        <v>613</v>
      </c>
      <c r="T1128" s="11">
        <v>2</v>
      </c>
      <c r="U1128">
        <v>5.6</v>
      </c>
      <c r="V1128">
        <v>4.5</v>
      </c>
      <c r="W1128" t="s">
        <v>33</v>
      </c>
      <c r="X1128" s="9">
        <f>IFERROR(((PI())*(((V1128*10^-1)/2)^2)*(U1128*10^-1)), "NA")</f>
        <v>8.9064151729270638E-2</v>
      </c>
      <c r="Y1128" s="6">
        <f>13750/3600</f>
        <v>3.8194444444444446</v>
      </c>
      <c r="Z1128" s="3">
        <f>IFERROR(X1128*N1128*O1128*T1128*AI1128/AF1128, "NA")</f>
        <v>3.8194444444444442</v>
      </c>
      <c r="AA1128" t="s">
        <v>33</v>
      </c>
      <c r="AB1128" s="4">
        <f>IFERROR(((X1128*N1128)/Y1128), "NA")</f>
        <v>5.1499999999999995</v>
      </c>
      <c r="AC1128" s="4">
        <f>IFERROR(N1128*P1128,"NA")</f>
        <v>5.190059691962154</v>
      </c>
      <c r="AD1128" s="4">
        <f>IFERROR(AB1128*T1128*AI1128, "NA")</f>
        <v>10.299999999999999</v>
      </c>
      <c r="AE1128" s="3">
        <f>IFERROR(((L1128^2)*N1128*O1128*AK1128*10^-6*Q1128*T1128*AI1128), "NA")</f>
        <v>172.70010000000002</v>
      </c>
      <c r="AF1128">
        <v>103</v>
      </c>
      <c r="AG1128" s="4">
        <f>IFERROR((N1128*O1128*P1128), "NA")</f>
        <v>51.900596919621535</v>
      </c>
      <c r="AH1128" s="4">
        <f>IFERROR((AG1128*T1128*AI1128), "NA")</f>
        <v>103.80119383924307</v>
      </c>
      <c r="AI1128" s="11">
        <v>1</v>
      </c>
      <c r="AJ1128" t="s">
        <v>31</v>
      </c>
      <c r="AK1128">
        <v>2300</v>
      </c>
      <c r="AL1128" t="s">
        <v>805</v>
      </c>
      <c r="AM1128" t="s">
        <v>515</v>
      </c>
      <c r="AN1128" t="s">
        <v>205</v>
      </c>
      <c r="AO1128" t="s">
        <v>788</v>
      </c>
      <c r="AP1128">
        <v>3.68</v>
      </c>
      <c r="AQ1128" t="s">
        <v>33</v>
      </c>
      <c r="AR1128" t="s">
        <v>33</v>
      </c>
      <c r="AS1128">
        <f>LOG(10^8)</f>
        <v>8</v>
      </c>
      <c r="AT1128" s="3">
        <f>IFERROR(AS1128-AU1128,"NA")</f>
        <v>5.83</v>
      </c>
      <c r="AU1128" s="6">
        <v>2.17</v>
      </c>
      <c r="AV1128" t="b">
        <v>1</v>
      </c>
      <c r="AW1128" t="s">
        <v>123</v>
      </c>
      <c r="AX1128" t="s">
        <v>88</v>
      </c>
      <c r="AY1128" t="s">
        <v>468</v>
      </c>
      <c r="AZ1128" t="s">
        <v>33</v>
      </c>
      <c r="BA1128" s="18" t="s">
        <v>579</v>
      </c>
      <c r="BB1128" t="b">
        <v>1</v>
      </c>
      <c r="BC1128" t="s">
        <v>81</v>
      </c>
      <c r="BD1128" t="s">
        <v>33</v>
      </c>
      <c r="BE1128" t="s">
        <v>80</v>
      </c>
      <c r="BF1128" t="s">
        <v>33</v>
      </c>
      <c r="BG1128" t="s">
        <v>395</v>
      </c>
      <c r="BH1128" t="s">
        <v>31</v>
      </c>
      <c r="BI1128" t="s">
        <v>31</v>
      </c>
      <c r="BJ1128" s="3">
        <f t="shared" si="571"/>
        <v>2.17</v>
      </c>
      <c r="BK1128" s="3">
        <f t="shared" si="549"/>
        <v>0.33645973384852951</v>
      </c>
      <c r="BL1128">
        <v>2</v>
      </c>
      <c r="BM1128" s="3">
        <f t="shared" si="577"/>
        <v>1.9008328551922102</v>
      </c>
      <c r="BN1128" t="s">
        <v>33</v>
      </c>
      <c r="BO1128" s="3">
        <f t="shared" si="559"/>
        <v>79.585299539170521</v>
      </c>
      <c r="BP1128" t="s">
        <v>33</v>
      </c>
      <c r="BQ1128" t="s">
        <v>33</v>
      </c>
      <c r="BR1128" t="s">
        <v>33</v>
      </c>
      <c r="BS1128" t="s">
        <v>33</v>
      </c>
      <c r="BT1128" t="s">
        <v>32</v>
      </c>
      <c r="BU1128" t="s">
        <v>484</v>
      </c>
      <c r="BV1128">
        <v>2015</v>
      </c>
      <c r="BW1128" t="s">
        <v>485</v>
      </c>
      <c r="BX1128" t="s">
        <v>78</v>
      </c>
      <c r="BY1128" t="s">
        <v>486</v>
      </c>
      <c r="CA1128" t="str">
        <f t="shared" si="560"/>
        <v>high acid</v>
      </c>
    </row>
    <row r="1129" spans="1:79">
      <c r="A1129" t="s">
        <v>594</v>
      </c>
      <c r="B1129" t="s">
        <v>566</v>
      </c>
      <c r="C1129" t="s">
        <v>563</v>
      </c>
      <c r="D1129" t="s">
        <v>33</v>
      </c>
      <c r="E1129" t="s">
        <v>77</v>
      </c>
      <c r="F1129" t="s">
        <v>32</v>
      </c>
      <c r="G1129" t="s">
        <v>33</v>
      </c>
      <c r="H1129">
        <v>30</v>
      </c>
      <c r="I1129" t="b">
        <v>1</v>
      </c>
      <c r="J1129" t="s">
        <v>33</v>
      </c>
      <c r="K1129" t="s">
        <v>33</v>
      </c>
      <c r="L1129">
        <v>30</v>
      </c>
      <c r="M1129" s="4">
        <v>2</v>
      </c>
      <c r="N1129" t="e">
        <f>(#REF!*Y1129)/(T1129*X1129*O1129)</f>
        <v>#REF!</v>
      </c>
      <c r="O1129">
        <v>2</v>
      </c>
      <c r="P1129" t="s">
        <v>33</v>
      </c>
      <c r="Q1129" s="1">
        <f>IFERROR(X1129/Z1129, "NA")</f>
        <v>7.1</v>
      </c>
      <c r="R1129" t="s">
        <v>183</v>
      </c>
      <c r="S1129" t="s">
        <v>613</v>
      </c>
      <c r="T1129">
        <v>1</v>
      </c>
      <c r="U1129">
        <v>5</v>
      </c>
      <c r="V1129" t="s">
        <v>33</v>
      </c>
      <c r="W1129">
        <v>0.71</v>
      </c>
      <c r="X1129">
        <f>W1129</f>
        <v>0.71</v>
      </c>
      <c r="Y1129">
        <v>0.1</v>
      </c>
      <c r="Z1129" s="3">
        <f>Y1129</f>
        <v>0.1</v>
      </c>
      <c r="AA1129" s="3">
        <v>14.8409893992932</v>
      </c>
      <c r="AB1129">
        <f>IFERROR(((X1129*M1129)/Y1129), "NA")</f>
        <v>14.2</v>
      </c>
      <c r="AC1129" s="1" t="str">
        <f t="shared" ref="AC1129:AC1136" si="578">IFERROR(M1129*P1129,"NA")</f>
        <v>NA</v>
      </c>
      <c r="AE1129" s="3">
        <f t="shared" ref="AE1129:AE1136" si="579">IFERROR(((L1129^2)*M1129*O1129*AK1129*10^-6*Q1129*T1129*AI1129), "NA")</f>
        <v>196.81199999999998</v>
      </c>
      <c r="AF1129" t="s">
        <v>33</v>
      </c>
      <c r="AG1129" s="1">
        <f>IFERROR((M1129*O1129*Q1129), "NA")</f>
        <v>28.4</v>
      </c>
      <c r="AH1129" s="1">
        <f>IFERROR((AG1129*U1129*AI1129), "NA")</f>
        <v>142</v>
      </c>
      <c r="AI1129" s="1">
        <v>1</v>
      </c>
      <c r="AJ1129" s="11" t="s">
        <v>31</v>
      </c>
      <c r="AK1129">
        <f>7700</f>
        <v>7700</v>
      </c>
      <c r="AL1129" t="s">
        <v>561</v>
      </c>
      <c r="AM1129" s="3" t="s">
        <v>786</v>
      </c>
      <c r="AN1129" t="s">
        <v>186</v>
      </c>
      <c r="AO1129" t="s">
        <v>793</v>
      </c>
      <c r="AP1129" t="s">
        <v>33</v>
      </c>
      <c r="AQ1129" t="s">
        <v>33</v>
      </c>
      <c r="AR1129" t="s">
        <v>33</v>
      </c>
      <c r="AS1129">
        <v>8</v>
      </c>
      <c r="AT1129">
        <f>AS1129-AU1129</f>
        <v>5.83</v>
      </c>
      <c r="AU1129" s="6">
        <v>2.17</v>
      </c>
      <c r="AV1129" t="b">
        <v>1</v>
      </c>
      <c r="AW1129" t="s">
        <v>617</v>
      </c>
      <c r="AX1129" t="s">
        <v>624</v>
      </c>
      <c r="AY1129" t="s">
        <v>622</v>
      </c>
      <c r="AZ1129" t="s">
        <v>33</v>
      </c>
      <c r="BA1129" s="18" t="s">
        <v>802</v>
      </c>
      <c r="BB1129" s="3" t="b">
        <v>0</v>
      </c>
      <c r="BC1129" t="s">
        <v>81</v>
      </c>
      <c r="BD1129">
        <v>18</v>
      </c>
      <c r="BE1129" t="s">
        <v>80</v>
      </c>
      <c r="BF1129">
        <v>24</v>
      </c>
      <c r="BG1129" t="s">
        <v>696</v>
      </c>
      <c r="BH1129" t="s">
        <v>32</v>
      </c>
      <c r="BI1129" t="s">
        <v>31</v>
      </c>
      <c r="BJ1129">
        <f t="shared" si="571"/>
        <v>2.17</v>
      </c>
      <c r="BK1129" s="3">
        <f t="shared" si="549"/>
        <v>0.33645973384852951</v>
      </c>
      <c r="BL1129">
        <v>2</v>
      </c>
      <c r="BM1129" s="3">
        <f t="shared" si="577"/>
        <v>1.9575918408103148</v>
      </c>
      <c r="BN1129" t="s">
        <v>33</v>
      </c>
      <c r="BO1129" s="3">
        <f t="shared" si="559"/>
        <v>90.696774193548379</v>
      </c>
      <c r="BP1129" t="s">
        <v>33</v>
      </c>
      <c r="BQ1129" t="s">
        <v>33</v>
      </c>
      <c r="BR1129" t="s">
        <v>33</v>
      </c>
      <c r="BS1129" t="s">
        <v>33</v>
      </c>
      <c r="BT1129" t="s">
        <v>31</v>
      </c>
      <c r="BU1129" t="s">
        <v>338</v>
      </c>
      <c r="BV1129">
        <v>2006</v>
      </c>
      <c r="BW1129" t="s">
        <v>339</v>
      </c>
      <c r="BX1129" t="s">
        <v>78</v>
      </c>
      <c r="BY1129" s="13" t="s">
        <v>682</v>
      </c>
      <c r="CA1129" t="str">
        <f t="shared" si="560"/>
        <v>low acid</v>
      </c>
    </row>
    <row r="1130" spans="1:79">
      <c r="A1130" t="s">
        <v>698</v>
      </c>
      <c r="B1130" t="s">
        <v>566</v>
      </c>
      <c r="C1130" t="s">
        <v>563</v>
      </c>
      <c r="D1130" t="s">
        <v>699</v>
      </c>
      <c r="E1130" t="s">
        <v>77</v>
      </c>
      <c r="F1130" t="s">
        <v>32</v>
      </c>
      <c r="G1130">
        <v>20</v>
      </c>
      <c r="H1130">
        <v>41</v>
      </c>
      <c r="I1130" t="b">
        <v>1</v>
      </c>
      <c r="J1130" t="s">
        <v>33</v>
      </c>
      <c r="K1130" t="s">
        <v>33</v>
      </c>
      <c r="L1130">
        <v>20</v>
      </c>
      <c r="M1130" s="4">
        <v>30</v>
      </c>
      <c r="N1130" s="3">
        <f>IFERROR(AF1130/((T1130*X1130/Y1130)*O1130*AI1130),"NA")</f>
        <v>29.861111111111104</v>
      </c>
      <c r="O1130">
        <v>5</v>
      </c>
      <c r="P1130">
        <v>0.43</v>
      </c>
      <c r="Q1130" s="8">
        <f>IFERROR(X1130/Y1130, "NA")</f>
        <v>0.43200000000000011</v>
      </c>
      <c r="R1130" t="s">
        <v>183</v>
      </c>
      <c r="S1130" t="s">
        <v>612</v>
      </c>
      <c r="T1130" s="11">
        <v>1</v>
      </c>
      <c r="U1130">
        <v>4</v>
      </c>
      <c r="V1130" t="s">
        <v>33</v>
      </c>
      <c r="W1130">
        <f>0.4*3*0.5</f>
        <v>0.60000000000000009</v>
      </c>
      <c r="X1130" s="9">
        <f>W1130</f>
        <v>0.60000000000000009</v>
      </c>
      <c r="Y1130" s="6">
        <f>5000/3600</f>
        <v>1.3888888888888888</v>
      </c>
      <c r="Z1130" s="3">
        <f t="shared" ref="Z1130:Z1135" si="580">IFERROR(X1130*M1130*O1130*T1130*AI1130/AF1130, "NA")</f>
        <v>1.3953488372093026</v>
      </c>
      <c r="AA1130" t="s">
        <v>33</v>
      </c>
      <c r="AB1130" s="4">
        <f>IFERROR(((X1130*M1130)/Y1130), "NA")</f>
        <v>12.960000000000003</v>
      </c>
      <c r="AC1130" s="4">
        <f t="shared" si="578"/>
        <v>12.9</v>
      </c>
      <c r="AD1130" s="4">
        <f>AB1130*T1130*AI1130</f>
        <v>12.960000000000003</v>
      </c>
      <c r="AE1130" s="3">
        <f t="shared" si="579"/>
        <v>51.840000000000011</v>
      </c>
      <c r="AF1130">
        <v>64.5</v>
      </c>
      <c r="AG1130" s="4">
        <f>IFERROR((M1130*O1130*P1130), "NA")</f>
        <v>64.5</v>
      </c>
      <c r="AH1130" s="4">
        <f>IFERROR((AG1130*T1130*AI1130), "NA")</f>
        <v>64.5</v>
      </c>
      <c r="AI1130">
        <v>1</v>
      </c>
      <c r="AJ1130" s="11" t="s">
        <v>31</v>
      </c>
      <c r="AK1130">
        <v>2000</v>
      </c>
      <c r="AL1130" t="s">
        <v>784</v>
      </c>
      <c r="AM1130" t="s">
        <v>103</v>
      </c>
      <c r="AN1130" t="s">
        <v>130</v>
      </c>
      <c r="AO1130" t="s">
        <v>795</v>
      </c>
      <c r="AP1130">
        <v>7</v>
      </c>
      <c r="AQ1130" t="s">
        <v>33</v>
      </c>
      <c r="AR1130" t="s">
        <v>33</v>
      </c>
      <c r="AS1130" s="6">
        <f>LOG(AVERAGE(10^8, 10^9))</f>
        <v>8.7403626894942441</v>
      </c>
      <c r="AT1130" s="3">
        <f>IFERROR(AS1130-AU1130,"NA")</f>
        <v>5.8363626894942442</v>
      </c>
      <c r="AU1130" s="6">
        <v>2.9039999999999999</v>
      </c>
      <c r="AV1130" t="b">
        <v>1</v>
      </c>
      <c r="AW1130" t="s">
        <v>29</v>
      </c>
      <c r="AX1130" t="s">
        <v>30</v>
      </c>
      <c r="AY1130" t="s">
        <v>707</v>
      </c>
      <c r="AZ1130" t="s">
        <v>33</v>
      </c>
      <c r="BA1130" s="18" t="s">
        <v>798</v>
      </c>
      <c r="BB1130" s="3" t="b">
        <v>0</v>
      </c>
      <c r="BC1130" t="s">
        <v>81</v>
      </c>
      <c r="BD1130">
        <v>24</v>
      </c>
      <c r="BE1130" t="s">
        <v>80</v>
      </c>
      <c r="BF1130">
        <v>24</v>
      </c>
      <c r="BG1130" t="s">
        <v>568</v>
      </c>
      <c r="BH1130" t="s">
        <v>31</v>
      </c>
      <c r="BI1130" t="s">
        <v>31</v>
      </c>
      <c r="BJ1130" s="3">
        <f t="shared" si="571"/>
        <v>2.9039999999999999</v>
      </c>
      <c r="BK1130" s="3">
        <f t="shared" si="549"/>
        <v>0.46299661202805609</v>
      </c>
      <c r="BL1130">
        <v>2</v>
      </c>
      <c r="BM1130" s="3">
        <f t="shared" si="577"/>
        <v>1.2516683808344808</v>
      </c>
      <c r="BN1130" t="s">
        <v>33</v>
      </c>
      <c r="BO1130" s="3">
        <f t="shared" si="559"/>
        <v>17.851239669421492</v>
      </c>
      <c r="BP1130" t="s">
        <v>33</v>
      </c>
      <c r="BQ1130" t="s">
        <v>33</v>
      </c>
      <c r="BR1130" t="s">
        <v>33</v>
      </c>
      <c r="BS1130" t="s">
        <v>33</v>
      </c>
      <c r="BT1130" t="s">
        <v>32</v>
      </c>
      <c r="BU1130" t="s">
        <v>709</v>
      </c>
      <c r="BV1130">
        <v>2024</v>
      </c>
      <c r="BW1130" t="s">
        <v>710</v>
      </c>
      <c r="BX1130" t="s">
        <v>78</v>
      </c>
      <c r="BY1130" t="s">
        <v>711</v>
      </c>
      <c r="CA1130" t="str">
        <f t="shared" si="560"/>
        <v>low acid</v>
      </c>
    </row>
    <row r="1131" spans="1:79">
      <c r="A1131" t="s">
        <v>592</v>
      </c>
      <c r="B1131" t="s">
        <v>566</v>
      </c>
      <c r="C1131" t="s">
        <v>563</v>
      </c>
      <c r="D1131" t="s">
        <v>607</v>
      </c>
      <c r="E1131" t="s">
        <v>77</v>
      </c>
      <c r="F1131" t="s">
        <v>32</v>
      </c>
      <c r="G1131" t="s">
        <v>33</v>
      </c>
      <c r="H1131">
        <v>35</v>
      </c>
      <c r="I1131" t="b">
        <v>0</v>
      </c>
      <c r="J1131">
        <v>30000</v>
      </c>
      <c r="K1131">
        <v>200</v>
      </c>
      <c r="L1131">
        <v>25</v>
      </c>
      <c r="M1131" s="4">
        <v>1</v>
      </c>
      <c r="N1131" t="e">
        <f>(#REF!*Y1131)/(T1131*X1131*O1131)</f>
        <v>#REF!</v>
      </c>
      <c r="O1131">
        <v>3</v>
      </c>
      <c r="P1131" t="s">
        <v>33</v>
      </c>
      <c r="Q1131" s="1">
        <f>IFERROR(X1131/Z1131, "NA")</f>
        <v>10.6</v>
      </c>
      <c r="R1131" t="s">
        <v>183</v>
      </c>
      <c r="S1131" t="s">
        <v>33</v>
      </c>
      <c r="T1131">
        <v>1</v>
      </c>
      <c r="U1131">
        <v>2.5</v>
      </c>
      <c r="V1131" t="s">
        <v>33</v>
      </c>
      <c r="W1131">
        <v>0.50249999999999995</v>
      </c>
      <c r="X1131">
        <f>W1131</f>
        <v>0.50249999999999995</v>
      </c>
      <c r="Y1131" t="s">
        <v>33</v>
      </c>
      <c r="Z1131" s="3">
        <f t="shared" si="580"/>
        <v>4.7405660377358487E-2</v>
      </c>
      <c r="AA1131" t="s">
        <v>33</v>
      </c>
      <c r="AB1131">
        <f>IFERROR(((X1131*M1131)/Z1131), "NA")</f>
        <v>10.6</v>
      </c>
      <c r="AC1131" s="1" t="str">
        <f t="shared" si="578"/>
        <v>NA</v>
      </c>
      <c r="AE1131" s="3">
        <f t="shared" si="579"/>
        <v>19.875</v>
      </c>
      <c r="AF1131">
        <v>31.8</v>
      </c>
      <c r="AG1131" s="1" t="str">
        <f>IFERROR((N1131*P1131*Q1131), "NA")</f>
        <v>NA</v>
      </c>
      <c r="AH1131" s="1" t="str">
        <f>IFERROR((AG1131*U1131*AI1131), "NA")</f>
        <v>NA</v>
      </c>
      <c r="AI1131" s="1">
        <v>1</v>
      </c>
      <c r="AJ1131" s="11" t="s">
        <v>31</v>
      </c>
      <c r="AK1131">
        <v>1000</v>
      </c>
      <c r="AL1131" t="s">
        <v>614</v>
      </c>
      <c r="AM1131" s="3" t="s">
        <v>103</v>
      </c>
      <c r="AN1131" t="s">
        <v>305</v>
      </c>
      <c r="AO1131" t="s">
        <v>790</v>
      </c>
      <c r="AP1131">
        <v>3.5</v>
      </c>
      <c r="AQ1131" t="s">
        <v>33</v>
      </c>
      <c r="AR1131" t="s">
        <v>33</v>
      </c>
      <c r="AS1131">
        <v>8</v>
      </c>
      <c r="AT1131">
        <f>AS1131-AU1131</f>
        <v>5.84</v>
      </c>
      <c r="AU1131" s="6">
        <v>2.16</v>
      </c>
      <c r="AV1131" t="b">
        <v>1</v>
      </c>
      <c r="AW1131" t="s">
        <v>626</v>
      </c>
      <c r="AX1131" t="s">
        <v>627</v>
      </c>
      <c r="AY1131" t="s">
        <v>633</v>
      </c>
      <c r="AZ1131" t="s">
        <v>33</v>
      </c>
      <c r="BA1131" s="18" t="s">
        <v>800</v>
      </c>
      <c r="BB1131" s="3" t="b">
        <v>0</v>
      </c>
      <c r="BC1131" t="s">
        <v>81</v>
      </c>
      <c r="BD1131">
        <v>24</v>
      </c>
      <c r="BE1131" t="s">
        <v>80</v>
      </c>
      <c r="BF1131">
        <v>48</v>
      </c>
      <c r="BG1131" t="s">
        <v>569</v>
      </c>
      <c r="BH1131" t="s">
        <v>31</v>
      </c>
      <c r="BI1131" t="s">
        <v>31</v>
      </c>
      <c r="BJ1131">
        <f t="shared" si="571"/>
        <v>2.16</v>
      </c>
      <c r="BK1131" s="3">
        <f t="shared" si="549"/>
        <v>0.3344537511509309</v>
      </c>
      <c r="BL1131">
        <v>2</v>
      </c>
      <c r="BM1131" s="3">
        <f t="shared" si="577"/>
        <v>0.96385338617757699</v>
      </c>
      <c r="BN1131" t="s">
        <v>33</v>
      </c>
      <c r="BO1131" s="3">
        <f t="shared" si="559"/>
        <v>9.2013888888888875</v>
      </c>
      <c r="BP1131" t="s">
        <v>33</v>
      </c>
      <c r="BQ1131" t="s">
        <v>33</v>
      </c>
      <c r="BR1131" t="s">
        <v>33</v>
      </c>
      <c r="BS1131" t="s">
        <v>33</v>
      </c>
      <c r="BT1131" t="s">
        <v>31</v>
      </c>
      <c r="BU1131" s="15" t="s">
        <v>255</v>
      </c>
      <c r="BV1131">
        <v>2010</v>
      </c>
      <c r="BW1131" t="s">
        <v>659</v>
      </c>
      <c r="BX1131" t="s">
        <v>78</v>
      </c>
      <c r="BY1131" s="13" t="s">
        <v>680</v>
      </c>
      <c r="CA1131" t="str">
        <f t="shared" si="560"/>
        <v>high acid</v>
      </c>
    </row>
    <row r="1132" spans="1:79">
      <c r="A1132" t="s">
        <v>260</v>
      </c>
      <c r="B1132" t="s">
        <v>565</v>
      </c>
      <c r="C1132" t="s">
        <v>563</v>
      </c>
      <c r="D1132" t="s">
        <v>118</v>
      </c>
      <c r="E1132" t="s">
        <v>77</v>
      </c>
      <c r="F1132" t="s">
        <v>32</v>
      </c>
      <c r="G1132">
        <v>5</v>
      </c>
      <c r="H1132">
        <v>40</v>
      </c>
      <c r="I1132" t="b">
        <v>0</v>
      </c>
      <c r="J1132" t="s">
        <v>33</v>
      </c>
      <c r="K1132" t="s">
        <v>33</v>
      </c>
      <c r="L1132">
        <v>35</v>
      </c>
      <c r="M1132" s="4">
        <v>100</v>
      </c>
      <c r="N1132" s="3">
        <f>IFERROR(AF1132/((T1132*X1132/Y1132)*O1132*AI1132),"NA")</f>
        <v>2361.2015298892129</v>
      </c>
      <c r="O1132">
        <v>4</v>
      </c>
      <c r="P1132" t="s">
        <v>33</v>
      </c>
      <c r="Q1132">
        <f>IFERROR(X1132/Z1132, "NA")</f>
        <v>0.15625</v>
      </c>
      <c r="R1132" t="s">
        <v>183</v>
      </c>
      <c r="S1132" t="s">
        <v>613</v>
      </c>
      <c r="T1132" s="11">
        <v>8</v>
      </c>
      <c r="U1132">
        <v>2.92</v>
      </c>
      <c r="V1132">
        <v>2.2999999999999998</v>
      </c>
      <c r="W1132">
        <v>1.21E-2</v>
      </c>
      <c r="X1132" s="8">
        <f>IFERROR(((PI())*(((V1132*10^-1)/2)^2)*(U1132*10^-1)), "NA")</f>
        <v>1.2131888350367701E-2</v>
      </c>
      <c r="Y1132" s="6">
        <f>110/60</f>
        <v>1.8333333333333333</v>
      </c>
      <c r="Z1132" s="3">
        <f t="shared" si="580"/>
        <v>7.7644085442353281E-2</v>
      </c>
      <c r="AA1132" t="s">
        <v>33</v>
      </c>
      <c r="AB1132" s="6">
        <f>IFERROR(((X1132*M1132)/Z1132), "NA")</f>
        <v>15.625000000000002</v>
      </c>
      <c r="AC1132" t="str">
        <f t="shared" si="578"/>
        <v>NA</v>
      </c>
      <c r="AD1132" s="4">
        <f>AB1132*T1132*AI1132</f>
        <v>125.00000000000001</v>
      </c>
      <c r="AE1132" s="3">
        <f t="shared" si="579"/>
        <v>3307.5</v>
      </c>
      <c r="AF1132">
        <v>500</v>
      </c>
      <c r="AG1132" t="str">
        <f>IFERROR((M1132*O1132*P1132), "NA")</f>
        <v>NA</v>
      </c>
      <c r="AH1132" t="str">
        <f>IFERROR((AG1132*T1132*AI1132), "NA")</f>
        <v>NA</v>
      </c>
      <c r="AI1132">
        <v>1</v>
      </c>
      <c r="AJ1132" t="s">
        <v>31</v>
      </c>
      <c r="AK1132">
        <v>5400</v>
      </c>
      <c r="AL1132" t="s">
        <v>238</v>
      </c>
      <c r="AM1132" t="s">
        <v>86</v>
      </c>
      <c r="AN1132" t="s">
        <v>205</v>
      </c>
      <c r="AO1132" t="s">
        <v>789</v>
      </c>
      <c r="AP1132">
        <v>3.44</v>
      </c>
      <c r="AQ1132" t="s">
        <v>33</v>
      </c>
      <c r="AR1132" t="s">
        <v>33</v>
      </c>
      <c r="AS1132" s="6">
        <f>LOG((10^7+10^8)/2)</f>
        <v>7.7403626894942441</v>
      </c>
      <c r="AT1132" s="3">
        <f>IFERROR(AS1132-AU1132,"NA")</f>
        <v>5.8453626894942445</v>
      </c>
      <c r="AU1132" s="6">
        <v>1.895</v>
      </c>
      <c r="AV1132" t="b">
        <v>1</v>
      </c>
      <c r="AW1132" t="s">
        <v>29</v>
      </c>
      <c r="AX1132" t="s">
        <v>30</v>
      </c>
      <c r="AY1132" t="s">
        <v>33</v>
      </c>
      <c r="AZ1132" t="s">
        <v>134</v>
      </c>
      <c r="BA1132" s="18" t="s">
        <v>798</v>
      </c>
      <c r="BB1132" t="b">
        <v>0</v>
      </c>
      <c r="BC1132" t="s">
        <v>81</v>
      </c>
      <c r="BD1132">
        <v>15</v>
      </c>
      <c r="BE1132" t="s">
        <v>80</v>
      </c>
      <c r="BF1132" s="11">
        <v>24</v>
      </c>
      <c r="BG1132" t="s">
        <v>262</v>
      </c>
      <c r="BH1132" t="s">
        <v>31</v>
      </c>
      <c r="BI1132" t="s">
        <v>31</v>
      </c>
      <c r="BJ1132" s="3">
        <f t="shared" si="571"/>
        <v>1.895</v>
      </c>
      <c r="BK1132" s="3">
        <f t="shared" ref="BK1132:BK1195" si="581">LOG10(BJ1132)</f>
        <v>0.27760921430409113</v>
      </c>
      <c r="BL1132">
        <v>2</v>
      </c>
      <c r="BM1132" s="3">
        <f t="shared" si="577"/>
        <v>3.2418906385554473</v>
      </c>
      <c r="BN1132" t="s">
        <v>33</v>
      </c>
      <c r="BO1132" s="3">
        <f t="shared" si="559"/>
        <v>1745.3825857519789</v>
      </c>
      <c r="BP1132" t="s">
        <v>33</v>
      </c>
      <c r="BQ1132" t="s">
        <v>33</v>
      </c>
      <c r="BR1132" t="s">
        <v>33</v>
      </c>
      <c r="BS1132" t="s">
        <v>33</v>
      </c>
      <c r="BT1132" t="s">
        <v>31</v>
      </c>
      <c r="BU1132" t="s">
        <v>219</v>
      </c>
      <c r="BV1132">
        <v>2008</v>
      </c>
      <c r="BW1132" s="2" t="s">
        <v>257</v>
      </c>
      <c r="BX1132" t="s">
        <v>78</v>
      </c>
      <c r="BY1132" t="s">
        <v>33</v>
      </c>
      <c r="BZ1132" t="s">
        <v>33</v>
      </c>
      <c r="CA1132" t="str">
        <f t="shared" si="560"/>
        <v>high acid</v>
      </c>
    </row>
    <row r="1133" spans="1:79">
      <c r="A1133" t="s">
        <v>533</v>
      </c>
      <c r="B1133" t="s">
        <v>565</v>
      </c>
      <c r="C1133" t="s">
        <v>564</v>
      </c>
      <c r="D1133" t="s">
        <v>209</v>
      </c>
      <c r="E1133" t="s">
        <v>77</v>
      </c>
      <c r="F1133" t="s">
        <v>32</v>
      </c>
      <c r="G1133">
        <v>30</v>
      </c>
      <c r="H1133">
        <v>38.200000000000003</v>
      </c>
      <c r="I1133" t="b">
        <v>0</v>
      </c>
      <c r="J1133" t="s">
        <v>33</v>
      </c>
      <c r="K1133" t="s">
        <v>33</v>
      </c>
      <c r="L1133">
        <v>12</v>
      </c>
      <c r="M1133" s="4">
        <v>120</v>
      </c>
      <c r="N1133" s="3">
        <f>IFERROR(AF1133/((T1133*X1133/Y1133)*O1133*AI1133),"NA")</f>
        <v>59.643864275069241</v>
      </c>
      <c r="O1133">
        <v>3</v>
      </c>
      <c r="P1133" t="s">
        <v>33</v>
      </c>
      <c r="Q1133">
        <f>IFERROR(X1133/Z1133, "NA")</f>
        <v>6.25E-2</v>
      </c>
      <c r="R1133" t="s">
        <v>183</v>
      </c>
      <c r="S1133" t="s">
        <v>612</v>
      </c>
      <c r="T1133" s="11">
        <v>4</v>
      </c>
      <c r="U1133">
        <v>3</v>
      </c>
      <c r="V1133">
        <v>2.6</v>
      </c>
      <c r="W1133" t="s">
        <v>33</v>
      </c>
      <c r="X1133" s="8">
        <f>IFERROR(((PI())*(((V1133*10^-1)/2)^2)*(U1133*10^-1)), "NA")</f>
        <v>1.5927874753700257E-2</v>
      </c>
      <c r="Y1133" s="6">
        <f>7.6/60</f>
        <v>0.12666666666666665</v>
      </c>
      <c r="Z1133" s="3">
        <f t="shared" si="580"/>
        <v>0.25484599605920411</v>
      </c>
      <c r="AA1133" t="s">
        <v>33</v>
      </c>
      <c r="AB1133" s="6">
        <f>IFERROR(((X1133*M1133)/Z1133), "NA")</f>
        <v>7.5</v>
      </c>
      <c r="AC1133" t="str">
        <f t="shared" si="578"/>
        <v>NA</v>
      </c>
      <c r="AD1133" s="4">
        <f>IFERROR(AB1133*T1133*AI1133, "NA")</f>
        <v>30</v>
      </c>
      <c r="AE1133" s="3">
        <f t="shared" si="579"/>
        <v>12.700799999999999</v>
      </c>
      <c r="AF1133">
        <v>90</v>
      </c>
      <c r="AG1133" t="str">
        <f>IFERROR((M1133*O1133*P1133), "NA")</f>
        <v>NA</v>
      </c>
      <c r="AH1133" t="str">
        <f>IFERROR((AG1133*T1133*AI1133), "NA")</f>
        <v>NA</v>
      </c>
      <c r="AI1133" s="11">
        <v>1</v>
      </c>
      <c r="AJ1133" t="s">
        <v>31</v>
      </c>
      <c r="AK1133">
        <v>980</v>
      </c>
      <c r="AL1133" t="s">
        <v>551</v>
      </c>
      <c r="AM1133" t="s">
        <v>86</v>
      </c>
      <c r="AN1133" t="s">
        <v>186</v>
      </c>
      <c r="AO1133" t="s">
        <v>794</v>
      </c>
      <c r="AP1133">
        <v>5.98</v>
      </c>
      <c r="AQ1133" t="s">
        <v>33</v>
      </c>
      <c r="AR1133" t="s">
        <v>33</v>
      </c>
      <c r="AS1133" s="6">
        <v>6.5</v>
      </c>
      <c r="AT1133" s="3">
        <f>IFERROR(AS1133-AU1133,"NA")</f>
        <v>5.8469999999999995</v>
      </c>
      <c r="AU1133" s="6">
        <v>0.65300000000000002</v>
      </c>
      <c r="AV1133" t="b">
        <v>1</v>
      </c>
      <c r="AW1133" t="s">
        <v>29</v>
      </c>
      <c r="AX1133" t="s">
        <v>30</v>
      </c>
      <c r="AY1133" t="s">
        <v>211</v>
      </c>
      <c r="AZ1133" t="s">
        <v>33</v>
      </c>
      <c r="BA1133" s="18" t="s">
        <v>798</v>
      </c>
      <c r="BB1133" t="b">
        <v>0</v>
      </c>
      <c r="BC1133" t="s">
        <v>81</v>
      </c>
      <c r="BD1133">
        <v>20</v>
      </c>
      <c r="BE1133" t="s">
        <v>80</v>
      </c>
      <c r="BF1133" s="11">
        <v>20</v>
      </c>
      <c r="BG1133" t="s">
        <v>570</v>
      </c>
      <c r="BH1133" t="s">
        <v>31</v>
      </c>
      <c r="BI1133" t="s">
        <v>31</v>
      </c>
      <c r="BJ1133" s="3">
        <f t="shared" si="571"/>
        <v>0.65300000000000002</v>
      </c>
      <c r="BK1133" s="3">
        <f t="shared" si="581"/>
        <v>-0.18508681872492605</v>
      </c>
      <c r="BL1133">
        <v>2</v>
      </c>
      <c r="BM1133" s="3">
        <f t="shared" si="577"/>
        <v>1.2889178959519954</v>
      </c>
      <c r="BN1133" t="s">
        <v>33</v>
      </c>
      <c r="BO1133" s="3">
        <f t="shared" si="559"/>
        <v>19.44992343032159</v>
      </c>
      <c r="BP1133" t="s">
        <v>33</v>
      </c>
      <c r="BQ1133" t="s">
        <v>33</v>
      </c>
      <c r="BR1133" t="s">
        <v>33</v>
      </c>
      <c r="BS1133" t="s">
        <v>33</v>
      </c>
      <c r="BT1133" t="s">
        <v>32</v>
      </c>
      <c r="BU1133" t="s">
        <v>207</v>
      </c>
      <c r="BV1133">
        <v>2014</v>
      </c>
      <c r="BW1133" t="s">
        <v>208</v>
      </c>
      <c r="BX1133" t="s">
        <v>78</v>
      </c>
      <c r="BY1133" t="s">
        <v>33</v>
      </c>
      <c r="BZ1133" t="s">
        <v>33</v>
      </c>
      <c r="CA1133" t="str">
        <f t="shared" si="560"/>
        <v>low acid</v>
      </c>
    </row>
    <row r="1134" spans="1:79">
      <c r="A1134" t="s">
        <v>600</v>
      </c>
      <c r="B1134" t="s">
        <v>566</v>
      </c>
      <c r="C1134" t="s">
        <v>563</v>
      </c>
      <c r="D1134" t="s">
        <v>33</v>
      </c>
      <c r="E1134" t="s">
        <v>77</v>
      </c>
      <c r="F1134" t="s">
        <v>33</v>
      </c>
      <c r="G1134" t="s">
        <v>33</v>
      </c>
      <c r="H1134">
        <v>35</v>
      </c>
      <c r="I1134" t="b">
        <v>0</v>
      </c>
      <c r="J1134" t="s">
        <v>33</v>
      </c>
      <c r="K1134" t="s">
        <v>33</v>
      </c>
      <c r="L1134">
        <v>25</v>
      </c>
      <c r="M1134" s="4">
        <v>1</v>
      </c>
      <c r="N1134" t="e">
        <f>(#REF!*Y1134)/(T1134*X1134*O1134)</f>
        <v>#REF!</v>
      </c>
      <c r="O1134">
        <v>2</v>
      </c>
      <c r="P1134" t="s">
        <v>33</v>
      </c>
      <c r="Q1134" s="1">
        <f>IFERROR(X1134/Z1134, "NA")</f>
        <v>50.000000000000007</v>
      </c>
      <c r="R1134" t="s">
        <v>183</v>
      </c>
      <c r="S1134" t="s">
        <v>33</v>
      </c>
      <c r="T1134">
        <v>1</v>
      </c>
      <c r="U1134">
        <v>2.5</v>
      </c>
      <c r="V1134" t="s">
        <v>33</v>
      </c>
      <c r="W1134">
        <v>0.50249999999999995</v>
      </c>
      <c r="X1134">
        <f>W1134</f>
        <v>0.50249999999999995</v>
      </c>
      <c r="Y1134" t="s">
        <v>33</v>
      </c>
      <c r="Z1134" s="3">
        <f t="shared" si="580"/>
        <v>1.0049999999999998E-2</v>
      </c>
      <c r="AA1134" t="s">
        <v>33</v>
      </c>
      <c r="AB1134">
        <f>IFERROR(((X1134*M1134)/Z1134), "NA")</f>
        <v>50.000000000000007</v>
      </c>
      <c r="AC1134" s="1" t="str">
        <f t="shared" si="578"/>
        <v>NA</v>
      </c>
      <c r="AE1134" s="3">
        <f t="shared" si="579"/>
        <v>125.00000000000001</v>
      </c>
      <c r="AF1134">
        <v>100</v>
      </c>
      <c r="AG1134" s="1" t="str">
        <f>IFERROR((N1134*P1134*Q1134), "NA")</f>
        <v>NA</v>
      </c>
      <c r="AH1134" s="1" t="str">
        <f>IFERROR((AG1134*U1134*AI1134), "NA")</f>
        <v>NA</v>
      </c>
      <c r="AI1134" s="1">
        <v>1</v>
      </c>
      <c r="AJ1134" s="11" t="s">
        <v>31</v>
      </c>
      <c r="AK1134">
        <v>2000</v>
      </c>
      <c r="AL1134" t="s">
        <v>784</v>
      </c>
      <c r="AM1134" s="3" t="s">
        <v>103</v>
      </c>
      <c r="AN1134" t="s">
        <v>130</v>
      </c>
      <c r="AO1134" t="s">
        <v>795</v>
      </c>
      <c r="AP1134">
        <v>7</v>
      </c>
      <c r="AQ1134" t="s">
        <v>33</v>
      </c>
      <c r="AR1134" t="s">
        <v>33</v>
      </c>
      <c r="AS1134">
        <v>8</v>
      </c>
      <c r="AT1134">
        <f>AS1134-AU1134</f>
        <v>5.85</v>
      </c>
      <c r="AU1134" s="6">
        <v>2.15</v>
      </c>
      <c r="AV1134" t="b">
        <v>1</v>
      </c>
      <c r="AW1134" t="s">
        <v>626</v>
      </c>
      <c r="AX1134" t="s">
        <v>627</v>
      </c>
      <c r="AY1134" t="s">
        <v>640</v>
      </c>
      <c r="AZ1134" t="s">
        <v>33</v>
      </c>
      <c r="BA1134" s="18" t="s">
        <v>800</v>
      </c>
      <c r="BB1134" s="3" t="b">
        <v>0</v>
      </c>
      <c r="BC1134" t="s">
        <v>81</v>
      </c>
      <c r="BD1134">
        <f>AVERAGE(24,30)</f>
        <v>27</v>
      </c>
      <c r="BE1134" t="s">
        <v>80</v>
      </c>
      <c r="BF1134">
        <v>24</v>
      </c>
      <c r="BG1134" t="s">
        <v>568</v>
      </c>
      <c r="BH1134" t="s">
        <v>31</v>
      </c>
      <c r="BI1134" t="s">
        <v>31</v>
      </c>
      <c r="BJ1134" s="3">
        <f t="shared" si="571"/>
        <v>2.15</v>
      </c>
      <c r="BK1134" s="3">
        <f t="shared" si="581"/>
        <v>0.33243845991560533</v>
      </c>
      <c r="BL1134">
        <v>2</v>
      </c>
      <c r="BM1134" s="3">
        <f t="shared" si="577"/>
        <v>1.7644715530924511</v>
      </c>
      <c r="BN1134" t="s">
        <v>33</v>
      </c>
      <c r="BO1134" s="3">
        <f t="shared" si="559"/>
        <v>58.139534883720941</v>
      </c>
      <c r="BP1134" t="s">
        <v>33</v>
      </c>
      <c r="BQ1134" t="s">
        <v>33</v>
      </c>
      <c r="BR1134" t="s">
        <v>33</v>
      </c>
      <c r="BS1134" t="s">
        <v>33</v>
      </c>
      <c r="BT1134" t="s">
        <v>31</v>
      </c>
      <c r="BU1134" t="s">
        <v>666</v>
      </c>
      <c r="BV1134" s="14">
        <v>2006</v>
      </c>
      <c r="BW1134" t="s">
        <v>667</v>
      </c>
      <c r="BX1134" t="s">
        <v>78</v>
      </c>
      <c r="BY1134" s="13" t="s">
        <v>688</v>
      </c>
      <c r="CA1134" t="str">
        <f t="shared" si="560"/>
        <v>low acid</v>
      </c>
    </row>
    <row r="1135" spans="1:79">
      <c r="A1135" t="s">
        <v>143</v>
      </c>
      <c r="B1135" t="s">
        <v>565</v>
      </c>
      <c r="C1135" t="s">
        <v>563</v>
      </c>
      <c r="D1135" t="s">
        <v>118</v>
      </c>
      <c r="E1135" t="s">
        <v>77</v>
      </c>
      <c r="F1135" t="s">
        <v>32</v>
      </c>
      <c r="G1135">
        <v>10</v>
      </c>
      <c r="H1135" t="s">
        <v>33</v>
      </c>
      <c r="I1135" t="b">
        <v>0</v>
      </c>
      <c r="J1135" t="s">
        <v>33</v>
      </c>
      <c r="K1135" t="s">
        <v>33</v>
      </c>
      <c r="L1135">
        <v>17</v>
      </c>
      <c r="M1135" s="4">
        <v>500</v>
      </c>
      <c r="N1135" s="3">
        <f>IFERROR(AF1135/((T1135*X1135/Y1135)*O1135*AI1135),"NA")</f>
        <v>503.35454362283343</v>
      </c>
      <c r="O1135">
        <v>3</v>
      </c>
      <c r="P1135" t="s">
        <v>33</v>
      </c>
      <c r="Q1135" s="8">
        <f>IFERROR(X1135/Z1135, "NA")</f>
        <v>1.4555555555555556E-2</v>
      </c>
      <c r="R1135" t="s">
        <v>183</v>
      </c>
      <c r="S1135" t="s">
        <v>613</v>
      </c>
      <c r="T1135" s="11">
        <v>6</v>
      </c>
      <c r="U1135">
        <v>2.9</v>
      </c>
      <c r="V1135">
        <v>2.2999999999999998</v>
      </c>
      <c r="W1135" t="s">
        <v>33</v>
      </c>
      <c r="X1135">
        <f>IFERROR(((PI())*(((V1135*10^-1)/2)^2)*(U1135*10^-1)), "NA")</f>
        <v>1.204879322468025E-2</v>
      </c>
      <c r="Y1135" s="8">
        <f>50/60</f>
        <v>0.83333333333333337</v>
      </c>
      <c r="Z1135" s="9">
        <f t="shared" si="580"/>
        <v>0.82777968719177286</v>
      </c>
      <c r="AA1135" t="s">
        <v>33</v>
      </c>
      <c r="AB1135" s="6">
        <f>IFERROR(((X1135*M1135)/Z1135), "NA")</f>
        <v>7.2777777777777786</v>
      </c>
      <c r="AC1135" t="str">
        <f t="shared" si="578"/>
        <v>NA</v>
      </c>
      <c r="AD1135" s="4">
        <f>IFERROR(AB1135*T1135*AI1135, "NA")</f>
        <v>43.666666666666671</v>
      </c>
      <c r="AE1135" s="3">
        <f t="shared" si="579"/>
        <v>137.80676</v>
      </c>
      <c r="AF1135">
        <v>131</v>
      </c>
      <c r="AG1135" t="str">
        <f>IFERROR((M1135*O1135*P1135), "NA")</f>
        <v>NA</v>
      </c>
      <c r="AH1135" t="str">
        <f>IFERROR((AG1135*T1135*AI1135), "NA")</f>
        <v>NA</v>
      </c>
      <c r="AI1135" s="11">
        <v>1</v>
      </c>
      <c r="AJ1135" t="s">
        <v>31</v>
      </c>
      <c r="AK1135">
        <v>3640</v>
      </c>
      <c r="AL1135" t="s">
        <v>145</v>
      </c>
      <c r="AM1135" t="s">
        <v>86</v>
      </c>
      <c r="AN1135" t="s">
        <v>205</v>
      </c>
      <c r="AO1135" t="s">
        <v>789</v>
      </c>
      <c r="AP1135">
        <v>3.18</v>
      </c>
      <c r="AQ1135" t="s">
        <v>33</v>
      </c>
      <c r="AR1135" t="s">
        <v>33</v>
      </c>
      <c r="AS1135" s="3">
        <v>6.5919999999999996</v>
      </c>
      <c r="AT1135" s="3">
        <f>IFERROR(AS1135-AU1135,"NA")</f>
        <v>5.8519999999999994</v>
      </c>
      <c r="AU1135" s="6">
        <v>0.74</v>
      </c>
      <c r="AV1135" t="b">
        <v>1</v>
      </c>
      <c r="AW1135" t="s">
        <v>92</v>
      </c>
      <c r="AX1135" t="s">
        <v>93</v>
      </c>
      <c r="AY1135" t="s">
        <v>137</v>
      </c>
      <c r="AZ1135" t="s">
        <v>33</v>
      </c>
      <c r="BA1135" s="18" t="s">
        <v>801</v>
      </c>
      <c r="BB1135" t="b">
        <v>0</v>
      </c>
      <c r="BC1135" t="s">
        <v>81</v>
      </c>
      <c r="BD1135">
        <f>(48+24)/2</f>
        <v>36</v>
      </c>
      <c r="BE1135" t="s">
        <v>80</v>
      </c>
      <c r="BF1135" s="11">
        <f>(48+24)/2</f>
        <v>36</v>
      </c>
      <c r="BG1135" t="s">
        <v>139</v>
      </c>
      <c r="BH1135" t="s">
        <v>31</v>
      </c>
      <c r="BI1135" t="s">
        <v>31</v>
      </c>
      <c r="BJ1135">
        <f t="shared" si="571"/>
        <v>0.74</v>
      </c>
      <c r="BK1135" s="3">
        <f t="shared" si="581"/>
        <v>-0.13076828026902382</v>
      </c>
      <c r="BL1135">
        <v>2</v>
      </c>
      <c r="BM1135" s="3">
        <f>LOG(BO1135)</f>
        <v>2.2700388023303919</v>
      </c>
      <c r="BN1135" t="s">
        <v>33</v>
      </c>
      <c r="BO1135" s="3">
        <f t="shared" si="559"/>
        <v>186.22535135135135</v>
      </c>
      <c r="BP1135" t="s">
        <v>33</v>
      </c>
      <c r="BQ1135" t="s">
        <v>33</v>
      </c>
      <c r="BR1135" t="s">
        <v>33</v>
      </c>
      <c r="BS1135" t="s">
        <v>33</v>
      </c>
      <c r="BT1135" t="s">
        <v>31</v>
      </c>
      <c r="BU1135" t="s">
        <v>135</v>
      </c>
      <c r="BV1135">
        <v>2010</v>
      </c>
      <c r="BW1135" t="s">
        <v>140</v>
      </c>
      <c r="BX1135" t="s">
        <v>78</v>
      </c>
      <c r="BY1135" t="s">
        <v>33</v>
      </c>
      <c r="BZ1135" t="s">
        <v>33</v>
      </c>
      <c r="CA1135" t="str">
        <f t="shared" si="560"/>
        <v>high acid</v>
      </c>
    </row>
    <row r="1136" spans="1:79">
      <c r="A1136" t="s">
        <v>764</v>
      </c>
      <c r="B1136" t="s">
        <v>566</v>
      </c>
      <c r="C1136" t="s">
        <v>563</v>
      </c>
      <c r="D1136" t="s">
        <v>765</v>
      </c>
      <c r="E1136" t="s">
        <v>77</v>
      </c>
      <c r="F1136" t="s">
        <v>31</v>
      </c>
      <c r="G1136">
        <v>20</v>
      </c>
      <c r="H1136">
        <v>42</v>
      </c>
      <c r="I1136" t="b">
        <v>0</v>
      </c>
      <c r="J1136" t="s">
        <v>33</v>
      </c>
      <c r="K1136" t="s">
        <v>33</v>
      </c>
      <c r="L1136">
        <v>16</v>
      </c>
      <c r="M1136" s="4">
        <f>N1136</f>
        <v>599.44444444444457</v>
      </c>
      <c r="N1136" s="3">
        <f>IFERROR(AF1136/((T1136*X1136/Y1136)*O1136*AI1136),"NA")</f>
        <v>599.44444444444457</v>
      </c>
      <c r="O1136">
        <v>3</v>
      </c>
      <c r="P1136">
        <v>4.3</v>
      </c>
      <c r="Q1136" s="8">
        <f>IFERROR(X1136/Y1136, "NA")</f>
        <v>4.3199999999999994</v>
      </c>
      <c r="R1136" t="s">
        <v>183</v>
      </c>
      <c r="S1136" t="s">
        <v>33</v>
      </c>
      <c r="T1136" s="11">
        <v>1</v>
      </c>
      <c r="U1136">
        <v>8.1000000000000003E-2</v>
      </c>
      <c r="V1136" t="s">
        <v>33</v>
      </c>
      <c r="W1136">
        <v>7.1999999999999998E-3</v>
      </c>
      <c r="X1136">
        <f>W1136</f>
        <v>7.1999999999999998E-3</v>
      </c>
      <c r="Y1136" s="6">
        <f>0.1/60</f>
        <v>1.6666666666666668E-3</v>
      </c>
      <c r="Z1136" s="6">
        <f>Y1136</f>
        <v>1.6666666666666668E-3</v>
      </c>
      <c r="AA1136" t="s">
        <v>33</v>
      </c>
      <c r="AB1136" s="4">
        <f>IFERROR(((X1136*M1136)/Y1136), "NA")</f>
        <v>2589.6000000000004</v>
      </c>
      <c r="AC1136" s="4">
        <f t="shared" si="578"/>
        <v>2577.6111111111118</v>
      </c>
      <c r="AD1136" s="4">
        <f>AB1136*T1136*AI1136</f>
        <v>2589.6000000000004</v>
      </c>
      <c r="AE1136" s="3">
        <f t="shared" si="579"/>
        <v>198.88128</v>
      </c>
      <c r="AF1136">
        <v>7768.8</v>
      </c>
      <c r="AG1136" s="4">
        <f>IFERROR((M1136*O1136*P1136), "NA")</f>
        <v>7732.8333333333348</v>
      </c>
      <c r="AH1136" s="4">
        <f>IFERROR((AG1136*T1136*AI1136), "NA")</f>
        <v>7732.8333333333348</v>
      </c>
      <c r="AI1136">
        <v>1</v>
      </c>
      <c r="AJ1136" s="11" t="s">
        <v>31</v>
      </c>
      <c r="AK1136">
        <v>100</v>
      </c>
      <c r="AL1136" t="s">
        <v>169</v>
      </c>
      <c r="AM1136" t="s">
        <v>103</v>
      </c>
      <c r="AN1136" t="s">
        <v>130</v>
      </c>
      <c r="AO1136" t="s">
        <v>795</v>
      </c>
      <c r="AP1136">
        <v>7</v>
      </c>
      <c r="AQ1136" t="s">
        <v>33</v>
      </c>
      <c r="AR1136" t="s">
        <v>33</v>
      </c>
      <c r="AS1136">
        <v>7</v>
      </c>
      <c r="AT1136" s="3">
        <f>IFERROR(AS1136-AU1136,"NA")</f>
        <v>5.8559999999999999</v>
      </c>
      <c r="AU1136" s="6">
        <v>1.1439999999999999</v>
      </c>
      <c r="AV1136" t="b">
        <v>1</v>
      </c>
      <c r="AW1136" t="s">
        <v>29</v>
      </c>
      <c r="AX1136" t="s">
        <v>30</v>
      </c>
      <c r="AY1136" t="s">
        <v>766</v>
      </c>
      <c r="AZ1136" t="s">
        <v>33</v>
      </c>
      <c r="BA1136" s="18" t="s">
        <v>798</v>
      </c>
      <c r="BB1136" s="3" t="b">
        <v>0</v>
      </c>
      <c r="BC1136" t="s">
        <v>81</v>
      </c>
      <c r="BD1136">
        <v>16</v>
      </c>
      <c r="BE1136" t="s">
        <v>80</v>
      </c>
      <c r="BF1136">
        <v>24</v>
      </c>
      <c r="BG1136" t="s">
        <v>569</v>
      </c>
      <c r="BH1136" t="s">
        <v>31</v>
      </c>
      <c r="BI1136" t="s">
        <v>31</v>
      </c>
      <c r="BJ1136" s="3">
        <f t="shared" si="571"/>
        <v>1.1439999999999999</v>
      </c>
      <c r="BK1136" s="3">
        <f t="shared" si="581"/>
        <v>5.8426024457005357E-2</v>
      </c>
      <c r="BL1136">
        <v>2</v>
      </c>
      <c r="BM1136" s="3">
        <f t="shared" ref="BM1136:BM1161" si="582">IFERROR(LOG(BO1136),"NA")</f>
        <v>2.2401678819690232</v>
      </c>
      <c r="BN1136" t="s">
        <v>33</v>
      </c>
      <c r="BO1136" s="3">
        <f t="shared" si="559"/>
        <v>173.84727272727275</v>
      </c>
      <c r="BP1136" t="s">
        <v>33</v>
      </c>
      <c r="BQ1136" t="s">
        <v>33</v>
      </c>
      <c r="BR1136" t="s">
        <v>33</v>
      </c>
      <c r="BS1136" t="s">
        <v>33</v>
      </c>
      <c r="BT1136" t="s">
        <v>31</v>
      </c>
      <c r="BU1136" t="s">
        <v>767</v>
      </c>
      <c r="BV1136">
        <v>2021</v>
      </c>
      <c r="BW1136" t="s">
        <v>768</v>
      </c>
      <c r="BX1136" t="s">
        <v>78</v>
      </c>
      <c r="BY1136" t="s">
        <v>769</v>
      </c>
      <c r="CA1136" t="str">
        <f t="shared" si="560"/>
        <v>low acid</v>
      </c>
    </row>
    <row r="1137" spans="1:79">
      <c r="A1137" t="s">
        <v>456</v>
      </c>
      <c r="B1137" t="s">
        <v>565</v>
      </c>
      <c r="C1137" t="s">
        <v>563</v>
      </c>
      <c r="D1137" t="s">
        <v>182</v>
      </c>
      <c r="E1137" t="s">
        <v>77</v>
      </c>
      <c r="F1137" t="s">
        <v>32</v>
      </c>
      <c r="G1137">
        <v>18</v>
      </c>
      <c r="H1137">
        <v>48</v>
      </c>
      <c r="I1137" t="b">
        <v>1</v>
      </c>
      <c r="J1137" t="s">
        <v>33</v>
      </c>
      <c r="K1137" t="s">
        <v>33</v>
      </c>
      <c r="L1137">
        <v>22</v>
      </c>
      <c r="M1137" s="4" t="s">
        <v>33</v>
      </c>
      <c r="N1137" s="3">
        <f>IFERROR(AF1137/((T1137*X1137/Y1137)*O1137*AI1137),"NA")</f>
        <v>330.20830099655922</v>
      </c>
      <c r="O1137">
        <v>10</v>
      </c>
      <c r="P1137">
        <f>0.047/2</f>
        <v>2.35E-2</v>
      </c>
      <c r="Q1137" s="8">
        <f t="shared" ref="Q1137:Q1143" si="583">IFERROR(X1137/Z1137, "NA")</f>
        <v>2.3318614270936316E-2</v>
      </c>
      <c r="R1137" t="s">
        <v>183</v>
      </c>
      <c r="S1137" t="s">
        <v>613</v>
      </c>
      <c r="T1137" s="11">
        <v>2</v>
      </c>
      <c r="U1137">
        <v>5.6</v>
      </c>
      <c r="V1137">
        <v>4.5</v>
      </c>
      <c r="W1137" t="s">
        <v>33</v>
      </c>
      <c r="X1137" s="9">
        <f>IFERROR(((PI())*(((V1137*10^-1)/2)^2)*(U1137*10^-1)), "NA")</f>
        <v>8.9064151729270638E-2</v>
      </c>
      <c r="Y1137" s="6">
        <f>13750/3600</f>
        <v>3.8194444444444446</v>
      </c>
      <c r="Z1137" s="3">
        <f>IFERROR(X1137*N1137*O1137*T1137*AI1137/AF1137, "NA")</f>
        <v>3.8194444444444438</v>
      </c>
      <c r="AA1137" t="s">
        <v>33</v>
      </c>
      <c r="AB1137" s="4">
        <f>IFERROR(((X1137*N1137)/Y1137), "NA")</f>
        <v>7.6999999999999984</v>
      </c>
      <c r="AC1137" s="4">
        <f>IFERROR(N1137*P1137,"NA")</f>
        <v>7.7598950734191412</v>
      </c>
      <c r="AD1137" s="4">
        <f>IFERROR(AB1137*T1137*AI1137, "NA")</f>
        <v>15.399999999999997</v>
      </c>
      <c r="AE1137" s="3">
        <f>IFERROR(((L1137^2)*N1137*O1137*AK1137*10^-6*Q1137*T1137*AI1137), "NA")</f>
        <v>171.43280000000001</v>
      </c>
      <c r="AF1137">
        <v>154</v>
      </c>
      <c r="AG1137" s="4">
        <f>IFERROR((N1137*O1137*P1137), "NA")</f>
        <v>77.598950734191419</v>
      </c>
      <c r="AH1137" s="4">
        <f>IFERROR((AG1137*T1137*AI1137), "NA")</f>
        <v>155.19790146838284</v>
      </c>
      <c r="AI1137" s="11">
        <v>1</v>
      </c>
      <c r="AJ1137" t="s">
        <v>31</v>
      </c>
      <c r="AK1137">
        <v>2300</v>
      </c>
      <c r="AL1137" t="s">
        <v>805</v>
      </c>
      <c r="AM1137" t="s">
        <v>515</v>
      </c>
      <c r="AN1137" t="s">
        <v>205</v>
      </c>
      <c r="AO1137" t="s">
        <v>788</v>
      </c>
      <c r="AP1137">
        <v>3.68</v>
      </c>
      <c r="AQ1137" t="s">
        <v>33</v>
      </c>
      <c r="AR1137" t="s">
        <v>33</v>
      </c>
      <c r="AS1137">
        <f>LOG(10^8)</f>
        <v>8</v>
      </c>
      <c r="AT1137" s="3">
        <f>IFERROR(AS1137-AU1137,"NA")</f>
        <v>5.8599999999999994</v>
      </c>
      <c r="AU1137" s="6">
        <v>2.14</v>
      </c>
      <c r="AV1137" t="b">
        <v>1</v>
      </c>
      <c r="AW1137" t="s">
        <v>477</v>
      </c>
      <c r="AX1137" t="s">
        <v>471</v>
      </c>
      <c r="AY1137" t="s">
        <v>475</v>
      </c>
      <c r="AZ1137" t="s">
        <v>33</v>
      </c>
      <c r="BA1137" s="18" t="s">
        <v>579</v>
      </c>
      <c r="BB1137" t="b">
        <v>1</v>
      </c>
      <c r="BC1137" t="s">
        <v>81</v>
      </c>
      <c r="BD1137" t="s">
        <v>33</v>
      </c>
      <c r="BE1137" t="s">
        <v>80</v>
      </c>
      <c r="BF1137" t="s">
        <v>33</v>
      </c>
      <c r="BG1137" t="s">
        <v>483</v>
      </c>
      <c r="BH1137" t="s">
        <v>31</v>
      </c>
      <c r="BI1137" t="s">
        <v>31</v>
      </c>
      <c r="BJ1137" s="3">
        <f t="shared" si="571"/>
        <v>2.14</v>
      </c>
      <c r="BK1137" s="3">
        <f t="shared" si="581"/>
        <v>0.33041377334919086</v>
      </c>
      <c r="BL1137">
        <v>2</v>
      </c>
      <c r="BM1137" s="3">
        <f t="shared" si="582"/>
        <v>1.9036801451492775</v>
      </c>
      <c r="BN1137" t="s">
        <v>33</v>
      </c>
      <c r="BO1137" s="3">
        <f t="shared" si="559"/>
        <v>80.108785046728968</v>
      </c>
      <c r="BP1137" t="s">
        <v>33</v>
      </c>
      <c r="BQ1137" t="s">
        <v>33</v>
      </c>
      <c r="BR1137" t="s">
        <v>33</v>
      </c>
      <c r="BS1137" t="s">
        <v>33</v>
      </c>
      <c r="BT1137" t="s">
        <v>32</v>
      </c>
      <c r="BU1137" t="s">
        <v>484</v>
      </c>
      <c r="BV1137">
        <v>2015</v>
      </c>
      <c r="BW1137" t="s">
        <v>485</v>
      </c>
      <c r="BX1137" t="s">
        <v>78</v>
      </c>
      <c r="BY1137" t="s">
        <v>486</v>
      </c>
      <c r="BZ1137" t="s">
        <v>780</v>
      </c>
      <c r="CA1137" t="str">
        <f t="shared" si="560"/>
        <v>high acid</v>
      </c>
    </row>
    <row r="1138" spans="1:79">
      <c r="A1138" t="s">
        <v>584</v>
      </c>
      <c r="B1138" t="s">
        <v>566</v>
      </c>
      <c r="C1138" t="s">
        <v>563</v>
      </c>
      <c r="D1138" t="s">
        <v>607</v>
      </c>
      <c r="E1138" t="s">
        <v>77</v>
      </c>
      <c r="F1138" t="s">
        <v>33</v>
      </c>
      <c r="G1138">
        <v>20</v>
      </c>
      <c r="H1138">
        <v>35</v>
      </c>
      <c r="I1138" t="b">
        <v>0</v>
      </c>
      <c r="J1138">
        <v>1000</v>
      </c>
      <c r="K1138">
        <v>200</v>
      </c>
      <c r="L1138">
        <v>15</v>
      </c>
      <c r="M1138" s="4">
        <v>1</v>
      </c>
      <c r="N1138" t="e">
        <f>(#REF!*Y1138)/(T1138*X1138*O1138)</f>
        <v>#REF!</v>
      </c>
      <c r="O1138">
        <v>3</v>
      </c>
      <c r="P1138" t="s">
        <v>33</v>
      </c>
      <c r="Q1138" s="1">
        <f t="shared" si="583"/>
        <v>166.66666666666666</v>
      </c>
      <c r="R1138" t="s">
        <v>183</v>
      </c>
      <c r="S1138" t="s">
        <v>33</v>
      </c>
      <c r="T1138">
        <v>1</v>
      </c>
      <c r="U1138">
        <v>2.5</v>
      </c>
      <c r="V1138" t="s">
        <v>33</v>
      </c>
      <c r="W1138">
        <v>0.50249999999999995</v>
      </c>
      <c r="X1138">
        <f>W1138</f>
        <v>0.50249999999999995</v>
      </c>
      <c r="Y1138" t="s">
        <v>33</v>
      </c>
      <c r="Z1138" s="3">
        <f t="shared" ref="Z1138:Z1143" si="584">IFERROR(X1138*M1138*O1138*T1138*AI1138/AF1138, "NA")</f>
        <v>3.0149999999999999E-3</v>
      </c>
      <c r="AA1138" t="s">
        <v>33</v>
      </c>
      <c r="AB1138">
        <f t="shared" ref="AB1138:AB1143" si="585">IFERROR(((X1138*M1138)/Z1138), "NA")</f>
        <v>166.66666666666666</v>
      </c>
      <c r="AC1138" s="1" t="str">
        <f t="shared" ref="AC1138:AC1149" si="586">IFERROR(M1138*P1138,"NA")</f>
        <v>NA</v>
      </c>
      <c r="AE1138" s="3">
        <f t="shared" ref="AE1138:AE1149" si="587">IFERROR(((L1138^2)*M1138*O1138*AK1138*10^-6*Q1138*T1138*AI1138), "NA")</f>
        <v>112.49999999999999</v>
      </c>
      <c r="AF1138">
        <v>500</v>
      </c>
      <c r="AG1138" s="1" t="str">
        <f>IFERROR((N1138*P1138*Q1138), "NA")</f>
        <v>NA</v>
      </c>
      <c r="AH1138" s="1" t="str">
        <f>IFERROR((AG1138*U1138*AI1138), "NA")</f>
        <v>NA</v>
      </c>
      <c r="AI1138" s="1">
        <v>1</v>
      </c>
      <c r="AJ1138" s="11" t="s">
        <v>31</v>
      </c>
      <c r="AK1138">
        <v>1000</v>
      </c>
      <c r="AL1138" t="s">
        <v>614</v>
      </c>
      <c r="AM1138" s="3" t="s">
        <v>103</v>
      </c>
      <c r="AN1138" t="s">
        <v>305</v>
      </c>
      <c r="AO1138" t="s">
        <v>790</v>
      </c>
      <c r="AP1138">
        <v>3.5</v>
      </c>
      <c r="AQ1138" t="s">
        <v>33</v>
      </c>
      <c r="AR1138" t="s">
        <v>33</v>
      </c>
      <c r="AS1138">
        <v>8</v>
      </c>
      <c r="AT1138">
        <f>AS1138-AU1138</f>
        <v>5.8599999999999994</v>
      </c>
      <c r="AU1138" s="6">
        <v>2.14</v>
      </c>
      <c r="AV1138" t="b">
        <v>1</v>
      </c>
      <c r="AW1138" t="s">
        <v>617</v>
      </c>
      <c r="AX1138" t="s">
        <v>33</v>
      </c>
      <c r="AY1138" t="s">
        <v>623</v>
      </c>
      <c r="AZ1138" t="s">
        <v>621</v>
      </c>
      <c r="BA1138" s="18" t="s">
        <v>802</v>
      </c>
      <c r="BB1138" s="3" t="b">
        <v>0</v>
      </c>
      <c r="BC1138" t="s">
        <v>81</v>
      </c>
      <c r="BD1138">
        <v>18</v>
      </c>
      <c r="BE1138" t="s">
        <v>80</v>
      </c>
      <c r="BF1138">
        <v>24</v>
      </c>
      <c r="BG1138" t="s">
        <v>642</v>
      </c>
      <c r="BH1138" t="s">
        <v>32</v>
      </c>
      <c r="BI1138" t="s">
        <v>31</v>
      </c>
      <c r="BJ1138">
        <f t="shared" si="571"/>
        <v>2.14</v>
      </c>
      <c r="BK1138" s="3">
        <f t="shared" si="581"/>
        <v>0.33041377334919086</v>
      </c>
      <c r="BL1138">
        <v>2</v>
      </c>
      <c r="BM1138" s="3">
        <f t="shared" si="582"/>
        <v>1.7207387490981902</v>
      </c>
      <c r="BN1138" t="s">
        <v>33</v>
      </c>
      <c r="BO1138" s="3">
        <f t="shared" si="559"/>
        <v>52.570093457943912</v>
      </c>
      <c r="BP1138" t="s">
        <v>33</v>
      </c>
      <c r="BQ1138" t="s">
        <v>33</v>
      </c>
      <c r="BR1138" t="s">
        <v>33</v>
      </c>
      <c r="BS1138" t="s">
        <v>33</v>
      </c>
      <c r="BT1138" t="s">
        <v>31</v>
      </c>
      <c r="BU1138" t="s">
        <v>255</v>
      </c>
      <c r="BV1138">
        <v>2010</v>
      </c>
      <c r="BW1138" t="s">
        <v>651</v>
      </c>
      <c r="BX1138" t="s">
        <v>78</v>
      </c>
      <c r="BY1138" s="13" t="s">
        <v>674</v>
      </c>
      <c r="CA1138" t="str">
        <f t="shared" si="560"/>
        <v>high acid</v>
      </c>
    </row>
    <row r="1139" spans="1:79">
      <c r="A1139" t="s">
        <v>593</v>
      </c>
      <c r="B1139" t="s">
        <v>565</v>
      </c>
      <c r="C1139" t="s">
        <v>563</v>
      </c>
      <c r="D1139" t="s">
        <v>118</v>
      </c>
      <c r="E1139" t="s">
        <v>77</v>
      </c>
      <c r="F1139" t="s">
        <v>32</v>
      </c>
      <c r="G1139" t="s">
        <v>33</v>
      </c>
      <c r="H1139">
        <v>35</v>
      </c>
      <c r="I1139" t="b">
        <v>0</v>
      </c>
      <c r="J1139" t="s">
        <v>33</v>
      </c>
      <c r="K1139" t="s">
        <v>33</v>
      </c>
      <c r="L1139">
        <v>20</v>
      </c>
      <c r="M1139" s="4">
        <v>400</v>
      </c>
      <c r="N1139" t="e">
        <f>(#REF!*Y1139)/(T1139*X1139*O1139)</f>
        <v>#REF!</v>
      </c>
      <c r="O1139">
        <v>2</v>
      </c>
      <c r="P1139" t="s">
        <v>33</v>
      </c>
      <c r="Q1139" s="1">
        <f t="shared" si="583"/>
        <v>0.03</v>
      </c>
      <c r="R1139" t="s">
        <v>183</v>
      </c>
      <c r="S1139" t="s">
        <v>613</v>
      </c>
      <c r="T1139">
        <v>6</v>
      </c>
      <c r="U1139">
        <v>2.92</v>
      </c>
      <c r="V1139">
        <v>2.2999999999999998</v>
      </c>
      <c r="W1139" t="s">
        <v>33</v>
      </c>
      <c r="X1139">
        <f>IFERROR(((PI())*(((V1139*10^-1)/2)^2)*(U1139*10^-1)), "NA")</f>
        <v>1.2131888350367701E-2</v>
      </c>
      <c r="Y1139">
        <v>1</v>
      </c>
      <c r="Z1139" s="3">
        <f t="shared" si="584"/>
        <v>0.40439627834559005</v>
      </c>
      <c r="AA1139" t="s">
        <v>33</v>
      </c>
      <c r="AB1139">
        <f t="shared" si="585"/>
        <v>12</v>
      </c>
      <c r="AC1139" s="1" t="str">
        <f t="shared" si="586"/>
        <v>NA</v>
      </c>
      <c r="AE1139" s="3">
        <f t="shared" si="587"/>
        <v>132.47999999999999</v>
      </c>
      <c r="AF1139">
        <v>144</v>
      </c>
      <c r="AG1139" s="1" t="str">
        <f>IFERROR((N1139*P1139*Q1139), "NA")</f>
        <v>NA</v>
      </c>
      <c r="AH1139" s="1" t="str">
        <f>IFERROR((AG1139*U1139*AI1139), "NA")</f>
        <v>NA</v>
      </c>
      <c r="AI1139">
        <v>1</v>
      </c>
      <c r="AJ1139" s="11" t="s">
        <v>31</v>
      </c>
      <c r="AK1139">
        <v>2300</v>
      </c>
      <c r="AL1139" t="s">
        <v>693</v>
      </c>
      <c r="AM1139" t="s">
        <v>530</v>
      </c>
      <c r="AN1139" t="s">
        <v>186</v>
      </c>
      <c r="AO1139" t="s">
        <v>796</v>
      </c>
      <c r="AP1139">
        <v>7.19</v>
      </c>
      <c r="AQ1139" t="s">
        <v>33</v>
      </c>
      <c r="AR1139" t="s">
        <v>33</v>
      </c>
      <c r="AS1139">
        <v>6.5</v>
      </c>
      <c r="AT1139">
        <f>AS1139-AU1139</f>
        <v>5.86</v>
      </c>
      <c r="AU1139" s="6">
        <v>0.64</v>
      </c>
      <c r="AV1139" t="b">
        <v>1</v>
      </c>
      <c r="AW1139" t="s">
        <v>626</v>
      </c>
      <c r="AX1139" t="s">
        <v>627</v>
      </c>
      <c r="AY1139" t="s">
        <v>625</v>
      </c>
      <c r="AZ1139" t="s">
        <v>33</v>
      </c>
      <c r="BA1139" s="18" t="s">
        <v>800</v>
      </c>
      <c r="BB1139" s="3" t="b">
        <v>0</v>
      </c>
      <c r="BC1139" t="s">
        <v>81</v>
      </c>
      <c r="BD1139">
        <f>AVERAGE(14, 16)</f>
        <v>15</v>
      </c>
      <c r="BE1139" t="s">
        <v>80</v>
      </c>
      <c r="BF1139">
        <v>48</v>
      </c>
      <c r="BG1139" t="s">
        <v>568</v>
      </c>
      <c r="BH1139" t="s">
        <v>31</v>
      </c>
      <c r="BI1139" t="s">
        <v>31</v>
      </c>
      <c r="BJ1139">
        <f t="shared" si="571"/>
        <v>0.64</v>
      </c>
      <c r="BK1139" s="3">
        <f t="shared" si="581"/>
        <v>-0.19382002601611281</v>
      </c>
      <c r="BL1139">
        <v>2</v>
      </c>
      <c r="BM1139" s="3">
        <f t="shared" si="582"/>
        <v>2.3159703454569178</v>
      </c>
      <c r="BN1139" t="s">
        <v>33</v>
      </c>
      <c r="BO1139" s="3">
        <f t="shared" si="559"/>
        <v>206.99999999999997</v>
      </c>
      <c r="BP1139" t="s">
        <v>33</v>
      </c>
      <c r="BQ1139" t="s">
        <v>33</v>
      </c>
      <c r="BR1139" t="s">
        <v>33</v>
      </c>
      <c r="BS1139" t="s">
        <v>33</v>
      </c>
      <c r="BT1139" t="s">
        <v>31</v>
      </c>
      <c r="BU1139" s="15" t="s">
        <v>217</v>
      </c>
      <c r="BV1139">
        <v>2012</v>
      </c>
      <c r="BW1139" t="s">
        <v>660</v>
      </c>
      <c r="BX1139" t="s">
        <v>78</v>
      </c>
      <c r="BY1139" s="13" t="s">
        <v>681</v>
      </c>
      <c r="CA1139" t="str">
        <f t="shared" si="560"/>
        <v>low acid</v>
      </c>
    </row>
    <row r="1140" spans="1:79">
      <c r="A1140" t="s">
        <v>79</v>
      </c>
      <c r="B1140" t="s">
        <v>565</v>
      </c>
      <c r="C1140" t="s">
        <v>563</v>
      </c>
      <c r="D1140" t="s">
        <v>76</v>
      </c>
      <c r="E1140" t="s">
        <v>77</v>
      </c>
      <c r="F1140" t="s">
        <v>32</v>
      </c>
      <c r="G1140">
        <v>4</v>
      </c>
      <c r="H1140">
        <f>30</f>
        <v>30</v>
      </c>
      <c r="I1140" t="b">
        <v>0</v>
      </c>
      <c r="J1140" t="s">
        <v>33</v>
      </c>
      <c r="K1140" t="s">
        <v>33</v>
      </c>
      <c r="L1140">
        <v>30</v>
      </c>
      <c r="M1140" s="4">
        <v>1000</v>
      </c>
      <c r="N1140" s="3">
        <f>IFERROR(AF1140/((T1140*X1140/Y1140)*O1140*AI1140),"NA")</f>
        <v>1151.794348616987</v>
      </c>
      <c r="O1140">
        <v>8</v>
      </c>
      <c r="P1140" t="s">
        <v>33</v>
      </c>
      <c r="Q1140">
        <f t="shared" si="583"/>
        <v>1.2499999999999998E-3</v>
      </c>
      <c r="R1140" t="s">
        <v>183</v>
      </c>
      <c r="S1140" t="s">
        <v>612</v>
      </c>
      <c r="T1140" s="11">
        <v>1</v>
      </c>
      <c r="U1140">
        <f>4.7</f>
        <v>4.7</v>
      </c>
      <c r="V1140">
        <v>3.5</v>
      </c>
      <c r="W1140" t="s">
        <v>33</v>
      </c>
      <c r="X1140" s="8">
        <f>IFERROR(((PI())*(((V1140*10^-1)/2)^2)*(U1140*10^-1)), "NA")</f>
        <v>4.5219299257608099E-2</v>
      </c>
      <c r="Y1140" s="6">
        <f>2.5*1000/60</f>
        <v>41.666666666666664</v>
      </c>
      <c r="Z1140" s="3">
        <f t="shared" si="584"/>
        <v>36.175439406086483</v>
      </c>
      <c r="AA1140" t="s">
        <v>33</v>
      </c>
      <c r="AB1140" s="6">
        <f t="shared" si="585"/>
        <v>1.25</v>
      </c>
      <c r="AC1140" t="str">
        <f t="shared" si="586"/>
        <v>NA</v>
      </c>
      <c r="AD1140" s="4">
        <f>IFERROR(AB1140*T1140*AI1140, "NA")</f>
        <v>1.25</v>
      </c>
      <c r="AE1140" s="3">
        <f t="shared" si="587"/>
        <v>49.499999999999993</v>
      </c>
      <c r="AF1140">
        <v>10</v>
      </c>
      <c r="AG1140" t="str">
        <f>IFERROR((M1140*O1140*P1140), "NA")</f>
        <v>NA</v>
      </c>
      <c r="AH1140" t="str">
        <f>IFERROR((AG1140*T1140*AI1140), "NA")</f>
        <v>NA</v>
      </c>
      <c r="AI1140" s="11">
        <v>1</v>
      </c>
      <c r="AJ1140" t="s">
        <v>31</v>
      </c>
      <c r="AK1140">
        <v>5500</v>
      </c>
      <c r="AL1140" t="s">
        <v>540</v>
      </c>
      <c r="AM1140" t="s">
        <v>157</v>
      </c>
      <c r="AN1140" t="s">
        <v>186</v>
      </c>
      <c r="AO1140" t="s">
        <v>792</v>
      </c>
      <c r="AP1140" s="3">
        <f>(6.53+6.6)/2</f>
        <v>6.5649999999999995</v>
      </c>
      <c r="AQ1140" t="s">
        <v>33</v>
      </c>
      <c r="AR1140" t="s">
        <v>33</v>
      </c>
      <c r="AS1140">
        <v>8</v>
      </c>
      <c r="AT1140" s="3">
        <f>IFERROR(AS1140-AU1140,"NA")</f>
        <v>5.87</v>
      </c>
      <c r="AU1140" s="6">
        <v>2.13</v>
      </c>
      <c r="AV1140" t="b">
        <v>1</v>
      </c>
      <c r="AW1140" t="s">
        <v>29</v>
      </c>
      <c r="AX1140" t="s">
        <v>30</v>
      </c>
      <c r="AY1140" t="s">
        <v>216</v>
      </c>
      <c r="AZ1140" t="s">
        <v>33</v>
      </c>
      <c r="BA1140" s="18" t="s">
        <v>798</v>
      </c>
      <c r="BB1140" t="b">
        <v>0</v>
      </c>
      <c r="BC1140" t="s">
        <v>81</v>
      </c>
      <c r="BD1140">
        <v>24</v>
      </c>
      <c r="BE1140" t="s">
        <v>80</v>
      </c>
      <c r="BF1140" s="11">
        <v>24</v>
      </c>
      <c r="BG1140" t="s">
        <v>572</v>
      </c>
      <c r="BH1140" t="s">
        <v>31</v>
      </c>
      <c r="BI1140" t="s">
        <v>31</v>
      </c>
      <c r="BJ1140" s="3">
        <f t="shared" si="571"/>
        <v>2.13</v>
      </c>
      <c r="BK1140" s="3">
        <f t="shared" si="581"/>
        <v>0.32837960343873768</v>
      </c>
      <c r="BL1140">
        <v>2</v>
      </c>
      <c r="BM1140" s="3">
        <f t="shared" si="582"/>
        <v>1.366225595494831</v>
      </c>
      <c r="BN1140" t="s">
        <v>33</v>
      </c>
      <c r="BO1140" s="3">
        <f t="shared" si="559"/>
        <v>23.239436619718308</v>
      </c>
      <c r="BP1140" t="s">
        <v>33</v>
      </c>
      <c r="BQ1140" t="s">
        <v>33</v>
      </c>
      <c r="BR1140" t="s">
        <v>33</v>
      </c>
      <c r="BS1140" t="s">
        <v>33</v>
      </c>
      <c r="BT1140" t="s">
        <v>32</v>
      </c>
      <c r="BU1140" t="s">
        <v>117</v>
      </c>
      <c r="BV1140">
        <v>2021</v>
      </c>
      <c r="BW1140" s="2" t="s">
        <v>82</v>
      </c>
      <c r="BX1140" t="s">
        <v>78</v>
      </c>
      <c r="BY1140" t="s">
        <v>90</v>
      </c>
      <c r="CA1140" t="str">
        <f t="shared" si="560"/>
        <v>low acid</v>
      </c>
    </row>
    <row r="1141" spans="1:79">
      <c r="A1141" t="s">
        <v>584</v>
      </c>
      <c r="B1141" t="s">
        <v>566</v>
      </c>
      <c r="C1141" t="s">
        <v>563</v>
      </c>
      <c r="D1141" t="s">
        <v>607</v>
      </c>
      <c r="E1141" t="s">
        <v>77</v>
      </c>
      <c r="F1141" t="s">
        <v>33</v>
      </c>
      <c r="G1141">
        <v>20</v>
      </c>
      <c r="H1141">
        <v>35</v>
      </c>
      <c r="I1141" t="b">
        <v>0</v>
      </c>
      <c r="J1141">
        <v>1000</v>
      </c>
      <c r="K1141">
        <v>200</v>
      </c>
      <c r="L1141">
        <v>35</v>
      </c>
      <c r="M1141" s="4">
        <v>1</v>
      </c>
      <c r="N1141" t="e">
        <f>(#REF!*Y1141)/(T1141*X1141*O1141)</f>
        <v>#REF!</v>
      </c>
      <c r="O1141">
        <v>3</v>
      </c>
      <c r="P1141" t="s">
        <v>33</v>
      </c>
      <c r="Q1141" s="1">
        <f t="shared" si="583"/>
        <v>10</v>
      </c>
      <c r="R1141" t="s">
        <v>183</v>
      </c>
      <c r="S1141" t="s">
        <v>33</v>
      </c>
      <c r="T1141">
        <v>1</v>
      </c>
      <c r="U1141">
        <v>2.5</v>
      </c>
      <c r="V1141" t="s">
        <v>33</v>
      </c>
      <c r="W1141">
        <v>0.50249999999999995</v>
      </c>
      <c r="X1141">
        <f>W1141</f>
        <v>0.50249999999999995</v>
      </c>
      <c r="Y1141" t="s">
        <v>33</v>
      </c>
      <c r="Z1141" s="3">
        <f t="shared" si="584"/>
        <v>5.0249999999999996E-2</v>
      </c>
      <c r="AA1141" t="s">
        <v>33</v>
      </c>
      <c r="AB1141">
        <f t="shared" si="585"/>
        <v>10</v>
      </c>
      <c r="AC1141" s="1" t="str">
        <f t="shared" si="586"/>
        <v>NA</v>
      </c>
      <c r="AE1141" s="3">
        <f t="shared" si="587"/>
        <v>36.75</v>
      </c>
      <c r="AF1141">
        <v>30</v>
      </c>
      <c r="AG1141" s="1" t="str">
        <f>IFERROR((N1141*P1141*Q1141), "NA")</f>
        <v>NA</v>
      </c>
      <c r="AH1141" s="1" t="str">
        <f>IFERROR((AG1141*U1141*AI1141), "NA")</f>
        <v>NA</v>
      </c>
      <c r="AI1141" s="1">
        <v>1</v>
      </c>
      <c r="AJ1141" s="11" t="s">
        <v>31</v>
      </c>
      <c r="AK1141">
        <v>1000</v>
      </c>
      <c r="AL1141" t="s">
        <v>614</v>
      </c>
      <c r="AM1141" s="3" t="s">
        <v>103</v>
      </c>
      <c r="AN1141" t="s">
        <v>305</v>
      </c>
      <c r="AO1141" t="s">
        <v>790</v>
      </c>
      <c r="AP1141">
        <v>3.5</v>
      </c>
      <c r="AQ1141" t="s">
        <v>33</v>
      </c>
      <c r="AR1141" t="s">
        <v>33</v>
      </c>
      <c r="AS1141">
        <v>8</v>
      </c>
      <c r="AT1141">
        <f>AS1141-AU1141</f>
        <v>5.87</v>
      </c>
      <c r="AU1141" s="6">
        <v>2.13</v>
      </c>
      <c r="AV1141" t="b">
        <v>1</v>
      </c>
      <c r="AW1141" t="s">
        <v>617</v>
      </c>
      <c r="AX1141" t="s">
        <v>33</v>
      </c>
      <c r="AY1141" t="s">
        <v>623</v>
      </c>
      <c r="AZ1141" t="s">
        <v>621</v>
      </c>
      <c r="BA1141" s="18" t="s">
        <v>802</v>
      </c>
      <c r="BB1141" s="3" t="b">
        <v>0</v>
      </c>
      <c r="BC1141" t="s">
        <v>81</v>
      </c>
      <c r="BD1141">
        <v>18</v>
      </c>
      <c r="BE1141" t="s">
        <v>80</v>
      </c>
      <c r="BF1141">
        <v>24</v>
      </c>
      <c r="BG1141" t="s">
        <v>569</v>
      </c>
      <c r="BH1141" t="s">
        <v>31</v>
      </c>
      <c r="BI1141" t="s">
        <v>31</v>
      </c>
      <c r="BJ1141">
        <f t="shared" si="571"/>
        <v>2.13</v>
      </c>
      <c r="BK1141" s="3">
        <f t="shared" si="581"/>
        <v>0.32837960343873768</v>
      </c>
      <c r="BL1141">
        <v>2</v>
      </c>
      <c r="BM1141" s="3">
        <f t="shared" si="582"/>
        <v>1.2368777399814761</v>
      </c>
      <c r="BN1141" t="s">
        <v>33</v>
      </c>
      <c r="BO1141" s="3">
        <f t="shared" si="559"/>
        <v>17.253521126760564</v>
      </c>
      <c r="BP1141" t="s">
        <v>33</v>
      </c>
      <c r="BQ1141" t="s">
        <v>33</v>
      </c>
      <c r="BR1141" t="s">
        <v>33</v>
      </c>
      <c r="BS1141" t="s">
        <v>33</v>
      </c>
      <c r="BT1141" t="s">
        <v>31</v>
      </c>
      <c r="BU1141" t="s">
        <v>255</v>
      </c>
      <c r="BV1141">
        <v>2010</v>
      </c>
      <c r="BW1141" t="s">
        <v>651</v>
      </c>
      <c r="BX1141" t="s">
        <v>78</v>
      </c>
      <c r="BY1141" s="13" t="s">
        <v>674</v>
      </c>
      <c r="CA1141" t="str">
        <f t="shared" si="560"/>
        <v>high acid</v>
      </c>
    </row>
    <row r="1142" spans="1:79">
      <c r="A1142" t="s">
        <v>586</v>
      </c>
      <c r="B1142" t="s">
        <v>565</v>
      </c>
      <c r="C1142" t="s">
        <v>563</v>
      </c>
      <c r="D1142" t="s">
        <v>118</v>
      </c>
      <c r="E1142" t="s">
        <v>77</v>
      </c>
      <c r="F1142" t="s">
        <v>32</v>
      </c>
      <c r="G1142">
        <v>20</v>
      </c>
      <c r="H1142">
        <v>20</v>
      </c>
      <c r="I1142" t="b">
        <v>1</v>
      </c>
      <c r="J1142" t="s">
        <v>33</v>
      </c>
      <c r="K1142" t="s">
        <v>33</v>
      </c>
      <c r="L1142">
        <v>30</v>
      </c>
      <c r="M1142" s="4">
        <v>100</v>
      </c>
      <c r="N1142" t="e">
        <f>(#REF!*Y1142)/(T1142*X1142*O1142)</f>
        <v>#REF!</v>
      </c>
      <c r="O1142">
        <v>2</v>
      </c>
      <c r="P1142" t="s">
        <v>33</v>
      </c>
      <c r="Q1142" s="1">
        <f t="shared" si="583"/>
        <v>0.33333333333333331</v>
      </c>
      <c r="R1142" t="s">
        <v>183</v>
      </c>
      <c r="S1142" t="s">
        <v>613</v>
      </c>
      <c r="T1142">
        <v>6</v>
      </c>
      <c r="U1142">
        <v>2.92</v>
      </c>
      <c r="V1142">
        <v>2.2999999999999998</v>
      </c>
      <c r="W1142" t="s">
        <v>33</v>
      </c>
      <c r="X1142">
        <f>IFERROR(((PI())*(((V1142*10^-1)/2)^2)*(U1142*10^-1)), "NA")</f>
        <v>1.2131888350367701E-2</v>
      </c>
      <c r="Y1142">
        <v>1.4</v>
      </c>
      <c r="Z1142" s="3">
        <f t="shared" si="584"/>
        <v>3.6395665051103102E-2</v>
      </c>
      <c r="AA1142" t="s">
        <v>33</v>
      </c>
      <c r="AB1142">
        <f t="shared" si="585"/>
        <v>33.333333333333336</v>
      </c>
      <c r="AC1142" s="1" t="str">
        <f t="shared" si="586"/>
        <v>NA</v>
      </c>
      <c r="AE1142" s="3">
        <f t="shared" si="587"/>
        <v>2232</v>
      </c>
      <c r="AF1142">
        <v>400</v>
      </c>
      <c r="AG1142" s="1" t="str">
        <f>IFERROR((N1142*P1142*Q1142), "NA")</f>
        <v>NA</v>
      </c>
      <c r="AH1142" s="1" t="str">
        <f>IFERROR((AG1142*U1142*AI1142), "NA")</f>
        <v>NA</v>
      </c>
      <c r="AI1142" s="1">
        <v>1</v>
      </c>
      <c r="AJ1142" s="11" t="s">
        <v>31</v>
      </c>
      <c r="AK1142">
        <v>6200</v>
      </c>
      <c r="AL1142" t="s">
        <v>561</v>
      </c>
      <c r="AM1142" s="3" t="s">
        <v>786</v>
      </c>
      <c r="AN1142" t="s">
        <v>186</v>
      </c>
      <c r="AO1142" t="s">
        <v>793</v>
      </c>
      <c r="AP1142">
        <v>7.6</v>
      </c>
      <c r="AQ1142" t="s">
        <v>33</v>
      </c>
      <c r="AR1142" t="s">
        <v>33</v>
      </c>
      <c r="AS1142">
        <v>8</v>
      </c>
      <c r="AT1142">
        <f>AS1142-AU1142</f>
        <v>5.87</v>
      </c>
      <c r="AU1142" s="6">
        <v>2.13</v>
      </c>
      <c r="AV1142" t="b">
        <v>1</v>
      </c>
      <c r="AW1142" t="s">
        <v>617</v>
      </c>
      <c r="AX1142" t="s">
        <v>624</v>
      </c>
      <c r="AY1142" t="s">
        <v>625</v>
      </c>
      <c r="AZ1142" t="s">
        <v>33</v>
      </c>
      <c r="BA1142" s="18" t="s">
        <v>802</v>
      </c>
      <c r="BB1142" s="3" t="b">
        <v>0</v>
      </c>
      <c r="BC1142" t="s">
        <v>81</v>
      </c>
      <c r="BD1142">
        <v>13</v>
      </c>
      <c r="BE1142" t="s">
        <v>80</v>
      </c>
      <c r="BF1142">
        <v>48</v>
      </c>
      <c r="BG1142" t="s">
        <v>568</v>
      </c>
      <c r="BH1142" t="s">
        <v>31</v>
      </c>
      <c r="BI1142" t="s">
        <v>31</v>
      </c>
      <c r="BJ1142">
        <f t="shared" si="571"/>
        <v>2.13</v>
      </c>
      <c r="BK1142" s="3">
        <f t="shared" si="581"/>
        <v>0.32837960343873768</v>
      </c>
      <c r="BL1142">
        <v>2</v>
      </c>
      <c r="BM1142" s="3">
        <f t="shared" si="582"/>
        <v>3.0203145868268035</v>
      </c>
      <c r="BN1142" t="s">
        <v>33</v>
      </c>
      <c r="BO1142" s="3">
        <f t="shared" si="559"/>
        <v>1047.8873239436621</v>
      </c>
      <c r="BP1142" t="s">
        <v>33</v>
      </c>
      <c r="BQ1142" t="s">
        <v>33</v>
      </c>
      <c r="BR1142" t="s">
        <v>33</v>
      </c>
      <c r="BS1142" t="s">
        <v>33</v>
      </c>
      <c r="BT1142" t="s">
        <v>31</v>
      </c>
      <c r="BU1142" t="s">
        <v>344</v>
      </c>
      <c r="BV1142">
        <v>2007</v>
      </c>
      <c r="BW1142" t="s">
        <v>345</v>
      </c>
      <c r="BX1142" t="s">
        <v>78</v>
      </c>
      <c r="BY1142" s="13" t="s">
        <v>676</v>
      </c>
      <c r="CA1142" t="str">
        <f t="shared" si="560"/>
        <v>low acid</v>
      </c>
    </row>
    <row r="1143" spans="1:79">
      <c r="A1143" t="s">
        <v>587</v>
      </c>
      <c r="B1143" t="s">
        <v>565</v>
      </c>
      <c r="C1143" t="s">
        <v>563</v>
      </c>
      <c r="D1143" t="s">
        <v>118</v>
      </c>
      <c r="E1143" t="s">
        <v>77</v>
      </c>
      <c r="F1143" t="s">
        <v>32</v>
      </c>
      <c r="G1143">
        <v>40</v>
      </c>
      <c r="H1143">
        <v>40</v>
      </c>
      <c r="I1143" t="b">
        <v>1</v>
      </c>
      <c r="J1143" t="s">
        <v>33</v>
      </c>
      <c r="K1143" t="s">
        <v>33</v>
      </c>
      <c r="L1143">
        <v>30</v>
      </c>
      <c r="M1143" s="4">
        <v>100</v>
      </c>
      <c r="N1143" t="e">
        <f>(#REF!*Y1143)/(T1143*X1143*O1143)</f>
        <v>#REF!</v>
      </c>
      <c r="O1143">
        <v>2</v>
      </c>
      <c r="P1143" t="s">
        <v>33</v>
      </c>
      <c r="Q1143" s="1">
        <f t="shared" si="583"/>
        <v>0.33333333333333331</v>
      </c>
      <c r="R1143" t="s">
        <v>183</v>
      </c>
      <c r="S1143" t="s">
        <v>613</v>
      </c>
      <c r="T1143">
        <v>6</v>
      </c>
      <c r="U1143">
        <v>2.92</v>
      </c>
      <c r="V1143">
        <v>2.2999999999999998</v>
      </c>
      <c r="W1143" t="s">
        <v>33</v>
      </c>
      <c r="X1143">
        <f>IFERROR(((PI())*(((V1143*10^-1)/2)^2)*(U1143*10^-1)), "NA")</f>
        <v>1.2131888350367701E-2</v>
      </c>
      <c r="Y1143">
        <v>1.4</v>
      </c>
      <c r="Z1143" s="3">
        <f t="shared" si="584"/>
        <v>3.6395665051103102E-2</v>
      </c>
      <c r="AA1143" t="s">
        <v>33</v>
      </c>
      <c r="AB1143">
        <f t="shared" si="585"/>
        <v>33.333333333333336</v>
      </c>
      <c r="AC1143" s="1" t="str">
        <f t="shared" si="586"/>
        <v>NA</v>
      </c>
      <c r="AE1143" s="3">
        <f t="shared" si="587"/>
        <v>2232</v>
      </c>
      <c r="AF1143">
        <v>400</v>
      </c>
      <c r="AG1143" s="1" t="str">
        <f>IFERROR((N1143*P1143*Q1143), "NA")</f>
        <v>NA</v>
      </c>
      <c r="AH1143" s="1" t="str">
        <f>IFERROR((AG1143*U1143*AI1143), "NA")</f>
        <v>NA</v>
      </c>
      <c r="AI1143" s="1">
        <v>1</v>
      </c>
      <c r="AJ1143" s="11" t="s">
        <v>31</v>
      </c>
      <c r="AK1143">
        <v>6200</v>
      </c>
      <c r="AL1143" t="s">
        <v>561</v>
      </c>
      <c r="AM1143" s="3" t="s">
        <v>786</v>
      </c>
      <c r="AN1143" t="s">
        <v>186</v>
      </c>
      <c r="AO1143" t="s">
        <v>793</v>
      </c>
      <c r="AP1143">
        <v>7.6</v>
      </c>
      <c r="AQ1143" t="s">
        <v>33</v>
      </c>
      <c r="AR1143" t="s">
        <v>33</v>
      </c>
      <c r="AS1143">
        <v>8</v>
      </c>
      <c r="AT1143">
        <f>AS1143-AU1143</f>
        <v>5.87</v>
      </c>
      <c r="AU1143" s="6">
        <v>2.13</v>
      </c>
      <c r="AV1143" t="b">
        <v>1</v>
      </c>
      <c r="AW1143" t="s">
        <v>626</v>
      </c>
      <c r="AX1143" t="s">
        <v>627</v>
      </c>
      <c r="AY1143" t="s">
        <v>622</v>
      </c>
      <c r="AZ1143" t="s">
        <v>33</v>
      </c>
      <c r="BA1143" s="18" t="s">
        <v>800</v>
      </c>
      <c r="BB1143" s="3" t="b">
        <v>0</v>
      </c>
      <c r="BC1143" t="s">
        <v>81</v>
      </c>
      <c r="BD1143">
        <v>13</v>
      </c>
      <c r="BE1143" t="s">
        <v>80</v>
      </c>
      <c r="BF1143">
        <v>48</v>
      </c>
      <c r="BG1143" t="s">
        <v>568</v>
      </c>
      <c r="BH1143" t="s">
        <v>31</v>
      </c>
      <c r="BI1143" t="s">
        <v>31</v>
      </c>
      <c r="BJ1143">
        <f t="shared" si="571"/>
        <v>2.13</v>
      </c>
      <c r="BK1143" s="3">
        <f t="shared" si="581"/>
        <v>0.32837960343873768</v>
      </c>
      <c r="BL1143">
        <v>2</v>
      </c>
      <c r="BM1143" s="3">
        <f t="shared" si="582"/>
        <v>3.0203145868268035</v>
      </c>
      <c r="BN1143" t="s">
        <v>33</v>
      </c>
      <c r="BO1143" s="3">
        <f t="shared" si="559"/>
        <v>1047.8873239436621</v>
      </c>
      <c r="BP1143" t="s">
        <v>33</v>
      </c>
      <c r="BQ1143" t="s">
        <v>33</v>
      </c>
      <c r="BR1143" t="s">
        <v>33</v>
      </c>
      <c r="BS1143" t="s">
        <v>33</v>
      </c>
      <c r="BT1143" t="s">
        <v>31</v>
      </c>
      <c r="BU1143" t="s">
        <v>344</v>
      </c>
      <c r="BV1143">
        <v>2007</v>
      </c>
      <c r="BW1143" t="s">
        <v>345</v>
      </c>
      <c r="BX1143" t="s">
        <v>78</v>
      </c>
      <c r="BY1143" s="13" t="s">
        <v>676</v>
      </c>
      <c r="CA1143" t="str">
        <f t="shared" si="560"/>
        <v>low acid</v>
      </c>
    </row>
    <row r="1144" spans="1:79">
      <c r="A1144" t="s">
        <v>764</v>
      </c>
      <c r="B1144" t="s">
        <v>565</v>
      </c>
      <c r="C1144" t="s">
        <v>563</v>
      </c>
      <c r="D1144" t="s">
        <v>765</v>
      </c>
      <c r="E1144" t="s">
        <v>77</v>
      </c>
      <c r="F1144" t="s">
        <v>31</v>
      </c>
      <c r="G1144">
        <v>23</v>
      </c>
      <c r="H1144">
        <v>52</v>
      </c>
      <c r="I1144" t="b">
        <v>0</v>
      </c>
      <c r="J1144" t="s">
        <v>33</v>
      </c>
      <c r="K1144" t="s">
        <v>33</v>
      </c>
      <c r="L1144">
        <v>20</v>
      </c>
      <c r="M1144" s="4">
        <f>N1144</f>
        <v>540.74074074074065</v>
      </c>
      <c r="N1144" s="3">
        <f>IFERROR(AF1144/((T1144*X1144/Y1144)*O1144*AI1144),"NA")</f>
        <v>540.74074074074065</v>
      </c>
      <c r="O1144">
        <v>3</v>
      </c>
      <c r="P1144">
        <v>5.4399999999999997E-2</v>
      </c>
      <c r="Q1144" s="8">
        <f>IFERROR(X1144/Y1144, "NA")</f>
        <v>5.3999999999999999E-2</v>
      </c>
      <c r="R1144" t="s">
        <v>183</v>
      </c>
      <c r="S1144" t="s">
        <v>33</v>
      </c>
      <c r="T1144" s="11">
        <v>1</v>
      </c>
      <c r="U1144" t="s">
        <v>33</v>
      </c>
      <c r="V1144" t="s">
        <v>33</v>
      </c>
      <c r="W1144">
        <v>4.4999999999999997E-3</v>
      </c>
      <c r="X1144">
        <f>W1144</f>
        <v>4.4999999999999997E-3</v>
      </c>
      <c r="Y1144" s="6">
        <f>5/60</f>
        <v>8.3333333333333329E-2</v>
      </c>
      <c r="Z1144" s="6">
        <f>Y1144</f>
        <v>8.3333333333333329E-2</v>
      </c>
      <c r="AA1144" t="s">
        <v>33</v>
      </c>
      <c r="AB1144" s="4">
        <f>IFERROR(((X1144*M1144)/Y1144), "NA")</f>
        <v>29.199999999999992</v>
      </c>
      <c r="AC1144" s="4">
        <f t="shared" si="586"/>
        <v>29.416296296296288</v>
      </c>
      <c r="AD1144" s="4">
        <f>AB1144*T1144*AI1144</f>
        <v>29.199999999999992</v>
      </c>
      <c r="AE1144" s="3">
        <f t="shared" si="587"/>
        <v>105.11999999999998</v>
      </c>
      <c r="AF1144">
        <v>87.6</v>
      </c>
      <c r="AG1144" s="4">
        <f>IFERROR((M1144*O1144*P1144), "NA")</f>
        <v>88.248888888888871</v>
      </c>
      <c r="AH1144" s="4">
        <f>IFERROR((AG1144*T1144*AI1144), "NA")</f>
        <v>88.248888888888871</v>
      </c>
      <c r="AI1144">
        <v>1</v>
      </c>
      <c r="AJ1144" s="11" t="s">
        <v>31</v>
      </c>
      <c r="AK1144">
        <v>3000</v>
      </c>
      <c r="AL1144" t="s">
        <v>169</v>
      </c>
      <c r="AM1144" t="s">
        <v>103</v>
      </c>
      <c r="AN1144" t="s">
        <v>130</v>
      </c>
      <c r="AO1144" t="s">
        <v>795</v>
      </c>
      <c r="AP1144">
        <v>7.3</v>
      </c>
      <c r="AQ1144" t="s">
        <v>33</v>
      </c>
      <c r="AR1144" t="s">
        <v>33</v>
      </c>
      <c r="AS1144">
        <v>7</v>
      </c>
      <c r="AT1144" s="3">
        <f>IFERROR(AS1144-AU1144,"NA")</f>
        <v>5.8730000000000002</v>
      </c>
      <c r="AU1144" s="6">
        <v>1.127</v>
      </c>
      <c r="AV1144" t="b">
        <v>1</v>
      </c>
      <c r="AW1144" t="s">
        <v>29</v>
      </c>
      <c r="AX1144" t="s">
        <v>30</v>
      </c>
      <c r="AY1144" t="s">
        <v>766</v>
      </c>
      <c r="AZ1144" t="s">
        <v>33</v>
      </c>
      <c r="BA1144" s="18" t="s">
        <v>798</v>
      </c>
      <c r="BB1144" s="3" t="b">
        <v>0</v>
      </c>
      <c r="BC1144" t="s">
        <v>81</v>
      </c>
      <c r="BD1144">
        <v>16</v>
      </c>
      <c r="BE1144" t="s">
        <v>80</v>
      </c>
      <c r="BF1144">
        <v>24</v>
      </c>
      <c r="BG1144" t="s">
        <v>569</v>
      </c>
      <c r="BH1144" t="s">
        <v>31</v>
      </c>
      <c r="BI1144" t="s">
        <v>31</v>
      </c>
      <c r="BJ1144" s="3">
        <f t="shared" si="571"/>
        <v>1.127</v>
      </c>
      <c r="BK1144" s="3">
        <f t="shared" si="581"/>
        <v>5.1923916046106543E-2</v>
      </c>
      <c r="BL1144">
        <v>2</v>
      </c>
      <c r="BM1144" s="3">
        <f t="shared" si="582"/>
        <v>1.969761436169599</v>
      </c>
      <c r="BN1144" t="s">
        <v>33</v>
      </c>
      <c r="BO1144" s="3">
        <f t="shared" si="559"/>
        <v>93.274179236912133</v>
      </c>
      <c r="BP1144" t="s">
        <v>33</v>
      </c>
      <c r="BQ1144" t="s">
        <v>33</v>
      </c>
      <c r="BR1144" t="s">
        <v>33</v>
      </c>
      <c r="BS1144" t="s">
        <v>33</v>
      </c>
      <c r="BT1144" t="s">
        <v>31</v>
      </c>
      <c r="BU1144" t="s">
        <v>767</v>
      </c>
      <c r="BV1144">
        <v>2021</v>
      </c>
      <c r="BW1144" t="s">
        <v>768</v>
      </c>
      <c r="BX1144" t="s">
        <v>78</v>
      </c>
      <c r="BY1144" t="s">
        <v>769</v>
      </c>
      <c r="CA1144" t="str">
        <f t="shared" si="560"/>
        <v>low acid</v>
      </c>
    </row>
    <row r="1145" spans="1:79">
      <c r="A1145" t="s">
        <v>599</v>
      </c>
      <c r="B1145" t="s">
        <v>565</v>
      </c>
      <c r="C1145" t="s">
        <v>563</v>
      </c>
      <c r="D1145" t="s">
        <v>118</v>
      </c>
      <c r="E1145" t="s">
        <v>77</v>
      </c>
      <c r="F1145" t="s">
        <v>32</v>
      </c>
      <c r="G1145" t="s">
        <v>33</v>
      </c>
      <c r="H1145" t="s">
        <v>33</v>
      </c>
      <c r="I1145" t="b">
        <v>0</v>
      </c>
      <c r="J1145" t="s">
        <v>33</v>
      </c>
      <c r="K1145" t="s">
        <v>33</v>
      </c>
      <c r="L1145">
        <v>17</v>
      </c>
      <c r="M1145" s="4">
        <v>500</v>
      </c>
      <c r="N1145" t="e">
        <f>(#REF!*Y1145)/(T1145*X1145*O1145)</f>
        <v>#REF!</v>
      </c>
      <c r="O1145">
        <v>3</v>
      </c>
      <c r="P1145" t="s">
        <v>33</v>
      </c>
      <c r="Q1145" s="1">
        <f t="shared" ref="Q1145:Q1150" si="588">IFERROR(X1145/Z1145, "NA")</f>
        <v>1.4555555555555554E-2</v>
      </c>
      <c r="R1145" t="s">
        <v>183</v>
      </c>
      <c r="S1145" t="s">
        <v>613</v>
      </c>
      <c r="T1145">
        <v>6</v>
      </c>
      <c r="U1145">
        <v>2.2999999999999998</v>
      </c>
      <c r="V1145">
        <v>2.9</v>
      </c>
      <c r="W1145">
        <v>0.36420000000000002</v>
      </c>
      <c r="X1145">
        <f>IFERROR(((PI())*(((V1145*10^-1)/2)^2)*(U1145*10^-1)), "NA")</f>
        <v>1.519195667459684E-2</v>
      </c>
      <c r="Y1145">
        <v>0.83333299999999999</v>
      </c>
      <c r="Z1145" s="3">
        <f>IFERROR(X1145*M1145*O1145*T1145*AI1145/AF1145, "NA")</f>
        <v>1.0437222142852791</v>
      </c>
      <c r="AA1145" t="s">
        <v>33</v>
      </c>
      <c r="AB1145">
        <f>IFERROR(((X1145*M1145)/Z1145), "NA")</f>
        <v>7.2777777777777777</v>
      </c>
      <c r="AC1145" s="1" t="str">
        <f t="shared" si="586"/>
        <v>NA</v>
      </c>
      <c r="AE1145" s="3">
        <f t="shared" si="587"/>
        <v>137.80675999999997</v>
      </c>
      <c r="AF1145">
        <v>131</v>
      </c>
      <c r="AG1145" s="1" t="str">
        <f>IFERROR((N1145*P1145*Q1145), "NA")</f>
        <v>NA</v>
      </c>
      <c r="AH1145" s="1" t="str">
        <f>IFERROR((AG1145*U1145*AI1145), "NA")</f>
        <v>NA</v>
      </c>
      <c r="AI1145" s="1">
        <v>1</v>
      </c>
      <c r="AJ1145" s="11" t="s">
        <v>31</v>
      </c>
      <c r="AK1145">
        <f>3.64*10^3</f>
        <v>3640</v>
      </c>
      <c r="AL1145" t="s">
        <v>145</v>
      </c>
      <c r="AM1145" t="s">
        <v>86</v>
      </c>
      <c r="AN1145" t="s">
        <v>205</v>
      </c>
      <c r="AO1145" t="s">
        <v>789</v>
      </c>
      <c r="AP1145">
        <v>3.19</v>
      </c>
      <c r="AQ1145" t="s">
        <v>33</v>
      </c>
      <c r="AR1145" t="s">
        <v>33</v>
      </c>
      <c r="AS1145">
        <v>7.36</v>
      </c>
      <c r="AT1145">
        <v>5.88</v>
      </c>
      <c r="AU1145" s="6">
        <f>AS1145-AT1145</f>
        <v>1.4800000000000004</v>
      </c>
      <c r="AV1145" t="b">
        <v>1</v>
      </c>
      <c r="AW1145" t="s">
        <v>632</v>
      </c>
      <c r="AX1145" t="s">
        <v>639</v>
      </c>
      <c r="AY1145" t="s">
        <v>33</v>
      </c>
      <c r="AZ1145" t="s">
        <v>33</v>
      </c>
      <c r="BA1145" s="18" t="s">
        <v>803</v>
      </c>
      <c r="BB1145" s="3" t="b">
        <v>0</v>
      </c>
      <c r="BC1145" t="s">
        <v>81</v>
      </c>
      <c r="BD1145">
        <f>AVERAGE(24,48)</f>
        <v>36</v>
      </c>
      <c r="BE1145" t="s">
        <v>80</v>
      </c>
      <c r="BF1145">
        <v>48</v>
      </c>
      <c r="BG1145" t="s">
        <v>647</v>
      </c>
      <c r="BH1145" t="s">
        <v>31</v>
      </c>
      <c r="BI1145" t="s">
        <v>31</v>
      </c>
      <c r="BJ1145" s="3">
        <f t="shared" si="571"/>
        <v>1.4800000000000004</v>
      </c>
      <c r="BK1145" s="3">
        <f t="shared" si="581"/>
        <v>0.17026171539495752</v>
      </c>
      <c r="BL1145">
        <v>2</v>
      </c>
      <c r="BM1145" s="3">
        <f t="shared" si="582"/>
        <v>1.9690088066664104</v>
      </c>
      <c r="BN1145" t="s">
        <v>33</v>
      </c>
      <c r="BO1145" s="3">
        <f t="shared" si="559"/>
        <v>93.112675675675632</v>
      </c>
      <c r="BP1145" t="s">
        <v>33</v>
      </c>
      <c r="BQ1145" t="s">
        <v>33</v>
      </c>
      <c r="BR1145" t="s">
        <v>33</v>
      </c>
      <c r="BS1145" t="s">
        <v>33</v>
      </c>
      <c r="BT1145" t="s">
        <v>31</v>
      </c>
      <c r="BU1145" s="13" t="s">
        <v>135</v>
      </c>
      <c r="BV1145" s="14">
        <v>2010</v>
      </c>
      <c r="BW1145" s="13" t="s">
        <v>140</v>
      </c>
      <c r="BX1145" t="s">
        <v>78</v>
      </c>
      <c r="BY1145" s="13" t="s">
        <v>687</v>
      </c>
      <c r="CA1145" t="str">
        <f t="shared" si="560"/>
        <v>high acid</v>
      </c>
    </row>
    <row r="1146" spans="1:79">
      <c r="A1146" t="s">
        <v>584</v>
      </c>
      <c r="B1146" t="s">
        <v>566</v>
      </c>
      <c r="C1146" t="s">
        <v>563</v>
      </c>
      <c r="D1146" t="s">
        <v>607</v>
      </c>
      <c r="E1146" t="s">
        <v>77</v>
      </c>
      <c r="F1146" t="s">
        <v>33</v>
      </c>
      <c r="G1146">
        <v>20</v>
      </c>
      <c r="H1146">
        <v>35</v>
      </c>
      <c r="I1146" t="b">
        <v>0</v>
      </c>
      <c r="J1146">
        <v>1000</v>
      </c>
      <c r="K1146">
        <v>200</v>
      </c>
      <c r="L1146">
        <v>25</v>
      </c>
      <c r="M1146" s="4">
        <v>1</v>
      </c>
      <c r="N1146" t="e">
        <f>(#REF!*Y1146)/(T1146*X1146*O1146)</f>
        <v>#REF!</v>
      </c>
      <c r="O1146">
        <v>3</v>
      </c>
      <c r="P1146" t="s">
        <v>33</v>
      </c>
      <c r="Q1146" s="1">
        <f t="shared" si="588"/>
        <v>25.000000000000004</v>
      </c>
      <c r="R1146" t="s">
        <v>183</v>
      </c>
      <c r="S1146" t="s">
        <v>33</v>
      </c>
      <c r="T1146">
        <v>1</v>
      </c>
      <c r="U1146">
        <v>2.5</v>
      </c>
      <c r="V1146" t="s">
        <v>33</v>
      </c>
      <c r="W1146">
        <v>0.50249999999999995</v>
      </c>
      <c r="X1146">
        <f>W1146</f>
        <v>0.50249999999999995</v>
      </c>
      <c r="Y1146" t="s">
        <v>33</v>
      </c>
      <c r="Z1146" s="3">
        <f>IFERROR(X1146*M1146*O1146*T1146*AI1146/AF1146, "NA")</f>
        <v>2.0099999999999996E-2</v>
      </c>
      <c r="AA1146" t="s">
        <v>33</v>
      </c>
      <c r="AB1146">
        <f>IFERROR(((X1146*M1146)/Z1146), "NA")</f>
        <v>25.000000000000004</v>
      </c>
      <c r="AC1146" s="1" t="str">
        <f t="shared" si="586"/>
        <v>NA</v>
      </c>
      <c r="AE1146" s="3">
        <f t="shared" si="587"/>
        <v>46.875000000000007</v>
      </c>
      <c r="AF1146">
        <v>75</v>
      </c>
      <c r="AG1146" s="1" t="str">
        <f>IFERROR((N1146*P1146*Q1146), "NA")</f>
        <v>NA</v>
      </c>
      <c r="AH1146" s="1" t="str">
        <f>IFERROR((AG1146*U1146*AI1146), "NA")</f>
        <v>NA</v>
      </c>
      <c r="AI1146" s="1">
        <v>1</v>
      </c>
      <c r="AJ1146" s="11" t="s">
        <v>31</v>
      </c>
      <c r="AK1146">
        <v>1000</v>
      </c>
      <c r="AL1146" t="s">
        <v>614</v>
      </c>
      <c r="AM1146" s="3" t="s">
        <v>103</v>
      </c>
      <c r="AN1146" t="s">
        <v>130</v>
      </c>
      <c r="AO1146" t="s">
        <v>795</v>
      </c>
      <c r="AP1146">
        <v>7</v>
      </c>
      <c r="AQ1146" t="s">
        <v>33</v>
      </c>
      <c r="AR1146" t="s">
        <v>33</v>
      </c>
      <c r="AS1146">
        <v>8</v>
      </c>
      <c r="AT1146">
        <f>AS1146-AU1146</f>
        <v>5.8900000000000006</v>
      </c>
      <c r="AU1146" s="6">
        <v>2.11</v>
      </c>
      <c r="AV1146" t="b">
        <v>1</v>
      </c>
      <c r="AW1146" t="s">
        <v>617</v>
      </c>
      <c r="AX1146" t="s">
        <v>33</v>
      </c>
      <c r="AY1146" t="s">
        <v>623</v>
      </c>
      <c r="AZ1146" t="s">
        <v>621</v>
      </c>
      <c r="BA1146" s="18" t="s">
        <v>802</v>
      </c>
      <c r="BB1146" s="3" t="b">
        <v>0</v>
      </c>
      <c r="BC1146" t="s">
        <v>81</v>
      </c>
      <c r="BD1146">
        <v>18</v>
      </c>
      <c r="BE1146" t="s">
        <v>80</v>
      </c>
      <c r="BF1146">
        <v>24</v>
      </c>
      <c r="BG1146" t="s">
        <v>642</v>
      </c>
      <c r="BH1146" t="s">
        <v>32</v>
      </c>
      <c r="BI1146" t="s">
        <v>31</v>
      </c>
      <c r="BJ1146">
        <f t="shared" si="571"/>
        <v>2.11</v>
      </c>
      <c r="BK1146" s="3">
        <f t="shared" si="581"/>
        <v>0.32428245529769262</v>
      </c>
      <c r="BL1146">
        <v>2</v>
      </c>
      <c r="BM1146" s="3">
        <f t="shared" si="582"/>
        <v>1.3466588254380827</v>
      </c>
      <c r="BN1146" t="s">
        <v>33</v>
      </c>
      <c r="BO1146" s="3">
        <f t="shared" si="559"/>
        <v>22.215639810426545</v>
      </c>
      <c r="BP1146" t="s">
        <v>33</v>
      </c>
      <c r="BQ1146" t="s">
        <v>33</v>
      </c>
      <c r="BR1146" t="s">
        <v>33</v>
      </c>
      <c r="BS1146" t="s">
        <v>33</v>
      </c>
      <c r="BT1146" t="s">
        <v>31</v>
      </c>
      <c r="BU1146" t="s">
        <v>255</v>
      </c>
      <c r="BV1146">
        <v>2010</v>
      </c>
      <c r="BW1146" t="s">
        <v>651</v>
      </c>
      <c r="BX1146" t="s">
        <v>78</v>
      </c>
      <c r="BY1146" s="13" t="s">
        <v>674</v>
      </c>
      <c r="CA1146" t="str">
        <f t="shared" si="560"/>
        <v>low acid</v>
      </c>
    </row>
    <row r="1147" spans="1:79">
      <c r="A1147" t="s">
        <v>589</v>
      </c>
      <c r="B1147" t="s">
        <v>566</v>
      </c>
      <c r="C1147" t="s">
        <v>563</v>
      </c>
      <c r="D1147" t="s">
        <v>33</v>
      </c>
      <c r="E1147" t="s">
        <v>77</v>
      </c>
      <c r="F1147" t="s">
        <v>33</v>
      </c>
      <c r="G1147" t="s">
        <v>33</v>
      </c>
      <c r="H1147">
        <v>35</v>
      </c>
      <c r="I1147" t="b">
        <v>0</v>
      </c>
      <c r="J1147" t="s">
        <v>33</v>
      </c>
      <c r="K1147" t="s">
        <v>33</v>
      </c>
      <c r="L1147">
        <v>15</v>
      </c>
      <c r="M1147" s="4">
        <v>1</v>
      </c>
      <c r="N1147" t="e">
        <f>(#REF!*Y1147)/(T1147*X1147*O1147)</f>
        <v>#REF!</v>
      </c>
      <c r="O1147">
        <v>2</v>
      </c>
      <c r="P1147" t="s">
        <v>33</v>
      </c>
      <c r="Q1147" s="1">
        <f t="shared" si="588"/>
        <v>197.5</v>
      </c>
      <c r="R1147" t="s">
        <v>183</v>
      </c>
      <c r="S1147" t="s">
        <v>613</v>
      </c>
      <c r="T1147">
        <v>1</v>
      </c>
      <c r="U1147">
        <v>2.5</v>
      </c>
      <c r="V1147" t="s">
        <v>33</v>
      </c>
      <c r="W1147">
        <v>0.50249999999999995</v>
      </c>
      <c r="X1147">
        <f>W1147</f>
        <v>0.50249999999999995</v>
      </c>
      <c r="Y1147" t="s">
        <v>33</v>
      </c>
      <c r="Z1147" s="3">
        <f>IFERROR(X1147*M1147*O1147*T1147*AI1147/AF1147, "NA")</f>
        <v>2.5443037974683543E-3</v>
      </c>
      <c r="AA1147" t="s">
        <v>33</v>
      </c>
      <c r="AB1147">
        <f>IFERROR(((X1147*M1147)/Z1147), "NA")</f>
        <v>197.5</v>
      </c>
      <c r="AC1147" s="1" t="str">
        <f t="shared" si="586"/>
        <v>NA</v>
      </c>
      <c r="AE1147" s="3">
        <f t="shared" si="587"/>
        <v>177.74999999999997</v>
      </c>
      <c r="AF1147">
        <v>395</v>
      </c>
      <c r="AG1147" s="1" t="str">
        <f>IFERROR((N1147*P1147*Q1147), "NA")</f>
        <v>NA</v>
      </c>
      <c r="AH1147" s="1" t="str">
        <f>IFERROR((AG1147*U1147*AI1147), "NA")</f>
        <v>NA</v>
      </c>
      <c r="AI1147" s="1">
        <v>1</v>
      </c>
      <c r="AJ1147" s="11" t="s">
        <v>31</v>
      </c>
      <c r="AK1147">
        <v>2000</v>
      </c>
      <c r="AL1147" t="s">
        <v>616</v>
      </c>
      <c r="AM1147" s="3" t="s">
        <v>103</v>
      </c>
      <c r="AN1147" t="s">
        <v>130</v>
      </c>
      <c r="AO1147" t="s">
        <v>795</v>
      </c>
      <c r="AP1147">
        <v>7</v>
      </c>
      <c r="AQ1147" t="s">
        <v>33</v>
      </c>
      <c r="AR1147" t="s">
        <v>33</v>
      </c>
      <c r="AS1147">
        <v>9</v>
      </c>
      <c r="AT1147">
        <f>AS1147-AU1147</f>
        <v>5.8900000000000006</v>
      </c>
      <c r="AU1147" s="6">
        <v>3.11</v>
      </c>
      <c r="AV1147" t="b">
        <v>1</v>
      </c>
      <c r="AW1147" t="s">
        <v>617</v>
      </c>
      <c r="AX1147" t="s">
        <v>33</v>
      </c>
      <c r="AY1147" t="s">
        <v>629</v>
      </c>
      <c r="AZ1147" t="s">
        <v>630</v>
      </c>
      <c r="BA1147" s="18" t="s">
        <v>802</v>
      </c>
      <c r="BB1147" s="3" t="b">
        <v>0</v>
      </c>
      <c r="BC1147" t="s">
        <v>81</v>
      </c>
      <c r="BD1147">
        <v>24</v>
      </c>
      <c r="BE1147" t="s">
        <v>80</v>
      </c>
      <c r="BF1147">
        <v>24</v>
      </c>
      <c r="BG1147" t="s">
        <v>644</v>
      </c>
      <c r="BH1147" t="s">
        <v>31</v>
      </c>
      <c r="BI1147" t="s">
        <v>31</v>
      </c>
      <c r="BJ1147">
        <f t="shared" si="571"/>
        <v>3.11</v>
      </c>
      <c r="BK1147" s="3">
        <f t="shared" si="581"/>
        <v>0.4927603890268375</v>
      </c>
      <c r="BL1147">
        <v>2</v>
      </c>
      <c r="BM1147" s="3">
        <f t="shared" si="582"/>
        <v>1.7570492203749664</v>
      </c>
      <c r="BN1147" t="s">
        <v>33</v>
      </c>
      <c r="BO1147" s="3">
        <f t="shared" si="559"/>
        <v>57.154340836012857</v>
      </c>
      <c r="BP1147" t="s">
        <v>33</v>
      </c>
      <c r="BQ1147" t="s">
        <v>33</v>
      </c>
      <c r="BR1147" t="s">
        <v>33</v>
      </c>
      <c r="BS1147" t="s">
        <v>33</v>
      </c>
      <c r="BT1147" t="s">
        <v>31</v>
      </c>
      <c r="BU1147" s="15" t="s">
        <v>655</v>
      </c>
      <c r="BV1147">
        <v>2003</v>
      </c>
      <c r="BW1147" t="s">
        <v>656</v>
      </c>
      <c r="BX1147" t="s">
        <v>78</v>
      </c>
      <c r="BY1147" s="13" t="s">
        <v>677</v>
      </c>
      <c r="CA1147" t="str">
        <f t="shared" si="560"/>
        <v>low acid</v>
      </c>
    </row>
    <row r="1148" spans="1:79">
      <c r="A1148" t="s">
        <v>589</v>
      </c>
      <c r="B1148" t="s">
        <v>566</v>
      </c>
      <c r="C1148" t="s">
        <v>563</v>
      </c>
      <c r="D1148" t="s">
        <v>33</v>
      </c>
      <c r="E1148" t="s">
        <v>77</v>
      </c>
      <c r="F1148" t="s">
        <v>33</v>
      </c>
      <c r="G1148" t="s">
        <v>33</v>
      </c>
      <c r="H1148">
        <v>35</v>
      </c>
      <c r="I1148" t="b">
        <v>0</v>
      </c>
      <c r="J1148" t="s">
        <v>33</v>
      </c>
      <c r="K1148" t="s">
        <v>33</v>
      </c>
      <c r="L1148">
        <v>19</v>
      </c>
      <c r="M1148" s="4">
        <v>1</v>
      </c>
      <c r="N1148" t="e">
        <f>(#REF!*Y1148)/(T1148*X1148*O1148)</f>
        <v>#REF!</v>
      </c>
      <c r="O1148">
        <v>2</v>
      </c>
      <c r="P1148" t="s">
        <v>33</v>
      </c>
      <c r="Q1148" s="1">
        <f t="shared" si="588"/>
        <v>98.75</v>
      </c>
      <c r="R1148" t="s">
        <v>183</v>
      </c>
      <c r="S1148" t="s">
        <v>613</v>
      </c>
      <c r="T1148">
        <v>1</v>
      </c>
      <c r="U1148">
        <v>2.5</v>
      </c>
      <c r="V1148" t="s">
        <v>33</v>
      </c>
      <c r="W1148">
        <v>0.50249999999999995</v>
      </c>
      <c r="X1148">
        <f>W1148</f>
        <v>0.50249999999999995</v>
      </c>
      <c r="Y1148" t="s">
        <v>33</v>
      </c>
      <c r="Z1148" s="3">
        <f>IFERROR(X1148*M1148*O1148*T1148*AI1148/AF1148, "NA")</f>
        <v>5.0886075949367086E-3</v>
      </c>
      <c r="AA1148" t="s">
        <v>33</v>
      </c>
      <c r="AB1148">
        <f>IFERROR(((X1148*M1148)/Z1148), "NA")</f>
        <v>98.75</v>
      </c>
      <c r="AC1148" s="1" t="str">
        <f t="shared" si="586"/>
        <v>NA</v>
      </c>
      <c r="AE1148" s="3">
        <f t="shared" si="587"/>
        <v>142.595</v>
      </c>
      <c r="AF1148">
        <v>197.5</v>
      </c>
      <c r="AG1148" s="1" t="str">
        <f>IFERROR((N1148*P1148*Q1148), "NA")</f>
        <v>NA</v>
      </c>
      <c r="AH1148" s="1" t="str">
        <f>IFERROR((AG1148*U1148*AI1148), "NA")</f>
        <v>NA</v>
      </c>
      <c r="AI1148" s="1">
        <v>1</v>
      </c>
      <c r="AJ1148" s="11" t="s">
        <v>31</v>
      </c>
      <c r="AK1148">
        <v>2000</v>
      </c>
      <c r="AL1148" t="s">
        <v>616</v>
      </c>
      <c r="AM1148" s="3" t="s">
        <v>103</v>
      </c>
      <c r="AN1148" t="s">
        <v>130</v>
      </c>
      <c r="AO1148" t="s">
        <v>795</v>
      </c>
      <c r="AP1148">
        <v>7</v>
      </c>
      <c r="AQ1148" t="s">
        <v>33</v>
      </c>
      <c r="AR1148" t="s">
        <v>33</v>
      </c>
      <c r="AS1148">
        <v>9</v>
      </c>
      <c r="AT1148">
        <f>AS1148-AU1148</f>
        <v>5.8900000000000006</v>
      </c>
      <c r="AU1148" s="6">
        <v>3.11</v>
      </c>
      <c r="AV1148" t="b">
        <v>1</v>
      </c>
      <c r="AW1148" t="s">
        <v>617</v>
      </c>
      <c r="AX1148" t="s">
        <v>33</v>
      </c>
      <c r="AY1148" t="s">
        <v>629</v>
      </c>
      <c r="AZ1148" t="s">
        <v>630</v>
      </c>
      <c r="BA1148" s="18" t="s">
        <v>802</v>
      </c>
      <c r="BB1148" s="3" t="b">
        <v>0</v>
      </c>
      <c r="BC1148" t="s">
        <v>81</v>
      </c>
      <c r="BD1148">
        <v>24</v>
      </c>
      <c r="BE1148" t="s">
        <v>80</v>
      </c>
      <c r="BF1148">
        <v>24</v>
      </c>
      <c r="BG1148" t="s">
        <v>644</v>
      </c>
      <c r="BH1148" t="s">
        <v>31</v>
      </c>
      <c r="BI1148" t="s">
        <v>31</v>
      </c>
      <c r="BJ1148">
        <f t="shared" si="571"/>
        <v>3.11</v>
      </c>
      <c r="BK1148" s="3">
        <f t="shared" si="581"/>
        <v>0.4927603890268375</v>
      </c>
      <c r="BL1148">
        <v>2</v>
      </c>
      <c r="BM1148" s="3">
        <f t="shared" si="582"/>
        <v>1.6613439085052806</v>
      </c>
      <c r="BN1148" t="s">
        <v>33</v>
      </c>
      <c r="BO1148" s="3">
        <f t="shared" si="559"/>
        <v>45.850482315112544</v>
      </c>
      <c r="BP1148" t="s">
        <v>33</v>
      </c>
      <c r="BQ1148" t="s">
        <v>33</v>
      </c>
      <c r="BR1148" t="s">
        <v>33</v>
      </c>
      <c r="BS1148" t="s">
        <v>33</v>
      </c>
      <c r="BT1148" t="s">
        <v>31</v>
      </c>
      <c r="BU1148" s="15" t="s">
        <v>655</v>
      </c>
      <c r="BV1148">
        <v>2003</v>
      </c>
      <c r="BW1148" t="s">
        <v>656</v>
      </c>
      <c r="BX1148" t="s">
        <v>78</v>
      </c>
      <c r="BY1148" s="13" t="s">
        <v>677</v>
      </c>
      <c r="CA1148" t="str">
        <f t="shared" si="560"/>
        <v>low acid</v>
      </c>
    </row>
    <row r="1149" spans="1:79">
      <c r="A1149" t="s">
        <v>589</v>
      </c>
      <c r="B1149" t="s">
        <v>566</v>
      </c>
      <c r="C1149" t="s">
        <v>563</v>
      </c>
      <c r="D1149" t="s">
        <v>33</v>
      </c>
      <c r="E1149" t="s">
        <v>77</v>
      </c>
      <c r="F1149" t="s">
        <v>33</v>
      </c>
      <c r="G1149" t="s">
        <v>33</v>
      </c>
      <c r="H1149">
        <v>35</v>
      </c>
      <c r="I1149" t="b">
        <v>0</v>
      </c>
      <c r="J1149" t="s">
        <v>33</v>
      </c>
      <c r="K1149" t="s">
        <v>33</v>
      </c>
      <c r="L1149">
        <v>22</v>
      </c>
      <c r="M1149" s="4">
        <v>1</v>
      </c>
      <c r="N1149" t="e">
        <f>(#REF!*Y1149)/(T1149*X1149*O1149)</f>
        <v>#REF!</v>
      </c>
      <c r="O1149">
        <v>2</v>
      </c>
      <c r="P1149" t="s">
        <v>33</v>
      </c>
      <c r="Q1149" s="1">
        <f t="shared" si="588"/>
        <v>98.75</v>
      </c>
      <c r="R1149" t="s">
        <v>183</v>
      </c>
      <c r="S1149" t="s">
        <v>613</v>
      </c>
      <c r="T1149">
        <v>1</v>
      </c>
      <c r="U1149">
        <v>2.5</v>
      </c>
      <c r="V1149" t="s">
        <v>33</v>
      </c>
      <c r="W1149">
        <v>0.50249999999999995</v>
      </c>
      <c r="X1149">
        <f>W1149</f>
        <v>0.50249999999999995</v>
      </c>
      <c r="Y1149" t="s">
        <v>33</v>
      </c>
      <c r="Z1149" s="3">
        <f>IFERROR(X1149*M1149*O1149*T1149*AI1149/AF1149, "NA")</f>
        <v>5.0886075949367086E-3</v>
      </c>
      <c r="AA1149" t="s">
        <v>33</v>
      </c>
      <c r="AB1149">
        <f>IFERROR(((X1149*M1149)/Z1149), "NA")</f>
        <v>98.75</v>
      </c>
      <c r="AC1149" s="1" t="str">
        <f t="shared" si="586"/>
        <v>NA</v>
      </c>
      <c r="AE1149" s="3">
        <f t="shared" si="587"/>
        <v>191.18</v>
      </c>
      <c r="AF1149">
        <v>197.5</v>
      </c>
      <c r="AG1149" s="1" t="str">
        <f>IFERROR((N1149*P1149*Q1149), "NA")</f>
        <v>NA</v>
      </c>
      <c r="AH1149" s="1" t="str">
        <f>IFERROR((AG1149*U1149*AI1149), "NA")</f>
        <v>NA</v>
      </c>
      <c r="AI1149" s="1">
        <v>1</v>
      </c>
      <c r="AJ1149" s="11" t="s">
        <v>31</v>
      </c>
      <c r="AK1149">
        <v>2000</v>
      </c>
      <c r="AL1149" t="s">
        <v>616</v>
      </c>
      <c r="AM1149" s="3" t="s">
        <v>103</v>
      </c>
      <c r="AN1149" t="s">
        <v>130</v>
      </c>
      <c r="AO1149" t="s">
        <v>795</v>
      </c>
      <c r="AP1149">
        <v>7</v>
      </c>
      <c r="AQ1149" t="s">
        <v>33</v>
      </c>
      <c r="AR1149" t="s">
        <v>33</v>
      </c>
      <c r="AS1149">
        <v>9</v>
      </c>
      <c r="AT1149">
        <f>AS1149-AU1149</f>
        <v>5.8900000000000006</v>
      </c>
      <c r="AU1149" s="6">
        <v>3.11</v>
      </c>
      <c r="AV1149" t="b">
        <v>1</v>
      </c>
      <c r="AW1149" t="s">
        <v>617</v>
      </c>
      <c r="AX1149" t="s">
        <v>33</v>
      </c>
      <c r="AY1149" t="s">
        <v>629</v>
      </c>
      <c r="AZ1149" t="s">
        <v>630</v>
      </c>
      <c r="BA1149" s="18" t="s">
        <v>802</v>
      </c>
      <c r="BB1149" s="3" t="b">
        <v>0</v>
      </c>
      <c r="BC1149" t="s">
        <v>81</v>
      </c>
      <c r="BD1149">
        <v>24</v>
      </c>
      <c r="BE1149" t="s">
        <v>80</v>
      </c>
      <c r="BF1149">
        <v>24</v>
      </c>
      <c r="BG1149" t="s">
        <v>644</v>
      </c>
      <c r="BH1149" t="s">
        <v>31</v>
      </c>
      <c r="BI1149" t="s">
        <v>31</v>
      </c>
      <c r="BJ1149">
        <f t="shared" si="571"/>
        <v>3.11</v>
      </c>
      <c r="BK1149" s="3">
        <f t="shared" si="581"/>
        <v>0.4927603890268375</v>
      </c>
      <c r="BL1149">
        <v>2</v>
      </c>
      <c r="BM1149" s="3">
        <f t="shared" si="582"/>
        <v>1.7886820682440352</v>
      </c>
      <c r="BN1149" t="s">
        <v>33</v>
      </c>
      <c r="BO1149" s="3">
        <f t="shared" si="559"/>
        <v>61.472668810289392</v>
      </c>
      <c r="BP1149" t="s">
        <v>33</v>
      </c>
      <c r="BQ1149" t="s">
        <v>33</v>
      </c>
      <c r="BR1149" t="s">
        <v>33</v>
      </c>
      <c r="BS1149" t="s">
        <v>33</v>
      </c>
      <c r="BT1149" t="s">
        <v>31</v>
      </c>
      <c r="BU1149" s="15" t="s">
        <v>655</v>
      </c>
      <c r="BV1149">
        <v>2003</v>
      </c>
      <c r="BW1149" t="s">
        <v>656</v>
      </c>
      <c r="BX1149" t="s">
        <v>78</v>
      </c>
      <c r="BY1149" s="13" t="s">
        <v>677</v>
      </c>
      <c r="CA1149" t="str">
        <f t="shared" si="560"/>
        <v>low acid</v>
      </c>
    </row>
    <row r="1150" spans="1:79">
      <c r="A1150" t="s">
        <v>450</v>
      </c>
      <c r="B1150" t="s">
        <v>565</v>
      </c>
      <c r="C1150" t="s">
        <v>563</v>
      </c>
      <c r="D1150" t="s">
        <v>182</v>
      </c>
      <c r="E1150" t="s">
        <v>77</v>
      </c>
      <c r="F1150" t="s">
        <v>32</v>
      </c>
      <c r="G1150">
        <v>18</v>
      </c>
      <c r="H1150">
        <v>47</v>
      </c>
      <c r="I1150" t="b">
        <v>1</v>
      </c>
      <c r="J1150" t="s">
        <v>33</v>
      </c>
      <c r="K1150" t="s">
        <v>33</v>
      </c>
      <c r="L1150">
        <v>27</v>
      </c>
      <c r="M1150" s="4" t="s">
        <v>33</v>
      </c>
      <c r="N1150" s="3">
        <f>IFERROR(AF1150/((T1150*X1150/Y1150)*O1150*AI1150),"NA")</f>
        <v>220.85360391328314</v>
      </c>
      <c r="O1150">
        <v>10</v>
      </c>
      <c r="P1150">
        <f>0.047/2</f>
        <v>2.35E-2</v>
      </c>
      <c r="Q1150" s="8">
        <f t="shared" si="588"/>
        <v>2.3318614270936313E-2</v>
      </c>
      <c r="R1150" t="s">
        <v>183</v>
      </c>
      <c r="S1150" t="s">
        <v>613</v>
      </c>
      <c r="T1150" s="11">
        <v>2</v>
      </c>
      <c r="U1150">
        <v>5.6</v>
      </c>
      <c r="V1150">
        <v>4.5</v>
      </c>
      <c r="W1150" t="s">
        <v>33</v>
      </c>
      <c r="X1150" s="9">
        <f>IFERROR(((PI())*(((V1150*10^-1)/2)^2)*(U1150*10^-1)), "NA")</f>
        <v>8.9064151729270638E-2</v>
      </c>
      <c r="Y1150" s="6">
        <f>13750/3600</f>
        <v>3.8194444444444446</v>
      </c>
      <c r="Z1150" s="3">
        <f>IFERROR(X1150*N1150*O1150*T1150*AI1150/AF1150, "NA")</f>
        <v>3.8194444444444442</v>
      </c>
      <c r="AA1150" t="s">
        <v>33</v>
      </c>
      <c r="AB1150" s="4">
        <f>IFERROR(((X1150*N1150)/Y1150), "NA")</f>
        <v>5.1499999999999995</v>
      </c>
      <c r="AC1150" s="4">
        <f>IFERROR(N1150*P1150,"NA")</f>
        <v>5.190059691962154</v>
      </c>
      <c r="AD1150" s="4">
        <f>IFERROR(AB1150*T1150*AI1150, "NA")</f>
        <v>10.299999999999999</v>
      </c>
      <c r="AE1150" s="3">
        <f>IFERROR(((L1150^2)*N1150*O1150*AK1150*10^-6*Q1150*T1150*AI1150), "NA")</f>
        <v>172.70010000000002</v>
      </c>
      <c r="AF1150">
        <v>103</v>
      </c>
      <c r="AG1150" s="4">
        <f>IFERROR((N1150*O1150*P1150), "NA")</f>
        <v>51.900596919621535</v>
      </c>
      <c r="AH1150" s="4">
        <f>IFERROR((AG1150*T1150*AI1150), "NA")</f>
        <v>103.80119383924307</v>
      </c>
      <c r="AI1150" s="11">
        <v>1</v>
      </c>
      <c r="AJ1150" t="s">
        <v>31</v>
      </c>
      <c r="AK1150">
        <v>2300</v>
      </c>
      <c r="AL1150" t="s">
        <v>805</v>
      </c>
      <c r="AM1150" t="s">
        <v>515</v>
      </c>
      <c r="AN1150" t="s">
        <v>205</v>
      </c>
      <c r="AO1150" t="s">
        <v>788</v>
      </c>
      <c r="AP1150">
        <v>3.68</v>
      </c>
      <c r="AQ1150" t="s">
        <v>33</v>
      </c>
      <c r="AR1150" t="s">
        <v>33</v>
      </c>
      <c r="AS1150">
        <f>LOG(10^8)</f>
        <v>8</v>
      </c>
      <c r="AT1150" s="3">
        <f>IFERROR(AS1150-AU1150,"NA")</f>
        <v>5.9</v>
      </c>
      <c r="AU1150" s="6">
        <v>2.1</v>
      </c>
      <c r="AV1150" t="b">
        <v>1</v>
      </c>
      <c r="AW1150" t="s">
        <v>123</v>
      </c>
      <c r="AX1150" t="s">
        <v>461</v>
      </c>
      <c r="AY1150" t="s">
        <v>466</v>
      </c>
      <c r="AZ1150" t="s">
        <v>33</v>
      </c>
      <c r="BA1150" s="18" t="s">
        <v>579</v>
      </c>
      <c r="BB1150" t="b">
        <v>1</v>
      </c>
      <c r="BC1150" t="s">
        <v>81</v>
      </c>
      <c r="BD1150" t="s">
        <v>33</v>
      </c>
      <c r="BE1150" t="s">
        <v>80</v>
      </c>
      <c r="BF1150" t="s">
        <v>33</v>
      </c>
      <c r="BG1150" t="s">
        <v>395</v>
      </c>
      <c r="BH1150" t="s">
        <v>31</v>
      </c>
      <c r="BI1150" t="s">
        <v>31</v>
      </c>
      <c r="BJ1150" s="3">
        <f t="shared" si="571"/>
        <v>2.1</v>
      </c>
      <c r="BK1150" s="3">
        <f t="shared" si="581"/>
        <v>0.3222192947339193</v>
      </c>
      <c r="BL1150">
        <v>2</v>
      </c>
      <c r="BM1150" s="3">
        <f t="shared" si="582"/>
        <v>1.9150732943068205</v>
      </c>
      <c r="BN1150" t="s">
        <v>33</v>
      </c>
      <c r="BO1150" s="3">
        <f t="shared" si="559"/>
        <v>82.238142857142861</v>
      </c>
      <c r="BP1150" t="s">
        <v>33</v>
      </c>
      <c r="BQ1150" t="s">
        <v>33</v>
      </c>
      <c r="BR1150" t="s">
        <v>33</v>
      </c>
      <c r="BS1150" t="s">
        <v>33</v>
      </c>
      <c r="BT1150" t="s">
        <v>32</v>
      </c>
      <c r="BU1150" t="s">
        <v>484</v>
      </c>
      <c r="BV1150">
        <v>2015</v>
      </c>
      <c r="BW1150" t="s">
        <v>485</v>
      </c>
      <c r="BX1150" t="s">
        <v>78</v>
      </c>
      <c r="BY1150" t="s">
        <v>486</v>
      </c>
      <c r="CA1150" t="str">
        <f t="shared" si="560"/>
        <v>high acid</v>
      </c>
    </row>
    <row r="1151" spans="1:79">
      <c r="A1151" t="s">
        <v>733</v>
      </c>
      <c r="B1151" t="s">
        <v>566</v>
      </c>
      <c r="C1151" t="s">
        <v>563</v>
      </c>
      <c r="D1151" t="s">
        <v>699</v>
      </c>
      <c r="E1151" t="s">
        <v>77</v>
      </c>
      <c r="F1151" t="s">
        <v>32</v>
      </c>
      <c r="G1151">
        <v>20</v>
      </c>
      <c r="H1151">
        <v>42.5</v>
      </c>
      <c r="I1151" t="b">
        <v>1</v>
      </c>
      <c r="J1151" t="s">
        <v>33</v>
      </c>
      <c r="K1151" t="s">
        <v>33</v>
      </c>
      <c r="L1151">
        <v>20</v>
      </c>
      <c r="M1151" s="4">
        <v>47</v>
      </c>
      <c r="N1151" s="3">
        <f>IFERROR(AF1151/((T1151*X1151/Y1151)*O1151*AI1151),"NA")</f>
        <v>46.759259259259245</v>
      </c>
      <c r="O1151">
        <v>5</v>
      </c>
      <c r="P1151">
        <v>0.43</v>
      </c>
      <c r="Q1151" s="8">
        <f>IFERROR(X1151/Y1151, "NA")</f>
        <v>0.43200000000000011</v>
      </c>
      <c r="R1151" t="s">
        <v>183</v>
      </c>
      <c r="S1151" t="s">
        <v>612</v>
      </c>
      <c r="T1151" s="11">
        <v>1</v>
      </c>
      <c r="U1151">
        <v>4</v>
      </c>
      <c r="V1151" t="s">
        <v>33</v>
      </c>
      <c r="W1151">
        <f>0.4*3*0.5</f>
        <v>0.60000000000000009</v>
      </c>
      <c r="X1151" s="9">
        <f>W1151</f>
        <v>0.60000000000000009</v>
      </c>
      <c r="Y1151" s="6">
        <f>5000/3600</f>
        <v>1.3888888888888888</v>
      </c>
      <c r="Z1151" s="3">
        <f>IFERROR(X1151*M1151*O1151*T1151*AI1151/AF1151, "NA")</f>
        <v>1.3960396039603959</v>
      </c>
      <c r="AA1151" t="s">
        <v>33</v>
      </c>
      <c r="AB1151" s="4">
        <f>IFERROR(((X1151*M1151)/Y1151), "NA")</f>
        <v>20.304000000000002</v>
      </c>
      <c r="AC1151" s="4">
        <f>IFERROR(M1151*P1151,"NA")</f>
        <v>20.21</v>
      </c>
      <c r="AD1151" s="4">
        <f>AB1151*T1151*AI1151</f>
        <v>20.304000000000002</v>
      </c>
      <c r="AE1151" s="3">
        <f>IFERROR(((L1151^2)*M1151*O1151*AK1151*10^-6*Q1151*T1151*AI1151), "NA")</f>
        <v>81.216000000000022</v>
      </c>
      <c r="AF1151">
        <v>101</v>
      </c>
      <c r="AG1151" s="4">
        <f>IFERROR((M1151*O1151*P1151), "NA")</f>
        <v>101.05</v>
      </c>
      <c r="AH1151" s="4">
        <f>IFERROR((AG1151*T1151*AI1151), "NA")</f>
        <v>101.05</v>
      </c>
      <c r="AI1151">
        <v>1</v>
      </c>
      <c r="AJ1151" s="11" t="s">
        <v>31</v>
      </c>
      <c r="AK1151">
        <v>2000</v>
      </c>
      <c r="AL1151" t="s">
        <v>784</v>
      </c>
      <c r="AM1151" t="s">
        <v>103</v>
      </c>
      <c r="AN1151" t="s">
        <v>130</v>
      </c>
      <c r="AO1151" t="s">
        <v>795</v>
      </c>
      <c r="AP1151">
        <v>7</v>
      </c>
      <c r="AQ1151" t="s">
        <v>33</v>
      </c>
      <c r="AR1151" t="s">
        <v>33</v>
      </c>
      <c r="AS1151" s="6">
        <f>LOG(AVERAGE(10^8, 10^9))</f>
        <v>8.7403626894942441</v>
      </c>
      <c r="AT1151" s="3">
        <f>IFERROR(AS1151-AU1151,"NA")</f>
        <v>5.9013626894942437</v>
      </c>
      <c r="AU1151" s="6">
        <v>2.839</v>
      </c>
      <c r="AV1151" t="b">
        <v>1</v>
      </c>
      <c r="AW1151" t="s">
        <v>172</v>
      </c>
      <c r="AX1151" t="s">
        <v>173</v>
      </c>
      <c r="AY1151" t="s">
        <v>735</v>
      </c>
      <c r="AZ1151" t="s">
        <v>33</v>
      </c>
      <c r="BA1151" s="18" t="s">
        <v>799</v>
      </c>
      <c r="BB1151" s="3" t="b">
        <v>0</v>
      </c>
      <c r="BC1151" t="s">
        <v>81</v>
      </c>
      <c r="BD1151">
        <v>24</v>
      </c>
      <c r="BE1151" t="s">
        <v>80</v>
      </c>
      <c r="BF1151">
        <v>48</v>
      </c>
      <c r="BG1151" t="s">
        <v>734</v>
      </c>
      <c r="BH1151" t="s">
        <v>31</v>
      </c>
      <c r="BI1151" t="s">
        <v>31</v>
      </c>
      <c r="BJ1151" s="3">
        <f t="shared" si="571"/>
        <v>2.839</v>
      </c>
      <c r="BK1151" s="3">
        <f t="shared" si="581"/>
        <v>0.45316539252585719</v>
      </c>
      <c r="BL1151">
        <v>2</v>
      </c>
      <c r="BM1151" s="3">
        <f t="shared" si="582"/>
        <v>1.4564762035527348</v>
      </c>
      <c r="BN1151" t="s">
        <v>33</v>
      </c>
      <c r="BO1151" s="3">
        <f t="shared" si="559"/>
        <v>28.607256076083136</v>
      </c>
      <c r="BP1151" t="s">
        <v>33</v>
      </c>
      <c r="BQ1151" t="s">
        <v>33</v>
      </c>
      <c r="BR1151" t="s">
        <v>33</v>
      </c>
      <c r="BS1151" t="s">
        <v>33</v>
      </c>
      <c r="BT1151" t="s">
        <v>32</v>
      </c>
      <c r="BU1151" t="s">
        <v>709</v>
      </c>
      <c r="BV1151">
        <v>2024</v>
      </c>
      <c r="BW1151" t="s">
        <v>710</v>
      </c>
      <c r="BX1151" t="s">
        <v>78</v>
      </c>
      <c r="BY1151" t="s">
        <v>711</v>
      </c>
      <c r="CA1151" t="str">
        <f t="shared" si="560"/>
        <v>low acid</v>
      </c>
    </row>
    <row r="1152" spans="1:79">
      <c r="A1152" t="s">
        <v>194</v>
      </c>
      <c r="B1152" t="s">
        <v>565</v>
      </c>
      <c r="C1152" t="s">
        <v>563</v>
      </c>
      <c r="D1152" t="s">
        <v>118</v>
      </c>
      <c r="E1152" t="s">
        <v>77</v>
      </c>
      <c r="F1152" t="s">
        <v>32</v>
      </c>
      <c r="G1152">
        <v>23</v>
      </c>
      <c r="H1152">
        <v>56</v>
      </c>
      <c r="I1152" t="b">
        <v>0</v>
      </c>
      <c r="J1152" t="s">
        <v>33</v>
      </c>
      <c r="K1152" t="s">
        <v>33</v>
      </c>
      <c r="L1152">
        <v>25</v>
      </c>
      <c r="M1152" s="4">
        <v>1000</v>
      </c>
      <c r="N1152" s="3">
        <f>IFERROR(AF1152/((T1152*X1152/Y1152)*O1152*AI1152),"NA")</f>
        <v>995.95036417586573</v>
      </c>
      <c r="O1152">
        <v>3</v>
      </c>
      <c r="P1152" t="s">
        <v>33</v>
      </c>
      <c r="Q1152">
        <f t="shared" ref="Q1152:Q1173" si="589">IFERROR(X1152/Z1152, "NA")</f>
        <v>1.2E-2</v>
      </c>
      <c r="R1152" t="s">
        <v>183</v>
      </c>
      <c r="S1152" t="s">
        <v>613</v>
      </c>
      <c r="T1152" s="11">
        <v>4</v>
      </c>
      <c r="U1152">
        <v>2.9</v>
      </c>
      <c r="V1152">
        <v>2.2999999999999998</v>
      </c>
      <c r="W1152" t="s">
        <v>33</v>
      </c>
      <c r="X1152" s="8">
        <f>IFERROR(((PI())*(((V1152*10^-1)/2)^2)*(U1152*10^-1)), "NA")</f>
        <v>1.204879322468025E-2</v>
      </c>
      <c r="Y1152">
        <v>1</v>
      </c>
      <c r="Z1152" s="3">
        <f>IFERROR(X1152*M1152*O1152*T1152*AI1152/AF1152, "NA")</f>
        <v>1.0040661020566874</v>
      </c>
      <c r="AA1152" t="s">
        <v>33</v>
      </c>
      <c r="AB1152" s="6">
        <f>IFERROR(((X1152*M1152)/Z1152), "NA")</f>
        <v>12.000000000000002</v>
      </c>
      <c r="AC1152" t="str">
        <f>IFERROR(M1152*P1152,"NA")</f>
        <v>NA</v>
      </c>
      <c r="AD1152" s="4">
        <f>IFERROR(AB1152*T1152*AI1152, "NA")</f>
        <v>48.000000000000007</v>
      </c>
      <c r="AE1152" s="3">
        <f>IFERROR(((L1152^2)*M1152*O1152*AK1152*10^-6*Q1152*T1152*AI1152), "NA")</f>
        <v>189</v>
      </c>
      <c r="AF1152">
        <v>144</v>
      </c>
      <c r="AG1152" t="str">
        <f>IFERROR((M1152*O1152*P1152), "NA")</f>
        <v>NA</v>
      </c>
      <c r="AH1152" t="str">
        <f>IFERROR((AG1152*T1152*AI1152), "NA")</f>
        <v>NA</v>
      </c>
      <c r="AI1152" s="11">
        <v>1</v>
      </c>
      <c r="AJ1152" t="s">
        <v>31</v>
      </c>
      <c r="AK1152">
        <v>2100</v>
      </c>
      <c r="AL1152" t="s">
        <v>114</v>
      </c>
      <c r="AM1152" t="s">
        <v>103</v>
      </c>
      <c r="AN1152" t="s">
        <v>130</v>
      </c>
      <c r="AO1152" t="s">
        <v>795</v>
      </c>
      <c r="AP1152">
        <v>7</v>
      </c>
      <c r="AQ1152" t="s">
        <v>33</v>
      </c>
      <c r="AR1152" t="s">
        <v>33</v>
      </c>
      <c r="AS1152">
        <f>LOG(10^8)</f>
        <v>8</v>
      </c>
      <c r="AT1152" s="3">
        <f>IFERROR(AS1152-AU1152,"NA")</f>
        <v>5.9039999999999999</v>
      </c>
      <c r="AU1152" s="6">
        <v>2.0960000000000001</v>
      </c>
      <c r="AV1152" t="b">
        <v>1</v>
      </c>
      <c r="AW1152" t="s">
        <v>92</v>
      </c>
      <c r="AX1152" t="s">
        <v>93</v>
      </c>
      <c r="AY1152" t="s">
        <v>95</v>
      </c>
      <c r="AZ1152" t="s">
        <v>33</v>
      </c>
      <c r="BA1152" s="18" t="s">
        <v>801</v>
      </c>
      <c r="BB1152" t="b">
        <v>0</v>
      </c>
      <c r="BC1152" t="s">
        <v>81</v>
      </c>
      <c r="BD1152">
        <v>18</v>
      </c>
      <c r="BE1152" t="s">
        <v>80</v>
      </c>
      <c r="BF1152" t="s">
        <v>33</v>
      </c>
      <c r="BG1152" t="s">
        <v>568</v>
      </c>
      <c r="BH1152" t="s">
        <v>31</v>
      </c>
      <c r="BI1152" t="s">
        <v>31</v>
      </c>
      <c r="BJ1152" s="3">
        <f t="shared" si="571"/>
        <v>2.0960000000000001</v>
      </c>
      <c r="BK1152" s="3">
        <f t="shared" si="581"/>
        <v>0.32139127831168907</v>
      </c>
      <c r="BL1152">
        <v>2</v>
      </c>
      <c r="BM1152" s="3">
        <f t="shared" si="582"/>
        <v>1.9550705258615551</v>
      </c>
      <c r="BN1152" t="s">
        <v>33</v>
      </c>
      <c r="BO1152" s="3">
        <f t="shared" si="559"/>
        <v>90.171755725190835</v>
      </c>
      <c r="BP1152" t="s">
        <v>33</v>
      </c>
      <c r="BQ1152" t="s">
        <v>33</v>
      </c>
      <c r="BR1152" t="s">
        <v>33</v>
      </c>
      <c r="BS1152" t="s">
        <v>33</v>
      </c>
      <c r="BT1152" t="s">
        <v>31</v>
      </c>
      <c r="BU1152" t="s">
        <v>187</v>
      </c>
      <c r="BV1152">
        <v>2003</v>
      </c>
      <c r="BW1152" t="s">
        <v>192</v>
      </c>
      <c r="BX1152" t="s">
        <v>78</v>
      </c>
      <c r="BY1152" t="s">
        <v>33</v>
      </c>
      <c r="BZ1152" t="s">
        <v>33</v>
      </c>
      <c r="CA1152" t="str">
        <f t="shared" si="560"/>
        <v>low acid</v>
      </c>
    </row>
    <row r="1153" spans="1:79">
      <c r="A1153" t="s">
        <v>457</v>
      </c>
      <c r="B1153" t="s">
        <v>565</v>
      </c>
      <c r="C1153" t="s">
        <v>563</v>
      </c>
      <c r="D1153" t="s">
        <v>182</v>
      </c>
      <c r="E1153" t="s">
        <v>77</v>
      </c>
      <c r="F1153" t="s">
        <v>32</v>
      </c>
      <c r="G1153">
        <v>18</v>
      </c>
      <c r="H1153">
        <v>39</v>
      </c>
      <c r="I1153" t="b">
        <v>1</v>
      </c>
      <c r="J1153" t="s">
        <v>33</v>
      </c>
      <c r="K1153" t="s">
        <v>33</v>
      </c>
      <c r="L1153">
        <v>27</v>
      </c>
      <c r="M1153" s="4" t="s">
        <v>33</v>
      </c>
      <c r="N1153" s="3">
        <f>IFERROR(AF1153/((T1153*X1153/Y1153)*O1153*AI1153),"NA")</f>
        <v>329.67224855987649</v>
      </c>
      <c r="O1153">
        <v>8</v>
      </c>
      <c r="P1153">
        <f>0.047/2</f>
        <v>2.35E-2</v>
      </c>
      <c r="Q1153" s="8">
        <f t="shared" si="589"/>
        <v>2.3318614270936313E-2</v>
      </c>
      <c r="R1153" t="s">
        <v>183</v>
      </c>
      <c r="S1153" t="s">
        <v>613</v>
      </c>
      <c r="T1153" s="11">
        <v>2</v>
      </c>
      <c r="U1153">
        <v>5.6</v>
      </c>
      <c r="V1153">
        <v>4.5</v>
      </c>
      <c r="W1153" t="s">
        <v>33</v>
      </c>
      <c r="X1153" s="9">
        <f>IFERROR(((PI())*(((V1153*10^-1)/2)^2)*(U1153*10^-1)), "NA")</f>
        <v>8.9064151729270638E-2</v>
      </c>
      <c r="Y1153" s="6">
        <f>13750/3600</f>
        <v>3.8194444444444446</v>
      </c>
      <c r="Z1153" s="3">
        <f>IFERROR(X1153*N1153*O1153*T1153*AI1153/AF1153, "NA")</f>
        <v>3.8194444444444442</v>
      </c>
      <c r="AA1153" t="s">
        <v>33</v>
      </c>
      <c r="AB1153" s="4">
        <f>IFERROR(((X1153*N1153)/Y1153), "NA")</f>
        <v>7.6874999999999991</v>
      </c>
      <c r="AC1153" s="4">
        <f>IFERROR(N1153*P1153,"NA")</f>
        <v>7.7472978411570974</v>
      </c>
      <c r="AD1153" s="4">
        <f>AB1153*T1153*AI1153</f>
        <v>15.374999999999998</v>
      </c>
      <c r="AE1153" s="3">
        <f>IFERROR(((L1153^2)*N1153*O1153*AK1153*10^-6*Q1153*T1153*AI1153), "NA")</f>
        <v>206.23409999999998</v>
      </c>
      <c r="AF1153">
        <v>123</v>
      </c>
      <c r="AG1153" s="4">
        <f>IFERROR((N1153*O1153*P1153), "NA")</f>
        <v>61.978382729256779</v>
      </c>
      <c r="AH1153" s="4">
        <f>IFERROR((AG1153*T1153*AI1153), "NA")</f>
        <v>123.95676545851356</v>
      </c>
      <c r="AI1153" s="11">
        <v>1</v>
      </c>
      <c r="AJ1153" t="s">
        <v>31</v>
      </c>
      <c r="AK1153">
        <v>2300</v>
      </c>
      <c r="AL1153" t="s">
        <v>805</v>
      </c>
      <c r="AM1153" t="s">
        <v>515</v>
      </c>
      <c r="AN1153" t="s">
        <v>205</v>
      </c>
      <c r="AO1153" t="s">
        <v>788</v>
      </c>
      <c r="AP1153">
        <v>3.68</v>
      </c>
      <c r="AQ1153" t="s">
        <v>33</v>
      </c>
      <c r="AR1153" t="s">
        <v>33</v>
      </c>
      <c r="AS1153">
        <f>LOG(10^8)</f>
        <v>8</v>
      </c>
      <c r="AT1153" s="3">
        <f>IFERROR(AS1153-AU1153,"NA")</f>
        <v>5.91</v>
      </c>
      <c r="AU1153" s="6">
        <v>2.09</v>
      </c>
      <c r="AV1153" t="b">
        <v>1</v>
      </c>
      <c r="AW1153" t="s">
        <v>477</v>
      </c>
      <c r="AX1153" t="s">
        <v>471</v>
      </c>
      <c r="AY1153" t="s">
        <v>474</v>
      </c>
      <c r="AZ1153" t="s">
        <v>33</v>
      </c>
      <c r="BA1153" s="18" t="s">
        <v>579</v>
      </c>
      <c r="BB1153" t="b">
        <v>1</v>
      </c>
      <c r="BC1153" t="s">
        <v>81</v>
      </c>
      <c r="BD1153" t="s">
        <v>33</v>
      </c>
      <c r="BE1153" t="s">
        <v>80</v>
      </c>
      <c r="BF1153" t="s">
        <v>33</v>
      </c>
      <c r="BG1153" t="s">
        <v>483</v>
      </c>
      <c r="BH1153" t="s">
        <v>31</v>
      </c>
      <c r="BI1153" t="s">
        <v>31</v>
      </c>
      <c r="BJ1153" s="3">
        <f t="shared" si="571"/>
        <v>2.09</v>
      </c>
      <c r="BK1153" s="3">
        <f t="shared" si="581"/>
        <v>0.32014628611105395</v>
      </c>
      <c r="BL1153">
        <v>2</v>
      </c>
      <c r="BM1153" s="3">
        <f t="shared" si="582"/>
        <v>1.9942141896639114</v>
      </c>
      <c r="BN1153" t="s">
        <v>33</v>
      </c>
      <c r="BO1153" s="3">
        <f t="shared" si="559"/>
        <v>98.676602870813397</v>
      </c>
      <c r="BP1153" t="s">
        <v>33</v>
      </c>
      <c r="BQ1153" t="s">
        <v>33</v>
      </c>
      <c r="BR1153" t="s">
        <v>33</v>
      </c>
      <c r="BS1153" t="s">
        <v>33</v>
      </c>
      <c r="BT1153" t="s">
        <v>32</v>
      </c>
      <c r="BU1153" t="s">
        <v>484</v>
      </c>
      <c r="BV1153">
        <v>2015</v>
      </c>
      <c r="BW1153" t="s">
        <v>485</v>
      </c>
      <c r="BX1153" t="s">
        <v>78</v>
      </c>
      <c r="BY1153" t="s">
        <v>486</v>
      </c>
      <c r="CA1153" t="str">
        <f t="shared" si="560"/>
        <v>high acid</v>
      </c>
    </row>
    <row r="1154" spans="1:79">
      <c r="A1154" t="s">
        <v>584</v>
      </c>
      <c r="B1154" t="s">
        <v>566</v>
      </c>
      <c r="C1154" t="s">
        <v>563</v>
      </c>
      <c r="D1154" t="s">
        <v>607</v>
      </c>
      <c r="E1154" t="s">
        <v>77</v>
      </c>
      <c r="F1154" t="s">
        <v>33</v>
      </c>
      <c r="G1154">
        <v>20</v>
      </c>
      <c r="H1154">
        <v>35</v>
      </c>
      <c r="I1154" t="b">
        <v>0</v>
      </c>
      <c r="J1154">
        <v>1000</v>
      </c>
      <c r="K1154">
        <v>200</v>
      </c>
      <c r="L1154">
        <v>20</v>
      </c>
      <c r="M1154" s="4">
        <v>1</v>
      </c>
      <c r="N1154" t="e">
        <f>(#REF!*Y1154)/(T1154*X1154*O1154)</f>
        <v>#REF!</v>
      </c>
      <c r="O1154">
        <v>3</v>
      </c>
      <c r="P1154" t="s">
        <v>33</v>
      </c>
      <c r="Q1154" s="1">
        <f t="shared" si="589"/>
        <v>25.000000000000004</v>
      </c>
      <c r="R1154" t="s">
        <v>183</v>
      </c>
      <c r="S1154" t="s">
        <v>33</v>
      </c>
      <c r="T1154">
        <v>1</v>
      </c>
      <c r="U1154">
        <v>2.5</v>
      </c>
      <c r="V1154" t="s">
        <v>33</v>
      </c>
      <c r="W1154">
        <v>0.50249999999999995</v>
      </c>
      <c r="X1154">
        <f>W1154</f>
        <v>0.50249999999999995</v>
      </c>
      <c r="Y1154" t="s">
        <v>33</v>
      </c>
      <c r="Z1154" s="3">
        <f>IFERROR(X1154*M1154*O1154*T1154*AI1154/AF1154, "NA")</f>
        <v>2.0099999999999996E-2</v>
      </c>
      <c r="AA1154" t="s">
        <v>33</v>
      </c>
      <c r="AB1154">
        <f>IFERROR(((X1154*M1154)/Z1154), "NA")</f>
        <v>25.000000000000004</v>
      </c>
      <c r="AC1154" s="1" t="str">
        <f t="shared" ref="AC1154:AC1177" si="590">IFERROR(M1154*P1154,"NA")</f>
        <v>NA</v>
      </c>
      <c r="AE1154" s="3">
        <f>IFERROR(((L1154^2)*M1154*O1154*AK1154*10^-6*Q1154*T1154*AI1154), "NA")</f>
        <v>30.000000000000004</v>
      </c>
      <c r="AF1154">
        <v>75</v>
      </c>
      <c r="AG1154" s="1" t="str">
        <f>IFERROR((N1154*P1154*Q1154), "NA")</f>
        <v>NA</v>
      </c>
      <c r="AH1154" s="1" t="str">
        <f>IFERROR((AG1154*U1154*AI1154), "NA")</f>
        <v>NA</v>
      </c>
      <c r="AI1154" s="1">
        <v>1</v>
      </c>
      <c r="AJ1154" s="11" t="s">
        <v>31</v>
      </c>
      <c r="AK1154">
        <v>1000</v>
      </c>
      <c r="AL1154" t="s">
        <v>614</v>
      </c>
      <c r="AM1154" s="3" t="s">
        <v>103</v>
      </c>
      <c r="AN1154" t="s">
        <v>305</v>
      </c>
      <c r="AO1154" t="s">
        <v>790</v>
      </c>
      <c r="AP1154">
        <v>3.5</v>
      </c>
      <c r="AQ1154" t="s">
        <v>33</v>
      </c>
      <c r="AR1154" t="s">
        <v>33</v>
      </c>
      <c r="AS1154">
        <v>8</v>
      </c>
      <c r="AT1154">
        <f>AS1154-AU1154</f>
        <v>5.91</v>
      </c>
      <c r="AU1154" s="6">
        <v>2.09</v>
      </c>
      <c r="AV1154" t="b">
        <v>1</v>
      </c>
      <c r="AW1154" t="s">
        <v>617</v>
      </c>
      <c r="AX1154" t="s">
        <v>33</v>
      </c>
      <c r="AY1154" t="s">
        <v>623</v>
      </c>
      <c r="AZ1154" t="s">
        <v>621</v>
      </c>
      <c r="BA1154" s="18" t="s">
        <v>802</v>
      </c>
      <c r="BB1154" s="3" t="b">
        <v>0</v>
      </c>
      <c r="BC1154" t="s">
        <v>81</v>
      </c>
      <c r="BD1154">
        <v>18</v>
      </c>
      <c r="BE1154" t="s">
        <v>80</v>
      </c>
      <c r="BF1154">
        <v>24</v>
      </c>
      <c r="BG1154" t="s">
        <v>569</v>
      </c>
      <c r="BH1154" t="s">
        <v>31</v>
      </c>
      <c r="BI1154" t="s">
        <v>31</v>
      </c>
      <c r="BJ1154">
        <f t="shared" si="571"/>
        <v>2.09</v>
      </c>
      <c r="BK1154" s="3">
        <f t="shared" si="581"/>
        <v>0.32014628611105395</v>
      </c>
      <c r="BL1154">
        <v>2</v>
      </c>
      <c r="BM1154" s="3">
        <f t="shared" si="582"/>
        <v>1.1569749686086086</v>
      </c>
      <c r="BN1154" t="s">
        <v>33</v>
      </c>
      <c r="BO1154" s="3">
        <f t="shared" ref="BO1154:BO1217" si="591">IFERROR((AE1154/BJ1154),"NA")</f>
        <v>14.354066985645936</v>
      </c>
      <c r="BP1154" t="s">
        <v>33</v>
      </c>
      <c r="BQ1154" t="s">
        <v>33</v>
      </c>
      <c r="BR1154" t="s">
        <v>33</v>
      </c>
      <c r="BS1154" t="s">
        <v>33</v>
      </c>
      <c r="BT1154" t="s">
        <v>31</v>
      </c>
      <c r="BU1154" t="s">
        <v>255</v>
      </c>
      <c r="BV1154">
        <v>2010</v>
      </c>
      <c r="BW1154" t="s">
        <v>651</v>
      </c>
      <c r="BX1154" t="s">
        <v>78</v>
      </c>
      <c r="BY1154" s="13" t="s">
        <v>674</v>
      </c>
      <c r="CA1154" t="str">
        <f t="shared" si="560"/>
        <v>high acid</v>
      </c>
    </row>
    <row r="1155" spans="1:79">
      <c r="A1155" s="3" t="s">
        <v>249</v>
      </c>
      <c r="B1155" t="s">
        <v>566</v>
      </c>
      <c r="C1155" t="s">
        <v>563</v>
      </c>
      <c r="D1155" s="3" t="s">
        <v>279</v>
      </c>
      <c r="E1155" s="3" t="s">
        <v>77</v>
      </c>
      <c r="F1155" t="s">
        <v>32</v>
      </c>
      <c r="G1155" s="11">
        <v>20</v>
      </c>
      <c r="H1155" s="11" t="s">
        <v>33</v>
      </c>
      <c r="I1155" s="3" t="b">
        <v>0</v>
      </c>
      <c r="J1155" s="3" t="s">
        <v>33</v>
      </c>
      <c r="K1155" s="3" t="s">
        <v>33</v>
      </c>
      <c r="L1155" s="3">
        <v>25</v>
      </c>
      <c r="M1155" s="4">
        <v>1000</v>
      </c>
      <c r="N1155" s="3">
        <f>IFERROR(AF1154/((T1155*X1155/Y1155)*O1155*AI1155),"NA")</f>
        <v>63.156723449164801</v>
      </c>
      <c r="O1155" s="3">
        <v>40</v>
      </c>
      <c r="P1155" s="3" t="s">
        <v>33</v>
      </c>
      <c r="Q1155" s="3">
        <f t="shared" si="589"/>
        <v>3.0000000000000002E-2</v>
      </c>
      <c r="R1155" t="s">
        <v>183</v>
      </c>
      <c r="S1155" t="s">
        <v>613</v>
      </c>
      <c r="T1155" s="11">
        <v>1</v>
      </c>
      <c r="U1155" s="3">
        <v>2.8</v>
      </c>
      <c r="V1155" s="3">
        <v>3</v>
      </c>
      <c r="W1155" s="3">
        <v>0.02</v>
      </c>
      <c r="X1155" s="3">
        <f>IFERROR(((PI())*(((V1155*10^-1)/2)^2)*(U1155*10^-1)), "NA")</f>
        <v>1.97920337176157E-2</v>
      </c>
      <c r="Y1155" s="3">
        <f>40/60</f>
        <v>0.66666666666666663</v>
      </c>
      <c r="Z1155" s="3">
        <f>IFERROR(X1155*M1155*O1155*T1155*AI1155/AF1155, "NA")</f>
        <v>0.6597344572538566</v>
      </c>
      <c r="AA1155" s="3" t="s">
        <v>33</v>
      </c>
      <c r="AB1155" s="3">
        <f>IFERROR(((X1155*M1155)/Z1155), "NA")</f>
        <v>30</v>
      </c>
      <c r="AC1155" s="3" t="str">
        <f t="shared" si="590"/>
        <v>NA</v>
      </c>
      <c r="AD1155" s="4">
        <f>AB1155*T1155*AI1155</f>
        <v>30</v>
      </c>
      <c r="AE1155" s="3">
        <f>IFERROR(((L1155^2)*M1155*O1155*AK1155*10^-6*Q1155*T1155*AI1155), "NA")</f>
        <v>375.00000000000006</v>
      </c>
      <c r="AF1155" s="3">
        <v>1200</v>
      </c>
      <c r="AG1155" s="3" t="str">
        <f>IFERROR((M1155*O1155*P1155), "NA")</f>
        <v>NA</v>
      </c>
      <c r="AH1155" s="3" t="str">
        <f>IFERROR((AG1155*T1155*AI1155), "NA")</f>
        <v>NA</v>
      </c>
      <c r="AI1155" s="3">
        <v>1</v>
      </c>
      <c r="AJ1155" t="s">
        <v>31</v>
      </c>
      <c r="AK1155" s="3">
        <v>500</v>
      </c>
      <c r="AL1155" s="3" t="s">
        <v>250</v>
      </c>
      <c r="AM1155" s="3" t="s">
        <v>103</v>
      </c>
      <c r="AN1155" t="s">
        <v>130</v>
      </c>
      <c r="AO1155" t="s">
        <v>795</v>
      </c>
      <c r="AP1155" s="3">
        <f>(6.5+6.8)/2</f>
        <v>6.65</v>
      </c>
      <c r="AQ1155" s="3" t="s">
        <v>33</v>
      </c>
      <c r="AR1155" s="3" t="s">
        <v>33</v>
      </c>
      <c r="AS1155" s="3">
        <f>LOG((10^6+10^7)/2)</f>
        <v>6.7403626894942441</v>
      </c>
      <c r="AT1155" s="3">
        <f>IFERROR(AS1155-AU1155,"NA")</f>
        <v>5.9123626894942438</v>
      </c>
      <c r="AU1155" s="6">
        <v>0.82799999999999996</v>
      </c>
      <c r="AV1155" s="3" t="b">
        <v>1</v>
      </c>
      <c r="AW1155" s="3" t="s">
        <v>172</v>
      </c>
      <c r="AX1155" s="3" t="s">
        <v>173</v>
      </c>
      <c r="AY1155" s="3" t="s">
        <v>251</v>
      </c>
      <c r="AZ1155" s="3" t="s">
        <v>33</v>
      </c>
      <c r="BA1155" s="18" t="s">
        <v>799</v>
      </c>
      <c r="BB1155" s="3" t="b">
        <v>0</v>
      </c>
      <c r="BC1155" t="s">
        <v>81</v>
      </c>
      <c r="BD1155" s="3">
        <v>0.5</v>
      </c>
      <c r="BE1155" s="3" t="s">
        <v>252</v>
      </c>
      <c r="BF1155" s="11">
        <v>72</v>
      </c>
      <c r="BG1155" s="3" t="s">
        <v>253</v>
      </c>
      <c r="BH1155" s="3" t="s">
        <v>32</v>
      </c>
      <c r="BI1155" s="3" t="s">
        <v>31</v>
      </c>
      <c r="BJ1155" s="3">
        <f t="shared" si="571"/>
        <v>0.82799999999999996</v>
      </c>
      <c r="BK1155" s="3">
        <f t="shared" si="581"/>
        <v>-8.1969663215119878E-2</v>
      </c>
      <c r="BL1155" s="3">
        <v>2</v>
      </c>
      <c r="BM1155" s="3">
        <f t="shared" si="582"/>
        <v>2.656000930942839</v>
      </c>
      <c r="BN1155" s="3" t="s">
        <v>33</v>
      </c>
      <c r="BO1155" s="3">
        <f t="shared" si="591"/>
        <v>452.8985507246378</v>
      </c>
      <c r="BP1155" s="3" t="s">
        <v>33</v>
      </c>
      <c r="BQ1155" s="3" t="s">
        <v>33</v>
      </c>
      <c r="BR1155" s="3" t="s">
        <v>33</v>
      </c>
      <c r="BS1155" s="3" t="s">
        <v>33</v>
      </c>
      <c r="BT1155" t="s">
        <v>31</v>
      </c>
      <c r="BU1155" s="3" t="s">
        <v>247</v>
      </c>
      <c r="BV1155" s="11">
        <v>2015</v>
      </c>
      <c r="BW1155" s="12" t="s">
        <v>248</v>
      </c>
      <c r="BX1155" t="s">
        <v>78</v>
      </c>
      <c r="BY1155" s="3" t="s">
        <v>33</v>
      </c>
      <c r="BZ1155" s="3" t="s">
        <v>33</v>
      </c>
      <c r="CA1155" t="str">
        <f t="shared" ref="CA1155:CA1218" si="592">IF(OR(AN1155="low acidic liquid medium", AN1155="low acidic food product"), "low acid",
    IF(OR(AN1155="high acidic food product", AN1155="high acidic liquid medium"), "high acid", "NA"))</f>
        <v>low acid</v>
      </c>
    </row>
    <row r="1156" spans="1:79">
      <c r="A1156" t="s">
        <v>583</v>
      </c>
      <c r="B1156" t="s">
        <v>566</v>
      </c>
      <c r="C1156" t="s">
        <v>563</v>
      </c>
      <c r="D1156" t="s">
        <v>33</v>
      </c>
      <c r="E1156" t="s">
        <v>77</v>
      </c>
      <c r="F1156" t="s">
        <v>32</v>
      </c>
      <c r="G1156" t="s">
        <v>33</v>
      </c>
      <c r="H1156">
        <v>20</v>
      </c>
      <c r="I1156" t="b">
        <v>1</v>
      </c>
      <c r="J1156" t="s">
        <v>33</v>
      </c>
      <c r="K1156" t="s">
        <v>33</v>
      </c>
      <c r="L1156">
        <v>30</v>
      </c>
      <c r="M1156" s="4">
        <v>2</v>
      </c>
      <c r="N1156" t="e">
        <f>(#REF!*Y1156)/(T1156*X1156*O1156)</f>
        <v>#REF!</v>
      </c>
      <c r="O1156">
        <v>2</v>
      </c>
      <c r="P1156" t="s">
        <v>33</v>
      </c>
      <c r="Q1156" s="1">
        <f t="shared" si="589"/>
        <v>52.5</v>
      </c>
      <c r="R1156" t="s">
        <v>183</v>
      </c>
      <c r="S1156" t="s">
        <v>613</v>
      </c>
      <c r="T1156">
        <v>1</v>
      </c>
      <c r="U1156">
        <v>5</v>
      </c>
      <c r="V1156" t="s">
        <v>33</v>
      </c>
      <c r="W1156">
        <v>0.71</v>
      </c>
      <c r="X1156">
        <f>W1156</f>
        <v>0.71</v>
      </c>
      <c r="Y1156">
        <v>0.1</v>
      </c>
      <c r="Z1156" s="3">
        <f>IFERROR(X1156*M1156*O1156*T1156*AI1156/AF1156, "NA")</f>
        <v>1.3523809523809523E-2</v>
      </c>
      <c r="AA1156" t="s">
        <v>33</v>
      </c>
      <c r="AB1156">
        <f>IFERROR(((X1156*M1156)/Z1156), "NA")</f>
        <v>105</v>
      </c>
      <c r="AC1156" s="1" t="str">
        <f t="shared" si="590"/>
        <v>NA</v>
      </c>
      <c r="AE1156" s="3">
        <f>IFERROR(((L1156^2)*M1156*O1156*AK1156*10^-6*Q1156*T1156*AI1156), "NA")</f>
        <v>888.3</v>
      </c>
      <c r="AF1156">
        <v>210</v>
      </c>
      <c r="AG1156" s="1" t="str">
        <f>IFERROR((N1156*P1156*Q1156), "NA")</f>
        <v>NA</v>
      </c>
      <c r="AH1156" s="1" t="str">
        <f>IFERROR((AG1156*U1156*AI1156), "NA")</f>
        <v>NA</v>
      </c>
      <c r="AI1156" s="1">
        <v>1</v>
      </c>
      <c r="AJ1156" s="11" t="s">
        <v>31</v>
      </c>
      <c r="AK1156">
        <v>4700</v>
      </c>
      <c r="AL1156" t="s">
        <v>562</v>
      </c>
      <c r="AM1156" s="3" t="s">
        <v>786</v>
      </c>
      <c r="AN1156" t="s">
        <v>186</v>
      </c>
      <c r="AO1156" t="s">
        <v>793</v>
      </c>
      <c r="AP1156" t="s">
        <v>33</v>
      </c>
      <c r="AQ1156" t="s">
        <v>33</v>
      </c>
      <c r="AR1156" t="s">
        <v>33</v>
      </c>
      <c r="AS1156">
        <v>8</v>
      </c>
      <c r="AT1156">
        <f>AS1156-AU1156</f>
        <v>5.92</v>
      </c>
      <c r="AU1156" s="6">
        <v>2.08</v>
      </c>
      <c r="AV1156" t="b">
        <v>1</v>
      </c>
      <c r="AW1156" t="s">
        <v>617</v>
      </c>
      <c r="AX1156" t="s">
        <v>33</v>
      </c>
      <c r="AY1156" t="s">
        <v>622</v>
      </c>
      <c r="AZ1156" t="s">
        <v>619</v>
      </c>
      <c r="BA1156" s="18" t="s">
        <v>802</v>
      </c>
      <c r="BB1156" s="3" t="b">
        <v>0</v>
      </c>
      <c r="BC1156" t="s">
        <v>81</v>
      </c>
      <c r="BD1156">
        <v>18</v>
      </c>
      <c r="BE1156" t="s">
        <v>80</v>
      </c>
      <c r="BF1156">
        <v>24</v>
      </c>
      <c r="BG1156" t="s">
        <v>696</v>
      </c>
      <c r="BH1156" t="s">
        <v>32</v>
      </c>
      <c r="BI1156" t="s">
        <v>31</v>
      </c>
      <c r="BJ1156">
        <f t="shared" si="571"/>
        <v>2.08</v>
      </c>
      <c r="BK1156" s="3">
        <f t="shared" si="581"/>
        <v>0.31806333496276157</v>
      </c>
      <c r="BL1156">
        <v>2</v>
      </c>
      <c r="BM1156" s="3">
        <f t="shared" si="582"/>
        <v>2.6304963271461999</v>
      </c>
      <c r="BN1156" t="s">
        <v>33</v>
      </c>
      <c r="BO1156" s="3">
        <f t="shared" si="591"/>
        <v>427.06730769230768</v>
      </c>
      <c r="BP1156" t="s">
        <v>33</v>
      </c>
      <c r="BQ1156" t="s">
        <v>33</v>
      </c>
      <c r="BR1156" t="s">
        <v>33</v>
      </c>
      <c r="BS1156" t="s">
        <v>33</v>
      </c>
      <c r="BT1156" t="s">
        <v>31</v>
      </c>
      <c r="BU1156" t="s">
        <v>338</v>
      </c>
      <c r="BV1156">
        <v>2005</v>
      </c>
      <c r="BW1156" t="s">
        <v>342</v>
      </c>
      <c r="BX1156" t="s">
        <v>78</v>
      </c>
      <c r="BY1156" s="13" t="s">
        <v>673</v>
      </c>
      <c r="CA1156" t="str">
        <f t="shared" si="592"/>
        <v>low acid</v>
      </c>
    </row>
    <row r="1157" spans="1:79">
      <c r="A1157" t="s">
        <v>418</v>
      </c>
      <c r="B1157" t="s">
        <v>566</v>
      </c>
      <c r="C1157" t="s">
        <v>564</v>
      </c>
      <c r="D1157" t="s">
        <v>33</v>
      </c>
      <c r="E1157" t="s">
        <v>77</v>
      </c>
      <c r="F1157" t="s">
        <v>32</v>
      </c>
      <c r="G1157">
        <v>22.5</v>
      </c>
      <c r="H1157">
        <v>33</v>
      </c>
      <c r="I1157" t="b">
        <v>0</v>
      </c>
      <c r="J1157">
        <v>25000</v>
      </c>
      <c r="K1157">
        <v>1600</v>
      </c>
      <c r="L1157">
        <v>48</v>
      </c>
      <c r="M1157" s="4" t="s">
        <v>33</v>
      </c>
      <c r="N1157" s="3">
        <f>IFERROR(AF1157/((T1157*X1157/Y1157)*O1157*AI1157),"NA")</f>
        <v>77.777777777777786</v>
      </c>
      <c r="O1157">
        <v>0.72</v>
      </c>
      <c r="P1157" t="s">
        <v>33</v>
      </c>
      <c r="Q1157" s="8">
        <f t="shared" si="589"/>
        <v>0.09</v>
      </c>
      <c r="R1157" t="s">
        <v>278</v>
      </c>
      <c r="S1157" t="s">
        <v>612</v>
      </c>
      <c r="T1157" s="11">
        <v>1</v>
      </c>
      <c r="U1157">
        <v>0.5</v>
      </c>
      <c r="V1157" t="s">
        <v>33</v>
      </c>
      <c r="W1157">
        <v>12</v>
      </c>
      <c r="X1157" s="9">
        <f>U1157*25</f>
        <v>12.5</v>
      </c>
      <c r="Y1157" s="3">
        <f>500000/3600</f>
        <v>138.88888888888889</v>
      </c>
      <c r="Z1157" s="3">
        <f>Y1157</f>
        <v>138.88888888888889</v>
      </c>
      <c r="AA1157">
        <v>7</v>
      </c>
      <c r="AB1157" s="6" t="str">
        <f>IFERROR(((X1157*M1157)/Y1157), "NA")</f>
        <v>NA</v>
      </c>
      <c r="AC1157" t="str">
        <f t="shared" si="590"/>
        <v>NA</v>
      </c>
      <c r="AD1157" s="4" t="str">
        <f>IFERROR(AB1157*T1157*AI1157, "NA")</f>
        <v>NA</v>
      </c>
      <c r="AE1157" s="3">
        <f>IFERROR(((L1157^2)*N1157*O1157*AK1157*10^-6*Q1157*T1157*AI1157), "NA")</f>
        <v>13.353984000000002</v>
      </c>
      <c r="AF1157">
        <f>AI1157*AA1157*T1157*O1157</f>
        <v>10.08</v>
      </c>
      <c r="AG1157" t="str">
        <f>IFERROR((M1157*O1157*P1157), "NA")</f>
        <v>NA</v>
      </c>
      <c r="AH1157" t="str">
        <f>IFERROR((AG1157*T1157*AI1157), "NA")</f>
        <v>NA</v>
      </c>
      <c r="AI1157" s="4">
        <f>14/AA1157</f>
        <v>2</v>
      </c>
      <c r="AJ1157" s="11" t="s">
        <v>32</v>
      </c>
      <c r="AK1157" s="11">
        <f>575</f>
        <v>575</v>
      </c>
      <c r="AL1157" t="s">
        <v>419</v>
      </c>
      <c r="AM1157" t="s">
        <v>103</v>
      </c>
      <c r="AN1157" t="s">
        <v>130</v>
      </c>
      <c r="AO1157" t="s">
        <v>795</v>
      </c>
      <c r="AP1157" s="4">
        <v>7.5</v>
      </c>
      <c r="AQ1157" t="s">
        <v>33</v>
      </c>
      <c r="AR1157" t="s">
        <v>33</v>
      </c>
      <c r="AS1157" s="3">
        <f>LOG(10^7)</f>
        <v>7</v>
      </c>
      <c r="AT1157" s="3">
        <f>IFERROR(AS1157-AU1157,"NA")</f>
        <v>5.9239999999999995</v>
      </c>
      <c r="AU1157" s="6">
        <v>1.0760000000000001</v>
      </c>
      <c r="AV1157" t="b">
        <v>1</v>
      </c>
      <c r="AW1157" t="s">
        <v>172</v>
      </c>
      <c r="AX1157" t="s">
        <v>173</v>
      </c>
      <c r="AY1157" t="s">
        <v>33</v>
      </c>
      <c r="AZ1157" t="s">
        <v>33</v>
      </c>
      <c r="BA1157" s="18" t="s">
        <v>799</v>
      </c>
      <c r="BB1157" t="b">
        <v>0</v>
      </c>
      <c r="BC1157" t="s">
        <v>81</v>
      </c>
      <c r="BD1157">
        <v>16</v>
      </c>
      <c r="BE1157" t="s">
        <v>80</v>
      </c>
      <c r="BF1157" s="11">
        <v>72</v>
      </c>
      <c r="BG1157" t="s">
        <v>33</v>
      </c>
      <c r="BH1157" t="s">
        <v>31</v>
      </c>
      <c r="BI1157" t="s">
        <v>31</v>
      </c>
      <c r="BJ1157" s="3">
        <f t="shared" si="571"/>
        <v>1.0760000000000001</v>
      </c>
      <c r="BK1157" s="3">
        <f t="shared" si="581"/>
        <v>3.1812271330370401E-2</v>
      </c>
      <c r="BL1157">
        <v>2</v>
      </c>
      <c r="BM1157" s="3">
        <f t="shared" si="582"/>
        <v>1.093798580219941</v>
      </c>
      <c r="BN1157" t="s">
        <v>33</v>
      </c>
      <c r="BO1157" s="3">
        <f t="shared" si="591"/>
        <v>12.410765799256508</v>
      </c>
      <c r="BP1157" t="s">
        <v>33</v>
      </c>
      <c r="BQ1157" t="s">
        <v>33</v>
      </c>
      <c r="BR1157" t="s">
        <v>33</v>
      </c>
      <c r="BS1157" t="s">
        <v>33</v>
      </c>
      <c r="BT1157" t="s">
        <v>32</v>
      </c>
      <c r="BU1157" t="s">
        <v>423</v>
      </c>
      <c r="BV1157" s="11">
        <v>2006</v>
      </c>
      <c r="BW1157" t="s">
        <v>422</v>
      </c>
      <c r="BX1157" t="s">
        <v>78</v>
      </c>
      <c r="BY1157" t="s">
        <v>420</v>
      </c>
      <c r="BZ1157" t="s">
        <v>421</v>
      </c>
      <c r="CA1157" t="str">
        <f t="shared" si="592"/>
        <v>low acid</v>
      </c>
    </row>
    <row r="1158" spans="1:79">
      <c r="A1158" t="s">
        <v>376</v>
      </c>
      <c r="B1158" t="s">
        <v>566</v>
      </c>
      <c r="C1158" t="s">
        <v>563</v>
      </c>
      <c r="D1158" t="s">
        <v>369</v>
      </c>
      <c r="E1158" t="s">
        <v>77</v>
      </c>
      <c r="F1158" t="s">
        <v>32</v>
      </c>
      <c r="G1158">
        <v>8</v>
      </c>
      <c r="H1158">
        <v>108.5</v>
      </c>
      <c r="I1158" t="b">
        <v>1</v>
      </c>
      <c r="J1158">
        <v>40500</v>
      </c>
      <c r="K1158">
        <v>300</v>
      </c>
      <c r="L1158">
        <v>80</v>
      </c>
      <c r="M1158" s="4">
        <v>500</v>
      </c>
      <c r="N1158" s="3" t="str">
        <f>IFERROR(AF1158/((T1158*X1158/Y1158)*O1158*AI1158),"NA")</f>
        <v>NA</v>
      </c>
      <c r="O1158">
        <v>0.1</v>
      </c>
      <c r="P1158">
        <v>5</v>
      </c>
      <c r="Q1158" s="8">
        <f t="shared" si="589"/>
        <v>5</v>
      </c>
      <c r="R1158" t="s">
        <v>278</v>
      </c>
      <c r="S1158" t="s">
        <v>613</v>
      </c>
      <c r="T1158" s="11">
        <v>1</v>
      </c>
      <c r="U1158">
        <v>4</v>
      </c>
      <c r="V1158" t="s">
        <v>33</v>
      </c>
      <c r="W1158">
        <v>0.92</v>
      </c>
      <c r="X1158" s="8">
        <f>230*0.01*0.1*U1158</f>
        <v>0.92000000000000015</v>
      </c>
      <c r="Y1158" s="9">
        <f>11/60</f>
        <v>0.18333333333333332</v>
      </c>
      <c r="Z1158" s="3">
        <f>IFERROR(X1158*M1158*O1158*T1158*AI1158/AH1158, "NA")</f>
        <v>0.18400000000000002</v>
      </c>
      <c r="AA1158" t="s">
        <v>33</v>
      </c>
      <c r="AB1158" s="6">
        <f t="shared" ref="AB1158:AB1173" si="593">IFERROR(((X1158*M1158)/Z1158), "NA")</f>
        <v>2500</v>
      </c>
      <c r="AC1158">
        <f t="shared" si="590"/>
        <v>2500</v>
      </c>
      <c r="AD1158" s="4">
        <f>AB1158*T1158*AI1158</f>
        <v>2500</v>
      </c>
      <c r="AE1158" s="3">
        <f>IFERROR(((L1158^2)*M1158*O1158*AK1158*10^-6*Q1158*T1158*AI1158), "NA")</f>
        <v>1920</v>
      </c>
      <c r="AF1158" t="s">
        <v>33</v>
      </c>
      <c r="AG1158">
        <f>IFERROR((M1158*O1158*P1158), "NA")</f>
        <v>250</v>
      </c>
      <c r="AH1158">
        <f>IFERROR((AG1158*T1158*AI1158), "NA")</f>
        <v>250</v>
      </c>
      <c r="AI1158">
        <v>1</v>
      </c>
      <c r="AJ1158" t="s">
        <v>31</v>
      </c>
      <c r="AK1158">
        <v>1200</v>
      </c>
      <c r="AL1158" t="s">
        <v>548</v>
      </c>
      <c r="AM1158" t="s">
        <v>103</v>
      </c>
      <c r="AN1158" t="s">
        <v>33</v>
      </c>
      <c r="AO1158" t="str">
        <f>AN1158</f>
        <v>NA</v>
      </c>
      <c r="AP1158" t="s">
        <v>33</v>
      </c>
      <c r="AQ1158" t="s">
        <v>33</v>
      </c>
      <c r="AR1158" t="s">
        <v>33</v>
      </c>
      <c r="AS1158" s="6">
        <f>LOG(9.7*10^10)</f>
        <v>10.986771734266245</v>
      </c>
      <c r="AT1158" s="3">
        <f>IFERROR(AS1158-AU1158,"NA")</f>
        <v>5.9287717342662454</v>
      </c>
      <c r="AU1158" s="6">
        <f>5.308-0.25</f>
        <v>5.0579999999999998</v>
      </c>
      <c r="AV1158" t="b">
        <v>1</v>
      </c>
      <c r="AW1158" t="s">
        <v>372</v>
      </c>
      <c r="AX1158" t="s">
        <v>373</v>
      </c>
      <c r="AY1158" t="s">
        <v>33</v>
      </c>
      <c r="AZ1158" t="s">
        <v>33</v>
      </c>
      <c r="BA1158" s="18" t="s">
        <v>797</v>
      </c>
      <c r="BB1158" t="b">
        <v>0</v>
      </c>
      <c r="BC1158" t="s">
        <v>374</v>
      </c>
      <c r="BD1158" t="s">
        <v>33</v>
      </c>
      <c r="BE1158" t="s">
        <v>33</v>
      </c>
      <c r="BF1158" s="11">
        <v>24</v>
      </c>
      <c r="BG1158" t="s">
        <v>33</v>
      </c>
      <c r="BH1158" t="s">
        <v>33</v>
      </c>
      <c r="BI1158" t="s">
        <v>32</v>
      </c>
      <c r="BJ1158" s="3">
        <f t="shared" si="571"/>
        <v>5.0579999999999998</v>
      </c>
      <c r="BK1158" s="3">
        <f t="shared" si="581"/>
        <v>0.70397882500838593</v>
      </c>
      <c r="BL1158">
        <v>2</v>
      </c>
      <c r="BM1158" s="3">
        <f t="shared" si="582"/>
        <v>2.5793224036951639</v>
      </c>
      <c r="BN1158" t="s">
        <v>33</v>
      </c>
      <c r="BO1158" s="3">
        <f t="shared" si="591"/>
        <v>379.5966785290629</v>
      </c>
      <c r="BP1158" t="s">
        <v>33</v>
      </c>
      <c r="BQ1158" t="s">
        <v>33</v>
      </c>
      <c r="BR1158" t="s">
        <v>33</v>
      </c>
      <c r="BS1158" t="s">
        <v>33</v>
      </c>
      <c r="BT1158" t="s">
        <v>31</v>
      </c>
      <c r="BU1158" t="s">
        <v>371</v>
      </c>
      <c r="BV1158">
        <v>2008</v>
      </c>
      <c r="BW1158" t="s">
        <v>380</v>
      </c>
      <c r="BX1158" t="s">
        <v>78</v>
      </c>
      <c r="BY1158" t="s">
        <v>370</v>
      </c>
      <c r="CA1158" t="str">
        <f t="shared" si="592"/>
        <v>NA</v>
      </c>
    </row>
    <row r="1159" spans="1:79">
      <c r="A1159" t="s">
        <v>237</v>
      </c>
      <c r="B1159" t="s">
        <v>565</v>
      </c>
      <c r="C1159" t="s">
        <v>563</v>
      </c>
      <c r="D1159" t="s">
        <v>118</v>
      </c>
      <c r="E1159" t="s">
        <v>77</v>
      </c>
      <c r="F1159" t="s">
        <v>32</v>
      </c>
      <c r="G1159">
        <v>4</v>
      </c>
      <c r="H1159">
        <v>32.5</v>
      </c>
      <c r="I1159" t="b">
        <v>0</v>
      </c>
      <c r="J1159" t="s">
        <v>33</v>
      </c>
      <c r="K1159" t="s">
        <v>33</v>
      </c>
      <c r="L1159">
        <v>15</v>
      </c>
      <c r="M1159" s="4">
        <v>200</v>
      </c>
      <c r="N1159" s="3">
        <f>IFERROR(AF1159/((T1159*X1159/Y1159)*O1159*AI1159),"NA")</f>
        <v>1545.5137286547574</v>
      </c>
      <c r="O1159">
        <v>4</v>
      </c>
      <c r="P1159" t="s">
        <v>33</v>
      </c>
      <c r="Q1159" s="9">
        <f t="shared" si="589"/>
        <v>9.3749999999999986E-2</v>
      </c>
      <c r="R1159" t="s">
        <v>183</v>
      </c>
      <c r="S1159" t="s">
        <v>613</v>
      </c>
      <c r="T1159" s="11">
        <v>8</v>
      </c>
      <c r="U1159">
        <v>2.92</v>
      </c>
      <c r="V1159">
        <v>2.2999999999999998</v>
      </c>
      <c r="W1159">
        <v>1.2E-2</v>
      </c>
      <c r="X1159" s="8">
        <f t="shared" ref="X1159:X1165" si="594">IFERROR(((PI())*(((V1159*10^-1)/2)^2)*(U1159*10^-1)), "NA")</f>
        <v>1.2131888350367701E-2</v>
      </c>
      <c r="Y1159" s="6">
        <f>60/60</f>
        <v>1</v>
      </c>
      <c r="Z1159" s="3">
        <f>IFERROR(X1159*M1159*O1159*T1159*AI1159/AF1159, "NA")</f>
        <v>0.12940680907058882</v>
      </c>
      <c r="AA1159" t="s">
        <v>33</v>
      </c>
      <c r="AB1159" s="6">
        <f t="shared" si="593"/>
        <v>18.749999999999996</v>
      </c>
      <c r="AC1159" t="str">
        <f t="shared" si="590"/>
        <v>NA</v>
      </c>
      <c r="AD1159" s="4">
        <f>AB1159*T1159*AI1159</f>
        <v>149.99999999999997</v>
      </c>
      <c r="AE1159" s="3">
        <f>IFERROR(((L1159^2)*M1159*O1159*AK1159*10^-6*Q1159*T1159*AI1159), "NA")</f>
        <v>572.39999999999986</v>
      </c>
      <c r="AF1159">
        <v>600</v>
      </c>
      <c r="AG1159" t="str">
        <f>IFERROR((M1159*O1159*P1159), "NA")</f>
        <v>NA</v>
      </c>
      <c r="AH1159" t="str">
        <f>IFERROR((AG1159*T1159*AI1159), "NA")</f>
        <v>NA</v>
      </c>
      <c r="AI1159">
        <v>1</v>
      </c>
      <c r="AJ1159" t="s">
        <v>31</v>
      </c>
      <c r="AK1159">
        <v>4240</v>
      </c>
      <c r="AL1159" t="s">
        <v>238</v>
      </c>
      <c r="AM1159" t="s">
        <v>86</v>
      </c>
      <c r="AN1159" t="s">
        <v>205</v>
      </c>
      <c r="AO1159" t="s">
        <v>789</v>
      </c>
      <c r="AP1159">
        <v>3.56</v>
      </c>
      <c r="AQ1159" t="s">
        <v>33</v>
      </c>
      <c r="AR1159" t="s">
        <v>33</v>
      </c>
      <c r="AS1159">
        <f>LOG(10^8)</f>
        <v>8</v>
      </c>
      <c r="AT1159" s="3">
        <f>IFERROR(AS1159-AU1159,"NA")</f>
        <v>5.9350000000000005</v>
      </c>
      <c r="AU1159" s="6">
        <v>2.0649999999999999</v>
      </c>
      <c r="AV1159" t="b">
        <v>1</v>
      </c>
      <c r="AW1159" t="s">
        <v>172</v>
      </c>
      <c r="AX1159" t="s">
        <v>173</v>
      </c>
      <c r="AY1159" t="s">
        <v>239</v>
      </c>
      <c r="AZ1159" t="s">
        <v>33</v>
      </c>
      <c r="BA1159" s="18" t="s">
        <v>799</v>
      </c>
      <c r="BB1159" t="b">
        <v>0</v>
      </c>
      <c r="BC1159" t="s">
        <v>81</v>
      </c>
      <c r="BD1159">
        <v>48</v>
      </c>
      <c r="BE1159" t="s">
        <v>80</v>
      </c>
      <c r="BF1159" s="11">
        <v>120</v>
      </c>
      <c r="BG1159" t="s">
        <v>571</v>
      </c>
      <c r="BH1159" t="s">
        <v>31</v>
      </c>
      <c r="BI1159" t="s">
        <v>31</v>
      </c>
      <c r="BJ1159" s="3">
        <f t="shared" si="571"/>
        <v>2.0649999999999999</v>
      </c>
      <c r="BK1159" s="3">
        <f t="shared" si="581"/>
        <v>0.31492005599241979</v>
      </c>
      <c r="BL1159">
        <v>2</v>
      </c>
      <c r="BM1159" s="3">
        <f t="shared" si="582"/>
        <v>2.4427795690953187</v>
      </c>
      <c r="BN1159" t="s">
        <v>33</v>
      </c>
      <c r="BO1159" s="3">
        <f t="shared" si="591"/>
        <v>277.19128329297814</v>
      </c>
      <c r="BP1159" t="s">
        <v>33</v>
      </c>
      <c r="BQ1159" t="s">
        <v>33</v>
      </c>
      <c r="BR1159" t="s">
        <v>33</v>
      </c>
      <c r="BS1159" t="s">
        <v>33</v>
      </c>
      <c r="BT1159" t="s">
        <v>31</v>
      </c>
      <c r="BU1159" t="s">
        <v>240</v>
      </c>
      <c r="BV1159">
        <v>2004</v>
      </c>
      <c r="BW1159" t="s">
        <v>241</v>
      </c>
      <c r="BX1159" t="s">
        <v>78</v>
      </c>
      <c r="BY1159" t="s">
        <v>33</v>
      </c>
      <c r="BZ1159" t="s">
        <v>33</v>
      </c>
      <c r="CA1159" t="str">
        <f t="shared" si="592"/>
        <v>high acid</v>
      </c>
    </row>
    <row r="1160" spans="1:79">
      <c r="A1160" t="s">
        <v>224</v>
      </c>
      <c r="B1160" t="s">
        <v>565</v>
      </c>
      <c r="C1160" t="s">
        <v>563</v>
      </c>
      <c r="D1160" t="s">
        <v>118</v>
      </c>
      <c r="E1160" t="s">
        <v>77</v>
      </c>
      <c r="F1160" t="s">
        <v>32</v>
      </c>
      <c r="G1160">
        <v>5</v>
      </c>
      <c r="H1160">
        <v>30.3</v>
      </c>
      <c r="I1160" t="b">
        <v>0</v>
      </c>
      <c r="J1160" t="s">
        <v>33</v>
      </c>
      <c r="K1160" t="s">
        <v>33</v>
      </c>
      <c r="L1160">
        <v>35</v>
      </c>
      <c r="M1160" s="4">
        <v>100</v>
      </c>
      <c r="N1160" s="3">
        <f>IFERROR(AF1160/((T1160*X1160/Y1160)*O1160*AI1160),"NA")</f>
        <v>5366.3671133845755</v>
      </c>
      <c r="O1160">
        <v>4</v>
      </c>
      <c r="P1160" t="s">
        <v>33</v>
      </c>
      <c r="Q1160" s="8">
        <f t="shared" si="589"/>
        <v>0.39062499999999994</v>
      </c>
      <c r="R1160" t="s">
        <v>183</v>
      </c>
      <c r="S1160" t="s">
        <v>613</v>
      </c>
      <c r="T1160" s="11">
        <v>8</v>
      </c>
      <c r="U1160">
        <v>2.92</v>
      </c>
      <c r="V1160">
        <v>2.2999999999999998</v>
      </c>
      <c r="W1160">
        <v>1.21E-2</v>
      </c>
      <c r="X1160" s="8">
        <f t="shared" si="594"/>
        <v>1.2131888350367701E-2</v>
      </c>
      <c r="Y1160" s="6">
        <f>100/60</f>
        <v>1.6666666666666667</v>
      </c>
      <c r="Z1160" s="3">
        <f>IFERROR(X1160*M1160*O1160*T1160*AI1160/AF1160, "NA")</f>
        <v>3.1057634176941316E-2</v>
      </c>
      <c r="AA1160" t="s">
        <v>33</v>
      </c>
      <c r="AB1160" s="6">
        <f t="shared" si="593"/>
        <v>39.0625</v>
      </c>
      <c r="AC1160" t="str">
        <f t="shared" si="590"/>
        <v>NA</v>
      </c>
      <c r="AD1160" s="4">
        <f>AB1160*T1160*AI1160</f>
        <v>312.5</v>
      </c>
      <c r="AE1160" s="3">
        <f>IFERROR(((L1160^2)*M1160*O1160*AK1160*10^-6*Q1160*T1160*AI1160), "NA")</f>
        <v>5604.3749999999991</v>
      </c>
      <c r="AF1160">
        <v>1250</v>
      </c>
      <c r="AG1160" t="str">
        <f>IFERROR((M1160*O1160*P1160), "NA")</f>
        <v>NA</v>
      </c>
      <c r="AH1160" t="str">
        <f>IFERROR((AG1160*T1160*AI1160), "NA")</f>
        <v>NA</v>
      </c>
      <c r="AI1160">
        <v>1</v>
      </c>
      <c r="AJ1160" t="s">
        <v>31</v>
      </c>
      <c r="AK1160">
        <v>3660</v>
      </c>
      <c r="AL1160" t="s">
        <v>541</v>
      </c>
      <c r="AM1160" t="s">
        <v>86</v>
      </c>
      <c r="AN1160" t="s">
        <v>186</v>
      </c>
      <c r="AO1160" t="s">
        <v>794</v>
      </c>
      <c r="AP1160">
        <v>5.46</v>
      </c>
      <c r="AQ1160" t="s">
        <v>33</v>
      </c>
      <c r="AR1160" t="s">
        <v>33</v>
      </c>
      <c r="AS1160" s="6">
        <f>LOG((10^7+10^8)/2)</f>
        <v>7.7403626894942441</v>
      </c>
      <c r="AT1160" s="3">
        <f>IFERROR(AS1160-AU1160,"NA")</f>
        <v>5.9373626894942442</v>
      </c>
      <c r="AU1160" s="6">
        <v>1.8029999999999999</v>
      </c>
      <c r="AV1160" t="b">
        <v>1</v>
      </c>
      <c r="AW1160" t="s">
        <v>92</v>
      </c>
      <c r="AX1160" t="s">
        <v>93</v>
      </c>
      <c r="AY1160" s="10">
        <v>1131</v>
      </c>
      <c r="AZ1160" t="s">
        <v>33</v>
      </c>
      <c r="BA1160" s="18" t="s">
        <v>801</v>
      </c>
      <c r="BB1160" t="b">
        <v>0</v>
      </c>
      <c r="BC1160" t="s">
        <v>81</v>
      </c>
      <c r="BD1160">
        <f>(16+14)/2</f>
        <v>15</v>
      </c>
      <c r="BE1160" t="s">
        <v>80</v>
      </c>
      <c r="BF1160" t="s">
        <v>33</v>
      </c>
      <c r="BG1160" t="s">
        <v>573</v>
      </c>
      <c r="BH1160" t="s">
        <v>31</v>
      </c>
      <c r="BI1160" t="s">
        <v>31</v>
      </c>
      <c r="BJ1160" s="3">
        <f t="shared" si="571"/>
        <v>1.8029999999999999</v>
      </c>
      <c r="BK1160" s="3">
        <f t="shared" si="581"/>
        <v>0.25599572672240195</v>
      </c>
      <c r="BL1160">
        <v>2</v>
      </c>
      <c r="BM1160" s="3">
        <f t="shared" si="582"/>
        <v>3.4925314603806163</v>
      </c>
      <c r="BN1160" t="s">
        <v>33</v>
      </c>
      <c r="BO1160" s="3">
        <f t="shared" si="591"/>
        <v>3108.3610648918466</v>
      </c>
      <c r="BP1160" t="s">
        <v>33</v>
      </c>
      <c r="BQ1160" t="s">
        <v>33</v>
      </c>
      <c r="BR1160" t="s">
        <v>33</v>
      </c>
      <c r="BS1160" t="s">
        <v>33</v>
      </c>
      <c r="BT1160" t="s">
        <v>31</v>
      </c>
      <c r="BU1160" t="s">
        <v>219</v>
      </c>
      <c r="BV1160">
        <v>2007</v>
      </c>
      <c r="BW1160" t="s">
        <v>218</v>
      </c>
      <c r="BX1160" t="s">
        <v>78</v>
      </c>
      <c r="BY1160" t="s">
        <v>33</v>
      </c>
      <c r="BZ1160" t="s">
        <v>33</v>
      </c>
      <c r="CA1160" t="str">
        <f t="shared" si="592"/>
        <v>low acid</v>
      </c>
    </row>
    <row r="1161" spans="1:79">
      <c r="A1161" t="s">
        <v>593</v>
      </c>
      <c r="B1161" t="s">
        <v>565</v>
      </c>
      <c r="C1161" t="s">
        <v>563</v>
      </c>
      <c r="D1161" t="s">
        <v>118</v>
      </c>
      <c r="E1161" t="s">
        <v>77</v>
      </c>
      <c r="F1161" t="s">
        <v>32</v>
      </c>
      <c r="G1161" t="s">
        <v>33</v>
      </c>
      <c r="H1161">
        <v>35</v>
      </c>
      <c r="I1161" t="b">
        <v>0</v>
      </c>
      <c r="J1161" t="s">
        <v>33</v>
      </c>
      <c r="K1161" t="s">
        <v>33</v>
      </c>
      <c r="L1161">
        <v>35</v>
      </c>
      <c r="M1161" s="4">
        <v>400</v>
      </c>
      <c r="N1161" t="e">
        <f>(#REF!*Y1161)/(T1161*X1161*O1161)</f>
        <v>#REF!</v>
      </c>
      <c r="O1161">
        <v>2</v>
      </c>
      <c r="P1161" t="s">
        <v>33</v>
      </c>
      <c r="Q1161" s="1">
        <f t="shared" si="589"/>
        <v>1.4999999999999999E-2</v>
      </c>
      <c r="R1161" t="s">
        <v>183</v>
      </c>
      <c r="S1161" t="s">
        <v>613</v>
      </c>
      <c r="T1161">
        <v>6</v>
      </c>
      <c r="U1161">
        <v>2.92</v>
      </c>
      <c r="V1161">
        <v>2.2999999999999998</v>
      </c>
      <c r="W1161" t="s">
        <v>33</v>
      </c>
      <c r="X1161">
        <f t="shared" si="594"/>
        <v>1.2131888350367701E-2</v>
      </c>
      <c r="Y1161">
        <v>1</v>
      </c>
      <c r="Z1161" s="3">
        <f>IFERROR(X1161*M1161*O1161*T1161*AI1161/AF1161, "NA")</f>
        <v>0.80879255669118011</v>
      </c>
      <c r="AA1161" t="s">
        <v>33</v>
      </c>
      <c r="AB1161">
        <f t="shared" si="593"/>
        <v>6</v>
      </c>
      <c r="AC1161" s="1" t="str">
        <f t="shared" si="590"/>
        <v>NA</v>
      </c>
      <c r="AE1161" s="3">
        <f>IFERROR(((L1161^2)*M1161*O1161*AK1161*10^-6*Q1161*T1161*AI1161), "NA")</f>
        <v>176.39999999999998</v>
      </c>
      <c r="AF1161">
        <v>72</v>
      </c>
      <c r="AG1161" s="1" t="str">
        <f>IFERROR((N1161*P1161*Q1161), "NA")</f>
        <v>NA</v>
      </c>
      <c r="AH1161" s="1" t="str">
        <f>IFERROR((AG1161*U1161*AI1161), "NA")</f>
        <v>NA</v>
      </c>
      <c r="AI1161">
        <v>1</v>
      </c>
      <c r="AJ1161" s="11" t="s">
        <v>31</v>
      </c>
      <c r="AK1161">
        <v>2000</v>
      </c>
      <c r="AL1161" t="s">
        <v>693</v>
      </c>
      <c r="AM1161" t="s">
        <v>530</v>
      </c>
      <c r="AN1161" t="s">
        <v>186</v>
      </c>
      <c r="AO1161" t="s">
        <v>796</v>
      </c>
      <c r="AP1161">
        <v>7.21</v>
      </c>
      <c r="AQ1161" t="s">
        <v>33</v>
      </c>
      <c r="AR1161" t="s">
        <v>33</v>
      </c>
      <c r="AS1161">
        <v>6.5</v>
      </c>
      <c r="AT1161">
        <f>AS1161-AU1161</f>
        <v>5.9399999999999995</v>
      </c>
      <c r="AU1161" s="6">
        <v>0.56000000000000005</v>
      </c>
      <c r="AV1161" t="b">
        <v>1</v>
      </c>
      <c r="AW1161" t="s">
        <v>626</v>
      </c>
      <c r="AX1161" t="s">
        <v>627</v>
      </c>
      <c r="AY1161" t="s">
        <v>625</v>
      </c>
      <c r="AZ1161" t="s">
        <v>33</v>
      </c>
      <c r="BA1161" s="18" t="s">
        <v>800</v>
      </c>
      <c r="BB1161" s="3" t="b">
        <v>0</v>
      </c>
      <c r="BC1161" t="s">
        <v>81</v>
      </c>
      <c r="BD1161">
        <f>AVERAGE(14, 16)</f>
        <v>15</v>
      </c>
      <c r="BE1161" t="s">
        <v>80</v>
      </c>
      <c r="BF1161">
        <v>48</v>
      </c>
      <c r="BG1161" t="s">
        <v>568</v>
      </c>
      <c r="BH1161" t="s">
        <v>31</v>
      </c>
      <c r="BI1161" t="s">
        <v>31</v>
      </c>
      <c r="BJ1161">
        <f t="shared" si="571"/>
        <v>0.56000000000000005</v>
      </c>
      <c r="BK1161" s="3">
        <f t="shared" si="581"/>
        <v>-0.25181197299379954</v>
      </c>
      <c r="BL1161">
        <v>2</v>
      </c>
      <c r="BM1161" s="3">
        <f t="shared" si="582"/>
        <v>2.4983105537896004</v>
      </c>
      <c r="BN1161" t="s">
        <v>33</v>
      </c>
      <c r="BO1161" s="3">
        <f t="shared" si="591"/>
        <v>314.99999999999994</v>
      </c>
      <c r="BP1161" t="s">
        <v>33</v>
      </c>
      <c r="BQ1161" t="s">
        <v>33</v>
      </c>
      <c r="BR1161" t="s">
        <v>33</v>
      </c>
      <c r="BS1161" t="s">
        <v>33</v>
      </c>
      <c r="BT1161" t="s">
        <v>31</v>
      </c>
      <c r="BU1161" s="15" t="s">
        <v>217</v>
      </c>
      <c r="BV1161">
        <v>2012</v>
      </c>
      <c r="BW1161" t="s">
        <v>660</v>
      </c>
      <c r="BX1161" t="s">
        <v>78</v>
      </c>
      <c r="BY1161" s="13" t="s">
        <v>681</v>
      </c>
      <c r="CA1161" t="str">
        <f t="shared" si="592"/>
        <v>low acid</v>
      </c>
    </row>
    <row r="1162" spans="1:79">
      <c r="A1162" t="s">
        <v>108</v>
      </c>
      <c r="B1162" t="s">
        <v>565</v>
      </c>
      <c r="C1162" t="s">
        <v>563</v>
      </c>
      <c r="D1162" t="s">
        <v>118</v>
      </c>
      <c r="E1162" t="s">
        <v>77</v>
      </c>
      <c r="F1162" t="s">
        <v>32</v>
      </c>
      <c r="G1162">
        <v>23</v>
      </c>
      <c r="H1162">
        <v>40</v>
      </c>
      <c r="I1162" t="b">
        <v>0</v>
      </c>
      <c r="J1162" t="s">
        <v>33</v>
      </c>
      <c r="K1162" t="s">
        <v>33</v>
      </c>
      <c r="L1162">
        <v>25</v>
      </c>
      <c r="M1162" s="4">
        <v>667</v>
      </c>
      <c r="N1162" s="3">
        <f>IFERROR(AF1162/((T1162*X1162/Y1162)*O1162*AI1162),"NA")</f>
        <v>663.96690945057719</v>
      </c>
      <c r="O1162">
        <v>3</v>
      </c>
      <c r="P1162" t="s">
        <v>33</v>
      </c>
      <c r="Q1162" s="8">
        <f t="shared" si="589"/>
        <v>5.9970014992503755E-3</v>
      </c>
      <c r="R1162" t="s">
        <v>183</v>
      </c>
      <c r="S1162" t="s">
        <v>613</v>
      </c>
      <c r="T1162" s="11">
        <v>4</v>
      </c>
      <c r="U1162">
        <v>2.9</v>
      </c>
      <c r="V1162">
        <v>2.2999999999999998</v>
      </c>
      <c r="W1162" t="s">
        <v>33</v>
      </c>
      <c r="X1162">
        <f t="shared" si="594"/>
        <v>1.204879322468025E-2</v>
      </c>
      <c r="Y1162">
        <v>2</v>
      </c>
      <c r="Z1162" s="9">
        <f>IFERROR(X1162*M1162*O1162*T1162*AI1162/AF1162, "NA")</f>
        <v>2.0091362702154316</v>
      </c>
      <c r="AA1162" t="s">
        <v>33</v>
      </c>
      <c r="AB1162" s="6">
        <f t="shared" si="593"/>
        <v>4</v>
      </c>
      <c r="AC1162" t="str">
        <f t="shared" si="590"/>
        <v>NA</v>
      </c>
      <c r="AD1162" s="4">
        <f>IFERROR(AB1162*T1162*AI1162, "NA")</f>
        <v>16</v>
      </c>
      <c r="AE1162">
        <f>IFERROR(((L1162^2)*M1162*O1162*AK1162*10^-6*Q1162*T1162*AI1162), "NA")</f>
        <v>138.00000000000003</v>
      </c>
      <c r="AF1162">
        <v>48</v>
      </c>
      <c r="AG1162" t="str">
        <f>IFERROR((M1162*O1162*P1162), "NA")</f>
        <v>NA</v>
      </c>
      <c r="AH1162" t="str">
        <f>IFERROR((AG1162*T1162*AI1162), "NA")</f>
        <v>NA</v>
      </c>
      <c r="AI1162" s="11">
        <v>1</v>
      </c>
      <c r="AJ1162" t="s">
        <v>31</v>
      </c>
      <c r="AK1162">
        <v>4600</v>
      </c>
      <c r="AL1162" t="s">
        <v>204</v>
      </c>
      <c r="AM1162" t="s">
        <v>785</v>
      </c>
      <c r="AN1162" t="s">
        <v>205</v>
      </c>
      <c r="AO1162" t="s">
        <v>791</v>
      </c>
      <c r="AP1162">
        <v>4.2</v>
      </c>
      <c r="AQ1162" t="s">
        <v>33</v>
      </c>
      <c r="AR1162" t="s">
        <v>33</v>
      </c>
      <c r="AS1162" s="3">
        <v>8</v>
      </c>
      <c r="AT1162" s="3">
        <f>IFERROR(AS1162-AU1162,"NA")</f>
        <v>5.5299999999999994</v>
      </c>
      <c r="AU1162" s="6">
        <v>2.4700000000000002</v>
      </c>
      <c r="AV1162" t="b">
        <v>1</v>
      </c>
      <c r="AW1162" t="s">
        <v>92</v>
      </c>
      <c r="AX1162" t="s">
        <v>93</v>
      </c>
      <c r="AY1162" t="s">
        <v>98</v>
      </c>
      <c r="AZ1162" t="s">
        <v>33</v>
      </c>
      <c r="BA1162" s="18" t="s">
        <v>801</v>
      </c>
      <c r="BB1162" t="b">
        <v>0</v>
      </c>
      <c r="BC1162" t="s">
        <v>81</v>
      </c>
      <c r="BD1162">
        <v>18</v>
      </c>
      <c r="BE1162" t="s">
        <v>80</v>
      </c>
      <c r="BF1162" t="s">
        <v>33</v>
      </c>
      <c r="BG1162" t="s">
        <v>568</v>
      </c>
      <c r="BH1162" t="s">
        <v>31</v>
      </c>
      <c r="BI1162" t="s">
        <v>31</v>
      </c>
      <c r="BJ1162">
        <f t="shared" si="571"/>
        <v>2.4700000000000002</v>
      </c>
      <c r="BK1162" s="3">
        <f t="shared" si="581"/>
        <v>0.39269695325966575</v>
      </c>
      <c r="BL1162">
        <v>2</v>
      </c>
      <c r="BM1162" s="3">
        <f>LOG(BO1162)</f>
        <v>1.7471821331415709</v>
      </c>
      <c r="BN1162" t="s">
        <v>33</v>
      </c>
      <c r="BO1162" s="3">
        <f t="shared" si="591"/>
        <v>55.870445344129564</v>
      </c>
      <c r="BP1162" t="s">
        <v>33</v>
      </c>
      <c r="BQ1162" t="s">
        <v>33</v>
      </c>
      <c r="BR1162" t="s">
        <v>33</v>
      </c>
      <c r="BS1162" t="s">
        <v>33</v>
      </c>
      <c r="BT1162" t="s">
        <v>32</v>
      </c>
      <c r="BU1162" t="s">
        <v>116</v>
      </c>
      <c r="BV1162">
        <v>2011</v>
      </c>
      <c r="BW1162" t="s">
        <v>91</v>
      </c>
      <c r="BX1162" t="s">
        <v>78</v>
      </c>
      <c r="BY1162" t="s">
        <v>33</v>
      </c>
      <c r="BZ1162" t="s">
        <v>113</v>
      </c>
      <c r="CA1162" t="str">
        <f t="shared" si="592"/>
        <v>high acid</v>
      </c>
    </row>
    <row r="1163" spans="1:79">
      <c r="A1163" t="s">
        <v>350</v>
      </c>
      <c r="B1163" t="s">
        <v>565</v>
      </c>
      <c r="C1163" t="s">
        <v>564</v>
      </c>
      <c r="D1163" t="s">
        <v>346</v>
      </c>
      <c r="E1163" t="s">
        <v>77</v>
      </c>
      <c r="F1163" t="s">
        <v>31</v>
      </c>
      <c r="G1163">
        <v>18</v>
      </c>
      <c r="H1163" t="s">
        <v>33</v>
      </c>
      <c r="I1163" t="b">
        <v>0</v>
      </c>
      <c r="J1163" t="s">
        <v>33</v>
      </c>
      <c r="K1163" t="s">
        <v>33</v>
      </c>
      <c r="L1163">
        <v>25</v>
      </c>
      <c r="M1163" s="4" t="s">
        <v>33</v>
      </c>
      <c r="N1163" s="3">
        <f>IFERROR(AF1163/((T1163*X1163/Y1163)*O1163*AI1163),"NA")</f>
        <v>580.19468588545578</v>
      </c>
      <c r="O1163">
        <v>1.7</v>
      </c>
      <c r="P1163" t="s">
        <v>33</v>
      </c>
      <c r="Q1163" s="8">
        <f t="shared" si="589"/>
        <v>1.1583332972168797E-2</v>
      </c>
      <c r="R1163" t="s">
        <v>183</v>
      </c>
      <c r="S1163" t="s">
        <v>613</v>
      </c>
      <c r="T1163" s="11">
        <v>4</v>
      </c>
      <c r="U1163">
        <v>12.7</v>
      </c>
      <c r="V1163">
        <v>6.35</v>
      </c>
      <c r="W1163" t="s">
        <v>33</v>
      </c>
      <c r="X1163" s="8">
        <f t="shared" si="594"/>
        <v>0.40219906153363882</v>
      </c>
      <c r="Y1163" s="4">
        <f>125000/3600</f>
        <v>34.722222222222221</v>
      </c>
      <c r="Z1163" s="3">
        <f>IFERROR(X1163*N1163*O1163*T1163*AI1163/AF1163, "NA")</f>
        <v>34.722222222222229</v>
      </c>
      <c r="AA1163" t="s">
        <v>33</v>
      </c>
      <c r="AB1163" s="6" t="str">
        <f t="shared" si="593"/>
        <v>NA</v>
      </c>
      <c r="AC1163" t="str">
        <f t="shared" si="590"/>
        <v>NA</v>
      </c>
      <c r="AD1163" s="4" t="str">
        <f>IFERROR(AB1163*T1163*AI1163, "NA")</f>
        <v>NA</v>
      </c>
      <c r="AE1163" s="3">
        <f>IFERROR(((L1163^2)*N1163*O1163*AK1163*10^-6*Q1163*T1163*AI1163), "NA")</f>
        <v>177.08749999999995</v>
      </c>
      <c r="AF1163" s="4">
        <v>45.7</v>
      </c>
      <c r="AG1163" t="str">
        <f>IFERROR((M1163*O1163*P1163), "NA")</f>
        <v>NA</v>
      </c>
      <c r="AH1163" t="str">
        <f>IFERROR((AG1163*T1163*AI1163), "NA")</f>
        <v>NA</v>
      </c>
      <c r="AI1163" s="11">
        <v>1</v>
      </c>
      <c r="AJ1163" t="s">
        <v>31</v>
      </c>
      <c r="AK1163">
        <v>6200</v>
      </c>
      <c r="AL1163" t="s">
        <v>550</v>
      </c>
      <c r="AM1163" s="3" t="s">
        <v>783</v>
      </c>
      <c r="AN1163" t="s">
        <v>205</v>
      </c>
      <c r="AO1163" t="s">
        <v>33</v>
      </c>
      <c r="AP1163">
        <v>4.3</v>
      </c>
      <c r="AQ1163" t="s">
        <v>33</v>
      </c>
      <c r="AR1163" t="s">
        <v>33</v>
      </c>
      <c r="AS1163" s="6">
        <v>8.923</v>
      </c>
      <c r="AT1163" s="3">
        <f>IFERROR(AS1163-AU1163,"NA")</f>
        <v>5.9489999999999998</v>
      </c>
      <c r="AU1163" s="6">
        <v>2.9740000000000002</v>
      </c>
      <c r="AV1163" t="b">
        <v>1</v>
      </c>
      <c r="AW1163" t="s">
        <v>123</v>
      </c>
      <c r="AX1163" t="s">
        <v>88</v>
      </c>
      <c r="AY1163" t="s">
        <v>347</v>
      </c>
      <c r="AZ1163" t="s">
        <v>33</v>
      </c>
      <c r="BA1163" s="18" t="s">
        <v>579</v>
      </c>
      <c r="BB1163" t="b">
        <v>1</v>
      </c>
      <c r="BC1163" t="s">
        <v>81</v>
      </c>
      <c r="BD1163">
        <v>8</v>
      </c>
      <c r="BE1163" t="s">
        <v>159</v>
      </c>
      <c r="BF1163" s="11">
        <v>48</v>
      </c>
      <c r="BG1163" t="s">
        <v>395</v>
      </c>
      <c r="BH1163" t="s">
        <v>31</v>
      </c>
      <c r="BI1163" t="s">
        <v>31</v>
      </c>
      <c r="BJ1163" s="3">
        <f t="shared" si="571"/>
        <v>2.9740000000000002</v>
      </c>
      <c r="BK1163" s="3">
        <f t="shared" si="581"/>
        <v>0.47334096418593546</v>
      </c>
      <c r="BL1163">
        <v>2</v>
      </c>
      <c r="BM1163" s="3">
        <f>IFERROR(LOG(BO1163),"NA")</f>
        <v>1.7748469427262437</v>
      </c>
      <c r="BN1163" t="s">
        <v>33</v>
      </c>
      <c r="BO1163" s="3">
        <f t="shared" si="591"/>
        <v>59.545225285810332</v>
      </c>
      <c r="BP1163" t="s">
        <v>33</v>
      </c>
      <c r="BQ1163" t="s">
        <v>33</v>
      </c>
      <c r="BR1163" t="s">
        <v>33</v>
      </c>
      <c r="BS1163" t="s">
        <v>33</v>
      </c>
      <c r="BT1163" t="s">
        <v>31</v>
      </c>
      <c r="BU1163" t="s">
        <v>217</v>
      </c>
      <c r="BV1163">
        <v>2005</v>
      </c>
      <c r="BW1163" t="s">
        <v>348</v>
      </c>
      <c r="BX1163" t="s">
        <v>78</v>
      </c>
      <c r="BY1163" t="s">
        <v>33</v>
      </c>
      <c r="BZ1163" t="s">
        <v>349</v>
      </c>
      <c r="CA1163" t="str">
        <f t="shared" si="592"/>
        <v>high acid</v>
      </c>
    </row>
    <row r="1164" spans="1:79">
      <c r="A1164" t="s">
        <v>605</v>
      </c>
      <c r="B1164" t="s">
        <v>565</v>
      </c>
      <c r="C1164" t="s">
        <v>563</v>
      </c>
      <c r="D1164" t="s">
        <v>118</v>
      </c>
      <c r="E1164" t="s">
        <v>77</v>
      </c>
      <c r="F1164" t="s">
        <v>33</v>
      </c>
      <c r="G1164" t="s">
        <v>33</v>
      </c>
      <c r="H1164" t="s">
        <v>33</v>
      </c>
      <c r="I1164" t="b">
        <v>0</v>
      </c>
      <c r="J1164" t="s">
        <v>33</v>
      </c>
      <c r="K1164" t="s">
        <v>33</v>
      </c>
      <c r="L1164">
        <v>17</v>
      </c>
      <c r="M1164" s="4">
        <v>500</v>
      </c>
      <c r="N1164" t="e">
        <f>(#REF!*Y1164)/(T1164*X1164*O1164)</f>
        <v>#REF!</v>
      </c>
      <c r="O1164">
        <v>3</v>
      </c>
      <c r="P1164" t="s">
        <v>33</v>
      </c>
      <c r="Q1164" s="1">
        <f t="shared" si="589"/>
        <v>1.1666666666666667E-2</v>
      </c>
      <c r="R1164" t="s">
        <v>183</v>
      </c>
      <c r="S1164" t="s">
        <v>613</v>
      </c>
      <c r="T1164">
        <v>6</v>
      </c>
      <c r="U1164">
        <v>2.9</v>
      </c>
      <c r="V1164">
        <v>2.2999999999999998</v>
      </c>
      <c r="W1164" t="s">
        <v>33</v>
      </c>
      <c r="X1164">
        <f t="shared" si="594"/>
        <v>1.204879322468025E-2</v>
      </c>
      <c r="Y1164">
        <v>0.83333299999999999</v>
      </c>
      <c r="Z1164" s="3">
        <f t="shared" ref="Z1164:Z1173" si="595">IFERROR(X1164*M1164*O1164*T1164*AI1164/AF1164, "NA")</f>
        <v>1.0327537049725928</v>
      </c>
      <c r="AA1164" t="s">
        <v>33</v>
      </c>
      <c r="AB1164">
        <f t="shared" si="593"/>
        <v>5.8333333333333339</v>
      </c>
      <c r="AC1164" s="1" t="str">
        <f t="shared" si="590"/>
        <v>NA</v>
      </c>
      <c r="AE1164" s="3">
        <f t="shared" ref="AE1164:AE1177" si="596">IFERROR(((L1164^2)*M1164*O1164*AK1164*10^-6*Q1164*T1164*AI1164), "NA")</f>
        <v>35.50365</v>
      </c>
      <c r="AF1164">
        <v>105</v>
      </c>
      <c r="AG1164" s="1" t="str">
        <f>IFERROR((N1164*P1164*Q1164), "NA")</f>
        <v>NA</v>
      </c>
      <c r="AH1164" s="1" t="str">
        <f>IFERROR((AG1164*U1164*AI1164), "NA")</f>
        <v>NA</v>
      </c>
      <c r="AI1164" s="1">
        <v>1</v>
      </c>
      <c r="AJ1164" s="11" t="s">
        <v>31</v>
      </c>
      <c r="AK1164">
        <f>1.17*10^3</f>
        <v>1170</v>
      </c>
      <c r="AL1164" t="s">
        <v>138</v>
      </c>
      <c r="AM1164" t="s">
        <v>86</v>
      </c>
      <c r="AN1164" t="s">
        <v>205</v>
      </c>
      <c r="AO1164" t="s">
        <v>789</v>
      </c>
      <c r="AP1164">
        <v>3.85</v>
      </c>
      <c r="AQ1164" t="s">
        <v>33</v>
      </c>
      <c r="AR1164" t="s">
        <v>33</v>
      </c>
      <c r="AS1164">
        <v>7.52</v>
      </c>
      <c r="AT1164">
        <v>5.95</v>
      </c>
      <c r="AU1164" s="6">
        <f>AS1164-AT1164</f>
        <v>1.5699999999999994</v>
      </c>
      <c r="AV1164" t="b">
        <v>1</v>
      </c>
      <c r="AW1164" t="s">
        <v>626</v>
      </c>
      <c r="AX1164" t="s">
        <v>627</v>
      </c>
      <c r="AY1164">
        <v>95047</v>
      </c>
      <c r="AZ1164" t="s">
        <v>33</v>
      </c>
      <c r="BA1164" s="18" t="s">
        <v>800</v>
      </c>
      <c r="BB1164" s="3" t="b">
        <v>0</v>
      </c>
      <c r="BC1164" t="s">
        <v>81</v>
      </c>
      <c r="BD1164">
        <f>AVERAGE(24,48)</f>
        <v>36</v>
      </c>
      <c r="BE1164" t="s">
        <v>80</v>
      </c>
      <c r="BF1164">
        <v>48</v>
      </c>
      <c r="BG1164" t="s">
        <v>647</v>
      </c>
      <c r="BH1164" t="s">
        <v>31</v>
      </c>
      <c r="BI1164" t="s">
        <v>31</v>
      </c>
      <c r="BJ1164" s="3">
        <f t="shared" si="571"/>
        <v>1.5699999999999994</v>
      </c>
      <c r="BK1164" s="3">
        <f t="shared" si="581"/>
        <v>0.19589965240923357</v>
      </c>
      <c r="BL1164">
        <v>2</v>
      </c>
      <c r="BM1164" s="3">
        <f>IFERROR(LOG(BO1164),"NA")</f>
        <v>1.354373351163414</v>
      </c>
      <c r="BN1164" t="s">
        <v>33</v>
      </c>
      <c r="BO1164" s="3">
        <f t="shared" si="591"/>
        <v>22.613789808917208</v>
      </c>
      <c r="BP1164" t="s">
        <v>33</v>
      </c>
      <c r="BQ1164" t="s">
        <v>33</v>
      </c>
      <c r="BR1164" t="s">
        <v>33</v>
      </c>
      <c r="BS1164" t="s">
        <v>33</v>
      </c>
      <c r="BT1164" t="s">
        <v>31</v>
      </c>
      <c r="BU1164" s="13" t="s">
        <v>135</v>
      </c>
      <c r="BV1164" s="14">
        <v>2009</v>
      </c>
      <c r="BW1164" s="13" t="s">
        <v>136</v>
      </c>
      <c r="BX1164" t="s">
        <v>78</v>
      </c>
      <c r="BY1164" s="13" t="s">
        <v>692</v>
      </c>
      <c r="CA1164" t="str">
        <f t="shared" si="592"/>
        <v>high acid</v>
      </c>
    </row>
    <row r="1165" spans="1:79">
      <c r="A1165" t="s">
        <v>383</v>
      </c>
      <c r="B1165" t="s">
        <v>565</v>
      </c>
      <c r="C1165" t="s">
        <v>563</v>
      </c>
      <c r="D1165" t="s">
        <v>378</v>
      </c>
      <c r="E1165" t="s">
        <v>77</v>
      </c>
      <c r="F1165" t="s">
        <v>32</v>
      </c>
      <c r="G1165">
        <v>30</v>
      </c>
      <c r="H1165">
        <v>36</v>
      </c>
      <c r="I1165" t="b">
        <v>1</v>
      </c>
      <c r="J1165">
        <v>4125</v>
      </c>
      <c r="K1165">
        <v>11.3</v>
      </c>
      <c r="L1165">
        <v>15</v>
      </c>
      <c r="M1165" s="4">
        <v>250</v>
      </c>
      <c r="N1165" s="3">
        <f>IFERROR(AF1165/((T1165*X1165/Y1165)*O1165*AI1165),"NA")</f>
        <v>251.11113243387931</v>
      </c>
      <c r="O1165">
        <v>4</v>
      </c>
      <c r="P1165" t="s">
        <v>33</v>
      </c>
      <c r="Q1165" s="8">
        <f t="shared" si="589"/>
        <v>1.4200000000000001E-2</v>
      </c>
      <c r="R1165" t="s">
        <v>183</v>
      </c>
      <c r="S1165" t="s">
        <v>612</v>
      </c>
      <c r="T1165" s="11">
        <v>6</v>
      </c>
      <c r="U1165">
        <v>2.7</v>
      </c>
      <c r="V1165">
        <v>2</v>
      </c>
      <c r="W1165">
        <v>8.5000000000000006E-3</v>
      </c>
      <c r="X1165" s="8">
        <f t="shared" si="594"/>
        <v>8.4823001646924419E-3</v>
      </c>
      <c r="Y1165">
        <f>36/60</f>
        <v>0.6</v>
      </c>
      <c r="Z1165" s="3">
        <f t="shared" si="595"/>
        <v>0.59734508202059444</v>
      </c>
      <c r="AA1165">
        <f>21.3/6</f>
        <v>3.5500000000000003</v>
      </c>
      <c r="AB1165" s="6">
        <f t="shared" si="593"/>
        <v>3.5500000000000003</v>
      </c>
      <c r="AC1165" t="str">
        <f t="shared" si="590"/>
        <v>NA</v>
      </c>
      <c r="AD1165" s="4">
        <f>IFERROR(AB1165*T1165*AI1165, "NA")</f>
        <v>21.3</v>
      </c>
      <c r="AE1165" s="3">
        <f t="shared" si="596"/>
        <v>76.680000000000007</v>
      </c>
      <c r="AF1165">
        <f>AA1165*O1165*T1165*AI1165</f>
        <v>85.2</v>
      </c>
      <c r="AG1165" t="str">
        <f>IFERROR((M1165*O1165*P1165), "NA")</f>
        <v>NA</v>
      </c>
      <c r="AH1165" t="str">
        <f>IFERROR((AG1165*T1165*AI1165), "NA")</f>
        <v>NA</v>
      </c>
      <c r="AI1165" s="1">
        <v>1</v>
      </c>
      <c r="AJ1165" t="s">
        <v>31</v>
      </c>
      <c r="AK1165">
        <v>4000</v>
      </c>
      <c r="AL1165" t="s">
        <v>545</v>
      </c>
      <c r="AM1165" t="s">
        <v>103</v>
      </c>
      <c r="AN1165" t="s">
        <v>130</v>
      </c>
      <c r="AO1165" t="s">
        <v>795</v>
      </c>
      <c r="AP1165">
        <v>7</v>
      </c>
      <c r="AQ1165" t="s">
        <v>33</v>
      </c>
      <c r="AR1165" t="s">
        <v>33</v>
      </c>
      <c r="AS1165" s="6">
        <f>LOG(10^8)</f>
        <v>8</v>
      </c>
      <c r="AT1165" s="3">
        <f>IFERROR(AS1165-AU1165,"NA")</f>
        <v>5.9510000000000005</v>
      </c>
      <c r="AU1165" s="6">
        <v>2.0489999999999999</v>
      </c>
      <c r="AV1165" t="b">
        <v>1</v>
      </c>
      <c r="AW1165" t="s">
        <v>29</v>
      </c>
      <c r="AX1165" t="s">
        <v>30</v>
      </c>
      <c r="AY1165" t="s">
        <v>226</v>
      </c>
      <c r="AZ1165" t="s">
        <v>33</v>
      </c>
      <c r="BA1165" s="18" t="s">
        <v>798</v>
      </c>
      <c r="BB1165" t="b">
        <v>0</v>
      </c>
      <c r="BC1165" t="s">
        <v>81</v>
      </c>
      <c r="BD1165">
        <v>14</v>
      </c>
      <c r="BE1165" t="s">
        <v>80</v>
      </c>
      <c r="BF1165" s="11">
        <v>48</v>
      </c>
      <c r="BG1165" t="s">
        <v>139</v>
      </c>
      <c r="BH1165" t="s">
        <v>31</v>
      </c>
      <c r="BI1165" t="s">
        <v>31</v>
      </c>
      <c r="BJ1165" s="3">
        <f t="shared" si="571"/>
        <v>2.0489999999999999</v>
      </c>
      <c r="BK1165" s="3">
        <f t="shared" si="581"/>
        <v>0.31154195840119497</v>
      </c>
      <c r="BL1165">
        <v>2</v>
      </c>
      <c r="BM1165" s="3">
        <f>IFERROR(LOG(BO1165),"NA")</f>
        <v>1.57314014580483</v>
      </c>
      <c r="BN1165" t="s">
        <v>33</v>
      </c>
      <c r="BO1165" s="3">
        <f t="shared" si="591"/>
        <v>37.423133235724748</v>
      </c>
      <c r="BP1165" t="s">
        <v>33</v>
      </c>
      <c r="BQ1165" t="s">
        <v>33</v>
      </c>
      <c r="BR1165" t="s">
        <v>33</v>
      </c>
      <c r="BS1165" t="s">
        <v>33</v>
      </c>
      <c r="BT1165" t="s">
        <v>31</v>
      </c>
      <c r="BU1165" t="s">
        <v>227</v>
      </c>
      <c r="BV1165">
        <v>2004</v>
      </c>
      <c r="BW1165" t="s">
        <v>381</v>
      </c>
      <c r="BX1165" t="s">
        <v>78</v>
      </c>
      <c r="BY1165" t="s">
        <v>33</v>
      </c>
      <c r="BZ1165" t="s">
        <v>33</v>
      </c>
      <c r="CA1165" t="str">
        <f t="shared" si="592"/>
        <v>low acid</v>
      </c>
    </row>
    <row r="1166" spans="1:79">
      <c r="A1166" t="s">
        <v>362</v>
      </c>
      <c r="B1166" t="s">
        <v>566</v>
      </c>
      <c r="C1166" t="s">
        <v>563</v>
      </c>
      <c r="D1166" t="s">
        <v>358</v>
      </c>
      <c r="E1166" t="s">
        <v>77</v>
      </c>
      <c r="F1166" t="s">
        <v>32</v>
      </c>
      <c r="G1166">
        <v>20</v>
      </c>
      <c r="H1166">
        <v>35</v>
      </c>
      <c r="I1166" t="b">
        <v>0</v>
      </c>
      <c r="J1166" t="s">
        <v>33</v>
      </c>
      <c r="K1166" t="s">
        <v>33</v>
      </c>
      <c r="L1166">
        <v>24</v>
      </c>
      <c r="M1166" s="4">
        <v>18</v>
      </c>
      <c r="N1166" s="3">
        <f>IFERROR(AF1166/((T1166*X1166/Y1166)*O1166*AI1166),"NA")</f>
        <v>15.462184873949576</v>
      </c>
      <c r="O1166">
        <v>1</v>
      </c>
      <c r="P1166">
        <v>5.95</v>
      </c>
      <c r="Q1166" s="8">
        <f t="shared" si="589"/>
        <v>5.1111111111111107</v>
      </c>
      <c r="R1166" t="s">
        <v>183</v>
      </c>
      <c r="S1166" t="s">
        <v>612</v>
      </c>
      <c r="T1166" s="11">
        <v>1</v>
      </c>
      <c r="U1166">
        <v>2</v>
      </c>
      <c r="V1166" t="s">
        <v>33</v>
      </c>
      <c r="W1166">
        <f>U1166*0.1*16.2*0.52</f>
        <v>1.6848000000000001</v>
      </c>
      <c r="X1166">
        <f>U1166*0.1*16.2*0.52</f>
        <v>1.6848000000000001</v>
      </c>
      <c r="Y1166" s="3">
        <f>W1166/5.95</f>
        <v>0.2831596638655462</v>
      </c>
      <c r="Z1166" s="3">
        <f t="shared" si="595"/>
        <v>0.32963478260869566</v>
      </c>
      <c r="AA1166">
        <v>92</v>
      </c>
      <c r="AB1166" s="6">
        <f t="shared" si="593"/>
        <v>92</v>
      </c>
      <c r="AC1166">
        <f t="shared" si="590"/>
        <v>107.10000000000001</v>
      </c>
      <c r="AD1166" s="4">
        <f>IFERROR(AB1166*T1166*AI1166, "NA")</f>
        <v>92</v>
      </c>
      <c r="AE1166" s="3">
        <f t="shared" si="596"/>
        <v>100.68479999999998</v>
      </c>
      <c r="AF1166" s="3">
        <v>92</v>
      </c>
      <c r="AG1166">
        <f>IFERROR((M1166*O1166*P1166), "NA")</f>
        <v>107.10000000000001</v>
      </c>
      <c r="AH1166">
        <f>IFERROR((AG1166*T1166*AI1166), "NA")</f>
        <v>107.10000000000001</v>
      </c>
      <c r="AI1166" s="11">
        <v>1</v>
      </c>
      <c r="AJ1166" t="s">
        <v>31</v>
      </c>
      <c r="AK1166" s="11">
        <v>1900</v>
      </c>
      <c r="AL1166" t="s">
        <v>784</v>
      </c>
      <c r="AM1166" t="s">
        <v>103</v>
      </c>
      <c r="AN1166" t="s">
        <v>305</v>
      </c>
      <c r="AO1166" t="s">
        <v>790</v>
      </c>
      <c r="AP1166">
        <v>4</v>
      </c>
      <c r="AQ1166" t="s">
        <v>33</v>
      </c>
      <c r="AR1166" t="s">
        <v>33</v>
      </c>
      <c r="AS1166" s="6">
        <v>7</v>
      </c>
      <c r="AT1166" s="3">
        <f>IFERROR(AS1166-AU1166,"NA")</f>
        <v>5.96</v>
      </c>
      <c r="AU1166" s="6">
        <v>1.04</v>
      </c>
      <c r="AV1166" t="b">
        <v>1</v>
      </c>
      <c r="AW1166" t="s">
        <v>29</v>
      </c>
      <c r="AX1166" t="s">
        <v>30</v>
      </c>
      <c r="AY1166" t="s">
        <v>361</v>
      </c>
      <c r="AZ1166" t="s">
        <v>33</v>
      </c>
      <c r="BA1166" s="18" t="s">
        <v>798</v>
      </c>
      <c r="BB1166" t="b">
        <v>0</v>
      </c>
      <c r="BC1166" t="s">
        <v>81</v>
      </c>
      <c r="BD1166">
        <v>18</v>
      </c>
      <c r="BE1166" t="s">
        <v>80</v>
      </c>
      <c r="BF1166" t="s">
        <v>33</v>
      </c>
      <c r="BG1166" t="s">
        <v>568</v>
      </c>
      <c r="BH1166" t="s">
        <v>31</v>
      </c>
      <c r="BI1166" t="s">
        <v>31</v>
      </c>
      <c r="BJ1166" s="3">
        <f t="shared" si="571"/>
        <v>1.04</v>
      </c>
      <c r="BK1166" s="3">
        <f t="shared" si="581"/>
        <v>1.703333929878037E-2</v>
      </c>
      <c r="BL1166">
        <v>2</v>
      </c>
      <c r="BM1166" s="3">
        <f>IFERROR(LOG(BO1166),"NA")</f>
        <v>1.9859305724228158</v>
      </c>
      <c r="BN1166" t="s">
        <v>33</v>
      </c>
      <c r="BO1166" s="3">
        <f t="shared" si="591"/>
        <v>96.81230769230767</v>
      </c>
      <c r="BP1166" t="s">
        <v>33</v>
      </c>
      <c r="BQ1166" t="s">
        <v>33</v>
      </c>
      <c r="BR1166" t="s">
        <v>33</v>
      </c>
      <c r="BS1166" t="s">
        <v>33</v>
      </c>
      <c r="BT1166" t="s">
        <v>32</v>
      </c>
      <c r="BU1166" t="s">
        <v>359</v>
      </c>
      <c r="BV1166">
        <v>2012</v>
      </c>
      <c r="BW1166" t="s">
        <v>360</v>
      </c>
      <c r="BX1166" t="s">
        <v>78</v>
      </c>
      <c r="BY1166" t="s">
        <v>33</v>
      </c>
      <c r="BZ1166" t="s">
        <v>33</v>
      </c>
      <c r="CA1166" t="str">
        <f t="shared" si="592"/>
        <v>high acid</v>
      </c>
    </row>
    <row r="1167" spans="1:79">
      <c r="A1167" t="s">
        <v>105</v>
      </c>
      <c r="B1167" t="s">
        <v>565</v>
      </c>
      <c r="C1167" t="s">
        <v>563</v>
      </c>
      <c r="D1167" t="s">
        <v>118</v>
      </c>
      <c r="E1167" t="s">
        <v>77</v>
      </c>
      <c r="F1167" t="s">
        <v>32</v>
      </c>
      <c r="G1167">
        <v>23</v>
      </c>
      <c r="H1167">
        <v>40</v>
      </c>
      <c r="I1167" t="b">
        <v>0</v>
      </c>
      <c r="J1167" t="s">
        <v>33</v>
      </c>
      <c r="K1167" t="s">
        <v>33</v>
      </c>
      <c r="L1167">
        <v>25</v>
      </c>
      <c r="M1167" s="4">
        <v>667</v>
      </c>
      <c r="N1167" s="3">
        <f>IFERROR(AF1167/((T1167*X1167/Y1167)*O1167*AI1167),"NA")</f>
        <v>663.96690945057719</v>
      </c>
      <c r="O1167">
        <v>3</v>
      </c>
      <c r="P1167" t="s">
        <v>33</v>
      </c>
      <c r="Q1167" s="8">
        <f t="shared" si="589"/>
        <v>5.9970014992503755E-3</v>
      </c>
      <c r="R1167" t="s">
        <v>183</v>
      </c>
      <c r="S1167" t="s">
        <v>613</v>
      </c>
      <c r="T1167" s="11">
        <v>4</v>
      </c>
      <c r="U1167">
        <v>2.9</v>
      </c>
      <c r="V1167">
        <v>2.2999999999999998</v>
      </c>
      <c r="W1167" t="s">
        <v>33</v>
      </c>
      <c r="X1167">
        <f>IFERROR(((PI())*(((V1167*10^-1)/2)^2)*(U1167*10^-1)), "NA")</f>
        <v>1.204879322468025E-2</v>
      </c>
      <c r="Y1167">
        <v>2</v>
      </c>
      <c r="Z1167" s="9">
        <f t="shared" si="595"/>
        <v>2.0091362702154316</v>
      </c>
      <c r="AA1167" t="s">
        <v>33</v>
      </c>
      <c r="AB1167" s="6">
        <f t="shared" si="593"/>
        <v>4</v>
      </c>
      <c r="AC1167" t="str">
        <f t="shared" si="590"/>
        <v>NA</v>
      </c>
      <c r="AD1167" s="4">
        <f>IFERROR(AB1167*T1167*AI1167, "NA")</f>
        <v>16</v>
      </c>
      <c r="AE1167">
        <f t="shared" si="596"/>
        <v>138.00000000000003</v>
      </c>
      <c r="AF1167">
        <v>48</v>
      </c>
      <c r="AG1167" t="str">
        <f>IFERROR((M1167*O1167*P1167), "NA")</f>
        <v>NA</v>
      </c>
      <c r="AH1167" t="str">
        <f>IFERROR((AG1167*T1167*AI1167), "NA")</f>
        <v>NA</v>
      </c>
      <c r="AI1167" s="11">
        <v>1</v>
      </c>
      <c r="AJ1167" t="s">
        <v>31</v>
      </c>
      <c r="AK1167">
        <v>4600</v>
      </c>
      <c r="AL1167" t="s">
        <v>204</v>
      </c>
      <c r="AM1167" t="s">
        <v>785</v>
      </c>
      <c r="AN1167" t="s">
        <v>205</v>
      </c>
      <c r="AO1167" t="s">
        <v>791</v>
      </c>
      <c r="AP1167">
        <v>4.2</v>
      </c>
      <c r="AQ1167" t="s">
        <v>33</v>
      </c>
      <c r="AR1167" t="s">
        <v>33</v>
      </c>
      <c r="AS1167" s="3">
        <v>8</v>
      </c>
      <c r="AT1167" s="3">
        <f>IFERROR(AS1167-AU1167,"NA")</f>
        <v>5.8</v>
      </c>
      <c r="AU1167" s="6">
        <v>2.2000000000000002</v>
      </c>
      <c r="AV1167" t="b">
        <v>1</v>
      </c>
      <c r="AW1167" t="s">
        <v>92</v>
      </c>
      <c r="AX1167" t="s">
        <v>93</v>
      </c>
      <c r="AY1167" t="s">
        <v>95</v>
      </c>
      <c r="AZ1167" t="s">
        <v>33</v>
      </c>
      <c r="BA1167" s="18" t="s">
        <v>801</v>
      </c>
      <c r="BB1167" t="b">
        <v>0</v>
      </c>
      <c r="BC1167" t="s">
        <v>81</v>
      </c>
      <c r="BD1167">
        <v>18</v>
      </c>
      <c r="BE1167" t="s">
        <v>80</v>
      </c>
      <c r="BF1167" t="s">
        <v>33</v>
      </c>
      <c r="BG1167" t="s">
        <v>568</v>
      </c>
      <c r="BH1167" t="s">
        <v>31</v>
      </c>
      <c r="BI1167" t="s">
        <v>31</v>
      </c>
      <c r="BJ1167">
        <f t="shared" si="571"/>
        <v>2.2000000000000002</v>
      </c>
      <c r="BK1167" s="3">
        <f t="shared" si="581"/>
        <v>0.34242268082220628</v>
      </c>
      <c r="BL1167">
        <v>2</v>
      </c>
      <c r="BM1167" s="3">
        <f>LOG(BO1167)</f>
        <v>1.7974564055790303</v>
      </c>
      <c r="BN1167" t="s">
        <v>33</v>
      </c>
      <c r="BO1167" s="3">
        <f t="shared" si="591"/>
        <v>62.727272727272734</v>
      </c>
      <c r="BP1167" t="s">
        <v>33</v>
      </c>
      <c r="BQ1167" t="s">
        <v>33</v>
      </c>
      <c r="BR1167" t="s">
        <v>33</v>
      </c>
      <c r="BS1167" t="s">
        <v>33</v>
      </c>
      <c r="BT1167" t="s">
        <v>32</v>
      </c>
      <c r="BU1167" t="s">
        <v>116</v>
      </c>
      <c r="BV1167">
        <v>2011</v>
      </c>
      <c r="BW1167" t="s">
        <v>91</v>
      </c>
      <c r="BX1167" t="s">
        <v>78</v>
      </c>
      <c r="BY1167" t="s">
        <v>33</v>
      </c>
      <c r="BZ1167" t="s">
        <v>113</v>
      </c>
      <c r="CA1167" t="str">
        <f t="shared" si="592"/>
        <v>high acid</v>
      </c>
    </row>
    <row r="1168" spans="1:79">
      <c r="A1168" t="s">
        <v>600</v>
      </c>
      <c r="B1168" t="s">
        <v>566</v>
      </c>
      <c r="C1168" t="s">
        <v>563</v>
      </c>
      <c r="D1168" t="s">
        <v>33</v>
      </c>
      <c r="E1168" t="s">
        <v>77</v>
      </c>
      <c r="F1168" t="s">
        <v>33</v>
      </c>
      <c r="G1168" t="s">
        <v>33</v>
      </c>
      <c r="H1168">
        <v>35</v>
      </c>
      <c r="I1168" t="b">
        <v>0</v>
      </c>
      <c r="J1168" t="s">
        <v>33</v>
      </c>
      <c r="K1168" t="s">
        <v>33</v>
      </c>
      <c r="L1168">
        <v>25</v>
      </c>
      <c r="M1168" s="4">
        <v>1</v>
      </c>
      <c r="N1168" t="e">
        <f>(#REF!*Y1168)/(T1168*X1168*O1168)</f>
        <v>#REF!</v>
      </c>
      <c r="O1168">
        <v>2</v>
      </c>
      <c r="P1168" t="s">
        <v>33</v>
      </c>
      <c r="Q1168" s="1">
        <f t="shared" si="589"/>
        <v>25.39</v>
      </c>
      <c r="R1168" t="s">
        <v>183</v>
      </c>
      <c r="S1168" t="s">
        <v>33</v>
      </c>
      <c r="T1168">
        <v>1</v>
      </c>
      <c r="U1168">
        <v>2.5</v>
      </c>
      <c r="V1168" t="s">
        <v>33</v>
      </c>
      <c r="W1168">
        <v>0.50249999999999995</v>
      </c>
      <c r="X1168">
        <f t="shared" ref="X1168:X1174" si="597">W1168</f>
        <v>0.50249999999999995</v>
      </c>
      <c r="Y1168" t="s">
        <v>33</v>
      </c>
      <c r="Z1168" s="3">
        <f t="shared" si="595"/>
        <v>1.9791256400157539E-2</v>
      </c>
      <c r="AA1168" t="s">
        <v>33</v>
      </c>
      <c r="AB1168">
        <f t="shared" si="593"/>
        <v>25.39</v>
      </c>
      <c r="AC1168" s="1" t="str">
        <f t="shared" si="590"/>
        <v>NA</v>
      </c>
      <c r="AE1168" s="3">
        <f t="shared" si="596"/>
        <v>63.475000000000001</v>
      </c>
      <c r="AF1168">
        <v>50.78</v>
      </c>
      <c r="AG1168" s="1" t="str">
        <f t="shared" ref="AG1168:AG1173" si="598">IFERROR((N1168*P1168*Q1168), "NA")</f>
        <v>NA</v>
      </c>
      <c r="AH1168" s="1" t="str">
        <f t="shared" ref="AH1168:AH1173" si="599">IFERROR((AG1168*U1168*AI1168), "NA")</f>
        <v>NA</v>
      </c>
      <c r="AI1168" s="1">
        <v>1</v>
      </c>
      <c r="AJ1168" s="11" t="s">
        <v>31</v>
      </c>
      <c r="AK1168">
        <v>2000</v>
      </c>
      <c r="AL1168" t="s">
        <v>784</v>
      </c>
      <c r="AM1168" s="3" t="s">
        <v>103</v>
      </c>
      <c r="AN1168" t="s">
        <v>130</v>
      </c>
      <c r="AO1168" t="s">
        <v>795</v>
      </c>
      <c r="AP1168">
        <v>7</v>
      </c>
      <c r="AQ1168" t="s">
        <v>33</v>
      </c>
      <c r="AR1168" t="s">
        <v>33</v>
      </c>
      <c r="AS1168">
        <v>8</v>
      </c>
      <c r="AT1168">
        <f t="shared" ref="AT1168:AT1173" si="600">AS1168-AU1168</f>
        <v>5.9700000000000006</v>
      </c>
      <c r="AU1168" s="6">
        <v>2.0299999999999998</v>
      </c>
      <c r="AV1168" t="b">
        <v>1</v>
      </c>
      <c r="AW1168" t="s">
        <v>626</v>
      </c>
      <c r="AX1168" t="s">
        <v>627</v>
      </c>
      <c r="AY1168" t="s">
        <v>640</v>
      </c>
      <c r="AZ1168" t="s">
        <v>33</v>
      </c>
      <c r="BA1168" s="18" t="s">
        <v>800</v>
      </c>
      <c r="BB1168" s="3" t="b">
        <v>0</v>
      </c>
      <c r="BC1168" t="s">
        <v>81</v>
      </c>
      <c r="BD1168">
        <f>AVERAGE(24,30)</f>
        <v>27</v>
      </c>
      <c r="BE1168" t="s">
        <v>80</v>
      </c>
      <c r="BF1168">
        <v>24</v>
      </c>
      <c r="BG1168" t="s">
        <v>568</v>
      </c>
      <c r="BH1168" t="s">
        <v>31</v>
      </c>
      <c r="BI1168" t="s">
        <v>31</v>
      </c>
      <c r="BJ1168" s="3">
        <f t="shared" si="571"/>
        <v>2.0299999999999998</v>
      </c>
      <c r="BK1168" s="3">
        <f t="shared" si="581"/>
        <v>0.30749603791321289</v>
      </c>
      <c r="BL1168">
        <v>2</v>
      </c>
      <c r="BM1168" s="3">
        <f t="shared" ref="BM1168:BM1189" si="601">IFERROR(LOG(BO1168),"NA")</f>
        <v>1.495106671632547</v>
      </c>
      <c r="BN1168" t="s">
        <v>33</v>
      </c>
      <c r="BO1168" s="3">
        <f t="shared" si="591"/>
        <v>31.268472906403943</v>
      </c>
      <c r="BP1168" t="s">
        <v>33</v>
      </c>
      <c r="BQ1168" t="s">
        <v>33</v>
      </c>
      <c r="BR1168" t="s">
        <v>33</v>
      </c>
      <c r="BS1168" t="s">
        <v>33</v>
      </c>
      <c r="BT1168" t="s">
        <v>31</v>
      </c>
      <c r="BU1168" t="s">
        <v>666</v>
      </c>
      <c r="BV1168" s="14">
        <v>2006</v>
      </c>
      <c r="BW1168" t="s">
        <v>667</v>
      </c>
      <c r="BX1168" t="s">
        <v>78</v>
      </c>
      <c r="BY1168" s="13" t="s">
        <v>688</v>
      </c>
      <c r="CA1168" t="str">
        <f t="shared" si="592"/>
        <v>low acid</v>
      </c>
    </row>
    <row r="1169" spans="1:79">
      <c r="A1169" t="s">
        <v>589</v>
      </c>
      <c r="B1169" t="s">
        <v>566</v>
      </c>
      <c r="C1169" t="s">
        <v>563</v>
      </c>
      <c r="D1169" t="s">
        <v>33</v>
      </c>
      <c r="E1169" t="s">
        <v>77</v>
      </c>
      <c r="F1169" t="s">
        <v>33</v>
      </c>
      <c r="G1169" t="s">
        <v>33</v>
      </c>
      <c r="H1169">
        <v>35</v>
      </c>
      <c r="I1169" t="b">
        <v>0</v>
      </c>
      <c r="J1169" t="s">
        <v>33</v>
      </c>
      <c r="K1169" t="s">
        <v>33</v>
      </c>
      <c r="L1169">
        <v>12</v>
      </c>
      <c r="M1169" s="4">
        <v>1</v>
      </c>
      <c r="N1169" t="e">
        <f>(#REF!*Y1169)/(T1169*X1169*O1169)</f>
        <v>#REF!</v>
      </c>
      <c r="O1169">
        <v>2</v>
      </c>
      <c r="P1169" t="s">
        <v>33</v>
      </c>
      <c r="Q1169" s="1">
        <f t="shared" si="589"/>
        <v>200.6</v>
      </c>
      <c r="R1169" t="s">
        <v>183</v>
      </c>
      <c r="S1169" t="s">
        <v>613</v>
      </c>
      <c r="T1169">
        <v>1</v>
      </c>
      <c r="U1169">
        <v>2.5</v>
      </c>
      <c r="V1169" t="s">
        <v>33</v>
      </c>
      <c r="W1169">
        <v>0.50249999999999995</v>
      </c>
      <c r="X1169">
        <f t="shared" si="597"/>
        <v>0.50249999999999995</v>
      </c>
      <c r="Y1169" t="s">
        <v>33</v>
      </c>
      <c r="Z1169" s="3">
        <f t="shared" si="595"/>
        <v>2.5049850448654034E-3</v>
      </c>
      <c r="AA1169" t="s">
        <v>33</v>
      </c>
      <c r="AB1169">
        <f t="shared" si="593"/>
        <v>200.6</v>
      </c>
      <c r="AC1169" s="1" t="str">
        <f t="shared" si="590"/>
        <v>NA</v>
      </c>
      <c r="AE1169" s="3">
        <f t="shared" si="596"/>
        <v>115.54559999999999</v>
      </c>
      <c r="AF1169">
        <v>401.2</v>
      </c>
      <c r="AG1169" s="1" t="str">
        <f t="shared" si="598"/>
        <v>NA</v>
      </c>
      <c r="AH1169" s="1" t="str">
        <f t="shared" si="599"/>
        <v>NA</v>
      </c>
      <c r="AI1169" s="1">
        <v>1</v>
      </c>
      <c r="AJ1169" s="11" t="s">
        <v>31</v>
      </c>
      <c r="AK1169">
        <v>2000</v>
      </c>
      <c r="AL1169" t="s">
        <v>616</v>
      </c>
      <c r="AM1169" s="3" t="s">
        <v>103</v>
      </c>
      <c r="AN1169" t="s">
        <v>130</v>
      </c>
      <c r="AO1169" t="s">
        <v>795</v>
      </c>
      <c r="AP1169">
        <v>7</v>
      </c>
      <c r="AQ1169" t="s">
        <v>33</v>
      </c>
      <c r="AR1169" t="s">
        <v>33</v>
      </c>
      <c r="AS1169">
        <v>9</v>
      </c>
      <c r="AT1169">
        <f t="shared" si="600"/>
        <v>5.9700000000000006</v>
      </c>
      <c r="AU1169" s="6">
        <v>3.03</v>
      </c>
      <c r="AV1169" t="b">
        <v>1</v>
      </c>
      <c r="AW1169" t="s">
        <v>617</v>
      </c>
      <c r="AX1169" t="s">
        <v>33</v>
      </c>
      <c r="AY1169" t="s">
        <v>629</v>
      </c>
      <c r="AZ1169" t="s">
        <v>630</v>
      </c>
      <c r="BA1169" s="18" t="s">
        <v>802</v>
      </c>
      <c r="BB1169" s="3" t="b">
        <v>0</v>
      </c>
      <c r="BC1169" t="s">
        <v>81</v>
      </c>
      <c r="BD1169">
        <v>24</v>
      </c>
      <c r="BE1169" t="s">
        <v>80</v>
      </c>
      <c r="BF1169">
        <v>24</v>
      </c>
      <c r="BG1169" t="s">
        <v>644</v>
      </c>
      <c r="BH1169" t="s">
        <v>31</v>
      </c>
      <c r="BI1169" t="s">
        <v>31</v>
      </c>
      <c r="BJ1169">
        <f t="shared" si="571"/>
        <v>3.03</v>
      </c>
      <c r="BK1169" s="3">
        <f t="shared" si="581"/>
        <v>0.48144262850230496</v>
      </c>
      <c r="BL1169">
        <v>2</v>
      </c>
      <c r="BM1169" s="3">
        <f t="shared" si="601"/>
        <v>1.5813107836053064</v>
      </c>
      <c r="BN1169" t="s">
        <v>33</v>
      </c>
      <c r="BO1169" s="3">
        <f t="shared" si="591"/>
        <v>38.133861386138612</v>
      </c>
      <c r="BP1169" t="s">
        <v>33</v>
      </c>
      <c r="BQ1169" t="s">
        <v>33</v>
      </c>
      <c r="BR1169" t="s">
        <v>33</v>
      </c>
      <c r="BS1169" t="s">
        <v>33</v>
      </c>
      <c r="BT1169" t="s">
        <v>31</v>
      </c>
      <c r="BU1169" s="15" t="s">
        <v>655</v>
      </c>
      <c r="BV1169">
        <v>2003</v>
      </c>
      <c r="BW1169" t="s">
        <v>656</v>
      </c>
      <c r="BX1169" t="s">
        <v>78</v>
      </c>
      <c r="BY1169" s="13" t="s">
        <v>677</v>
      </c>
      <c r="CA1169" t="str">
        <f t="shared" si="592"/>
        <v>low acid</v>
      </c>
    </row>
    <row r="1170" spans="1:79">
      <c r="A1170" t="s">
        <v>589</v>
      </c>
      <c r="B1170" t="s">
        <v>566</v>
      </c>
      <c r="C1170" t="s">
        <v>563</v>
      </c>
      <c r="D1170" t="s">
        <v>33</v>
      </c>
      <c r="E1170" t="s">
        <v>77</v>
      </c>
      <c r="F1170" t="s">
        <v>33</v>
      </c>
      <c r="G1170" t="s">
        <v>33</v>
      </c>
      <c r="H1170">
        <v>35</v>
      </c>
      <c r="I1170" t="b">
        <v>0</v>
      </c>
      <c r="J1170" t="s">
        <v>33</v>
      </c>
      <c r="K1170" t="s">
        <v>33</v>
      </c>
      <c r="L1170">
        <v>25</v>
      </c>
      <c r="M1170" s="4">
        <v>1</v>
      </c>
      <c r="N1170" t="e">
        <f>(#REF!*Y1170)/(T1170*X1170*O1170)</f>
        <v>#REF!</v>
      </c>
      <c r="O1170">
        <v>2</v>
      </c>
      <c r="P1170" t="s">
        <v>33</v>
      </c>
      <c r="Q1170" s="1">
        <f t="shared" si="589"/>
        <v>46.25</v>
      </c>
      <c r="R1170" t="s">
        <v>183</v>
      </c>
      <c r="S1170" t="s">
        <v>613</v>
      </c>
      <c r="T1170">
        <v>1</v>
      </c>
      <c r="U1170">
        <v>2.5</v>
      </c>
      <c r="V1170" t="s">
        <v>33</v>
      </c>
      <c r="W1170">
        <v>0.50249999999999995</v>
      </c>
      <c r="X1170">
        <f t="shared" si="597"/>
        <v>0.50249999999999995</v>
      </c>
      <c r="Y1170" t="s">
        <v>33</v>
      </c>
      <c r="Z1170" s="3">
        <f t="shared" si="595"/>
        <v>1.0864864864864864E-2</v>
      </c>
      <c r="AA1170" t="s">
        <v>33</v>
      </c>
      <c r="AB1170">
        <f t="shared" si="593"/>
        <v>46.25</v>
      </c>
      <c r="AC1170" s="1" t="str">
        <f t="shared" si="590"/>
        <v>NA</v>
      </c>
      <c r="AE1170" s="3">
        <f t="shared" si="596"/>
        <v>115.625</v>
      </c>
      <c r="AF1170">
        <v>92.5</v>
      </c>
      <c r="AG1170" s="1" t="str">
        <f t="shared" si="598"/>
        <v>NA</v>
      </c>
      <c r="AH1170" s="1" t="str">
        <f t="shared" si="599"/>
        <v>NA</v>
      </c>
      <c r="AI1170" s="1">
        <v>1</v>
      </c>
      <c r="AJ1170" s="11" t="s">
        <v>31</v>
      </c>
      <c r="AK1170">
        <v>2000</v>
      </c>
      <c r="AL1170" t="s">
        <v>616</v>
      </c>
      <c r="AM1170" s="3" t="s">
        <v>103</v>
      </c>
      <c r="AN1170" t="s">
        <v>130</v>
      </c>
      <c r="AO1170" t="s">
        <v>795</v>
      </c>
      <c r="AP1170">
        <v>7</v>
      </c>
      <c r="AQ1170" t="s">
        <v>33</v>
      </c>
      <c r="AR1170" t="s">
        <v>33</v>
      </c>
      <c r="AS1170">
        <v>9</v>
      </c>
      <c r="AT1170">
        <f t="shared" si="600"/>
        <v>5.9700000000000006</v>
      </c>
      <c r="AU1170" s="6">
        <v>3.03</v>
      </c>
      <c r="AV1170" t="b">
        <v>1</v>
      </c>
      <c r="AW1170" t="s">
        <v>617</v>
      </c>
      <c r="AX1170" t="s">
        <v>33</v>
      </c>
      <c r="AY1170" t="s">
        <v>629</v>
      </c>
      <c r="AZ1170" t="s">
        <v>630</v>
      </c>
      <c r="BA1170" s="18" t="s">
        <v>802</v>
      </c>
      <c r="BB1170" s="3" t="b">
        <v>0</v>
      </c>
      <c r="BC1170" t="s">
        <v>81</v>
      </c>
      <c r="BD1170">
        <v>24</v>
      </c>
      <c r="BE1170" t="s">
        <v>80</v>
      </c>
      <c r="BF1170">
        <v>24</v>
      </c>
      <c r="BG1170" t="s">
        <v>644</v>
      </c>
      <c r="BH1170" t="s">
        <v>31</v>
      </c>
      <c r="BI1170" t="s">
        <v>31</v>
      </c>
      <c r="BJ1170">
        <f t="shared" si="571"/>
        <v>3.03</v>
      </c>
      <c r="BK1170" s="3">
        <f t="shared" si="581"/>
        <v>0.48144262850230496</v>
      </c>
      <c r="BL1170">
        <v>2</v>
      </c>
      <c r="BM1170" s="3">
        <f t="shared" si="601"/>
        <v>1.5816091172447841</v>
      </c>
      <c r="BN1170" t="s">
        <v>33</v>
      </c>
      <c r="BO1170" s="3">
        <f t="shared" si="591"/>
        <v>38.160066006600665</v>
      </c>
      <c r="BP1170" t="s">
        <v>33</v>
      </c>
      <c r="BQ1170" t="s">
        <v>33</v>
      </c>
      <c r="BR1170" t="s">
        <v>33</v>
      </c>
      <c r="BS1170" t="s">
        <v>33</v>
      </c>
      <c r="BT1170" t="s">
        <v>31</v>
      </c>
      <c r="BU1170" s="15" t="s">
        <v>655</v>
      </c>
      <c r="BV1170">
        <v>2003</v>
      </c>
      <c r="BW1170" t="s">
        <v>656</v>
      </c>
      <c r="BX1170" t="s">
        <v>78</v>
      </c>
      <c r="BY1170" s="13" t="s">
        <v>677</v>
      </c>
      <c r="CA1170" t="str">
        <f t="shared" si="592"/>
        <v>low acid</v>
      </c>
    </row>
    <row r="1171" spans="1:79">
      <c r="A1171" t="s">
        <v>584</v>
      </c>
      <c r="B1171" t="s">
        <v>566</v>
      </c>
      <c r="C1171" t="s">
        <v>563</v>
      </c>
      <c r="D1171" t="s">
        <v>607</v>
      </c>
      <c r="E1171" t="s">
        <v>77</v>
      </c>
      <c r="F1171" t="s">
        <v>33</v>
      </c>
      <c r="G1171">
        <v>20</v>
      </c>
      <c r="H1171">
        <v>35</v>
      </c>
      <c r="I1171" t="b">
        <v>0</v>
      </c>
      <c r="J1171">
        <v>1000</v>
      </c>
      <c r="K1171">
        <v>200</v>
      </c>
      <c r="L1171">
        <v>20</v>
      </c>
      <c r="M1171" s="4">
        <v>1</v>
      </c>
      <c r="N1171" t="e">
        <f>(#REF!*Y1171)/(T1171*X1171*O1171)</f>
        <v>#REF!</v>
      </c>
      <c r="O1171">
        <v>3</v>
      </c>
      <c r="P1171" t="s">
        <v>33</v>
      </c>
      <c r="Q1171" s="1">
        <f t="shared" si="589"/>
        <v>5</v>
      </c>
      <c r="R1171" t="s">
        <v>183</v>
      </c>
      <c r="S1171" t="s">
        <v>33</v>
      </c>
      <c r="T1171">
        <v>1</v>
      </c>
      <c r="U1171">
        <v>2.5</v>
      </c>
      <c r="V1171" t="s">
        <v>33</v>
      </c>
      <c r="W1171">
        <v>0.50249999999999995</v>
      </c>
      <c r="X1171">
        <f t="shared" si="597"/>
        <v>0.50249999999999995</v>
      </c>
      <c r="Y1171" t="s">
        <v>33</v>
      </c>
      <c r="Z1171" s="3">
        <f t="shared" si="595"/>
        <v>0.10049999999999999</v>
      </c>
      <c r="AA1171" t="s">
        <v>33</v>
      </c>
      <c r="AB1171">
        <f t="shared" si="593"/>
        <v>5</v>
      </c>
      <c r="AC1171" s="1" t="str">
        <f t="shared" si="590"/>
        <v>NA</v>
      </c>
      <c r="AE1171" s="3">
        <f t="shared" si="596"/>
        <v>6</v>
      </c>
      <c r="AF1171">
        <v>15</v>
      </c>
      <c r="AG1171" s="1" t="str">
        <f t="shared" si="598"/>
        <v>NA</v>
      </c>
      <c r="AH1171" s="1" t="str">
        <f t="shared" si="599"/>
        <v>NA</v>
      </c>
      <c r="AI1171" s="1">
        <v>1</v>
      </c>
      <c r="AJ1171" s="11" t="s">
        <v>31</v>
      </c>
      <c r="AK1171">
        <v>1000</v>
      </c>
      <c r="AL1171" t="s">
        <v>614</v>
      </c>
      <c r="AM1171" s="3" t="s">
        <v>103</v>
      </c>
      <c r="AN1171" t="s">
        <v>305</v>
      </c>
      <c r="AO1171" t="s">
        <v>790</v>
      </c>
      <c r="AP1171">
        <v>3.5</v>
      </c>
      <c r="AQ1171" t="s">
        <v>33</v>
      </c>
      <c r="AR1171" t="s">
        <v>33</v>
      </c>
      <c r="AS1171">
        <v>8</v>
      </c>
      <c r="AT1171">
        <f t="shared" si="600"/>
        <v>5.98</v>
      </c>
      <c r="AU1171" s="6">
        <v>2.02</v>
      </c>
      <c r="AV1171" t="b">
        <v>1</v>
      </c>
      <c r="AW1171" t="s">
        <v>617</v>
      </c>
      <c r="AX1171" t="s">
        <v>33</v>
      </c>
      <c r="AY1171" t="s">
        <v>623</v>
      </c>
      <c r="AZ1171" t="s">
        <v>621</v>
      </c>
      <c r="BA1171" s="18" t="s">
        <v>802</v>
      </c>
      <c r="BB1171" s="3" t="b">
        <v>0</v>
      </c>
      <c r="BC1171" t="s">
        <v>81</v>
      </c>
      <c r="BD1171">
        <v>18</v>
      </c>
      <c r="BE1171" t="s">
        <v>80</v>
      </c>
      <c r="BF1171">
        <v>24</v>
      </c>
      <c r="BG1171" t="s">
        <v>642</v>
      </c>
      <c r="BH1171" t="s">
        <v>32</v>
      </c>
      <c r="BI1171" t="s">
        <v>31</v>
      </c>
      <c r="BJ1171">
        <f t="shared" si="571"/>
        <v>2.02</v>
      </c>
      <c r="BK1171" s="3">
        <f t="shared" si="581"/>
        <v>0.30535136944662378</v>
      </c>
      <c r="BL1171">
        <v>2</v>
      </c>
      <c r="BM1171" s="3">
        <f t="shared" si="601"/>
        <v>0.47279988093701986</v>
      </c>
      <c r="BN1171" t="s">
        <v>33</v>
      </c>
      <c r="BO1171" s="3">
        <f t="shared" si="591"/>
        <v>2.9702970297029703</v>
      </c>
      <c r="BP1171" t="s">
        <v>33</v>
      </c>
      <c r="BQ1171" t="s">
        <v>33</v>
      </c>
      <c r="BR1171" t="s">
        <v>33</v>
      </c>
      <c r="BS1171" t="s">
        <v>33</v>
      </c>
      <c r="BT1171" t="s">
        <v>31</v>
      </c>
      <c r="BU1171" t="s">
        <v>255</v>
      </c>
      <c r="BV1171">
        <v>2010</v>
      </c>
      <c r="BW1171" t="s">
        <v>651</v>
      </c>
      <c r="BX1171" t="s">
        <v>78</v>
      </c>
      <c r="BY1171" s="13" t="s">
        <v>674</v>
      </c>
      <c r="CA1171" t="str">
        <f t="shared" si="592"/>
        <v>high acid</v>
      </c>
    </row>
    <row r="1172" spans="1:79">
      <c r="A1172" t="s">
        <v>592</v>
      </c>
      <c r="B1172" t="s">
        <v>566</v>
      </c>
      <c r="C1172" t="s">
        <v>563</v>
      </c>
      <c r="D1172" t="s">
        <v>607</v>
      </c>
      <c r="E1172" t="s">
        <v>77</v>
      </c>
      <c r="F1172" t="s">
        <v>32</v>
      </c>
      <c r="G1172" t="s">
        <v>33</v>
      </c>
      <c r="H1172">
        <v>35</v>
      </c>
      <c r="I1172" t="b">
        <v>0</v>
      </c>
      <c r="J1172">
        <v>30000</v>
      </c>
      <c r="K1172">
        <v>200</v>
      </c>
      <c r="L1172">
        <v>25</v>
      </c>
      <c r="M1172" s="4">
        <v>1</v>
      </c>
      <c r="N1172" t="e">
        <f>(#REF!*Y1172)/(T1172*X1172*O1172)</f>
        <v>#REF!</v>
      </c>
      <c r="O1172">
        <v>3</v>
      </c>
      <c r="P1172" t="s">
        <v>33</v>
      </c>
      <c r="Q1172" s="1">
        <f t="shared" si="589"/>
        <v>10.6</v>
      </c>
      <c r="R1172" t="s">
        <v>183</v>
      </c>
      <c r="S1172" t="s">
        <v>33</v>
      </c>
      <c r="T1172">
        <v>1</v>
      </c>
      <c r="U1172">
        <v>2.5</v>
      </c>
      <c r="V1172" t="s">
        <v>33</v>
      </c>
      <c r="W1172">
        <v>0.50249999999999995</v>
      </c>
      <c r="X1172">
        <f t="shared" si="597"/>
        <v>0.50249999999999995</v>
      </c>
      <c r="Y1172" t="s">
        <v>33</v>
      </c>
      <c r="Z1172" s="3">
        <f t="shared" si="595"/>
        <v>4.7405660377358487E-2</v>
      </c>
      <c r="AA1172" t="s">
        <v>33</v>
      </c>
      <c r="AB1172">
        <f t="shared" si="593"/>
        <v>10.6</v>
      </c>
      <c r="AC1172" s="1" t="str">
        <f t="shared" si="590"/>
        <v>NA</v>
      </c>
      <c r="AE1172" s="3">
        <f t="shared" si="596"/>
        <v>19.875</v>
      </c>
      <c r="AF1172">
        <v>31.8</v>
      </c>
      <c r="AG1172" s="1" t="str">
        <f t="shared" si="598"/>
        <v>NA</v>
      </c>
      <c r="AH1172" s="1" t="str">
        <f t="shared" si="599"/>
        <v>NA</v>
      </c>
      <c r="AI1172" s="1">
        <v>1</v>
      </c>
      <c r="AJ1172" s="11" t="s">
        <v>31</v>
      </c>
      <c r="AK1172">
        <v>1000</v>
      </c>
      <c r="AL1172" t="s">
        <v>614</v>
      </c>
      <c r="AM1172" s="3" t="s">
        <v>103</v>
      </c>
      <c r="AN1172" t="s">
        <v>130</v>
      </c>
      <c r="AO1172" t="s">
        <v>795</v>
      </c>
      <c r="AP1172">
        <v>7</v>
      </c>
      <c r="AQ1172" t="s">
        <v>33</v>
      </c>
      <c r="AR1172" t="s">
        <v>33</v>
      </c>
      <c r="AS1172">
        <v>8</v>
      </c>
      <c r="AT1172">
        <f t="shared" si="600"/>
        <v>5.98</v>
      </c>
      <c r="AU1172" s="6">
        <v>2.02</v>
      </c>
      <c r="AV1172" t="b">
        <v>1</v>
      </c>
      <c r="AW1172" t="s">
        <v>626</v>
      </c>
      <c r="AX1172" t="s">
        <v>627</v>
      </c>
      <c r="AY1172" t="s">
        <v>633</v>
      </c>
      <c r="AZ1172" t="s">
        <v>33</v>
      </c>
      <c r="BA1172" s="18" t="s">
        <v>800</v>
      </c>
      <c r="BB1172" s="3" t="b">
        <v>0</v>
      </c>
      <c r="BC1172" t="s">
        <v>81</v>
      </c>
      <c r="BD1172">
        <v>24</v>
      </c>
      <c r="BE1172" t="s">
        <v>80</v>
      </c>
      <c r="BF1172">
        <v>48</v>
      </c>
      <c r="BG1172" t="s">
        <v>569</v>
      </c>
      <c r="BH1172" t="s">
        <v>31</v>
      </c>
      <c r="BI1172" t="s">
        <v>31</v>
      </c>
      <c r="BJ1172">
        <f t="shared" si="571"/>
        <v>2.02</v>
      </c>
      <c r="BK1172" s="3">
        <f t="shared" si="581"/>
        <v>0.30535136944662378</v>
      </c>
      <c r="BL1172">
        <v>2</v>
      </c>
      <c r="BM1172" s="3">
        <f t="shared" si="601"/>
        <v>0.99295576788188411</v>
      </c>
      <c r="BN1172" t="s">
        <v>33</v>
      </c>
      <c r="BO1172" s="3">
        <f t="shared" si="591"/>
        <v>9.8391089108910883</v>
      </c>
      <c r="BP1172" t="s">
        <v>33</v>
      </c>
      <c r="BQ1172" t="s">
        <v>33</v>
      </c>
      <c r="BR1172" t="s">
        <v>33</v>
      </c>
      <c r="BS1172" t="s">
        <v>33</v>
      </c>
      <c r="BT1172" t="s">
        <v>31</v>
      </c>
      <c r="BU1172" s="15" t="s">
        <v>255</v>
      </c>
      <c r="BV1172">
        <v>2010</v>
      </c>
      <c r="BW1172" t="s">
        <v>659</v>
      </c>
      <c r="BX1172" t="s">
        <v>78</v>
      </c>
      <c r="BY1172" s="13" t="s">
        <v>680</v>
      </c>
      <c r="CA1172" t="str">
        <f t="shared" si="592"/>
        <v>low acid</v>
      </c>
    </row>
    <row r="1173" spans="1:79">
      <c r="A1173" t="s">
        <v>589</v>
      </c>
      <c r="B1173" t="s">
        <v>566</v>
      </c>
      <c r="C1173" t="s">
        <v>563</v>
      </c>
      <c r="D1173" t="s">
        <v>33</v>
      </c>
      <c r="E1173" t="s">
        <v>77</v>
      </c>
      <c r="F1173" t="s">
        <v>33</v>
      </c>
      <c r="G1173" t="s">
        <v>33</v>
      </c>
      <c r="H1173">
        <v>35</v>
      </c>
      <c r="I1173" t="b">
        <v>0</v>
      </c>
      <c r="J1173" t="s">
        <v>33</v>
      </c>
      <c r="K1173" t="s">
        <v>33</v>
      </c>
      <c r="L1173">
        <v>19</v>
      </c>
      <c r="M1173" s="4">
        <v>1</v>
      </c>
      <c r="N1173" t="e">
        <f>(#REF!*Y1173)/(T1173*X1173*O1173)</f>
        <v>#REF!</v>
      </c>
      <c r="O1173">
        <v>2</v>
      </c>
      <c r="P1173" t="s">
        <v>33</v>
      </c>
      <c r="Q1173" s="1">
        <f t="shared" si="589"/>
        <v>95.59999999999998</v>
      </c>
      <c r="R1173" t="s">
        <v>183</v>
      </c>
      <c r="S1173" t="s">
        <v>613</v>
      </c>
      <c r="T1173">
        <v>1</v>
      </c>
      <c r="U1173">
        <v>2.5</v>
      </c>
      <c r="V1173" t="s">
        <v>33</v>
      </c>
      <c r="W1173">
        <v>0.50249999999999995</v>
      </c>
      <c r="X1173">
        <f t="shared" si="597"/>
        <v>0.50249999999999995</v>
      </c>
      <c r="Y1173" t="s">
        <v>33</v>
      </c>
      <c r="Z1173" s="3">
        <f t="shared" si="595"/>
        <v>5.2562761506276152E-3</v>
      </c>
      <c r="AA1173" t="s">
        <v>33</v>
      </c>
      <c r="AB1173">
        <f t="shared" si="593"/>
        <v>95.59999999999998</v>
      </c>
      <c r="AC1173" s="1" t="str">
        <f t="shared" si="590"/>
        <v>NA</v>
      </c>
      <c r="AE1173" s="3">
        <f t="shared" si="596"/>
        <v>138.04639999999998</v>
      </c>
      <c r="AF1173">
        <v>191.2</v>
      </c>
      <c r="AG1173" s="1" t="str">
        <f t="shared" si="598"/>
        <v>NA</v>
      </c>
      <c r="AH1173" s="1" t="str">
        <f t="shared" si="599"/>
        <v>NA</v>
      </c>
      <c r="AI1173" s="1">
        <v>1</v>
      </c>
      <c r="AJ1173" s="11" t="s">
        <v>31</v>
      </c>
      <c r="AK1173">
        <v>2000</v>
      </c>
      <c r="AL1173" t="s">
        <v>616</v>
      </c>
      <c r="AM1173" s="3" t="s">
        <v>103</v>
      </c>
      <c r="AN1173" t="s">
        <v>130</v>
      </c>
      <c r="AO1173" t="s">
        <v>795</v>
      </c>
      <c r="AP1173">
        <v>7</v>
      </c>
      <c r="AQ1173" t="s">
        <v>33</v>
      </c>
      <c r="AR1173" t="s">
        <v>33</v>
      </c>
      <c r="AS1173">
        <v>9</v>
      </c>
      <c r="AT1173">
        <f t="shared" si="600"/>
        <v>5.98</v>
      </c>
      <c r="AU1173" s="6">
        <v>3.02</v>
      </c>
      <c r="AV1173" t="b">
        <v>1</v>
      </c>
      <c r="AW1173" t="s">
        <v>617</v>
      </c>
      <c r="AX1173" t="s">
        <v>33</v>
      </c>
      <c r="AY1173" t="s">
        <v>628</v>
      </c>
      <c r="AZ1173" t="s">
        <v>619</v>
      </c>
      <c r="BA1173" s="18" t="s">
        <v>802</v>
      </c>
      <c r="BB1173" s="3" t="b">
        <v>0</v>
      </c>
      <c r="BC1173" t="s">
        <v>81</v>
      </c>
      <c r="BD1173">
        <v>24</v>
      </c>
      <c r="BE1173" t="s">
        <v>80</v>
      </c>
      <c r="BF1173">
        <v>24</v>
      </c>
      <c r="BG1173" t="s">
        <v>644</v>
      </c>
      <c r="BH1173" t="s">
        <v>31</v>
      </c>
      <c r="BI1173" t="s">
        <v>31</v>
      </c>
      <c r="BJ1173">
        <f t="shared" si="571"/>
        <v>3.02</v>
      </c>
      <c r="BK1173" s="3">
        <f t="shared" si="581"/>
        <v>0.48000694295715063</v>
      </c>
      <c r="BL1173">
        <v>2</v>
      </c>
      <c r="BM1173" s="3">
        <f t="shared" si="601"/>
        <v>1.6600181425525697</v>
      </c>
      <c r="BN1173" t="s">
        <v>33</v>
      </c>
      <c r="BO1173" s="3">
        <f t="shared" si="591"/>
        <v>45.710728476821181</v>
      </c>
      <c r="BP1173" t="s">
        <v>33</v>
      </c>
      <c r="BQ1173" t="s">
        <v>33</v>
      </c>
      <c r="BR1173" t="s">
        <v>33</v>
      </c>
      <c r="BS1173" t="s">
        <v>33</v>
      </c>
      <c r="BT1173" t="s">
        <v>31</v>
      </c>
      <c r="BU1173" s="15" t="s">
        <v>655</v>
      </c>
      <c r="BV1173">
        <v>2003</v>
      </c>
      <c r="BW1173" t="s">
        <v>656</v>
      </c>
      <c r="BX1173" t="s">
        <v>78</v>
      </c>
      <c r="BY1173" s="13" t="s">
        <v>677</v>
      </c>
      <c r="CA1173" t="str">
        <f t="shared" si="592"/>
        <v>low acid</v>
      </c>
    </row>
    <row r="1174" spans="1:79">
      <c r="A1174" t="s">
        <v>764</v>
      </c>
      <c r="B1174" t="s">
        <v>565</v>
      </c>
      <c r="C1174" t="s">
        <v>563</v>
      </c>
      <c r="D1174" t="s">
        <v>765</v>
      </c>
      <c r="E1174" t="s">
        <v>77</v>
      </c>
      <c r="F1174" t="s">
        <v>31</v>
      </c>
      <c r="G1174">
        <v>20</v>
      </c>
      <c r="H1174">
        <v>49</v>
      </c>
      <c r="I1174" t="b">
        <v>0</v>
      </c>
      <c r="J1174" t="s">
        <v>33</v>
      </c>
      <c r="K1174" t="s">
        <v>33</v>
      </c>
      <c r="L1174">
        <v>20</v>
      </c>
      <c r="M1174" s="4">
        <f>N1174</f>
        <v>178.39506172839504</v>
      </c>
      <c r="N1174" s="3">
        <f t="shared" ref="N1174:N1184" si="602">IFERROR(AF1174/((T1174*X1174/Y1174)*O1174*AI1174),"NA")</f>
        <v>178.39506172839504</v>
      </c>
      <c r="O1174">
        <v>3</v>
      </c>
      <c r="P1174">
        <v>5.4399999999999997E-2</v>
      </c>
      <c r="Q1174" s="8">
        <f>IFERROR(X1174/Y1174, "NA")</f>
        <v>5.3999999999999999E-2</v>
      </c>
      <c r="R1174" t="s">
        <v>183</v>
      </c>
      <c r="S1174" t="s">
        <v>33</v>
      </c>
      <c r="T1174" s="11">
        <v>1</v>
      </c>
      <c r="U1174" t="s">
        <v>33</v>
      </c>
      <c r="V1174" t="s">
        <v>33</v>
      </c>
      <c r="W1174">
        <v>4.4999999999999997E-3</v>
      </c>
      <c r="X1174">
        <f t="shared" si="597"/>
        <v>4.4999999999999997E-3</v>
      </c>
      <c r="Y1174" s="6">
        <f>5/60</f>
        <v>8.3333333333333329E-2</v>
      </c>
      <c r="Z1174" s="6">
        <f>Y1174</f>
        <v>8.3333333333333329E-2</v>
      </c>
      <c r="AA1174" t="s">
        <v>33</v>
      </c>
      <c r="AB1174" s="4">
        <f>IFERROR(((X1174*M1174)/Y1174), "NA")</f>
        <v>9.6333333333333311</v>
      </c>
      <c r="AC1174" s="4">
        <f t="shared" si="590"/>
        <v>9.7046913580246894</v>
      </c>
      <c r="AD1174" s="4">
        <f>AB1174*T1174*AI1174</f>
        <v>9.6333333333333311</v>
      </c>
      <c r="AE1174" s="3">
        <f t="shared" si="596"/>
        <v>115.59999999999998</v>
      </c>
      <c r="AF1174">
        <v>28.9</v>
      </c>
      <c r="AG1174" s="4">
        <f>IFERROR((M1174*O1174*P1174), "NA")</f>
        <v>29.114074074074068</v>
      </c>
      <c r="AH1174" s="4">
        <f t="shared" ref="AH1174:AH1184" si="603">IFERROR((AG1174*T1174*AI1174), "NA")</f>
        <v>29.114074074074068</v>
      </c>
      <c r="AI1174">
        <v>1</v>
      </c>
      <c r="AJ1174" s="11" t="s">
        <v>31</v>
      </c>
      <c r="AK1174">
        <v>10000</v>
      </c>
      <c r="AL1174" t="s">
        <v>169</v>
      </c>
      <c r="AM1174" t="s">
        <v>103</v>
      </c>
      <c r="AN1174" t="s">
        <v>130</v>
      </c>
      <c r="AO1174" t="s">
        <v>795</v>
      </c>
      <c r="AP1174">
        <v>7.2</v>
      </c>
      <c r="AQ1174" t="s">
        <v>33</v>
      </c>
      <c r="AR1174" t="s">
        <v>33</v>
      </c>
      <c r="AS1174">
        <v>7</v>
      </c>
      <c r="AT1174" s="3">
        <f t="shared" ref="AT1174:AT1184" si="604">IFERROR(AS1174-AU1174,"NA")</f>
        <v>5.9889999999999999</v>
      </c>
      <c r="AU1174" s="6">
        <v>1.0109999999999999</v>
      </c>
      <c r="AV1174" t="b">
        <v>1</v>
      </c>
      <c r="AW1174" t="s">
        <v>29</v>
      </c>
      <c r="AX1174" t="s">
        <v>30</v>
      </c>
      <c r="AY1174" t="s">
        <v>766</v>
      </c>
      <c r="AZ1174" t="s">
        <v>33</v>
      </c>
      <c r="BA1174" s="18" t="s">
        <v>798</v>
      </c>
      <c r="BB1174" s="3" t="b">
        <v>0</v>
      </c>
      <c r="BC1174" t="s">
        <v>81</v>
      </c>
      <c r="BD1174">
        <v>16</v>
      </c>
      <c r="BE1174" t="s">
        <v>80</v>
      </c>
      <c r="BF1174">
        <v>24</v>
      </c>
      <c r="BG1174" t="s">
        <v>569</v>
      </c>
      <c r="BH1174" t="s">
        <v>31</v>
      </c>
      <c r="BI1174" t="s">
        <v>31</v>
      </c>
      <c r="BJ1174" s="3">
        <f t="shared" si="571"/>
        <v>1.0109999999999999</v>
      </c>
      <c r="BK1174" s="3">
        <f t="shared" si="581"/>
        <v>4.7511555910010198E-3</v>
      </c>
      <c r="BL1174">
        <v>2</v>
      </c>
      <c r="BM1174" s="3">
        <f t="shared" si="601"/>
        <v>2.0582066784935091</v>
      </c>
      <c r="BN1174" t="s">
        <v>33</v>
      </c>
      <c r="BO1174" s="3">
        <f t="shared" si="591"/>
        <v>114.34223541048466</v>
      </c>
      <c r="BP1174" t="s">
        <v>33</v>
      </c>
      <c r="BQ1174" t="s">
        <v>33</v>
      </c>
      <c r="BR1174" t="s">
        <v>33</v>
      </c>
      <c r="BS1174" t="s">
        <v>33</v>
      </c>
      <c r="BT1174" t="s">
        <v>31</v>
      </c>
      <c r="BU1174" t="s">
        <v>767</v>
      </c>
      <c r="BV1174">
        <v>2021</v>
      </c>
      <c r="BW1174" t="s">
        <v>768</v>
      </c>
      <c r="BX1174" t="s">
        <v>78</v>
      </c>
      <c r="BY1174" t="s">
        <v>769</v>
      </c>
      <c r="CA1174" t="str">
        <f t="shared" si="592"/>
        <v>low acid</v>
      </c>
    </row>
    <row r="1175" spans="1:79">
      <c r="A1175" t="s">
        <v>392</v>
      </c>
      <c r="B1175" t="s">
        <v>565</v>
      </c>
      <c r="C1175" t="s">
        <v>563</v>
      </c>
      <c r="D1175" t="s">
        <v>118</v>
      </c>
      <c r="E1175" t="s">
        <v>77</v>
      </c>
      <c r="F1175" t="s">
        <v>32</v>
      </c>
      <c r="G1175">
        <v>25</v>
      </c>
      <c r="H1175">
        <v>36</v>
      </c>
      <c r="I1175" t="b">
        <v>0</v>
      </c>
      <c r="J1175" t="s">
        <v>33</v>
      </c>
      <c r="K1175" t="s">
        <v>33</v>
      </c>
      <c r="L1175">
        <v>35</v>
      </c>
      <c r="M1175" s="4">
        <v>200</v>
      </c>
      <c r="N1175" s="3" t="str">
        <f t="shared" si="602"/>
        <v>NA</v>
      </c>
      <c r="O1175">
        <v>4</v>
      </c>
      <c r="P1175" t="s">
        <v>33</v>
      </c>
      <c r="Q1175" s="8">
        <f>IFERROR(X1175/Z1175, "NA")</f>
        <v>2.3437500000000003E-2</v>
      </c>
      <c r="R1175" t="s">
        <v>183</v>
      </c>
      <c r="S1175" t="s">
        <v>613</v>
      </c>
      <c r="T1175" s="11">
        <v>8</v>
      </c>
      <c r="U1175">
        <v>2.9</v>
      </c>
      <c r="V1175">
        <v>2.2999999999999998</v>
      </c>
      <c r="W1175">
        <v>1.2E-2</v>
      </c>
      <c r="X1175" s="8">
        <f>IFERROR(((PI())*(((V1175*10^-1)/2)^2)*(U1175*10^-1)), "NA")</f>
        <v>1.204879322468025E-2</v>
      </c>
      <c r="Y1175" t="s">
        <v>33</v>
      </c>
      <c r="Z1175" s="3">
        <f>IFERROR(X1175*M1175*O1175*T1175*AI1175/AF1175, "NA")</f>
        <v>0.51408184425302395</v>
      </c>
      <c r="AA1175" t="s">
        <v>33</v>
      </c>
      <c r="AB1175" s="6">
        <f>IFERROR(((X1175*M1175)/Z1175), "NA")</f>
        <v>4.6875</v>
      </c>
      <c r="AC1175" t="str">
        <f t="shared" si="590"/>
        <v>NA</v>
      </c>
      <c r="AD1175" s="4">
        <f>AB1175*T1175*AI1175</f>
        <v>37.5</v>
      </c>
      <c r="AE1175" s="3">
        <f t="shared" si="596"/>
        <v>779.10000000000014</v>
      </c>
      <c r="AF1175">
        <v>150</v>
      </c>
      <c r="AG1175" t="str">
        <f>IFERROR((M1175*O1175*P1175), "NA")</f>
        <v>NA</v>
      </c>
      <c r="AH1175" t="str">
        <f t="shared" si="603"/>
        <v>NA</v>
      </c>
      <c r="AI1175">
        <v>1</v>
      </c>
      <c r="AJ1175" t="s">
        <v>31</v>
      </c>
      <c r="AK1175">
        <v>4240</v>
      </c>
      <c r="AL1175" t="s">
        <v>238</v>
      </c>
      <c r="AM1175" t="s">
        <v>86</v>
      </c>
      <c r="AN1175" t="s">
        <v>205</v>
      </c>
      <c r="AO1175" t="s">
        <v>789</v>
      </c>
      <c r="AP1175">
        <v>3.56</v>
      </c>
      <c r="AQ1175" t="s">
        <v>33</v>
      </c>
      <c r="AR1175" t="s">
        <v>33</v>
      </c>
      <c r="AS1175" s="6">
        <f>LOG(10^8)</f>
        <v>8</v>
      </c>
      <c r="AT1175" s="3">
        <f t="shared" si="604"/>
        <v>5.9969999999999999</v>
      </c>
      <c r="AU1175" s="6">
        <v>2.0030000000000001</v>
      </c>
      <c r="AV1175" t="b">
        <v>1</v>
      </c>
      <c r="AW1175" t="s">
        <v>123</v>
      </c>
      <c r="AX1175" t="s">
        <v>393</v>
      </c>
      <c r="AY1175" t="s">
        <v>394</v>
      </c>
      <c r="AZ1175" t="s">
        <v>33</v>
      </c>
      <c r="BA1175" s="18" t="s">
        <v>579</v>
      </c>
      <c r="BB1175" t="b">
        <v>1</v>
      </c>
      <c r="BC1175" t="s">
        <v>81</v>
      </c>
      <c r="BD1175">
        <v>72</v>
      </c>
      <c r="BE1175" t="s">
        <v>80</v>
      </c>
      <c r="BF1175" s="11">
        <v>72</v>
      </c>
      <c r="BG1175" t="s">
        <v>395</v>
      </c>
      <c r="BH1175" t="s">
        <v>31</v>
      </c>
      <c r="BI1175" t="s">
        <v>31</v>
      </c>
      <c r="BJ1175" s="3">
        <f t="shared" ref="BJ1175:BJ1195" si="605">AU1175</f>
        <v>2.0030000000000001</v>
      </c>
      <c r="BK1175" s="3">
        <f t="shared" si="581"/>
        <v>0.30168094929357625</v>
      </c>
      <c r="BL1175">
        <v>2</v>
      </c>
      <c r="BM1175" s="3">
        <f t="shared" si="601"/>
        <v>2.5899122550553888</v>
      </c>
      <c r="BN1175" t="s">
        <v>33</v>
      </c>
      <c r="BO1175" s="3">
        <f t="shared" si="591"/>
        <v>388.96655017473796</v>
      </c>
      <c r="BP1175" t="s">
        <v>33</v>
      </c>
      <c r="BQ1175" t="s">
        <v>33</v>
      </c>
      <c r="BR1175" t="s">
        <v>33</v>
      </c>
      <c r="BS1175" t="s">
        <v>33</v>
      </c>
      <c r="BT1175" t="s">
        <v>31</v>
      </c>
      <c r="BU1175" t="s">
        <v>240</v>
      </c>
      <c r="BV1175">
        <v>2005</v>
      </c>
      <c r="BW1175" t="s">
        <v>396</v>
      </c>
      <c r="BX1175" t="s">
        <v>78</v>
      </c>
      <c r="BY1175" t="s">
        <v>33</v>
      </c>
      <c r="BZ1175" t="s">
        <v>33</v>
      </c>
      <c r="CA1175" t="str">
        <f t="shared" si="592"/>
        <v>high acid</v>
      </c>
    </row>
    <row r="1176" spans="1:79">
      <c r="A1176" t="s">
        <v>324</v>
      </c>
      <c r="B1176" t="s">
        <v>565</v>
      </c>
      <c r="C1176" t="s">
        <v>563</v>
      </c>
      <c r="D1176" t="s">
        <v>304</v>
      </c>
      <c r="E1176" t="s">
        <v>77</v>
      </c>
      <c r="F1176" t="s">
        <v>32</v>
      </c>
      <c r="G1176">
        <v>30</v>
      </c>
      <c r="H1176">
        <v>31.9</v>
      </c>
      <c r="I1176" t="b">
        <v>1</v>
      </c>
      <c r="J1176">
        <v>12600</v>
      </c>
      <c r="K1176">
        <v>50.4</v>
      </c>
      <c r="L1176">
        <v>25</v>
      </c>
      <c r="M1176" s="4">
        <v>333</v>
      </c>
      <c r="N1176" s="3">
        <f t="shared" si="602"/>
        <v>332.87308359089212</v>
      </c>
      <c r="O1176">
        <v>2</v>
      </c>
      <c r="P1176">
        <v>2.4E-2</v>
      </c>
      <c r="Q1176" s="8">
        <f>IFERROR(X1176/Z1176, "NA")</f>
        <v>2.4024024024024024E-2</v>
      </c>
      <c r="R1176" t="s">
        <v>183</v>
      </c>
      <c r="S1176" t="s">
        <v>612</v>
      </c>
      <c r="T1176" s="11">
        <v>1</v>
      </c>
      <c r="U1176">
        <v>3.4</v>
      </c>
      <c r="V1176">
        <v>3</v>
      </c>
      <c r="W1176">
        <v>2.4E-2</v>
      </c>
      <c r="X1176" s="8">
        <f>IFERROR(((PI())*(((V1176*10^-1)/2)^2)*(U1176*10^-1)), "NA")</f>
        <v>2.4033183799961926E-2</v>
      </c>
      <c r="Y1176" s="6">
        <f>1</f>
        <v>1</v>
      </c>
      <c r="Z1176" s="3">
        <f>IFERROR(X1176*M1176*O1176*T1176*AI1176/AF1176, "NA")</f>
        <v>1.0003812756734152</v>
      </c>
      <c r="AA1176">
        <v>8</v>
      </c>
      <c r="AB1176" s="6">
        <f>IFERROR(((X1176*M1176)/Z1176), "NA")</f>
        <v>8</v>
      </c>
      <c r="AC1176">
        <f t="shared" si="590"/>
        <v>7.992</v>
      </c>
      <c r="AD1176" s="4">
        <f>IFERROR(AB1176*T1176*AI1176, "NA")</f>
        <v>8</v>
      </c>
      <c r="AE1176" s="3">
        <f t="shared" si="596"/>
        <v>10</v>
      </c>
      <c r="AF1176">
        <v>16</v>
      </c>
      <c r="AG1176">
        <f>IFERROR((M1176*O1176*P1176), "NA")</f>
        <v>15.984</v>
      </c>
      <c r="AH1176">
        <f t="shared" si="603"/>
        <v>15.984</v>
      </c>
      <c r="AI1176" s="11">
        <v>1</v>
      </c>
      <c r="AJ1176" t="s">
        <v>31</v>
      </c>
      <c r="AK1176">
        <v>1000</v>
      </c>
      <c r="AL1176" t="s">
        <v>169</v>
      </c>
      <c r="AM1176" t="s">
        <v>103</v>
      </c>
      <c r="AN1176" t="s">
        <v>305</v>
      </c>
      <c r="AO1176" t="s">
        <v>790</v>
      </c>
      <c r="AP1176">
        <v>4.5</v>
      </c>
      <c r="AQ1176" t="s">
        <v>33</v>
      </c>
      <c r="AR1176" t="s">
        <v>33</v>
      </c>
      <c r="AS1176" s="6">
        <f>LOG(3*10^7)</f>
        <v>7.4771212547196626</v>
      </c>
      <c r="AT1176" s="3">
        <f t="shared" si="604"/>
        <v>5.9971212547196622</v>
      </c>
      <c r="AU1176" s="6">
        <v>1.48</v>
      </c>
      <c r="AV1176" t="b">
        <v>1</v>
      </c>
      <c r="AW1176" t="s">
        <v>123</v>
      </c>
      <c r="AX1176" t="s">
        <v>88</v>
      </c>
      <c r="AY1176" t="s">
        <v>306</v>
      </c>
      <c r="AZ1176" t="s">
        <v>33</v>
      </c>
      <c r="BA1176" s="18" t="s">
        <v>579</v>
      </c>
      <c r="BB1176" t="b">
        <v>1</v>
      </c>
      <c r="BC1176" t="s">
        <v>81</v>
      </c>
      <c r="BD1176">
        <v>48</v>
      </c>
      <c r="BE1176" t="s">
        <v>80</v>
      </c>
      <c r="BF1176" s="11">
        <v>120</v>
      </c>
      <c r="BG1176" t="s">
        <v>395</v>
      </c>
      <c r="BH1176" t="s">
        <v>31</v>
      </c>
      <c r="BI1176" t="s">
        <v>31</v>
      </c>
      <c r="BJ1176" s="3">
        <f t="shared" si="605"/>
        <v>1.48</v>
      </c>
      <c r="BK1176" s="3">
        <f t="shared" si="581"/>
        <v>0.17026171539495738</v>
      </c>
      <c r="BL1176">
        <v>2</v>
      </c>
      <c r="BM1176" s="3">
        <f t="shared" si="601"/>
        <v>0.82973828460504262</v>
      </c>
      <c r="BN1176" t="s">
        <v>33</v>
      </c>
      <c r="BO1176" s="3">
        <f t="shared" si="591"/>
        <v>6.756756756756757</v>
      </c>
      <c r="BP1176" t="s">
        <v>33</v>
      </c>
      <c r="BQ1176" t="s">
        <v>33</v>
      </c>
      <c r="BR1176" t="s">
        <v>33</v>
      </c>
      <c r="BS1176" t="s">
        <v>33</v>
      </c>
      <c r="BT1176" t="s">
        <v>32</v>
      </c>
      <c r="BU1176" t="s">
        <v>323</v>
      </c>
      <c r="BV1176">
        <v>2003</v>
      </c>
      <c r="BW1176" s="2" t="s">
        <v>322</v>
      </c>
      <c r="BX1176" t="s">
        <v>78</v>
      </c>
      <c r="BY1176" t="s">
        <v>33</v>
      </c>
      <c r="BZ1176" t="s">
        <v>33</v>
      </c>
      <c r="CA1176" t="str">
        <f t="shared" si="592"/>
        <v>high acid</v>
      </c>
    </row>
    <row r="1177" spans="1:79">
      <c r="A1177" t="s">
        <v>325</v>
      </c>
      <c r="B1177" t="s">
        <v>565</v>
      </c>
      <c r="C1177" t="s">
        <v>563</v>
      </c>
      <c r="D1177" t="s">
        <v>304</v>
      </c>
      <c r="E1177" t="s">
        <v>77</v>
      </c>
      <c r="F1177" t="s">
        <v>32</v>
      </c>
      <c r="G1177">
        <v>30</v>
      </c>
      <c r="H1177">
        <v>31.7</v>
      </c>
      <c r="I1177" t="b">
        <v>1</v>
      </c>
      <c r="J1177">
        <v>12600</v>
      </c>
      <c r="K1177">
        <v>50.4</v>
      </c>
      <c r="L1177">
        <v>24.9</v>
      </c>
      <c r="M1177" s="4">
        <v>333</v>
      </c>
      <c r="N1177" s="3">
        <f t="shared" si="602"/>
        <v>332.87308359089212</v>
      </c>
      <c r="O1177">
        <v>2</v>
      </c>
      <c r="P1177">
        <v>2.4E-2</v>
      </c>
      <c r="Q1177" s="8">
        <f>IFERROR(X1177/Z1177, "NA")</f>
        <v>2.4024024024024024E-2</v>
      </c>
      <c r="R1177" t="s">
        <v>183</v>
      </c>
      <c r="S1177" t="s">
        <v>612</v>
      </c>
      <c r="T1177" s="11">
        <v>1</v>
      </c>
      <c r="U1177">
        <v>3.4</v>
      </c>
      <c r="V1177">
        <v>3</v>
      </c>
      <c r="W1177">
        <v>2.4E-2</v>
      </c>
      <c r="X1177" s="8">
        <f>IFERROR(((PI())*(((V1177*10^-1)/2)^2)*(U1177*10^-1)), "NA")</f>
        <v>2.4033183799961926E-2</v>
      </c>
      <c r="Y1177" s="6">
        <f>1</f>
        <v>1</v>
      </c>
      <c r="Z1177" s="3">
        <f>IFERROR(X1177*M1177*O1177*T1177*AI1177/AF1177, "NA")</f>
        <v>1.0003812756734152</v>
      </c>
      <c r="AA1177">
        <v>8</v>
      </c>
      <c r="AB1177" s="6">
        <f>IFERROR(((X1177*M1177)/Z1177), "NA")</f>
        <v>8</v>
      </c>
      <c r="AC1177">
        <f t="shared" si="590"/>
        <v>7.992</v>
      </c>
      <c r="AD1177" s="4">
        <f>IFERROR(AB1177*T1177*AI1177, "NA")</f>
        <v>8</v>
      </c>
      <c r="AE1177" s="3">
        <f t="shared" si="596"/>
        <v>9.9201599999999974</v>
      </c>
      <c r="AF1177">
        <v>16</v>
      </c>
      <c r="AG1177">
        <f>IFERROR((M1177*O1177*P1177), "NA")</f>
        <v>15.984</v>
      </c>
      <c r="AH1177">
        <f t="shared" si="603"/>
        <v>15.984</v>
      </c>
      <c r="AI1177" s="11">
        <v>1</v>
      </c>
      <c r="AJ1177" t="s">
        <v>31</v>
      </c>
      <c r="AK1177">
        <v>1000</v>
      </c>
      <c r="AL1177" t="s">
        <v>169</v>
      </c>
      <c r="AM1177" t="s">
        <v>103</v>
      </c>
      <c r="AN1177" t="s">
        <v>305</v>
      </c>
      <c r="AO1177" t="s">
        <v>790</v>
      </c>
      <c r="AP1177">
        <v>4.5</v>
      </c>
      <c r="AQ1177" t="s">
        <v>33</v>
      </c>
      <c r="AR1177" t="s">
        <v>33</v>
      </c>
      <c r="AS1177" s="6">
        <f>LOG(3*10^7)</f>
        <v>7.4771212547196626</v>
      </c>
      <c r="AT1177" s="3">
        <f t="shared" si="604"/>
        <v>5.9971212547196622</v>
      </c>
      <c r="AU1177" s="6">
        <v>1.48</v>
      </c>
      <c r="AV1177" t="b">
        <v>1</v>
      </c>
      <c r="AW1177" t="s">
        <v>123</v>
      </c>
      <c r="AX1177" t="s">
        <v>88</v>
      </c>
      <c r="AY1177" t="s">
        <v>306</v>
      </c>
      <c r="AZ1177" t="s">
        <v>33</v>
      </c>
      <c r="BA1177" s="18" t="s">
        <v>579</v>
      </c>
      <c r="BB1177" t="b">
        <v>1</v>
      </c>
      <c r="BC1177" t="s">
        <v>81</v>
      </c>
      <c r="BD1177">
        <v>48</v>
      </c>
      <c r="BE1177" t="s">
        <v>80</v>
      </c>
      <c r="BF1177" s="11">
        <v>120</v>
      </c>
      <c r="BG1177" t="s">
        <v>395</v>
      </c>
      <c r="BH1177" t="s">
        <v>31</v>
      </c>
      <c r="BI1177" t="s">
        <v>31</v>
      </c>
      <c r="BJ1177" s="3">
        <f t="shared" si="605"/>
        <v>1.48</v>
      </c>
      <c r="BK1177" s="3">
        <f t="shared" si="581"/>
        <v>0.17026171539495738</v>
      </c>
      <c r="BL1177">
        <v>2</v>
      </c>
      <c r="BM1177" s="3">
        <f t="shared" si="601"/>
        <v>0.82625696145243999</v>
      </c>
      <c r="BN1177" t="s">
        <v>33</v>
      </c>
      <c r="BO1177" s="3">
        <f t="shared" si="591"/>
        <v>6.7028108108108091</v>
      </c>
      <c r="BP1177" t="s">
        <v>33</v>
      </c>
      <c r="BQ1177" t="s">
        <v>33</v>
      </c>
      <c r="BR1177" t="s">
        <v>33</v>
      </c>
      <c r="BS1177" t="s">
        <v>33</v>
      </c>
      <c r="BT1177" t="s">
        <v>32</v>
      </c>
      <c r="BU1177" t="s">
        <v>323</v>
      </c>
      <c r="BV1177">
        <v>2003</v>
      </c>
      <c r="BW1177" s="2" t="s">
        <v>322</v>
      </c>
      <c r="BX1177" t="s">
        <v>78</v>
      </c>
      <c r="BY1177" t="s">
        <v>33</v>
      </c>
      <c r="BZ1177" t="s">
        <v>33</v>
      </c>
      <c r="CA1177" t="str">
        <f t="shared" si="592"/>
        <v>high acid</v>
      </c>
    </row>
    <row r="1178" spans="1:79">
      <c r="A1178" t="s">
        <v>460</v>
      </c>
      <c r="B1178" t="s">
        <v>565</v>
      </c>
      <c r="C1178" t="s">
        <v>563</v>
      </c>
      <c r="D1178" t="s">
        <v>182</v>
      </c>
      <c r="E1178" t="s">
        <v>77</v>
      </c>
      <c r="F1178" t="s">
        <v>32</v>
      </c>
      <c r="G1178">
        <v>18</v>
      </c>
      <c r="H1178">
        <v>49</v>
      </c>
      <c r="I1178" t="b">
        <v>1</v>
      </c>
      <c r="J1178" t="s">
        <v>33</v>
      </c>
      <c r="K1178" t="s">
        <v>33</v>
      </c>
      <c r="L1178">
        <v>33</v>
      </c>
      <c r="M1178" s="4" t="s">
        <v>33</v>
      </c>
      <c r="N1178" s="3">
        <f t="shared" si="602"/>
        <v>281.42752925843115</v>
      </c>
      <c r="O1178">
        <v>8</v>
      </c>
      <c r="P1178">
        <f>0.047/2</f>
        <v>2.35E-2</v>
      </c>
      <c r="Q1178" s="8">
        <f>IFERROR(X1178/Z1178, "NA")</f>
        <v>2.3318614270936313E-2</v>
      </c>
      <c r="R1178" t="s">
        <v>183</v>
      </c>
      <c r="S1178" t="s">
        <v>613</v>
      </c>
      <c r="T1178" s="11">
        <v>2</v>
      </c>
      <c r="U1178">
        <v>5.6</v>
      </c>
      <c r="V1178">
        <v>4.5</v>
      </c>
      <c r="W1178" t="s">
        <v>33</v>
      </c>
      <c r="X1178" s="9">
        <f>IFERROR(((PI())*(((V1178*10^-1)/2)^2)*(U1178*10^-1)), "NA")</f>
        <v>8.9064151729270638E-2</v>
      </c>
      <c r="Y1178" s="6">
        <f>13750/3600</f>
        <v>3.8194444444444446</v>
      </c>
      <c r="Z1178" s="3">
        <f>IFERROR(X1178*N1178*O1178*T1178*AI1178/AF1178, "NA")</f>
        <v>3.8194444444444442</v>
      </c>
      <c r="AA1178" t="s">
        <v>33</v>
      </c>
      <c r="AB1178" s="4">
        <f>IFERROR(((X1178*N1178)/Y1178), "NA")</f>
        <v>6.5624999999999991</v>
      </c>
      <c r="AC1178" s="4">
        <f>IFERROR(N1178*P1178,"NA")</f>
        <v>6.6135469375731324</v>
      </c>
      <c r="AD1178" s="4">
        <f>AB1178*T1178*AI1178</f>
        <v>13.124999999999998</v>
      </c>
      <c r="AE1178" s="3">
        <f>IFERROR(((L1178^2)*N1178*O1178*AK1178*10^-6*Q1178*T1178*AI1178), "NA")</f>
        <v>262.99349999999998</v>
      </c>
      <c r="AF1178">
        <v>105</v>
      </c>
      <c r="AG1178" s="4">
        <f>IFERROR((N1178*O1178*P1178), "NA")</f>
        <v>52.908375500585059</v>
      </c>
      <c r="AH1178" s="4">
        <f t="shared" si="603"/>
        <v>105.81675100117012</v>
      </c>
      <c r="AI1178" s="11">
        <v>1</v>
      </c>
      <c r="AJ1178" t="s">
        <v>31</v>
      </c>
      <c r="AK1178">
        <v>2300</v>
      </c>
      <c r="AL1178" t="s">
        <v>805</v>
      </c>
      <c r="AM1178" t="s">
        <v>515</v>
      </c>
      <c r="AN1178" t="s">
        <v>205</v>
      </c>
      <c r="AO1178" t="s">
        <v>788</v>
      </c>
      <c r="AP1178">
        <v>3.68</v>
      </c>
      <c r="AQ1178" t="s">
        <v>33</v>
      </c>
      <c r="AR1178" t="s">
        <v>33</v>
      </c>
      <c r="AS1178">
        <f>LOG(10^8)</f>
        <v>8</v>
      </c>
      <c r="AT1178" s="3">
        <f t="shared" si="604"/>
        <v>6</v>
      </c>
      <c r="AU1178" s="6">
        <v>2</v>
      </c>
      <c r="AV1178" t="b">
        <v>1</v>
      </c>
      <c r="AW1178" t="s">
        <v>480</v>
      </c>
      <c r="AX1178" t="s">
        <v>479</v>
      </c>
      <c r="AY1178" t="s">
        <v>482</v>
      </c>
      <c r="AZ1178" t="s">
        <v>33</v>
      </c>
      <c r="BA1178" s="18" t="s">
        <v>579</v>
      </c>
      <c r="BB1178" t="b">
        <v>1</v>
      </c>
      <c r="BC1178" t="s">
        <v>81</v>
      </c>
      <c r="BD1178" t="s">
        <v>33</v>
      </c>
      <c r="BE1178" t="s">
        <v>80</v>
      </c>
      <c r="BF1178" t="s">
        <v>33</v>
      </c>
      <c r="BG1178" t="s">
        <v>395</v>
      </c>
      <c r="BH1178" t="s">
        <v>31</v>
      </c>
      <c r="BI1178" t="s">
        <v>31</v>
      </c>
      <c r="BJ1178" s="3">
        <f t="shared" si="605"/>
        <v>2</v>
      </c>
      <c r="BK1178" s="3">
        <f t="shared" si="581"/>
        <v>0.3010299956639812</v>
      </c>
      <c r="BL1178">
        <v>2</v>
      </c>
      <c r="BM1178" s="3">
        <f t="shared" si="601"/>
        <v>2.1189150191793247</v>
      </c>
      <c r="BN1178" t="s">
        <v>33</v>
      </c>
      <c r="BO1178" s="3">
        <f t="shared" si="591"/>
        <v>131.49674999999999</v>
      </c>
      <c r="BP1178" t="s">
        <v>33</v>
      </c>
      <c r="BQ1178" t="s">
        <v>33</v>
      </c>
      <c r="BR1178" t="s">
        <v>33</v>
      </c>
      <c r="BS1178" t="s">
        <v>33</v>
      </c>
      <c r="BT1178" t="s">
        <v>32</v>
      </c>
      <c r="BU1178" t="s">
        <v>484</v>
      </c>
      <c r="BV1178">
        <v>2015</v>
      </c>
      <c r="BW1178" t="s">
        <v>485</v>
      </c>
      <c r="BX1178" t="s">
        <v>78</v>
      </c>
      <c r="BY1178" t="s">
        <v>486</v>
      </c>
      <c r="CA1178" t="str">
        <f t="shared" si="592"/>
        <v>high acid</v>
      </c>
    </row>
    <row r="1179" spans="1:79">
      <c r="A1179" t="s">
        <v>764</v>
      </c>
      <c r="B1179" t="s">
        <v>565</v>
      </c>
      <c r="C1179" t="s">
        <v>563</v>
      </c>
      <c r="D1179" t="s">
        <v>765</v>
      </c>
      <c r="E1179" t="s">
        <v>77</v>
      </c>
      <c r="F1179" t="s">
        <v>31</v>
      </c>
      <c r="G1179">
        <v>22</v>
      </c>
      <c r="H1179">
        <v>58</v>
      </c>
      <c r="I1179" t="b">
        <v>0</v>
      </c>
      <c r="J1179" t="s">
        <v>33</v>
      </c>
      <c r="K1179" t="s">
        <v>33</v>
      </c>
      <c r="L1179">
        <v>8</v>
      </c>
      <c r="M1179" s="4">
        <f>N1179</f>
        <v>1018.853783572941</v>
      </c>
      <c r="N1179" s="3">
        <f t="shared" si="602"/>
        <v>1018.853783572941</v>
      </c>
      <c r="O1179">
        <v>3</v>
      </c>
      <c r="P1179">
        <v>7.1800000000000003E-2</v>
      </c>
      <c r="Q1179" s="8">
        <f>IFERROR(X1179/Y1179, "NA")</f>
        <v>7.1812725090036014E-2</v>
      </c>
      <c r="R1179" t="s">
        <v>183</v>
      </c>
      <c r="S1179" t="s">
        <v>33</v>
      </c>
      <c r="T1179" s="11">
        <v>1</v>
      </c>
      <c r="U1179" t="s">
        <v>33</v>
      </c>
      <c r="V1179" t="s">
        <v>33</v>
      </c>
      <c r="W1179">
        <v>9.9699999999999997E-2</v>
      </c>
      <c r="X1179">
        <f>W1179</f>
        <v>9.9699999999999997E-2</v>
      </c>
      <c r="Y1179" s="6">
        <f>83.3/60</f>
        <v>1.3883333333333332</v>
      </c>
      <c r="Z1179" s="6">
        <f>Y1179</f>
        <v>1.3883333333333332</v>
      </c>
      <c r="AA1179" t="s">
        <v>33</v>
      </c>
      <c r="AB1179" s="4">
        <f>IFERROR(((X1179*M1179)/Y1179), "NA")</f>
        <v>73.166666666666671</v>
      </c>
      <c r="AC1179" s="4">
        <f t="shared" ref="AC1179:AC1185" si="606">IFERROR(M1179*P1179,"NA")</f>
        <v>73.153701660537166</v>
      </c>
      <c r="AD1179" s="4">
        <f>AB1179*T1179*AI1179</f>
        <v>73.166666666666671</v>
      </c>
      <c r="AE1179" s="3">
        <f t="shared" ref="AE1179:AE1185" si="607">IFERROR(((L1179^2)*M1179*O1179*AK1179*10^-6*Q1179*T1179*AI1179), "NA")</f>
        <v>42.143999999999991</v>
      </c>
      <c r="AF1179">
        <v>219.5</v>
      </c>
      <c r="AG1179" s="4">
        <f t="shared" ref="AG1179:AG1184" si="608">IFERROR((M1179*O1179*P1179), "NA")</f>
        <v>219.46110498161147</v>
      </c>
      <c r="AH1179" s="4">
        <f t="shared" si="603"/>
        <v>219.46110498161147</v>
      </c>
      <c r="AI1179">
        <v>1</v>
      </c>
      <c r="AJ1179" s="11" t="s">
        <v>31</v>
      </c>
      <c r="AK1179">
        <v>3000</v>
      </c>
      <c r="AL1179" t="s">
        <v>169</v>
      </c>
      <c r="AM1179" t="s">
        <v>103</v>
      </c>
      <c r="AN1179" t="s">
        <v>130</v>
      </c>
      <c r="AO1179" t="s">
        <v>795</v>
      </c>
      <c r="AP1179">
        <v>7.3</v>
      </c>
      <c r="AQ1179" t="s">
        <v>33</v>
      </c>
      <c r="AR1179" t="s">
        <v>33</v>
      </c>
      <c r="AS1179">
        <v>7</v>
      </c>
      <c r="AT1179" s="3">
        <f t="shared" si="604"/>
        <v>6</v>
      </c>
      <c r="AU1179" s="6">
        <v>1</v>
      </c>
      <c r="AV1179" t="b">
        <v>1</v>
      </c>
      <c r="AW1179" t="s">
        <v>29</v>
      </c>
      <c r="AX1179" t="s">
        <v>30</v>
      </c>
      <c r="AY1179" t="s">
        <v>766</v>
      </c>
      <c r="AZ1179" t="s">
        <v>33</v>
      </c>
      <c r="BA1179" s="18" t="s">
        <v>798</v>
      </c>
      <c r="BB1179" s="3" t="b">
        <v>0</v>
      </c>
      <c r="BC1179" t="s">
        <v>81</v>
      </c>
      <c r="BD1179">
        <v>16</v>
      </c>
      <c r="BE1179" t="s">
        <v>80</v>
      </c>
      <c r="BF1179">
        <v>24</v>
      </c>
      <c r="BG1179" t="s">
        <v>569</v>
      </c>
      <c r="BH1179" t="s">
        <v>31</v>
      </c>
      <c r="BI1179" t="s">
        <v>31</v>
      </c>
      <c r="BJ1179" s="3">
        <f t="shared" si="605"/>
        <v>1</v>
      </c>
      <c r="BK1179" s="3">
        <f t="shared" si="581"/>
        <v>0</v>
      </c>
      <c r="BL1179">
        <v>2</v>
      </c>
      <c r="BM1179" s="3">
        <f t="shared" si="601"/>
        <v>1.6247357532816897</v>
      </c>
      <c r="BN1179" t="s">
        <v>33</v>
      </c>
      <c r="BO1179" s="3">
        <f t="shared" si="591"/>
        <v>42.143999999999991</v>
      </c>
      <c r="BP1179" t="s">
        <v>33</v>
      </c>
      <c r="BQ1179" t="s">
        <v>33</v>
      </c>
      <c r="BR1179" t="s">
        <v>33</v>
      </c>
      <c r="BS1179" t="s">
        <v>33</v>
      </c>
      <c r="BT1179" t="s">
        <v>31</v>
      </c>
      <c r="BU1179" t="s">
        <v>767</v>
      </c>
      <c r="BV1179">
        <v>2021</v>
      </c>
      <c r="BW1179" t="s">
        <v>768</v>
      </c>
      <c r="BX1179" t="s">
        <v>78</v>
      </c>
      <c r="BY1179" t="s">
        <v>769</v>
      </c>
      <c r="CA1179" t="str">
        <f t="shared" si="592"/>
        <v>low acid</v>
      </c>
    </row>
    <row r="1180" spans="1:79">
      <c r="A1180" t="s">
        <v>722</v>
      </c>
      <c r="B1180" t="s">
        <v>566</v>
      </c>
      <c r="C1180" t="s">
        <v>563</v>
      </c>
      <c r="D1180" t="s">
        <v>699</v>
      </c>
      <c r="E1180" t="s">
        <v>77</v>
      </c>
      <c r="F1180" t="s">
        <v>32</v>
      </c>
      <c r="G1180">
        <v>20</v>
      </c>
      <c r="H1180">
        <v>41</v>
      </c>
      <c r="I1180" t="b">
        <v>1</v>
      </c>
      <c r="J1180" t="s">
        <v>33</v>
      </c>
      <c r="K1180" t="s">
        <v>33</v>
      </c>
      <c r="L1180">
        <v>20</v>
      </c>
      <c r="M1180" s="4">
        <v>30</v>
      </c>
      <c r="N1180" s="3">
        <f t="shared" si="602"/>
        <v>29.861111111111104</v>
      </c>
      <c r="O1180">
        <v>5</v>
      </c>
      <c r="P1180">
        <v>0.43</v>
      </c>
      <c r="Q1180" s="8">
        <f>IFERROR(X1180/Y1180, "NA")</f>
        <v>0.43200000000000011</v>
      </c>
      <c r="R1180" t="s">
        <v>183</v>
      </c>
      <c r="S1180" t="s">
        <v>612</v>
      </c>
      <c r="T1180" s="11">
        <v>1</v>
      </c>
      <c r="U1180">
        <v>4</v>
      </c>
      <c r="V1180" t="s">
        <v>33</v>
      </c>
      <c r="W1180">
        <f>0.4*3*0.5</f>
        <v>0.60000000000000009</v>
      </c>
      <c r="X1180" s="9">
        <f>W1180</f>
        <v>0.60000000000000009</v>
      </c>
      <c r="Y1180" s="6">
        <f>5000/3600</f>
        <v>1.3888888888888888</v>
      </c>
      <c r="Z1180" s="3">
        <f>IFERROR(X1180*M1180*O1180*T1180*AI1180/AF1180, "NA")</f>
        <v>1.3953488372093026</v>
      </c>
      <c r="AA1180" t="s">
        <v>33</v>
      </c>
      <c r="AB1180" s="4">
        <f>IFERROR(((X1180*M1180)/Y1180), "NA")</f>
        <v>12.960000000000003</v>
      </c>
      <c r="AC1180" s="4">
        <f t="shared" si="606"/>
        <v>12.9</v>
      </c>
      <c r="AD1180" s="4">
        <f>AB1180*T1180*AI1180</f>
        <v>12.960000000000003</v>
      </c>
      <c r="AE1180" s="3">
        <f t="shared" si="607"/>
        <v>51.840000000000011</v>
      </c>
      <c r="AF1180">
        <v>64.5</v>
      </c>
      <c r="AG1180" s="4">
        <f t="shared" si="608"/>
        <v>64.5</v>
      </c>
      <c r="AH1180" s="4">
        <f t="shared" si="603"/>
        <v>64.5</v>
      </c>
      <c r="AI1180">
        <v>1</v>
      </c>
      <c r="AJ1180" s="11" t="s">
        <v>31</v>
      </c>
      <c r="AK1180">
        <v>2000</v>
      </c>
      <c r="AL1180" t="s">
        <v>784</v>
      </c>
      <c r="AM1180" t="s">
        <v>103</v>
      </c>
      <c r="AN1180" t="s">
        <v>130</v>
      </c>
      <c r="AO1180" t="s">
        <v>795</v>
      </c>
      <c r="AP1180">
        <v>7</v>
      </c>
      <c r="AQ1180" t="s">
        <v>33</v>
      </c>
      <c r="AR1180" t="s">
        <v>33</v>
      </c>
      <c r="AS1180" s="6">
        <f>LOG(AVERAGE(10^8, 10^9))</f>
        <v>8.7403626894942441</v>
      </c>
      <c r="AT1180" s="3">
        <f t="shared" si="604"/>
        <v>6.0023626894942446</v>
      </c>
      <c r="AU1180" s="6">
        <v>2.738</v>
      </c>
      <c r="AV1180" t="b">
        <v>1</v>
      </c>
      <c r="AW1180" t="s">
        <v>123</v>
      </c>
      <c r="AX1180" t="s">
        <v>88</v>
      </c>
      <c r="AY1180" t="s">
        <v>724</v>
      </c>
      <c r="AZ1180" t="s">
        <v>33</v>
      </c>
      <c r="BA1180" s="18" t="s">
        <v>579</v>
      </c>
      <c r="BB1180" s="3" t="b">
        <v>1</v>
      </c>
      <c r="BC1180" t="s">
        <v>81</v>
      </c>
      <c r="BD1180">
        <v>24</v>
      </c>
      <c r="BE1180" t="s">
        <v>80</v>
      </c>
      <c r="BF1180">
        <v>48</v>
      </c>
      <c r="BG1180" t="s">
        <v>395</v>
      </c>
      <c r="BH1180" t="s">
        <v>31</v>
      </c>
      <c r="BI1180" t="s">
        <v>31</v>
      </c>
      <c r="BJ1180" s="3">
        <f t="shared" si="605"/>
        <v>2.738</v>
      </c>
      <c r="BK1180" s="3">
        <f t="shared" si="581"/>
        <v>0.43743344379797117</v>
      </c>
      <c r="BL1180">
        <v>2</v>
      </c>
      <c r="BM1180" s="3">
        <f t="shared" si="601"/>
        <v>1.2772315490645658</v>
      </c>
      <c r="BN1180" t="s">
        <v>33</v>
      </c>
      <c r="BO1180" s="3">
        <f t="shared" si="591"/>
        <v>18.933528122717316</v>
      </c>
      <c r="BP1180" t="s">
        <v>33</v>
      </c>
      <c r="BQ1180" t="s">
        <v>33</v>
      </c>
      <c r="BR1180" t="s">
        <v>33</v>
      </c>
      <c r="BS1180" t="s">
        <v>33</v>
      </c>
      <c r="BT1180" t="s">
        <v>32</v>
      </c>
      <c r="BU1180" t="s">
        <v>709</v>
      </c>
      <c r="BV1180">
        <v>2024</v>
      </c>
      <c r="BW1180" t="s">
        <v>710</v>
      </c>
      <c r="BX1180" t="s">
        <v>78</v>
      </c>
      <c r="BY1180" t="s">
        <v>711</v>
      </c>
      <c r="CA1180" t="str">
        <f t="shared" si="592"/>
        <v>low acid</v>
      </c>
    </row>
    <row r="1181" spans="1:79">
      <c r="A1181" t="s">
        <v>487</v>
      </c>
      <c r="B1181" t="s">
        <v>566</v>
      </c>
      <c r="C1181" t="s">
        <v>564</v>
      </c>
      <c r="D1181" t="s">
        <v>321</v>
      </c>
      <c r="E1181" t="s">
        <v>77</v>
      </c>
      <c r="F1181" t="s">
        <v>32</v>
      </c>
      <c r="G1181">
        <v>4</v>
      </c>
      <c r="H1181" t="s">
        <v>33</v>
      </c>
      <c r="I1181" t="b">
        <v>0</v>
      </c>
      <c r="J1181" t="s">
        <v>33</v>
      </c>
      <c r="K1181" t="s">
        <v>33</v>
      </c>
      <c r="L1181">
        <v>20</v>
      </c>
      <c r="M1181" s="4">
        <v>10</v>
      </c>
      <c r="N1181" s="3">
        <f t="shared" si="602"/>
        <v>10</v>
      </c>
      <c r="O1181">
        <v>1.5</v>
      </c>
      <c r="P1181" s="3">
        <f>6/(52.5/60)</f>
        <v>6.8571428571428568</v>
      </c>
      <c r="Q1181" s="8">
        <f>IFERROR(X1181/Z1181, "NA")</f>
        <v>6.8571428571428568</v>
      </c>
      <c r="R1181" t="s">
        <v>278</v>
      </c>
      <c r="S1181" t="s">
        <v>613</v>
      </c>
      <c r="T1181" s="11">
        <v>1</v>
      </c>
      <c r="U1181">
        <v>100</v>
      </c>
      <c r="V1181" t="s">
        <v>33</v>
      </c>
      <c r="W1181">
        <v>6</v>
      </c>
      <c r="X1181" s="9">
        <f>W1181</f>
        <v>6</v>
      </c>
      <c r="Y1181" s="6">
        <f>52.5/60</f>
        <v>0.875</v>
      </c>
      <c r="Z1181" s="3">
        <f>IFERROR(X1181*M1181*O1181*T1181*AI1181/AF1181, "NA")</f>
        <v>0.875</v>
      </c>
      <c r="AA1181" t="s">
        <v>33</v>
      </c>
      <c r="AB1181" s="4">
        <f>IFERROR(((X1181*M1181)/Y1181), "NA")</f>
        <v>68.571428571428569</v>
      </c>
      <c r="AC1181" s="4">
        <f t="shared" si="606"/>
        <v>68.571428571428569</v>
      </c>
      <c r="AD1181" s="4">
        <f>AB1181*T1181*AI1181</f>
        <v>207</v>
      </c>
      <c r="AE1181" s="3">
        <f t="shared" si="607"/>
        <v>633.41999999999996</v>
      </c>
      <c r="AF1181">
        <f>207*O1181</f>
        <v>310.5</v>
      </c>
      <c r="AG1181" s="4">
        <f t="shared" si="608"/>
        <v>102.85714285714285</v>
      </c>
      <c r="AH1181" s="4">
        <f t="shared" si="603"/>
        <v>310.5</v>
      </c>
      <c r="AI1181" s="3">
        <f>AF1181/(AG1181*T1181)</f>
        <v>3.0187500000000003</v>
      </c>
      <c r="AJ1181" s="11" t="s">
        <v>32</v>
      </c>
      <c r="AK1181">
        <v>5100</v>
      </c>
      <c r="AL1181" t="s">
        <v>319</v>
      </c>
      <c r="AM1181" t="s">
        <v>86</v>
      </c>
      <c r="AN1181" t="s">
        <v>186</v>
      </c>
      <c r="AO1181" t="s">
        <v>794</v>
      </c>
      <c r="AP1181">
        <v>6.05</v>
      </c>
      <c r="AQ1181" t="s">
        <v>33</v>
      </c>
      <c r="AR1181" t="s">
        <v>33</v>
      </c>
      <c r="AS1181" s="6">
        <f>LOG((10^7+10^8)/2)</f>
        <v>7.7403626894942441</v>
      </c>
      <c r="AT1181" s="3">
        <f t="shared" si="604"/>
        <v>6.0083626894942439</v>
      </c>
      <c r="AU1181" s="6">
        <v>1.732</v>
      </c>
      <c r="AV1181" t="b">
        <v>1</v>
      </c>
      <c r="AW1181" t="s">
        <v>29</v>
      </c>
      <c r="AX1181" t="s">
        <v>30</v>
      </c>
      <c r="AY1181" t="s">
        <v>320</v>
      </c>
      <c r="AZ1181" t="s">
        <v>33</v>
      </c>
      <c r="BA1181" s="18" t="s">
        <v>798</v>
      </c>
      <c r="BB1181" s="3" t="b">
        <v>0</v>
      </c>
      <c r="BC1181" t="s">
        <v>81</v>
      </c>
      <c r="BD1181">
        <v>12</v>
      </c>
      <c r="BE1181" t="s">
        <v>80</v>
      </c>
      <c r="BF1181" t="s">
        <v>33</v>
      </c>
      <c r="BG1181" t="s">
        <v>488</v>
      </c>
      <c r="BH1181" t="s">
        <v>31</v>
      </c>
      <c r="BI1181" t="s">
        <v>31</v>
      </c>
      <c r="BJ1181" s="3">
        <f t="shared" si="605"/>
        <v>1.732</v>
      </c>
      <c r="BK1181" s="3">
        <f t="shared" si="581"/>
        <v>0.23854788768132784</v>
      </c>
      <c r="BL1181">
        <v>2</v>
      </c>
      <c r="BM1181" s="3">
        <f t="shared" si="601"/>
        <v>2.5631438842571699</v>
      </c>
      <c r="BN1181" t="s">
        <v>33</v>
      </c>
      <c r="BO1181" s="3">
        <f t="shared" si="591"/>
        <v>365.71593533487294</v>
      </c>
      <c r="BP1181" t="s">
        <v>33</v>
      </c>
      <c r="BQ1181" t="s">
        <v>33</v>
      </c>
      <c r="BR1181" t="s">
        <v>33</v>
      </c>
      <c r="BS1181" t="s">
        <v>33</v>
      </c>
      <c r="BT1181" t="s">
        <v>31</v>
      </c>
      <c r="BU1181" t="s">
        <v>318</v>
      </c>
      <c r="BV1181">
        <v>2005</v>
      </c>
      <c r="BW1181" t="s">
        <v>489</v>
      </c>
      <c r="BX1181" t="s">
        <v>78</v>
      </c>
      <c r="BY1181" t="s">
        <v>33</v>
      </c>
      <c r="BZ1181" t="s">
        <v>490</v>
      </c>
      <c r="CA1181" t="str">
        <f t="shared" si="592"/>
        <v>low acid</v>
      </c>
    </row>
    <row r="1182" spans="1:79">
      <c r="A1182" t="s">
        <v>79</v>
      </c>
      <c r="B1182" t="s">
        <v>565</v>
      </c>
      <c r="C1182" t="s">
        <v>563</v>
      </c>
      <c r="D1182" t="s">
        <v>76</v>
      </c>
      <c r="E1182" t="s">
        <v>77</v>
      </c>
      <c r="F1182" t="s">
        <v>32</v>
      </c>
      <c r="G1182">
        <v>4</v>
      </c>
      <c r="H1182">
        <f>30</f>
        <v>30</v>
      </c>
      <c r="I1182" t="b">
        <v>0</v>
      </c>
      <c r="J1182" t="s">
        <v>33</v>
      </c>
      <c r="K1182" t="s">
        <v>33</v>
      </c>
      <c r="L1182">
        <v>25</v>
      </c>
      <c r="M1182" s="4">
        <v>1000</v>
      </c>
      <c r="N1182" s="3">
        <f t="shared" si="602"/>
        <v>1497.3326532020833</v>
      </c>
      <c r="O1182">
        <v>8</v>
      </c>
      <c r="P1182" t="s">
        <v>33</v>
      </c>
      <c r="Q1182" s="8">
        <f>IFERROR(X1182/Z1182, "NA")</f>
        <v>1.6249999999999999E-3</v>
      </c>
      <c r="R1182" t="s">
        <v>183</v>
      </c>
      <c r="S1182" t="s">
        <v>612</v>
      </c>
      <c r="T1182" s="11">
        <v>1</v>
      </c>
      <c r="U1182">
        <f>4.7</f>
        <v>4.7</v>
      </c>
      <c r="V1182">
        <v>3.5</v>
      </c>
      <c r="W1182" t="s">
        <v>33</v>
      </c>
      <c r="X1182" s="8">
        <f>IFERROR(((PI())*(((V1182*10^-1)/2)^2)*(U1182*10^-1)), "NA")</f>
        <v>4.5219299257608099E-2</v>
      </c>
      <c r="Y1182" s="6">
        <f>2.5*1000/60</f>
        <v>41.666666666666664</v>
      </c>
      <c r="Z1182" s="3">
        <f>IFERROR(X1182*M1182*O1182*T1182*AI1182/AF1182, "NA")</f>
        <v>27.827261081604984</v>
      </c>
      <c r="AA1182" t="s">
        <v>33</v>
      </c>
      <c r="AB1182" s="6">
        <f>IFERROR(((X1182*M1182)/Z1182), "NA")</f>
        <v>1.625</v>
      </c>
      <c r="AC1182" t="str">
        <f t="shared" si="606"/>
        <v>NA</v>
      </c>
      <c r="AD1182" s="4">
        <f>IFERROR(AB1182*T1182*AI1182, "NA")</f>
        <v>1.625</v>
      </c>
      <c r="AE1182" s="3">
        <f t="shared" si="607"/>
        <v>44.6875</v>
      </c>
      <c r="AF1182">
        <v>13</v>
      </c>
      <c r="AG1182" t="str">
        <f t="shared" si="608"/>
        <v>NA</v>
      </c>
      <c r="AH1182" t="str">
        <f t="shared" si="603"/>
        <v>NA</v>
      </c>
      <c r="AI1182" s="11">
        <v>1</v>
      </c>
      <c r="AJ1182" t="s">
        <v>31</v>
      </c>
      <c r="AK1182">
        <v>5500</v>
      </c>
      <c r="AL1182" t="s">
        <v>540</v>
      </c>
      <c r="AM1182" t="s">
        <v>157</v>
      </c>
      <c r="AN1182" t="s">
        <v>186</v>
      </c>
      <c r="AO1182" t="s">
        <v>792</v>
      </c>
      <c r="AP1182" s="3">
        <f>(6.53+6.6)/2</f>
        <v>6.5649999999999995</v>
      </c>
      <c r="AQ1182" t="s">
        <v>33</v>
      </c>
      <c r="AR1182" t="s">
        <v>33</v>
      </c>
      <c r="AS1182">
        <v>8</v>
      </c>
      <c r="AT1182" s="3">
        <f t="shared" si="604"/>
        <v>6.01</v>
      </c>
      <c r="AU1182" s="6">
        <v>1.99</v>
      </c>
      <c r="AV1182" t="b">
        <v>1</v>
      </c>
      <c r="AW1182" t="s">
        <v>29</v>
      </c>
      <c r="AX1182" t="s">
        <v>30</v>
      </c>
      <c r="AY1182" t="s">
        <v>216</v>
      </c>
      <c r="AZ1182" t="s">
        <v>33</v>
      </c>
      <c r="BA1182" s="18" t="s">
        <v>798</v>
      </c>
      <c r="BB1182" t="b">
        <v>0</v>
      </c>
      <c r="BC1182" t="s">
        <v>81</v>
      </c>
      <c r="BD1182">
        <v>24</v>
      </c>
      <c r="BE1182" t="s">
        <v>80</v>
      </c>
      <c r="BF1182" s="11">
        <v>24</v>
      </c>
      <c r="BG1182" t="s">
        <v>572</v>
      </c>
      <c r="BH1182" t="s">
        <v>31</v>
      </c>
      <c r="BI1182" t="s">
        <v>31</v>
      </c>
      <c r="BJ1182" s="3">
        <f t="shared" si="605"/>
        <v>1.99</v>
      </c>
      <c r="BK1182" s="3">
        <f t="shared" si="581"/>
        <v>0.29885307640970665</v>
      </c>
      <c r="BL1182">
        <v>2</v>
      </c>
      <c r="BM1182" s="3">
        <f t="shared" si="601"/>
        <v>1.3513329827354492</v>
      </c>
      <c r="BN1182" t="s">
        <v>33</v>
      </c>
      <c r="BO1182" s="3">
        <f t="shared" si="591"/>
        <v>22.456030150753769</v>
      </c>
      <c r="BP1182" t="s">
        <v>33</v>
      </c>
      <c r="BQ1182" t="s">
        <v>33</v>
      </c>
      <c r="BR1182" t="s">
        <v>33</v>
      </c>
      <c r="BS1182" t="s">
        <v>33</v>
      </c>
      <c r="BT1182" t="s">
        <v>32</v>
      </c>
      <c r="BU1182" t="s">
        <v>117</v>
      </c>
      <c r="BV1182">
        <v>2021</v>
      </c>
      <c r="BW1182" s="2" t="s">
        <v>82</v>
      </c>
      <c r="BX1182" t="s">
        <v>78</v>
      </c>
      <c r="BY1182" t="s">
        <v>90</v>
      </c>
      <c r="CA1182" t="str">
        <f t="shared" si="592"/>
        <v>low acid</v>
      </c>
    </row>
    <row r="1183" spans="1:79">
      <c r="A1183" t="s">
        <v>764</v>
      </c>
      <c r="B1183" t="s">
        <v>565</v>
      </c>
      <c r="C1183" t="s">
        <v>563</v>
      </c>
      <c r="D1183" t="s">
        <v>765</v>
      </c>
      <c r="E1183" t="s">
        <v>77</v>
      </c>
      <c r="F1183" t="s">
        <v>31</v>
      </c>
      <c r="G1183">
        <v>20</v>
      </c>
      <c r="H1183">
        <v>49</v>
      </c>
      <c r="I1183" t="b">
        <v>0</v>
      </c>
      <c r="J1183" t="s">
        <v>33</v>
      </c>
      <c r="K1183" t="s">
        <v>33</v>
      </c>
      <c r="L1183">
        <v>20</v>
      </c>
      <c r="M1183" s="4">
        <f>N1183</f>
        <v>117.90123456790124</v>
      </c>
      <c r="N1183" s="3">
        <f t="shared" si="602"/>
        <v>117.90123456790124</v>
      </c>
      <c r="O1183">
        <v>3</v>
      </c>
      <c r="P1183">
        <v>5.4399999999999997E-2</v>
      </c>
      <c r="Q1183" s="8">
        <f>IFERROR(X1183/Y1183, "NA")</f>
        <v>5.3999999999999999E-2</v>
      </c>
      <c r="R1183" t="s">
        <v>183</v>
      </c>
      <c r="S1183" t="s">
        <v>33</v>
      </c>
      <c r="T1183" s="11">
        <v>1</v>
      </c>
      <c r="U1183" t="s">
        <v>33</v>
      </c>
      <c r="V1183" t="s">
        <v>33</v>
      </c>
      <c r="W1183">
        <v>4.4999999999999997E-3</v>
      </c>
      <c r="X1183">
        <f>W1183</f>
        <v>4.4999999999999997E-3</v>
      </c>
      <c r="Y1183" s="6">
        <f>5/60</f>
        <v>8.3333333333333329E-2</v>
      </c>
      <c r="Z1183" s="6">
        <f>Y1183</f>
        <v>8.3333333333333329E-2</v>
      </c>
      <c r="AA1183" t="s">
        <v>33</v>
      </c>
      <c r="AB1183" s="4">
        <f>IFERROR(((X1183*M1183)/Y1183), "NA")</f>
        <v>6.3666666666666671</v>
      </c>
      <c r="AC1183" s="4">
        <f t="shared" si="606"/>
        <v>6.4138271604938275</v>
      </c>
      <c r="AD1183" s="4">
        <f>AB1183*T1183*AI1183</f>
        <v>6.3666666666666671</v>
      </c>
      <c r="AE1183" s="3">
        <f t="shared" si="607"/>
        <v>76.399999999999991</v>
      </c>
      <c r="AF1183">
        <v>19.100000000000001</v>
      </c>
      <c r="AG1183" s="4">
        <f t="shared" si="608"/>
        <v>19.241481481481479</v>
      </c>
      <c r="AH1183" s="4">
        <f t="shared" si="603"/>
        <v>19.241481481481479</v>
      </c>
      <c r="AI1183">
        <v>1</v>
      </c>
      <c r="AJ1183" s="11" t="s">
        <v>31</v>
      </c>
      <c r="AK1183">
        <v>10000</v>
      </c>
      <c r="AL1183" t="s">
        <v>169</v>
      </c>
      <c r="AM1183" t="s">
        <v>103</v>
      </c>
      <c r="AN1183" t="s">
        <v>130</v>
      </c>
      <c r="AO1183" t="s">
        <v>795</v>
      </c>
      <c r="AP1183">
        <v>7.2</v>
      </c>
      <c r="AQ1183" t="s">
        <v>33</v>
      </c>
      <c r="AR1183" t="s">
        <v>33</v>
      </c>
      <c r="AS1183">
        <v>7</v>
      </c>
      <c r="AT1183" s="3">
        <f t="shared" si="604"/>
        <v>6.0129999999999999</v>
      </c>
      <c r="AU1183" s="6">
        <v>0.98699999999999999</v>
      </c>
      <c r="AV1183" t="b">
        <v>1</v>
      </c>
      <c r="AW1183" t="s">
        <v>29</v>
      </c>
      <c r="AX1183" t="s">
        <v>30</v>
      </c>
      <c r="AY1183" t="s">
        <v>766</v>
      </c>
      <c r="AZ1183" t="s">
        <v>33</v>
      </c>
      <c r="BA1183" s="18" t="s">
        <v>798</v>
      </c>
      <c r="BB1183" s="3" t="b">
        <v>0</v>
      </c>
      <c r="BC1183" t="s">
        <v>81</v>
      </c>
      <c r="BD1183">
        <v>16</v>
      </c>
      <c r="BE1183" t="s">
        <v>80</v>
      </c>
      <c r="BF1183">
        <v>24</v>
      </c>
      <c r="BG1183" t="s">
        <v>569</v>
      </c>
      <c r="BH1183" t="s">
        <v>31</v>
      </c>
      <c r="BI1183" t="s">
        <v>31</v>
      </c>
      <c r="BJ1183" s="3">
        <f t="shared" si="605"/>
        <v>0.98699999999999999</v>
      </c>
      <c r="BK1183" s="3">
        <f t="shared" si="581"/>
        <v>-5.6828473303632727E-3</v>
      </c>
      <c r="BL1183">
        <v>2</v>
      </c>
      <c r="BM1183" s="3">
        <f t="shared" si="601"/>
        <v>1.8887762059060531</v>
      </c>
      <c r="BN1183" t="s">
        <v>33</v>
      </c>
      <c r="BO1183" s="3">
        <f t="shared" si="591"/>
        <v>77.406281661600801</v>
      </c>
      <c r="BP1183" t="s">
        <v>33</v>
      </c>
      <c r="BQ1183" t="s">
        <v>33</v>
      </c>
      <c r="BR1183" t="s">
        <v>33</v>
      </c>
      <c r="BS1183" t="s">
        <v>33</v>
      </c>
      <c r="BT1183" t="s">
        <v>31</v>
      </c>
      <c r="BU1183" t="s">
        <v>767</v>
      </c>
      <c r="BV1183">
        <v>2021</v>
      </c>
      <c r="BW1183" t="s">
        <v>768</v>
      </c>
      <c r="BX1183" t="s">
        <v>78</v>
      </c>
      <c r="BY1183" t="s">
        <v>769</v>
      </c>
      <c r="CA1183" t="str">
        <f t="shared" si="592"/>
        <v>low acid</v>
      </c>
    </row>
    <row r="1184" spans="1:79">
      <c r="A1184" t="s">
        <v>777</v>
      </c>
      <c r="B1184" t="s">
        <v>565</v>
      </c>
      <c r="C1184" t="s">
        <v>563</v>
      </c>
      <c r="D1184" t="s">
        <v>118</v>
      </c>
      <c r="E1184" t="s">
        <v>77</v>
      </c>
      <c r="F1184" t="s">
        <v>32</v>
      </c>
      <c r="G1184">
        <v>22</v>
      </c>
      <c r="H1184">
        <v>52</v>
      </c>
      <c r="I1184" t="b">
        <v>0</v>
      </c>
      <c r="J1184" t="s">
        <v>33</v>
      </c>
      <c r="K1184" t="s">
        <v>33</v>
      </c>
      <c r="L1184">
        <v>30</v>
      </c>
      <c r="M1184" s="4">
        <v>1000</v>
      </c>
      <c r="N1184" s="3">
        <f t="shared" si="602"/>
        <v>1318.838381785393</v>
      </c>
      <c r="O1184">
        <v>3</v>
      </c>
      <c r="P1184" s="8">
        <f>Q1184</f>
        <v>8.0000000000000002E-3</v>
      </c>
      <c r="Q1184" s="8">
        <f t="shared" ref="Q1184:Q1205" si="609">IFERROR(X1184/Z1184, "NA")</f>
        <v>8.0000000000000002E-3</v>
      </c>
      <c r="R1184" t="s">
        <v>183</v>
      </c>
      <c r="S1184" t="s">
        <v>613</v>
      </c>
      <c r="T1184" s="11">
        <v>6</v>
      </c>
      <c r="U1184">
        <v>2.92</v>
      </c>
      <c r="V1184">
        <v>2.2999999999999998</v>
      </c>
      <c r="W1184" s="16">
        <f>X1184</f>
        <v>1.2131888350367701E-2</v>
      </c>
      <c r="X1184" s="16">
        <f>IFERROR(((PI())*(((V1184*10^-1)/2)^2)*(U1184*10^-1)), "NA")</f>
        <v>1.2131888350367701E-2</v>
      </c>
      <c r="Y1184" s="6">
        <f>2</f>
        <v>2</v>
      </c>
      <c r="Z1184" s="3">
        <f>IFERROR(X1184*M1184*O1184*T1184*AI1184/AF1184, "NA")</f>
        <v>1.5164860437959626</v>
      </c>
      <c r="AA1184" t="s">
        <v>33</v>
      </c>
      <c r="AB1184" s="4">
        <f>IFERROR(((X1184*M1184)/Y1184), "NA")</f>
        <v>6.0659441751838505</v>
      </c>
      <c r="AC1184" s="4">
        <f t="shared" si="606"/>
        <v>8</v>
      </c>
      <c r="AD1184" s="4">
        <f>AB1184*T1184*AI1184</f>
        <v>36.395665051103101</v>
      </c>
      <c r="AE1184" s="3">
        <f t="shared" si="607"/>
        <v>272.15999999999997</v>
      </c>
      <c r="AF1184">
        <v>144</v>
      </c>
      <c r="AG1184" s="4">
        <f t="shared" si="608"/>
        <v>24</v>
      </c>
      <c r="AH1184" s="4">
        <f t="shared" si="603"/>
        <v>144</v>
      </c>
      <c r="AI1184">
        <v>1</v>
      </c>
      <c r="AJ1184" s="11" t="s">
        <v>31</v>
      </c>
      <c r="AK1184">
        <f>0.21*1000000/100</f>
        <v>2100</v>
      </c>
      <c r="AL1184" t="s">
        <v>114</v>
      </c>
      <c r="AM1184" t="s">
        <v>103</v>
      </c>
      <c r="AN1184" t="s">
        <v>130</v>
      </c>
      <c r="AO1184" t="s">
        <v>795</v>
      </c>
      <c r="AP1184" t="s">
        <v>33</v>
      </c>
      <c r="AQ1184" t="s">
        <v>33</v>
      </c>
      <c r="AR1184" t="s">
        <v>33</v>
      </c>
      <c r="AS1184">
        <v>8.8659999999999997</v>
      </c>
      <c r="AT1184" s="3">
        <f t="shared" si="604"/>
        <v>6.0270000000000001</v>
      </c>
      <c r="AU1184" s="6">
        <f>AS1184-6.027</f>
        <v>2.8389999999999995</v>
      </c>
      <c r="AV1184" t="b">
        <v>1</v>
      </c>
      <c r="AW1184" t="s">
        <v>92</v>
      </c>
      <c r="AX1184" t="s">
        <v>93</v>
      </c>
      <c r="AY1184" t="s">
        <v>94</v>
      </c>
      <c r="AZ1184" t="s">
        <v>33</v>
      </c>
      <c r="BA1184" s="18" t="s">
        <v>801</v>
      </c>
      <c r="BB1184" s="3" t="b">
        <v>0</v>
      </c>
      <c r="BC1184" t="s">
        <v>81</v>
      </c>
      <c r="BD1184">
        <v>18</v>
      </c>
      <c r="BE1184" t="s">
        <v>80</v>
      </c>
      <c r="BF1184">
        <v>48</v>
      </c>
      <c r="BG1184" t="s">
        <v>568</v>
      </c>
      <c r="BH1184" t="s">
        <v>31</v>
      </c>
      <c r="BI1184" t="s">
        <v>31</v>
      </c>
      <c r="BJ1184" s="3">
        <f t="shared" si="605"/>
        <v>2.8389999999999995</v>
      </c>
      <c r="BK1184" s="3">
        <f t="shared" si="581"/>
        <v>0.45316539252585714</v>
      </c>
      <c r="BL1184">
        <v>2</v>
      </c>
      <c r="BM1184" s="3">
        <f t="shared" si="601"/>
        <v>1.9816589037426366</v>
      </c>
      <c r="BN1184" t="s">
        <v>33</v>
      </c>
      <c r="BO1184" s="3">
        <f t="shared" si="591"/>
        <v>95.864741106023246</v>
      </c>
      <c r="BP1184" t="s">
        <v>33</v>
      </c>
      <c r="BQ1184" t="s">
        <v>33</v>
      </c>
      <c r="BR1184" t="s">
        <v>33</v>
      </c>
      <c r="BS1184" t="s">
        <v>33</v>
      </c>
      <c r="BT1184" t="s">
        <v>31</v>
      </c>
      <c r="BU1184" t="s">
        <v>163</v>
      </c>
      <c r="BV1184">
        <v>2011</v>
      </c>
      <c r="BW1184" t="s">
        <v>778</v>
      </c>
      <c r="BX1184" t="s">
        <v>78</v>
      </c>
      <c r="BY1184" t="s">
        <v>779</v>
      </c>
      <c r="CA1184" t="str">
        <f t="shared" si="592"/>
        <v>low acid</v>
      </c>
    </row>
    <row r="1185" spans="1:79">
      <c r="A1185" t="s">
        <v>597</v>
      </c>
      <c r="B1185" t="s">
        <v>565</v>
      </c>
      <c r="C1185" t="s">
        <v>563</v>
      </c>
      <c r="D1185" t="s">
        <v>33</v>
      </c>
      <c r="E1185" t="s">
        <v>77</v>
      </c>
      <c r="F1185" t="s">
        <v>33</v>
      </c>
      <c r="G1185">
        <v>20</v>
      </c>
      <c r="H1185">
        <v>35</v>
      </c>
      <c r="I1185" t="b">
        <v>0</v>
      </c>
      <c r="J1185" t="s">
        <v>33</v>
      </c>
      <c r="K1185" t="s">
        <v>33</v>
      </c>
      <c r="L1185">
        <v>22</v>
      </c>
      <c r="M1185" s="4">
        <v>1</v>
      </c>
      <c r="N1185" t="e">
        <f>(#REF!*Y1185)/(T1185*X1185*O1185)</f>
        <v>#REF!</v>
      </c>
      <c r="O1185">
        <v>2</v>
      </c>
      <c r="P1185" t="s">
        <v>33</v>
      </c>
      <c r="Q1185" s="1">
        <f t="shared" si="609"/>
        <v>200.00000000000003</v>
      </c>
      <c r="R1185" t="s">
        <v>183</v>
      </c>
      <c r="S1185" t="s">
        <v>33</v>
      </c>
      <c r="T1185">
        <v>1</v>
      </c>
      <c r="U1185">
        <v>2.5</v>
      </c>
      <c r="V1185" t="s">
        <v>33</v>
      </c>
      <c r="W1185">
        <v>0.50249999999999995</v>
      </c>
      <c r="X1185">
        <f>W1185</f>
        <v>0.50249999999999995</v>
      </c>
      <c r="Y1185" t="s">
        <v>33</v>
      </c>
      <c r="Z1185" s="3">
        <f>IFERROR(X1185*M1185*O1185*T1185*AI1185/AF1185, "NA")</f>
        <v>2.5124999999999995E-3</v>
      </c>
      <c r="AA1185" t="s">
        <v>33</v>
      </c>
      <c r="AB1185">
        <f>IFERROR(((X1185*M1185)/Z1185), "NA")</f>
        <v>200.00000000000003</v>
      </c>
      <c r="AC1185" s="1" t="str">
        <f t="shared" si="606"/>
        <v>NA</v>
      </c>
      <c r="AE1185" s="3">
        <f t="shared" si="607"/>
        <v>387.20000000000005</v>
      </c>
      <c r="AF1185">
        <v>400</v>
      </c>
      <c r="AG1185" s="1" t="str">
        <f>IFERROR((N1185*P1185*Q1185), "NA")</f>
        <v>NA</v>
      </c>
      <c r="AH1185" s="1" t="str">
        <f>IFERROR((AG1185*U1185*AI1185), "NA")</f>
        <v>NA</v>
      </c>
      <c r="AI1185" s="1">
        <v>1</v>
      </c>
      <c r="AJ1185" s="11" t="s">
        <v>31</v>
      </c>
      <c r="AK1185">
        <v>2000</v>
      </c>
      <c r="AL1185" t="s">
        <v>784</v>
      </c>
      <c r="AM1185" s="3" t="s">
        <v>103</v>
      </c>
      <c r="AN1185" t="s">
        <v>130</v>
      </c>
      <c r="AO1185" t="s">
        <v>795</v>
      </c>
      <c r="AP1185">
        <v>7</v>
      </c>
      <c r="AQ1185" t="s">
        <v>33</v>
      </c>
      <c r="AR1185" t="s">
        <v>33</v>
      </c>
      <c r="AS1185">
        <v>9</v>
      </c>
      <c r="AT1185">
        <f>AS1185-AU1185</f>
        <v>6.0299999999999994</v>
      </c>
      <c r="AU1185" s="6">
        <v>2.97</v>
      </c>
      <c r="AV1185" t="b">
        <v>1</v>
      </c>
      <c r="AW1185" t="s">
        <v>617</v>
      </c>
      <c r="AX1185" t="s">
        <v>635</v>
      </c>
      <c r="AY1185" t="s">
        <v>636</v>
      </c>
      <c r="AZ1185" t="s">
        <v>33</v>
      </c>
      <c r="BA1185" s="18" t="s">
        <v>802</v>
      </c>
      <c r="BB1185" s="3" t="b">
        <v>0</v>
      </c>
      <c r="BC1185" t="s">
        <v>81</v>
      </c>
      <c r="BD1185">
        <v>24</v>
      </c>
      <c r="BE1185" t="s">
        <v>80</v>
      </c>
      <c r="BF1185">
        <v>24</v>
      </c>
      <c r="BG1185" t="s">
        <v>644</v>
      </c>
      <c r="BH1185" t="s">
        <v>31</v>
      </c>
      <c r="BI1185" t="s">
        <v>31</v>
      </c>
      <c r="BJ1185">
        <f t="shared" si="605"/>
        <v>2.97</v>
      </c>
      <c r="BK1185" s="3">
        <f t="shared" si="581"/>
        <v>0.47275644931721239</v>
      </c>
      <c r="BL1185">
        <v>2</v>
      </c>
      <c r="BM1185" s="3">
        <f t="shared" si="601"/>
        <v>2.1151788993191438</v>
      </c>
      <c r="BN1185" t="s">
        <v>33</v>
      </c>
      <c r="BO1185" s="3">
        <f t="shared" si="591"/>
        <v>130.37037037037038</v>
      </c>
      <c r="BP1185" t="s">
        <v>33</v>
      </c>
      <c r="BQ1185" t="s">
        <v>33</v>
      </c>
      <c r="BR1185" t="s">
        <v>33</v>
      </c>
      <c r="BS1185" t="s">
        <v>33</v>
      </c>
      <c r="BT1185" t="s">
        <v>31</v>
      </c>
      <c r="BU1185" t="s">
        <v>664</v>
      </c>
      <c r="BV1185">
        <v>2000</v>
      </c>
      <c r="BW1185" t="s">
        <v>665</v>
      </c>
      <c r="BX1185" t="s">
        <v>78</v>
      </c>
      <c r="BY1185" s="13" t="s">
        <v>685</v>
      </c>
      <c r="CA1185" t="str">
        <f t="shared" si="592"/>
        <v>low acid</v>
      </c>
    </row>
    <row r="1186" spans="1:79">
      <c r="A1186" t="s">
        <v>455</v>
      </c>
      <c r="B1186" t="s">
        <v>565</v>
      </c>
      <c r="C1186" t="s">
        <v>563</v>
      </c>
      <c r="D1186" t="s">
        <v>182</v>
      </c>
      <c r="E1186" t="s">
        <v>77</v>
      </c>
      <c r="F1186" t="s">
        <v>32</v>
      </c>
      <c r="G1186">
        <v>18</v>
      </c>
      <c r="H1186">
        <v>39</v>
      </c>
      <c r="I1186" t="b">
        <v>1</v>
      </c>
      <c r="J1186" t="s">
        <v>33</v>
      </c>
      <c r="K1186" t="s">
        <v>33</v>
      </c>
      <c r="L1186">
        <v>27</v>
      </c>
      <c r="M1186" s="4" t="s">
        <v>33</v>
      </c>
      <c r="N1186" s="3">
        <f>IFERROR(AF1186/((T1186*X1186/Y1186)*O1186*AI1186),"NA")</f>
        <v>329.67224855987649</v>
      </c>
      <c r="O1186">
        <v>8</v>
      </c>
      <c r="P1186">
        <f>0.047/2</f>
        <v>2.35E-2</v>
      </c>
      <c r="Q1186" s="8">
        <f t="shared" si="609"/>
        <v>2.3318614270936313E-2</v>
      </c>
      <c r="R1186" t="s">
        <v>183</v>
      </c>
      <c r="S1186" t="s">
        <v>613</v>
      </c>
      <c r="T1186" s="11">
        <v>2</v>
      </c>
      <c r="U1186">
        <v>5.6</v>
      </c>
      <c r="V1186">
        <v>4.5</v>
      </c>
      <c r="W1186" t="s">
        <v>33</v>
      </c>
      <c r="X1186" s="9">
        <f>IFERROR(((PI())*(((V1186*10^-1)/2)^2)*(U1186*10^-1)), "NA")</f>
        <v>8.9064151729270638E-2</v>
      </c>
      <c r="Y1186" s="6">
        <f>13750/3600</f>
        <v>3.8194444444444446</v>
      </c>
      <c r="Z1186" s="3">
        <f>IFERROR(X1186*N1186*O1186*T1186*AI1186/AF1186, "NA")</f>
        <v>3.8194444444444442</v>
      </c>
      <c r="AA1186" t="s">
        <v>33</v>
      </c>
      <c r="AB1186" s="4">
        <f>IFERROR(((X1186*N1186)/Y1186), "NA")</f>
        <v>7.6874999999999991</v>
      </c>
      <c r="AC1186" s="4">
        <f>IFERROR(N1186*P1186,"NA")</f>
        <v>7.7472978411570974</v>
      </c>
      <c r="AD1186" s="4">
        <f>AB1186*T1186*AI1186</f>
        <v>15.374999999999998</v>
      </c>
      <c r="AE1186" s="3">
        <f>IFERROR(((L1186^2)*N1186*O1186*AK1186*10^-6*Q1186*T1186*AI1186), "NA")</f>
        <v>206.23409999999998</v>
      </c>
      <c r="AF1186">
        <v>123</v>
      </c>
      <c r="AG1186" s="4">
        <f>IFERROR((N1186*O1186*P1186), "NA")</f>
        <v>61.978382729256779</v>
      </c>
      <c r="AH1186" s="4">
        <f>IFERROR((AG1186*T1186*AI1186), "NA")</f>
        <v>123.95676545851356</v>
      </c>
      <c r="AI1186" s="11">
        <v>1</v>
      </c>
      <c r="AJ1186" t="s">
        <v>31</v>
      </c>
      <c r="AK1186">
        <v>2300</v>
      </c>
      <c r="AL1186" t="s">
        <v>805</v>
      </c>
      <c r="AM1186" t="s">
        <v>515</v>
      </c>
      <c r="AN1186" t="s">
        <v>205</v>
      </c>
      <c r="AO1186" t="s">
        <v>788</v>
      </c>
      <c r="AP1186">
        <v>3.68</v>
      </c>
      <c r="AQ1186" t="s">
        <v>33</v>
      </c>
      <c r="AR1186" t="s">
        <v>33</v>
      </c>
      <c r="AS1186">
        <f>LOG(10^8)</f>
        <v>8</v>
      </c>
      <c r="AT1186" s="3">
        <f>IFERROR(AS1186-AU1186,"NA")</f>
        <v>6.03</v>
      </c>
      <c r="AU1186" s="6">
        <v>1.97</v>
      </c>
      <c r="AV1186" t="b">
        <v>1</v>
      </c>
      <c r="AW1186" t="s">
        <v>233</v>
      </c>
      <c r="AX1186" t="s">
        <v>234</v>
      </c>
      <c r="AY1186" t="s">
        <v>473</v>
      </c>
      <c r="AZ1186" t="s">
        <v>33</v>
      </c>
      <c r="BA1186" s="18" t="s">
        <v>579</v>
      </c>
      <c r="BB1186" t="b">
        <v>1</v>
      </c>
      <c r="BC1186" t="s">
        <v>81</v>
      </c>
      <c r="BD1186" t="s">
        <v>33</v>
      </c>
      <c r="BE1186" t="s">
        <v>80</v>
      </c>
      <c r="BF1186" t="s">
        <v>33</v>
      </c>
      <c r="BG1186" t="s">
        <v>395</v>
      </c>
      <c r="BH1186" t="s">
        <v>31</v>
      </c>
      <c r="BI1186" t="s">
        <v>31</v>
      </c>
      <c r="BJ1186" s="3">
        <f t="shared" si="605"/>
        <v>1.97</v>
      </c>
      <c r="BK1186" s="3">
        <f t="shared" si="581"/>
        <v>0.2944662261615929</v>
      </c>
      <c r="BL1186">
        <v>2</v>
      </c>
      <c r="BM1186" s="3">
        <f t="shared" si="601"/>
        <v>2.0198942496133725</v>
      </c>
      <c r="BN1186" t="s">
        <v>33</v>
      </c>
      <c r="BO1186" s="3">
        <f t="shared" si="591"/>
        <v>104.68736040609136</v>
      </c>
      <c r="BP1186" t="s">
        <v>33</v>
      </c>
      <c r="BQ1186" t="s">
        <v>33</v>
      </c>
      <c r="BR1186" t="s">
        <v>33</v>
      </c>
      <c r="BS1186" t="s">
        <v>33</v>
      </c>
      <c r="BT1186" t="s">
        <v>32</v>
      </c>
      <c r="BU1186" t="s">
        <v>484</v>
      </c>
      <c r="BV1186">
        <v>2015</v>
      </c>
      <c r="BW1186" t="s">
        <v>485</v>
      </c>
      <c r="BX1186" t="s">
        <v>78</v>
      </c>
      <c r="BY1186" t="s">
        <v>486</v>
      </c>
      <c r="CA1186" t="str">
        <f t="shared" si="592"/>
        <v>high acid</v>
      </c>
    </row>
    <row r="1187" spans="1:79">
      <c r="A1187" t="s">
        <v>456</v>
      </c>
      <c r="B1187" t="s">
        <v>565</v>
      </c>
      <c r="C1187" t="s">
        <v>563</v>
      </c>
      <c r="D1187" t="s">
        <v>182</v>
      </c>
      <c r="E1187" t="s">
        <v>77</v>
      </c>
      <c r="F1187" t="s">
        <v>32</v>
      </c>
      <c r="G1187">
        <v>18</v>
      </c>
      <c r="H1187">
        <v>49</v>
      </c>
      <c r="I1187" t="b">
        <v>1</v>
      </c>
      <c r="J1187" t="s">
        <v>33</v>
      </c>
      <c r="K1187" t="s">
        <v>33</v>
      </c>
      <c r="L1187">
        <v>33</v>
      </c>
      <c r="M1187" s="4" t="s">
        <v>33</v>
      </c>
      <c r="N1187" s="3">
        <f>IFERROR(AF1187/((T1187*X1187/Y1187)*O1187*AI1187),"NA")</f>
        <v>281.42752925843115</v>
      </c>
      <c r="O1187">
        <v>8</v>
      </c>
      <c r="P1187">
        <f>0.047/2</f>
        <v>2.35E-2</v>
      </c>
      <c r="Q1187" s="8">
        <f t="shared" si="609"/>
        <v>2.3318614270936313E-2</v>
      </c>
      <c r="R1187" t="s">
        <v>183</v>
      </c>
      <c r="S1187" t="s">
        <v>613</v>
      </c>
      <c r="T1187" s="11">
        <v>2</v>
      </c>
      <c r="U1187">
        <v>5.6</v>
      </c>
      <c r="V1187">
        <v>4.5</v>
      </c>
      <c r="W1187" t="s">
        <v>33</v>
      </c>
      <c r="X1187" s="9">
        <f>IFERROR(((PI())*(((V1187*10^-1)/2)^2)*(U1187*10^-1)), "NA")</f>
        <v>8.9064151729270638E-2</v>
      </c>
      <c r="Y1187" s="6">
        <f>13750/3600</f>
        <v>3.8194444444444446</v>
      </c>
      <c r="Z1187" s="3">
        <f>IFERROR(X1187*N1187*O1187*T1187*AI1187/AF1187, "NA")</f>
        <v>3.8194444444444442</v>
      </c>
      <c r="AA1187" t="s">
        <v>33</v>
      </c>
      <c r="AB1187" s="4">
        <f>IFERROR(((X1187*N1187)/Y1187), "NA")</f>
        <v>6.5624999999999991</v>
      </c>
      <c r="AC1187" s="4">
        <f>IFERROR(N1187*P1187,"NA")</f>
        <v>6.6135469375731324</v>
      </c>
      <c r="AD1187" s="4">
        <f>AB1187*T1187*AI1187</f>
        <v>13.124999999999998</v>
      </c>
      <c r="AE1187" s="3">
        <f>IFERROR(((L1187^2)*N1187*O1187*AK1187*10^-6*Q1187*T1187*AI1187), "NA")</f>
        <v>262.99349999999998</v>
      </c>
      <c r="AF1187">
        <v>105</v>
      </c>
      <c r="AG1187" s="4">
        <f>IFERROR((N1187*O1187*P1187), "NA")</f>
        <v>52.908375500585059</v>
      </c>
      <c r="AH1187" s="4">
        <f>IFERROR((AG1187*T1187*AI1187), "NA")</f>
        <v>105.81675100117012</v>
      </c>
      <c r="AI1187" s="11">
        <v>1</v>
      </c>
      <c r="AJ1187" t="s">
        <v>31</v>
      </c>
      <c r="AK1187">
        <v>2300</v>
      </c>
      <c r="AL1187" t="s">
        <v>805</v>
      </c>
      <c r="AM1187" t="s">
        <v>515</v>
      </c>
      <c r="AN1187" t="s">
        <v>205</v>
      </c>
      <c r="AO1187" t="s">
        <v>788</v>
      </c>
      <c r="AP1187">
        <v>3.68</v>
      </c>
      <c r="AQ1187" t="s">
        <v>33</v>
      </c>
      <c r="AR1187" t="s">
        <v>33</v>
      </c>
      <c r="AS1187">
        <f>LOG(10^8)</f>
        <v>8</v>
      </c>
      <c r="AT1187" s="3">
        <f>IFERROR(AS1187-AU1187,"NA")</f>
        <v>6.04</v>
      </c>
      <c r="AU1187" s="6">
        <v>1.96</v>
      </c>
      <c r="AV1187" t="b">
        <v>1</v>
      </c>
      <c r="AW1187" t="s">
        <v>477</v>
      </c>
      <c r="AX1187" t="s">
        <v>471</v>
      </c>
      <c r="AY1187" t="s">
        <v>475</v>
      </c>
      <c r="AZ1187" t="s">
        <v>33</v>
      </c>
      <c r="BA1187" s="18" t="s">
        <v>579</v>
      </c>
      <c r="BB1187" t="b">
        <v>1</v>
      </c>
      <c r="BC1187" t="s">
        <v>81</v>
      </c>
      <c r="BD1187" t="s">
        <v>33</v>
      </c>
      <c r="BE1187" t="s">
        <v>80</v>
      </c>
      <c r="BF1187" t="s">
        <v>33</v>
      </c>
      <c r="BG1187" t="s">
        <v>483</v>
      </c>
      <c r="BH1187" t="s">
        <v>31</v>
      </c>
      <c r="BI1187" t="s">
        <v>31</v>
      </c>
      <c r="BJ1187" s="3">
        <f t="shared" si="605"/>
        <v>1.96</v>
      </c>
      <c r="BK1187" s="3">
        <f t="shared" si="581"/>
        <v>0.29225607135647602</v>
      </c>
      <c r="BL1187">
        <v>2</v>
      </c>
      <c r="BM1187" s="3">
        <f t="shared" si="601"/>
        <v>2.12768894348683</v>
      </c>
      <c r="BN1187" t="s">
        <v>33</v>
      </c>
      <c r="BO1187" s="3">
        <f t="shared" si="591"/>
        <v>134.18035714285713</v>
      </c>
      <c r="BP1187" t="s">
        <v>33</v>
      </c>
      <c r="BQ1187" t="s">
        <v>33</v>
      </c>
      <c r="BR1187" t="s">
        <v>33</v>
      </c>
      <c r="BS1187" t="s">
        <v>33</v>
      </c>
      <c r="BT1187" t="s">
        <v>32</v>
      </c>
      <c r="BU1187" t="s">
        <v>484</v>
      </c>
      <c r="BV1187">
        <v>2015</v>
      </c>
      <c r="BW1187" t="s">
        <v>485</v>
      </c>
      <c r="BX1187" t="s">
        <v>78</v>
      </c>
      <c r="BY1187" t="s">
        <v>486</v>
      </c>
      <c r="CA1187" t="str">
        <f t="shared" si="592"/>
        <v>high acid</v>
      </c>
    </row>
    <row r="1188" spans="1:79">
      <c r="A1188" t="s">
        <v>79</v>
      </c>
      <c r="B1188" t="s">
        <v>565</v>
      </c>
      <c r="C1188" t="s">
        <v>563</v>
      </c>
      <c r="D1188" t="s">
        <v>76</v>
      </c>
      <c r="E1188" t="s">
        <v>77</v>
      </c>
      <c r="F1188" t="s">
        <v>32</v>
      </c>
      <c r="G1188">
        <v>4</v>
      </c>
      <c r="H1188">
        <f>30</f>
        <v>30</v>
      </c>
      <c r="I1188" t="b">
        <v>0</v>
      </c>
      <c r="J1188" t="s">
        <v>33</v>
      </c>
      <c r="K1188" t="s">
        <v>33</v>
      </c>
      <c r="L1188">
        <v>30</v>
      </c>
      <c r="M1188" s="4">
        <v>1000</v>
      </c>
      <c r="N1188" s="3">
        <f>IFERROR(AF1188/((T1188*X1188/Y1188)*O1188*AI1188),"NA")</f>
        <v>806.25604403189095</v>
      </c>
      <c r="O1188">
        <v>8</v>
      </c>
      <c r="P1188" t="s">
        <v>33</v>
      </c>
      <c r="Q1188" s="8">
        <f t="shared" si="609"/>
        <v>8.7500000000000002E-4</v>
      </c>
      <c r="R1188" t="s">
        <v>183</v>
      </c>
      <c r="S1188" t="s">
        <v>612</v>
      </c>
      <c r="T1188" s="11">
        <v>1</v>
      </c>
      <c r="U1188">
        <f>4.7</f>
        <v>4.7</v>
      </c>
      <c r="V1188">
        <v>3.5</v>
      </c>
      <c r="W1188" t="s">
        <v>33</v>
      </c>
      <c r="X1188" s="8">
        <f>IFERROR(((PI())*(((V1188*10^-1)/2)^2)*(U1188*10^-1)), "NA")</f>
        <v>4.5219299257608099E-2</v>
      </c>
      <c r="Y1188" s="6">
        <f>2.5*1000/60</f>
        <v>41.666666666666664</v>
      </c>
      <c r="Z1188" s="3">
        <f t="shared" ref="Z1188:Z1199" si="610">IFERROR(X1188*M1188*O1188*T1188*AI1188/AF1188, "NA")</f>
        <v>51.679199151552112</v>
      </c>
      <c r="AA1188" t="s">
        <v>33</v>
      </c>
      <c r="AB1188" s="6">
        <f t="shared" ref="AB1188:AB1199" si="611">IFERROR(((X1188*M1188)/Z1188), "NA")</f>
        <v>0.875</v>
      </c>
      <c r="AC1188" t="str">
        <f t="shared" ref="AC1188:AC1199" si="612">IFERROR(M1188*P1188,"NA")</f>
        <v>NA</v>
      </c>
      <c r="AD1188" s="4">
        <f>IFERROR(AB1188*T1188*AI1188, "NA")</f>
        <v>0.875</v>
      </c>
      <c r="AE1188" s="3">
        <f t="shared" ref="AE1188:AE1199" si="613">IFERROR(((L1188^2)*M1188*O1188*AK1188*10^-6*Q1188*T1188*AI1188), "NA")</f>
        <v>34.65</v>
      </c>
      <c r="AF1188">
        <v>7</v>
      </c>
      <c r="AG1188" t="str">
        <f>IFERROR((M1188*O1188*P1188), "NA")</f>
        <v>NA</v>
      </c>
      <c r="AH1188" t="str">
        <f>IFERROR((AG1188*T1188*AI1188), "NA")</f>
        <v>NA</v>
      </c>
      <c r="AI1188" s="11">
        <v>1</v>
      </c>
      <c r="AJ1188" t="s">
        <v>31</v>
      </c>
      <c r="AK1188">
        <v>5500</v>
      </c>
      <c r="AL1188" t="s">
        <v>540</v>
      </c>
      <c r="AM1188" t="s">
        <v>157</v>
      </c>
      <c r="AN1188" t="s">
        <v>186</v>
      </c>
      <c r="AO1188" t="s">
        <v>792</v>
      </c>
      <c r="AP1188" s="3">
        <f>(6.53+6.6)/2</f>
        <v>6.5649999999999995</v>
      </c>
      <c r="AQ1188" t="s">
        <v>33</v>
      </c>
      <c r="AR1188" t="s">
        <v>33</v>
      </c>
      <c r="AS1188">
        <v>8</v>
      </c>
      <c r="AT1188" s="3">
        <f>IFERROR(AS1188-AU1188,"NA")</f>
        <v>6.04</v>
      </c>
      <c r="AU1188" s="6">
        <v>1.96</v>
      </c>
      <c r="AV1188" t="b">
        <v>1</v>
      </c>
      <c r="AW1188" t="s">
        <v>29</v>
      </c>
      <c r="AX1188" t="s">
        <v>30</v>
      </c>
      <c r="AY1188" t="s">
        <v>216</v>
      </c>
      <c r="AZ1188" t="s">
        <v>33</v>
      </c>
      <c r="BA1188" s="18" t="s">
        <v>798</v>
      </c>
      <c r="BB1188" t="b">
        <v>0</v>
      </c>
      <c r="BC1188" t="s">
        <v>81</v>
      </c>
      <c r="BD1188">
        <v>24</v>
      </c>
      <c r="BE1188" t="s">
        <v>80</v>
      </c>
      <c r="BF1188" s="11">
        <v>24</v>
      </c>
      <c r="BG1188" t="s">
        <v>572</v>
      </c>
      <c r="BH1188" t="s">
        <v>31</v>
      </c>
      <c r="BI1188" t="s">
        <v>31</v>
      </c>
      <c r="BJ1188" s="3">
        <f t="shared" si="605"/>
        <v>1.96</v>
      </c>
      <c r="BK1188" s="3">
        <f t="shared" si="581"/>
        <v>0.29225607135647602</v>
      </c>
      <c r="BL1188">
        <v>2</v>
      </c>
      <c r="BM1188" s="3">
        <f t="shared" si="601"/>
        <v>1.2474471675913494</v>
      </c>
      <c r="BN1188" t="s">
        <v>33</v>
      </c>
      <c r="BO1188" s="3">
        <f t="shared" si="591"/>
        <v>17.678571428571427</v>
      </c>
      <c r="BP1188" t="s">
        <v>33</v>
      </c>
      <c r="BQ1188" t="s">
        <v>33</v>
      </c>
      <c r="BR1188" t="s">
        <v>33</v>
      </c>
      <c r="BS1188" t="s">
        <v>33</v>
      </c>
      <c r="BT1188" t="s">
        <v>32</v>
      </c>
      <c r="BU1188" t="s">
        <v>117</v>
      </c>
      <c r="BV1188">
        <v>2021</v>
      </c>
      <c r="BW1188" s="2" t="s">
        <v>82</v>
      </c>
      <c r="BX1188" t="s">
        <v>78</v>
      </c>
      <c r="BY1188" t="s">
        <v>90</v>
      </c>
      <c r="CA1188" t="str">
        <f t="shared" si="592"/>
        <v>low acid</v>
      </c>
    </row>
    <row r="1189" spans="1:79">
      <c r="A1189" t="s">
        <v>584</v>
      </c>
      <c r="B1189" t="s">
        <v>566</v>
      </c>
      <c r="C1189" t="s">
        <v>563</v>
      </c>
      <c r="D1189" t="s">
        <v>607</v>
      </c>
      <c r="E1189" t="s">
        <v>77</v>
      </c>
      <c r="F1189" t="s">
        <v>33</v>
      </c>
      <c r="G1189">
        <v>20</v>
      </c>
      <c r="H1189">
        <v>35</v>
      </c>
      <c r="I1189" t="b">
        <v>0</v>
      </c>
      <c r="J1189">
        <v>1000</v>
      </c>
      <c r="K1189">
        <v>200</v>
      </c>
      <c r="L1189">
        <v>25</v>
      </c>
      <c r="M1189" s="4">
        <v>1</v>
      </c>
      <c r="N1189" t="e">
        <f>(#REF!*Y1189)/(T1189*X1189*O1189)</f>
        <v>#REF!</v>
      </c>
      <c r="O1189">
        <v>3</v>
      </c>
      <c r="P1189" t="s">
        <v>33</v>
      </c>
      <c r="Q1189" s="1">
        <f t="shared" si="609"/>
        <v>25.000000000000004</v>
      </c>
      <c r="R1189" t="s">
        <v>183</v>
      </c>
      <c r="S1189" t="s">
        <v>33</v>
      </c>
      <c r="T1189">
        <v>1</v>
      </c>
      <c r="U1189">
        <v>2.5</v>
      </c>
      <c r="V1189" t="s">
        <v>33</v>
      </c>
      <c r="W1189">
        <v>0.50249999999999995</v>
      </c>
      <c r="X1189">
        <f>W1189</f>
        <v>0.50249999999999995</v>
      </c>
      <c r="Y1189" t="s">
        <v>33</v>
      </c>
      <c r="Z1189" s="3">
        <f t="shared" si="610"/>
        <v>2.0099999999999996E-2</v>
      </c>
      <c r="AA1189" t="s">
        <v>33</v>
      </c>
      <c r="AB1189">
        <f t="shared" si="611"/>
        <v>25.000000000000004</v>
      </c>
      <c r="AC1189" s="1" t="str">
        <f t="shared" si="612"/>
        <v>NA</v>
      </c>
      <c r="AE1189" s="3">
        <f t="shared" si="613"/>
        <v>46.875000000000007</v>
      </c>
      <c r="AF1189">
        <v>75</v>
      </c>
      <c r="AG1189" s="1" t="str">
        <f>IFERROR((N1189*P1189*Q1189), "NA")</f>
        <v>NA</v>
      </c>
      <c r="AH1189" s="1" t="str">
        <f>IFERROR((AG1189*U1189*AI1189), "NA")</f>
        <v>NA</v>
      </c>
      <c r="AI1189" s="1">
        <v>1</v>
      </c>
      <c r="AJ1189" s="11" t="s">
        <v>31</v>
      </c>
      <c r="AK1189">
        <v>1000</v>
      </c>
      <c r="AL1189" t="s">
        <v>614</v>
      </c>
      <c r="AM1189" s="3" t="s">
        <v>103</v>
      </c>
      <c r="AN1189" t="s">
        <v>305</v>
      </c>
      <c r="AO1189" t="s">
        <v>790</v>
      </c>
      <c r="AP1189">
        <v>4.5</v>
      </c>
      <c r="AQ1189" t="s">
        <v>33</v>
      </c>
      <c r="AR1189" t="s">
        <v>33</v>
      </c>
      <c r="AS1189">
        <v>8</v>
      </c>
      <c r="AT1189">
        <f>AS1189-AU1189</f>
        <v>6.04</v>
      </c>
      <c r="AU1189" s="6">
        <v>1.96</v>
      </c>
      <c r="AV1189" t="b">
        <v>1</v>
      </c>
      <c r="AW1189" t="s">
        <v>617</v>
      </c>
      <c r="AX1189" t="s">
        <v>33</v>
      </c>
      <c r="AY1189" t="s">
        <v>623</v>
      </c>
      <c r="AZ1189" t="s">
        <v>621</v>
      </c>
      <c r="BA1189" s="18" t="s">
        <v>802</v>
      </c>
      <c r="BB1189" s="3" t="b">
        <v>0</v>
      </c>
      <c r="BC1189" t="s">
        <v>81</v>
      </c>
      <c r="BD1189">
        <v>18</v>
      </c>
      <c r="BE1189" t="s">
        <v>80</v>
      </c>
      <c r="BF1189">
        <v>24</v>
      </c>
      <c r="BG1189" t="s">
        <v>569</v>
      </c>
      <c r="BH1189" t="s">
        <v>31</v>
      </c>
      <c r="BI1189" t="s">
        <v>31</v>
      </c>
      <c r="BJ1189">
        <f t="shared" si="605"/>
        <v>1.96</v>
      </c>
      <c r="BK1189" s="3">
        <f t="shared" si="581"/>
        <v>0.29225607135647602</v>
      </c>
      <c r="BL1189">
        <v>2</v>
      </c>
      <c r="BM1189" s="3">
        <f t="shared" si="601"/>
        <v>1.3786852093792994</v>
      </c>
      <c r="BN1189" t="s">
        <v>33</v>
      </c>
      <c r="BO1189" s="3">
        <f t="shared" si="591"/>
        <v>23.915816326530617</v>
      </c>
      <c r="BP1189" t="s">
        <v>33</v>
      </c>
      <c r="BQ1189" t="s">
        <v>33</v>
      </c>
      <c r="BR1189" t="s">
        <v>33</v>
      </c>
      <c r="BS1189" t="s">
        <v>33</v>
      </c>
      <c r="BT1189" t="s">
        <v>31</v>
      </c>
      <c r="BU1189" t="s">
        <v>255</v>
      </c>
      <c r="BV1189">
        <v>2010</v>
      </c>
      <c r="BW1189" t="s">
        <v>651</v>
      </c>
      <c r="BX1189" t="s">
        <v>78</v>
      </c>
      <c r="BY1189" s="13" t="s">
        <v>674</v>
      </c>
      <c r="CA1189" t="str">
        <f t="shared" si="592"/>
        <v>high acid</v>
      </c>
    </row>
    <row r="1190" spans="1:79">
      <c r="A1190" t="s">
        <v>141</v>
      </c>
      <c r="B1190" t="s">
        <v>565</v>
      </c>
      <c r="C1190" t="s">
        <v>563</v>
      </c>
      <c r="D1190" t="s">
        <v>118</v>
      </c>
      <c r="E1190" t="s">
        <v>77</v>
      </c>
      <c r="F1190" t="s">
        <v>32</v>
      </c>
      <c r="G1190">
        <v>20</v>
      </c>
      <c r="H1190" t="s">
        <v>33</v>
      </c>
      <c r="I1190" t="b">
        <v>0</v>
      </c>
      <c r="J1190" t="s">
        <v>33</v>
      </c>
      <c r="K1190" t="s">
        <v>33</v>
      </c>
      <c r="L1190">
        <v>17</v>
      </c>
      <c r="M1190" s="4">
        <v>500</v>
      </c>
      <c r="N1190" s="3">
        <f t="shared" ref="N1190:N1195" si="614">IFERROR(AF1190/((T1190*X1190/Y1190)*O1190*AI1190),"NA")</f>
        <v>503.35454362283343</v>
      </c>
      <c r="O1190">
        <v>3</v>
      </c>
      <c r="P1190" t="s">
        <v>33</v>
      </c>
      <c r="Q1190" s="8">
        <f t="shared" si="609"/>
        <v>1.4555555555555556E-2</v>
      </c>
      <c r="R1190" t="s">
        <v>183</v>
      </c>
      <c r="S1190" t="s">
        <v>613</v>
      </c>
      <c r="T1190" s="11">
        <v>6</v>
      </c>
      <c r="U1190">
        <v>2.9</v>
      </c>
      <c r="V1190">
        <v>2.2999999999999998</v>
      </c>
      <c r="W1190" t="s">
        <v>33</v>
      </c>
      <c r="X1190">
        <f>IFERROR(((PI())*(((V1190*10^-1)/2)^2)*(U1190*10^-1)), "NA")</f>
        <v>1.204879322468025E-2</v>
      </c>
      <c r="Y1190" s="8">
        <f>50/60</f>
        <v>0.83333333333333337</v>
      </c>
      <c r="Z1190" s="9">
        <f t="shared" si="610"/>
        <v>0.82777968719177286</v>
      </c>
      <c r="AA1190" t="s">
        <v>33</v>
      </c>
      <c r="AB1190" s="6">
        <f t="shared" si="611"/>
        <v>7.2777777777777786</v>
      </c>
      <c r="AC1190" t="str">
        <f t="shared" si="612"/>
        <v>NA</v>
      </c>
      <c r="AD1190" s="4">
        <f>IFERROR(AB1190*T1190*AI1190, "NA")</f>
        <v>43.666666666666671</v>
      </c>
      <c r="AE1190" s="3">
        <f t="shared" si="613"/>
        <v>146.13574</v>
      </c>
      <c r="AF1190">
        <v>131</v>
      </c>
      <c r="AG1190" t="str">
        <f t="shared" ref="AG1190:AG1195" si="615">IFERROR((M1190*O1190*P1190), "NA")</f>
        <v>NA</v>
      </c>
      <c r="AH1190" t="str">
        <f t="shared" ref="AH1190:AH1195" si="616">IFERROR((AG1190*T1190*AI1190), "NA")</f>
        <v>NA</v>
      </c>
      <c r="AI1190" s="11">
        <v>1</v>
      </c>
      <c r="AJ1190" t="s">
        <v>31</v>
      </c>
      <c r="AK1190">
        <v>3860</v>
      </c>
      <c r="AL1190" t="s">
        <v>138</v>
      </c>
      <c r="AM1190" t="s">
        <v>86</v>
      </c>
      <c r="AN1190" t="s">
        <v>205</v>
      </c>
      <c r="AO1190" t="s">
        <v>789</v>
      </c>
      <c r="AP1190">
        <v>3.9</v>
      </c>
      <c r="AQ1190" t="s">
        <v>33</v>
      </c>
      <c r="AR1190" t="s">
        <v>33</v>
      </c>
      <c r="AS1190" s="3">
        <v>7.2510000000000003</v>
      </c>
      <c r="AT1190" s="3">
        <f t="shared" ref="AT1190:AT1195" si="617">IFERROR(AS1190-AU1190,"NA")</f>
        <v>6.0410000000000004</v>
      </c>
      <c r="AU1190" s="6">
        <v>1.21</v>
      </c>
      <c r="AV1190" t="b">
        <v>1</v>
      </c>
      <c r="AW1190" t="s">
        <v>92</v>
      </c>
      <c r="AX1190" t="s">
        <v>93</v>
      </c>
      <c r="AY1190" t="s">
        <v>137</v>
      </c>
      <c r="AZ1190" t="s">
        <v>33</v>
      </c>
      <c r="BA1190" s="18" t="s">
        <v>801</v>
      </c>
      <c r="BB1190" t="b">
        <v>0</v>
      </c>
      <c r="BC1190" t="s">
        <v>81</v>
      </c>
      <c r="BD1190">
        <f>(48+24)/2</f>
        <v>36</v>
      </c>
      <c r="BE1190" t="s">
        <v>80</v>
      </c>
      <c r="BF1190" s="11">
        <f>(48+24)/2</f>
        <v>36</v>
      </c>
      <c r="BG1190" t="s">
        <v>139</v>
      </c>
      <c r="BH1190" t="s">
        <v>31</v>
      </c>
      <c r="BI1190" t="s">
        <v>31</v>
      </c>
      <c r="BJ1190">
        <f t="shared" si="605"/>
        <v>1.21</v>
      </c>
      <c r="BK1190" s="3">
        <f t="shared" si="581"/>
        <v>8.2785370316450071E-2</v>
      </c>
      <c r="BL1190">
        <v>2</v>
      </c>
      <c r="BM1190" s="3">
        <f>LOG(BO1190)</f>
        <v>2.0819710727676171</v>
      </c>
      <c r="BN1190" t="s">
        <v>33</v>
      </c>
      <c r="BO1190" s="3">
        <f t="shared" si="591"/>
        <v>120.77333884297521</v>
      </c>
      <c r="BP1190" t="s">
        <v>33</v>
      </c>
      <c r="BQ1190" t="s">
        <v>33</v>
      </c>
      <c r="BR1190" t="s">
        <v>33</v>
      </c>
      <c r="BS1190" t="s">
        <v>33</v>
      </c>
      <c r="BT1190" t="s">
        <v>31</v>
      </c>
      <c r="BU1190" t="s">
        <v>135</v>
      </c>
      <c r="BV1190">
        <v>2011</v>
      </c>
      <c r="BW1190" s="2" t="s">
        <v>136</v>
      </c>
      <c r="BX1190" t="s">
        <v>78</v>
      </c>
      <c r="BY1190" t="s">
        <v>33</v>
      </c>
      <c r="BZ1190" t="s">
        <v>33</v>
      </c>
      <c r="CA1190" t="str">
        <f t="shared" si="592"/>
        <v>high acid</v>
      </c>
    </row>
    <row r="1191" spans="1:79">
      <c r="A1191" t="s">
        <v>535</v>
      </c>
      <c r="B1191" t="s">
        <v>565</v>
      </c>
      <c r="C1191" t="s">
        <v>564</v>
      </c>
      <c r="D1191" t="s">
        <v>243</v>
      </c>
      <c r="E1191" t="s">
        <v>77</v>
      </c>
      <c r="F1191" t="s">
        <v>32</v>
      </c>
      <c r="G1191">
        <v>40</v>
      </c>
      <c r="H1191">
        <v>43</v>
      </c>
      <c r="I1191" t="b">
        <v>0</v>
      </c>
      <c r="J1191" t="s">
        <v>33</v>
      </c>
      <c r="K1191" t="s">
        <v>33</v>
      </c>
      <c r="L1191">
        <v>15</v>
      </c>
      <c r="M1191" s="4">
        <v>120</v>
      </c>
      <c r="N1191" s="3">
        <f t="shared" si="614"/>
        <v>74.118837183931078</v>
      </c>
      <c r="O1191">
        <v>3</v>
      </c>
      <c r="P1191" t="s">
        <v>33</v>
      </c>
      <c r="Q1191" s="9">
        <f t="shared" si="609"/>
        <v>2.361111111111111E-2</v>
      </c>
      <c r="R1191" t="s">
        <v>183</v>
      </c>
      <c r="S1191" t="s">
        <v>612</v>
      </c>
      <c r="T1191" s="11">
        <v>4</v>
      </c>
      <c r="U1191">
        <v>3</v>
      </c>
      <c r="V1191">
        <v>2.6</v>
      </c>
      <c r="W1191">
        <v>1.5900000000000001E-2</v>
      </c>
      <c r="X1191" s="8">
        <f>IFERROR(((PI())*(((V1191*10^-1)/2)^2)*(U1191*10^-1)), "NA")</f>
        <v>1.5927874753700257E-2</v>
      </c>
      <c r="Y1191" s="6">
        <f>25/60</f>
        <v>0.41666666666666669</v>
      </c>
      <c r="Z1191" s="3">
        <f t="shared" si="610"/>
        <v>0.67459234250965794</v>
      </c>
      <c r="AA1191" t="s">
        <v>33</v>
      </c>
      <c r="AB1191" s="6">
        <f t="shared" si="611"/>
        <v>2.8333333333333335</v>
      </c>
      <c r="AC1191" t="str">
        <f t="shared" si="612"/>
        <v>NA</v>
      </c>
      <c r="AD1191" s="4">
        <f>IFERROR(AB1191*T1191*AI1191, "NA")</f>
        <v>11.333333333333334</v>
      </c>
      <c r="AE1191" s="3">
        <f t="shared" si="613"/>
        <v>7.0379999999999994</v>
      </c>
      <c r="AF1191">
        <v>34</v>
      </c>
      <c r="AG1191" t="str">
        <f t="shared" si="615"/>
        <v>NA</v>
      </c>
      <c r="AH1191" t="str">
        <f t="shared" si="616"/>
        <v>NA</v>
      </c>
      <c r="AI1191" s="11">
        <v>1</v>
      </c>
      <c r="AJ1191" t="s">
        <v>31</v>
      </c>
      <c r="AK1191">
        <v>920</v>
      </c>
      <c r="AL1191" t="s">
        <v>551</v>
      </c>
      <c r="AM1191" t="s">
        <v>86</v>
      </c>
      <c r="AN1191" t="s">
        <v>186</v>
      </c>
      <c r="AO1191" t="s">
        <v>794</v>
      </c>
      <c r="AP1191">
        <v>5.92</v>
      </c>
      <c r="AQ1191" t="s">
        <v>33</v>
      </c>
      <c r="AR1191" t="s">
        <v>33</v>
      </c>
      <c r="AS1191" s="6">
        <f>LOG(1.1*10^7)</f>
        <v>7.0413926851582254</v>
      </c>
      <c r="AT1191" s="3">
        <f t="shared" si="617"/>
        <v>6.0423926851582257</v>
      </c>
      <c r="AU1191" s="6">
        <v>0.999</v>
      </c>
      <c r="AV1191" t="b">
        <v>1</v>
      </c>
      <c r="AW1191" t="s">
        <v>172</v>
      </c>
      <c r="AX1191" t="s">
        <v>173</v>
      </c>
      <c r="AY1191" t="s">
        <v>246</v>
      </c>
      <c r="AZ1191" t="s">
        <v>33</v>
      </c>
      <c r="BA1191" s="18" t="s">
        <v>799</v>
      </c>
      <c r="BB1191" t="b">
        <v>0</v>
      </c>
      <c r="BC1191" t="s">
        <v>81</v>
      </c>
      <c r="BD1191">
        <v>72</v>
      </c>
      <c r="BE1191" t="s">
        <v>80</v>
      </c>
      <c r="BF1191" s="11">
        <v>72</v>
      </c>
      <c r="BG1191" t="s">
        <v>522</v>
      </c>
      <c r="BH1191" t="s">
        <v>31</v>
      </c>
      <c r="BI1191" t="s">
        <v>31</v>
      </c>
      <c r="BJ1191" s="3">
        <f t="shared" si="605"/>
        <v>0.999</v>
      </c>
      <c r="BK1191" s="3">
        <f t="shared" si="581"/>
        <v>-4.3451177401769168E-4</v>
      </c>
      <c r="BL1191">
        <v>2</v>
      </c>
      <c r="BM1191" s="3">
        <f t="shared" ref="BM1191:BM1198" si="618">IFERROR(LOG(BO1191),"NA")</f>
        <v>0.8478837742731905</v>
      </c>
      <c r="BN1191" t="s">
        <v>33</v>
      </c>
      <c r="BO1191" s="3">
        <f t="shared" si="591"/>
        <v>7.0450450450450441</v>
      </c>
      <c r="BP1191" t="s">
        <v>33</v>
      </c>
      <c r="BQ1191" t="s">
        <v>33</v>
      </c>
      <c r="BR1191" t="s">
        <v>33</v>
      </c>
      <c r="BS1191" t="s">
        <v>33</v>
      </c>
      <c r="BT1191" t="s">
        <v>32</v>
      </c>
      <c r="BU1191" t="s">
        <v>207</v>
      </c>
      <c r="BV1191">
        <v>2014</v>
      </c>
      <c r="BW1191" s="2" t="s">
        <v>242</v>
      </c>
      <c r="BX1191" t="s">
        <v>78</v>
      </c>
      <c r="BY1191" t="s">
        <v>33</v>
      </c>
      <c r="BZ1191" t="s">
        <v>33</v>
      </c>
      <c r="CA1191" t="str">
        <f t="shared" si="592"/>
        <v>low acid</v>
      </c>
    </row>
    <row r="1192" spans="1:79">
      <c r="A1192" t="s">
        <v>343</v>
      </c>
      <c r="B1192" t="s">
        <v>566</v>
      </c>
      <c r="C1192" t="s">
        <v>563</v>
      </c>
      <c r="D1192" t="s">
        <v>33</v>
      </c>
      <c r="E1192" t="s">
        <v>77</v>
      </c>
      <c r="F1192" t="s">
        <v>32</v>
      </c>
      <c r="G1192">
        <v>10</v>
      </c>
      <c r="H1192">
        <v>13</v>
      </c>
      <c r="I1192" t="b">
        <v>0</v>
      </c>
      <c r="J1192" t="s">
        <v>33</v>
      </c>
      <c r="K1192" t="s">
        <v>33</v>
      </c>
      <c r="L1192">
        <v>20</v>
      </c>
      <c r="M1192" s="4">
        <v>2</v>
      </c>
      <c r="N1192" s="3">
        <f t="shared" si="614"/>
        <v>2.1126760563380285</v>
      </c>
      <c r="O1192">
        <v>2</v>
      </c>
      <c r="P1192" t="s">
        <v>33</v>
      </c>
      <c r="Q1192" s="8">
        <f t="shared" si="609"/>
        <v>7.5</v>
      </c>
      <c r="R1192" t="s">
        <v>183</v>
      </c>
      <c r="S1192" t="s">
        <v>613</v>
      </c>
      <c r="T1192" s="11">
        <v>1</v>
      </c>
      <c r="U1192">
        <v>5</v>
      </c>
      <c r="V1192" t="s">
        <v>33</v>
      </c>
      <c r="W1192">
        <v>0.71</v>
      </c>
      <c r="X1192" s="8">
        <f>W1192</f>
        <v>0.71</v>
      </c>
      <c r="Y1192">
        <f>6/60</f>
        <v>0.1</v>
      </c>
      <c r="Z1192" s="3">
        <f t="shared" si="610"/>
        <v>9.4666666666666663E-2</v>
      </c>
      <c r="AA1192">
        <v>15</v>
      </c>
      <c r="AB1192" s="6">
        <f t="shared" si="611"/>
        <v>15</v>
      </c>
      <c r="AC1192" t="str">
        <f t="shared" si="612"/>
        <v>NA</v>
      </c>
      <c r="AD1192" s="4">
        <f>AB1192*T1192*AI1192</f>
        <v>105</v>
      </c>
      <c r="AE1192" s="3">
        <f t="shared" si="613"/>
        <v>394.8</v>
      </c>
      <c r="AF1192">
        <v>210</v>
      </c>
      <c r="AG1192" t="str">
        <f t="shared" si="615"/>
        <v>NA</v>
      </c>
      <c r="AH1192" t="str">
        <f t="shared" si="616"/>
        <v>NA</v>
      </c>
      <c r="AI1192">
        <v>7</v>
      </c>
      <c r="AJ1192" s="11" t="s">
        <v>32</v>
      </c>
      <c r="AK1192">
        <v>4700</v>
      </c>
      <c r="AL1192" t="s">
        <v>562</v>
      </c>
      <c r="AM1192" s="3" t="s">
        <v>786</v>
      </c>
      <c r="AN1192" t="s">
        <v>186</v>
      </c>
      <c r="AO1192" t="s">
        <v>793</v>
      </c>
      <c r="AP1192" t="s">
        <v>33</v>
      </c>
      <c r="AQ1192" t="s">
        <v>33</v>
      </c>
      <c r="AR1192" t="s">
        <v>33</v>
      </c>
      <c r="AS1192" s="6">
        <f>LOG(10^8)</f>
        <v>8</v>
      </c>
      <c r="AT1192" s="3">
        <f t="shared" si="617"/>
        <v>6.0449999999999999</v>
      </c>
      <c r="AU1192" s="6">
        <v>1.9550000000000001</v>
      </c>
      <c r="AV1192" t="b">
        <v>1</v>
      </c>
      <c r="AW1192" t="s">
        <v>29</v>
      </c>
      <c r="AX1192" t="s">
        <v>30</v>
      </c>
      <c r="AY1192" t="s">
        <v>33</v>
      </c>
      <c r="AZ1192" t="s">
        <v>134</v>
      </c>
      <c r="BA1192" s="18" t="s">
        <v>798</v>
      </c>
      <c r="BB1192" t="b">
        <v>0</v>
      </c>
      <c r="BC1192" t="s">
        <v>81</v>
      </c>
      <c r="BD1192">
        <v>18</v>
      </c>
      <c r="BE1192" t="s">
        <v>80</v>
      </c>
      <c r="BF1192" s="11">
        <v>21</v>
      </c>
      <c r="BG1192" t="s">
        <v>694</v>
      </c>
      <c r="BH1192" t="s">
        <v>31</v>
      </c>
      <c r="BI1192" t="s">
        <v>31</v>
      </c>
      <c r="BJ1192" s="3">
        <f t="shared" si="605"/>
        <v>1.9550000000000001</v>
      </c>
      <c r="BK1192" s="3">
        <f t="shared" si="581"/>
        <v>0.29114676173188564</v>
      </c>
      <c r="BL1192">
        <v>2</v>
      </c>
      <c r="BM1192" s="3">
        <f t="shared" si="618"/>
        <v>2.3052303822657136</v>
      </c>
      <c r="BN1192" t="s">
        <v>33</v>
      </c>
      <c r="BO1192" s="3">
        <f t="shared" si="591"/>
        <v>201.94373401534526</v>
      </c>
      <c r="BP1192" t="s">
        <v>33</v>
      </c>
      <c r="BQ1192" t="s">
        <v>33</v>
      </c>
      <c r="BR1192" t="s">
        <v>33</v>
      </c>
      <c r="BS1192" t="s">
        <v>33</v>
      </c>
      <c r="BT1192" t="s">
        <v>31</v>
      </c>
      <c r="BU1192" t="s">
        <v>338</v>
      </c>
      <c r="BV1192">
        <v>2005</v>
      </c>
      <c r="BW1192" s="2" t="s">
        <v>342</v>
      </c>
      <c r="BX1192" t="s">
        <v>78</v>
      </c>
      <c r="BY1192" t="s">
        <v>340</v>
      </c>
      <c r="BZ1192" t="s">
        <v>33</v>
      </c>
      <c r="CA1192" t="str">
        <f t="shared" si="592"/>
        <v>low acid</v>
      </c>
    </row>
    <row r="1193" spans="1:79">
      <c r="A1193" t="s">
        <v>202</v>
      </c>
      <c r="B1193" t="s">
        <v>565</v>
      </c>
      <c r="C1193" t="s">
        <v>563</v>
      </c>
      <c r="D1193" t="s">
        <v>118</v>
      </c>
      <c r="E1193" t="s">
        <v>77</v>
      </c>
      <c r="F1193" t="s">
        <v>32</v>
      </c>
      <c r="G1193">
        <v>23</v>
      </c>
      <c r="H1193">
        <v>56</v>
      </c>
      <c r="I1193" t="b">
        <v>0</v>
      </c>
      <c r="J1193" t="s">
        <v>33</v>
      </c>
      <c r="K1193" t="s">
        <v>33</v>
      </c>
      <c r="L1193">
        <v>25</v>
      </c>
      <c r="M1193" s="4">
        <v>667</v>
      </c>
      <c r="N1193" s="3">
        <f t="shared" si="614"/>
        <v>995.95036417586562</v>
      </c>
      <c r="O1193">
        <v>3</v>
      </c>
      <c r="P1193" t="s">
        <v>33</v>
      </c>
      <c r="Q1193" s="8">
        <f t="shared" si="609"/>
        <v>5.9970014992503755E-3</v>
      </c>
      <c r="R1193" t="s">
        <v>183</v>
      </c>
      <c r="S1193" t="s">
        <v>613</v>
      </c>
      <c r="T1193" s="11">
        <v>4</v>
      </c>
      <c r="U1193">
        <v>2.9</v>
      </c>
      <c r="V1193">
        <v>2.2999999999999998</v>
      </c>
      <c r="W1193" t="s">
        <v>33</v>
      </c>
      <c r="X1193" s="8">
        <f>IFERROR(((PI())*(((V1193*10^-1)/2)^2)*(U1193*10^-1)), "NA")</f>
        <v>1.204879322468025E-2</v>
      </c>
      <c r="Y1193">
        <v>3</v>
      </c>
      <c r="Z1193" s="3">
        <f t="shared" si="610"/>
        <v>2.0091362702154316</v>
      </c>
      <c r="AA1193" t="s">
        <v>33</v>
      </c>
      <c r="AB1193" s="6">
        <f t="shared" si="611"/>
        <v>4</v>
      </c>
      <c r="AC1193" t="str">
        <f t="shared" si="612"/>
        <v>NA</v>
      </c>
      <c r="AD1193" s="4">
        <f>IFERROR(AB1193*T1193*AI1193, "NA")</f>
        <v>16</v>
      </c>
      <c r="AE1193" s="3">
        <f t="shared" si="613"/>
        <v>138.00000000000003</v>
      </c>
      <c r="AF1193">
        <v>48</v>
      </c>
      <c r="AG1193" t="str">
        <f t="shared" si="615"/>
        <v>NA</v>
      </c>
      <c r="AH1193" t="str">
        <f t="shared" si="616"/>
        <v>NA</v>
      </c>
      <c r="AI1193" s="11">
        <v>1</v>
      </c>
      <c r="AJ1193" t="s">
        <v>31</v>
      </c>
      <c r="AK1193">
        <v>4600</v>
      </c>
      <c r="AL1193" t="s">
        <v>204</v>
      </c>
      <c r="AM1193" t="s">
        <v>785</v>
      </c>
      <c r="AN1193" t="s">
        <v>205</v>
      </c>
      <c r="AO1193" t="s">
        <v>791</v>
      </c>
      <c r="AP1193">
        <v>4.2</v>
      </c>
      <c r="AQ1193" t="s">
        <v>33</v>
      </c>
      <c r="AR1193" t="s">
        <v>33</v>
      </c>
      <c r="AS1193">
        <v>8.3239999999999998</v>
      </c>
      <c r="AT1193" s="3">
        <f t="shared" si="617"/>
        <v>6.0449999999999999</v>
      </c>
      <c r="AU1193" s="6">
        <v>2.2789999999999999</v>
      </c>
      <c r="AV1193" t="b">
        <v>1</v>
      </c>
      <c r="AW1193" t="s">
        <v>92</v>
      </c>
      <c r="AX1193" t="s">
        <v>93</v>
      </c>
      <c r="AY1193" t="s">
        <v>99</v>
      </c>
      <c r="AZ1193" t="s">
        <v>33</v>
      </c>
      <c r="BA1193" s="18" t="s">
        <v>801</v>
      </c>
      <c r="BB1193" t="b">
        <v>0</v>
      </c>
      <c r="BC1193" t="s">
        <v>81</v>
      </c>
      <c r="BD1193">
        <v>18</v>
      </c>
      <c r="BE1193" t="s">
        <v>80</v>
      </c>
      <c r="BF1193" t="s">
        <v>33</v>
      </c>
      <c r="BG1193" t="s">
        <v>568</v>
      </c>
      <c r="BH1193" t="s">
        <v>31</v>
      </c>
      <c r="BI1193" t="s">
        <v>31</v>
      </c>
      <c r="BJ1193" s="3">
        <f t="shared" si="605"/>
        <v>2.2789999999999999</v>
      </c>
      <c r="BK1193" s="3">
        <f t="shared" si="581"/>
        <v>0.35774432518037558</v>
      </c>
      <c r="BL1193">
        <v>2</v>
      </c>
      <c r="BM1193" s="3">
        <f t="shared" si="618"/>
        <v>1.7821347612208611</v>
      </c>
      <c r="BN1193" t="s">
        <v>33</v>
      </c>
      <c r="BO1193" s="3">
        <f t="shared" si="591"/>
        <v>60.552874067573512</v>
      </c>
      <c r="BP1193" t="s">
        <v>33</v>
      </c>
      <c r="BQ1193" t="s">
        <v>33</v>
      </c>
      <c r="BR1193" t="s">
        <v>33</v>
      </c>
      <c r="BS1193" t="s">
        <v>33</v>
      </c>
      <c r="BT1193" t="s">
        <v>31</v>
      </c>
      <c r="BU1193" t="s">
        <v>187</v>
      </c>
      <c r="BV1193">
        <v>2003</v>
      </c>
      <c r="BW1193" t="s">
        <v>192</v>
      </c>
      <c r="BX1193" t="s">
        <v>78</v>
      </c>
      <c r="BY1193" t="s">
        <v>33</v>
      </c>
      <c r="BZ1193" t="s">
        <v>33</v>
      </c>
      <c r="CA1193" t="str">
        <f t="shared" si="592"/>
        <v>high acid</v>
      </c>
    </row>
    <row r="1194" spans="1:79">
      <c r="A1194" t="s">
        <v>325</v>
      </c>
      <c r="B1194" t="s">
        <v>565</v>
      </c>
      <c r="C1194" t="s">
        <v>563</v>
      </c>
      <c r="D1194" t="s">
        <v>304</v>
      </c>
      <c r="E1194" t="s">
        <v>77</v>
      </c>
      <c r="F1194" t="s">
        <v>32</v>
      </c>
      <c r="G1194">
        <v>30</v>
      </c>
      <c r="H1194">
        <v>31.6</v>
      </c>
      <c r="I1194" t="b">
        <v>1</v>
      </c>
      <c r="J1194">
        <v>12600</v>
      </c>
      <c r="K1194">
        <v>50.4</v>
      </c>
      <c r="L1194">
        <v>32.5</v>
      </c>
      <c r="M1194" s="4">
        <v>434</v>
      </c>
      <c r="N1194" s="3">
        <f t="shared" si="614"/>
        <v>374.4822190397536</v>
      </c>
      <c r="O1194">
        <v>1</v>
      </c>
      <c r="P1194">
        <v>2.4E-2</v>
      </c>
      <c r="Q1194" s="8">
        <f t="shared" si="609"/>
        <v>2.0737327188940093E-2</v>
      </c>
      <c r="R1194" t="s">
        <v>183</v>
      </c>
      <c r="S1194" t="s">
        <v>612</v>
      </c>
      <c r="T1194" s="11">
        <v>1</v>
      </c>
      <c r="U1194">
        <v>3.4</v>
      </c>
      <c r="V1194">
        <v>3</v>
      </c>
      <c r="W1194">
        <v>2.4E-2</v>
      </c>
      <c r="X1194" s="8">
        <f>IFERROR(((PI())*(((V1194*10^-1)/2)^2)*(U1194*10^-1)), "NA")</f>
        <v>2.4033183799961926E-2</v>
      </c>
      <c r="Y1194" s="6">
        <f>1</f>
        <v>1</v>
      </c>
      <c r="Z1194" s="3">
        <f t="shared" si="610"/>
        <v>1.1589335299092751</v>
      </c>
      <c r="AA1194">
        <v>10.4</v>
      </c>
      <c r="AB1194" s="6">
        <f t="shared" si="611"/>
        <v>9</v>
      </c>
      <c r="AC1194">
        <f t="shared" si="612"/>
        <v>10.416</v>
      </c>
      <c r="AD1194" s="4">
        <f>IFERROR(AB1194*T1194*AI1194, "NA")</f>
        <v>9</v>
      </c>
      <c r="AE1194" s="3">
        <f t="shared" si="613"/>
        <v>9.5062499999999996</v>
      </c>
      <c r="AF1194">
        <v>9</v>
      </c>
      <c r="AG1194">
        <f t="shared" si="615"/>
        <v>10.416</v>
      </c>
      <c r="AH1194">
        <f t="shared" si="616"/>
        <v>10.416</v>
      </c>
      <c r="AI1194" s="11">
        <v>1</v>
      </c>
      <c r="AJ1194" t="s">
        <v>31</v>
      </c>
      <c r="AK1194">
        <v>1000</v>
      </c>
      <c r="AL1194" t="s">
        <v>169</v>
      </c>
      <c r="AM1194" t="s">
        <v>103</v>
      </c>
      <c r="AN1194" t="s">
        <v>305</v>
      </c>
      <c r="AO1194" t="s">
        <v>790</v>
      </c>
      <c r="AP1194">
        <v>4.5</v>
      </c>
      <c r="AQ1194" t="s">
        <v>33</v>
      </c>
      <c r="AR1194" t="s">
        <v>33</v>
      </c>
      <c r="AS1194" s="6">
        <f>LOG(3*10^7)</f>
        <v>7.4771212547196626</v>
      </c>
      <c r="AT1194" s="3">
        <f t="shared" si="617"/>
        <v>6.0471212547196629</v>
      </c>
      <c r="AU1194" s="6">
        <v>1.43</v>
      </c>
      <c r="AV1194" t="b">
        <v>1</v>
      </c>
      <c r="AW1194" t="s">
        <v>123</v>
      </c>
      <c r="AX1194" t="s">
        <v>88</v>
      </c>
      <c r="AY1194" t="s">
        <v>306</v>
      </c>
      <c r="AZ1194" t="s">
        <v>33</v>
      </c>
      <c r="BA1194" s="18" t="s">
        <v>579</v>
      </c>
      <c r="BB1194" t="b">
        <v>1</v>
      </c>
      <c r="BC1194" t="s">
        <v>81</v>
      </c>
      <c r="BD1194">
        <v>48</v>
      </c>
      <c r="BE1194" t="s">
        <v>80</v>
      </c>
      <c r="BF1194" s="11">
        <v>120</v>
      </c>
      <c r="BG1194" t="s">
        <v>395</v>
      </c>
      <c r="BH1194" t="s">
        <v>31</v>
      </c>
      <c r="BI1194" t="s">
        <v>31</v>
      </c>
      <c r="BJ1194" s="3">
        <f t="shared" si="605"/>
        <v>1.43</v>
      </c>
      <c r="BK1194" s="3">
        <f t="shared" si="581"/>
        <v>0.1553360374650618</v>
      </c>
      <c r="BL1194">
        <v>2</v>
      </c>
      <c r="BM1194" s="3">
        <f t="shared" si="618"/>
        <v>0.82267319393201177</v>
      </c>
      <c r="BN1194" t="s">
        <v>33</v>
      </c>
      <c r="BO1194" s="3">
        <f t="shared" si="591"/>
        <v>6.6477272727272725</v>
      </c>
      <c r="BP1194" t="s">
        <v>33</v>
      </c>
      <c r="BQ1194" t="s">
        <v>33</v>
      </c>
      <c r="BR1194" t="s">
        <v>33</v>
      </c>
      <c r="BS1194" t="s">
        <v>33</v>
      </c>
      <c r="BT1194" t="s">
        <v>32</v>
      </c>
      <c r="BU1194" t="s">
        <v>323</v>
      </c>
      <c r="BV1194">
        <v>2003</v>
      </c>
      <c r="BW1194" s="2" t="s">
        <v>322</v>
      </c>
      <c r="BX1194" t="s">
        <v>78</v>
      </c>
      <c r="BY1194" t="s">
        <v>33</v>
      </c>
      <c r="BZ1194" t="s">
        <v>33</v>
      </c>
      <c r="CA1194" t="str">
        <f t="shared" si="592"/>
        <v>high acid</v>
      </c>
    </row>
    <row r="1195" spans="1:79">
      <c r="A1195" t="s">
        <v>79</v>
      </c>
      <c r="B1195" t="s">
        <v>565</v>
      </c>
      <c r="C1195" t="s">
        <v>563</v>
      </c>
      <c r="D1195" t="s">
        <v>76</v>
      </c>
      <c r="E1195" t="s">
        <v>77</v>
      </c>
      <c r="F1195" t="s">
        <v>32</v>
      </c>
      <c r="G1195">
        <v>4</v>
      </c>
      <c r="H1195">
        <f>30</f>
        <v>30</v>
      </c>
      <c r="I1195" t="b">
        <v>0</v>
      </c>
      <c r="J1195" t="s">
        <v>33</v>
      </c>
      <c r="K1195" t="s">
        <v>33</v>
      </c>
      <c r="L1195">
        <v>25</v>
      </c>
      <c r="M1195" s="4">
        <v>1000</v>
      </c>
      <c r="N1195" s="3">
        <f t="shared" si="614"/>
        <v>1151.794348616987</v>
      </c>
      <c r="O1195">
        <v>8</v>
      </c>
      <c r="P1195" t="s">
        <v>33</v>
      </c>
      <c r="Q1195">
        <f t="shared" si="609"/>
        <v>1.2499999999999998E-3</v>
      </c>
      <c r="R1195" t="s">
        <v>183</v>
      </c>
      <c r="S1195" t="s">
        <v>612</v>
      </c>
      <c r="T1195" s="11">
        <v>1</v>
      </c>
      <c r="U1195">
        <f>4.7</f>
        <v>4.7</v>
      </c>
      <c r="V1195">
        <v>3.5</v>
      </c>
      <c r="W1195" t="s">
        <v>33</v>
      </c>
      <c r="X1195" s="8">
        <f>IFERROR(((PI())*(((V1195*10^-1)/2)^2)*(U1195*10^-1)), "NA")</f>
        <v>4.5219299257608099E-2</v>
      </c>
      <c r="Y1195" s="6">
        <f>2.5*1000/60</f>
        <v>41.666666666666664</v>
      </c>
      <c r="Z1195" s="3">
        <f t="shared" si="610"/>
        <v>36.175439406086483</v>
      </c>
      <c r="AA1195" t="s">
        <v>33</v>
      </c>
      <c r="AB1195" s="6">
        <f t="shared" si="611"/>
        <v>1.25</v>
      </c>
      <c r="AC1195" t="str">
        <f t="shared" si="612"/>
        <v>NA</v>
      </c>
      <c r="AD1195" s="4">
        <f>IFERROR(AB1195*T1195*AI1195, "NA")</f>
        <v>1.25</v>
      </c>
      <c r="AE1195" s="3">
        <f t="shared" si="613"/>
        <v>34.374999999999993</v>
      </c>
      <c r="AF1195">
        <v>10</v>
      </c>
      <c r="AG1195" t="str">
        <f t="shared" si="615"/>
        <v>NA</v>
      </c>
      <c r="AH1195" t="str">
        <f t="shared" si="616"/>
        <v>NA</v>
      </c>
      <c r="AI1195" s="11">
        <v>1</v>
      </c>
      <c r="AJ1195" t="s">
        <v>31</v>
      </c>
      <c r="AK1195">
        <v>5500</v>
      </c>
      <c r="AL1195" t="s">
        <v>540</v>
      </c>
      <c r="AM1195" t="s">
        <v>157</v>
      </c>
      <c r="AN1195" t="s">
        <v>186</v>
      </c>
      <c r="AO1195" t="s">
        <v>792</v>
      </c>
      <c r="AP1195" s="3">
        <f>(6.53+6.6)/2</f>
        <v>6.5649999999999995</v>
      </c>
      <c r="AQ1195" t="s">
        <v>33</v>
      </c>
      <c r="AR1195" t="s">
        <v>33</v>
      </c>
      <c r="AS1195">
        <v>8</v>
      </c>
      <c r="AT1195" s="3">
        <f t="shared" si="617"/>
        <v>6.05</v>
      </c>
      <c r="AU1195" s="6">
        <v>1.95</v>
      </c>
      <c r="AV1195" t="b">
        <v>1</v>
      </c>
      <c r="AW1195" t="s">
        <v>29</v>
      </c>
      <c r="AX1195" t="s">
        <v>30</v>
      </c>
      <c r="AY1195" t="s">
        <v>216</v>
      </c>
      <c r="AZ1195" t="s">
        <v>33</v>
      </c>
      <c r="BA1195" s="18" t="s">
        <v>798</v>
      </c>
      <c r="BB1195" t="b">
        <v>0</v>
      </c>
      <c r="BC1195" t="s">
        <v>81</v>
      </c>
      <c r="BD1195">
        <v>24</v>
      </c>
      <c r="BE1195" t="s">
        <v>80</v>
      </c>
      <c r="BF1195" s="11">
        <v>24</v>
      </c>
      <c r="BG1195" t="s">
        <v>572</v>
      </c>
      <c r="BH1195" t="s">
        <v>31</v>
      </c>
      <c r="BI1195" t="s">
        <v>31</v>
      </c>
      <c r="BJ1195" s="3">
        <f t="shared" si="605"/>
        <v>1.95</v>
      </c>
      <c r="BK1195" s="3">
        <f t="shared" si="581"/>
        <v>0.29003461136251801</v>
      </c>
      <c r="BL1195">
        <v>2</v>
      </c>
      <c r="BM1195" s="3">
        <f t="shared" si="618"/>
        <v>1.246208095475801</v>
      </c>
      <c r="BN1195" t="s">
        <v>33</v>
      </c>
      <c r="BO1195" s="3">
        <f t="shared" si="591"/>
        <v>17.628205128205124</v>
      </c>
      <c r="BP1195" t="s">
        <v>33</v>
      </c>
      <c r="BQ1195" t="s">
        <v>33</v>
      </c>
      <c r="BR1195" t="s">
        <v>33</v>
      </c>
      <c r="BS1195" t="s">
        <v>33</v>
      </c>
      <c r="BT1195" t="s">
        <v>32</v>
      </c>
      <c r="BU1195" t="s">
        <v>117</v>
      </c>
      <c r="BV1195">
        <v>2021</v>
      </c>
      <c r="BW1195" s="2" t="s">
        <v>82</v>
      </c>
      <c r="BX1195" t="s">
        <v>78</v>
      </c>
      <c r="BY1195" t="s">
        <v>90</v>
      </c>
      <c r="CA1195" t="str">
        <f t="shared" si="592"/>
        <v>low acid</v>
      </c>
    </row>
    <row r="1196" spans="1:79">
      <c r="A1196" t="s">
        <v>580</v>
      </c>
      <c r="B1196" t="s">
        <v>565</v>
      </c>
      <c r="C1196" t="s">
        <v>563</v>
      </c>
      <c r="D1196" t="s">
        <v>118</v>
      </c>
      <c r="E1196" t="s">
        <v>77</v>
      </c>
      <c r="F1196" t="s">
        <v>32</v>
      </c>
      <c r="G1196">
        <v>22</v>
      </c>
      <c r="H1196">
        <v>40</v>
      </c>
      <c r="I1196" t="b">
        <v>0</v>
      </c>
      <c r="J1196">
        <v>10220</v>
      </c>
      <c r="K1196">
        <v>25.36</v>
      </c>
      <c r="L1196">
        <v>35</v>
      </c>
      <c r="M1196" s="4">
        <v>180</v>
      </c>
      <c r="N1196" t="e">
        <f>(#REF!*Y1196)/(T1196*X1196*O1196)</f>
        <v>#REF!</v>
      </c>
      <c r="O1196">
        <v>4</v>
      </c>
      <c r="P1196">
        <v>7.8499999999999993E-3</v>
      </c>
      <c r="Q1196" s="1">
        <f t="shared" si="609"/>
        <v>0.2734375</v>
      </c>
      <c r="R1196" t="s">
        <v>183</v>
      </c>
      <c r="S1196" t="s">
        <v>613</v>
      </c>
      <c r="T1196">
        <v>8</v>
      </c>
      <c r="U1196">
        <v>2.92</v>
      </c>
      <c r="V1196">
        <v>2.2999999999999998</v>
      </c>
      <c r="W1196">
        <v>1.21E-2</v>
      </c>
      <c r="X1196">
        <v>1.2131888350367701E-2</v>
      </c>
      <c r="Y1196">
        <v>1.5</v>
      </c>
      <c r="Z1196" s="3">
        <f t="shared" si="610"/>
        <v>4.4368048824201874E-2</v>
      </c>
      <c r="AA1196" t="s">
        <v>33</v>
      </c>
      <c r="AB1196">
        <f t="shared" si="611"/>
        <v>49.21875</v>
      </c>
      <c r="AC1196" s="1">
        <f t="shared" si="612"/>
        <v>1.4129999999999998</v>
      </c>
      <c r="AE1196" s="3">
        <f t="shared" si="613"/>
        <v>4206.0375000000004</v>
      </c>
      <c r="AF1196">
        <v>1575</v>
      </c>
      <c r="AG1196" s="1" t="str">
        <f>IFERROR((N1196*P1196*Q1196), "NA")</f>
        <v>NA</v>
      </c>
      <c r="AH1196" s="1" t="str">
        <f>IFERROR((AG1196*U1196*AI1196), "NA")</f>
        <v>NA</v>
      </c>
      <c r="AI1196" s="1">
        <v>1</v>
      </c>
      <c r="AJ1196" s="11" t="s">
        <v>31</v>
      </c>
      <c r="AK1196">
        <v>2180</v>
      </c>
      <c r="AL1196" t="s">
        <v>149</v>
      </c>
      <c r="AM1196" t="s">
        <v>86</v>
      </c>
      <c r="AN1196" t="s">
        <v>205</v>
      </c>
      <c r="AO1196" t="s">
        <v>789</v>
      </c>
      <c r="AP1196">
        <v>4.46</v>
      </c>
      <c r="AQ1196" t="s">
        <v>33</v>
      </c>
      <c r="AR1196" t="s">
        <v>33</v>
      </c>
      <c r="AS1196">
        <v>7.5</v>
      </c>
      <c r="AT1196">
        <v>6.05</v>
      </c>
      <c r="AU1196" s="6">
        <v>4.34</v>
      </c>
      <c r="AV1196" t="b">
        <v>1</v>
      </c>
      <c r="AW1196" t="s">
        <v>617</v>
      </c>
      <c r="AX1196" t="s">
        <v>33</v>
      </c>
      <c r="AY1196" t="s">
        <v>33</v>
      </c>
      <c r="AZ1196" t="s">
        <v>619</v>
      </c>
      <c r="BA1196" s="18" t="s">
        <v>802</v>
      </c>
      <c r="BB1196" s="3" t="b">
        <v>0</v>
      </c>
      <c r="BC1196" t="s">
        <v>81</v>
      </c>
      <c r="BD1196">
        <v>15</v>
      </c>
      <c r="BE1196" t="s">
        <v>80</v>
      </c>
      <c r="BF1196">
        <v>24</v>
      </c>
      <c r="BG1196" t="s">
        <v>697</v>
      </c>
      <c r="BH1196" t="s">
        <v>32</v>
      </c>
      <c r="BI1196" t="s">
        <v>31</v>
      </c>
      <c r="BJ1196">
        <v>1.45</v>
      </c>
      <c r="BK1196" s="3">
        <f t="shared" ref="BK1196:BK1259" si="619">LOG10(BJ1196)</f>
        <v>0.16136800223497488</v>
      </c>
      <c r="BL1196">
        <v>2</v>
      </c>
      <c r="BM1196" s="3">
        <f t="shared" si="618"/>
        <v>3.4625051381958007</v>
      </c>
      <c r="BN1196" t="s">
        <v>33</v>
      </c>
      <c r="BO1196" s="3">
        <f t="shared" si="591"/>
        <v>2900.7155172413795</v>
      </c>
      <c r="BP1196" t="s">
        <v>33</v>
      </c>
      <c r="BQ1196" t="s">
        <v>33</v>
      </c>
      <c r="BR1196" t="s">
        <v>33</v>
      </c>
      <c r="BS1196" t="s">
        <v>33</v>
      </c>
      <c r="BT1196" t="s">
        <v>31</v>
      </c>
      <c r="BU1196" s="13" t="s">
        <v>219</v>
      </c>
      <c r="BV1196" s="14">
        <v>2008</v>
      </c>
      <c r="BW1196" t="s">
        <v>257</v>
      </c>
      <c r="BX1196" t="s">
        <v>78</v>
      </c>
      <c r="BY1196" s="13" t="s">
        <v>670</v>
      </c>
      <c r="CA1196" t="str">
        <f t="shared" si="592"/>
        <v>high acid</v>
      </c>
    </row>
    <row r="1197" spans="1:79">
      <c r="A1197" t="s">
        <v>580</v>
      </c>
      <c r="B1197" t="s">
        <v>565</v>
      </c>
      <c r="C1197" t="s">
        <v>563</v>
      </c>
      <c r="D1197" t="s">
        <v>118</v>
      </c>
      <c r="E1197" t="s">
        <v>77</v>
      </c>
      <c r="F1197" t="s">
        <v>32</v>
      </c>
      <c r="G1197">
        <v>22</v>
      </c>
      <c r="H1197">
        <v>40</v>
      </c>
      <c r="I1197" t="b">
        <v>0</v>
      </c>
      <c r="J1197">
        <v>10220</v>
      </c>
      <c r="K1197">
        <v>25.36</v>
      </c>
      <c r="L1197">
        <v>35</v>
      </c>
      <c r="M1197" s="4">
        <v>100</v>
      </c>
      <c r="N1197" t="e">
        <f>(#REF!*Y1197)/(T1197*X1197*O1197)</f>
        <v>#REF!</v>
      </c>
      <c r="O1197">
        <v>4</v>
      </c>
      <c r="P1197">
        <f>AVERAGE(0.0066, 0.0091)</f>
        <v>7.8499999999999993E-3</v>
      </c>
      <c r="Q1197" s="1">
        <f t="shared" si="609"/>
        <v>0.15625</v>
      </c>
      <c r="R1197" t="s">
        <v>183</v>
      </c>
      <c r="S1197" t="s">
        <v>613</v>
      </c>
      <c r="T1197">
        <v>8</v>
      </c>
      <c r="U1197">
        <v>2.92</v>
      </c>
      <c r="V1197">
        <v>2.2999999999999998</v>
      </c>
      <c r="W1197">
        <v>1.21E-2</v>
      </c>
      <c r="X1197">
        <f>IFERROR(((PI())*(((V1197*10^-1)/2)^2)*(U1197*10^-1)), "NA")</f>
        <v>1.2131888350367701E-2</v>
      </c>
      <c r="Y1197">
        <v>1.5</v>
      </c>
      <c r="Z1197" s="3">
        <f t="shared" si="610"/>
        <v>7.7644085442353281E-2</v>
      </c>
      <c r="AA1197" t="s">
        <v>33</v>
      </c>
      <c r="AB1197">
        <f t="shared" si="611"/>
        <v>15.625000000000002</v>
      </c>
      <c r="AC1197" s="1">
        <f t="shared" si="612"/>
        <v>0.78499999999999992</v>
      </c>
      <c r="AE1197" s="3">
        <f t="shared" si="613"/>
        <v>1335.25</v>
      </c>
      <c r="AF1197">
        <v>500</v>
      </c>
      <c r="AG1197" s="1" t="str">
        <f>IFERROR((N1197*P1197*Q1197), "NA")</f>
        <v>NA</v>
      </c>
      <c r="AH1197" s="1" t="str">
        <f>IFERROR((AG1197*U1197*AI1197), "NA")</f>
        <v>NA</v>
      </c>
      <c r="AI1197" s="1">
        <v>1</v>
      </c>
      <c r="AJ1197" s="11" t="s">
        <v>31</v>
      </c>
      <c r="AK1197">
        <v>2180</v>
      </c>
      <c r="AL1197" t="s">
        <v>149</v>
      </c>
      <c r="AM1197" t="s">
        <v>86</v>
      </c>
      <c r="AN1197" t="s">
        <v>205</v>
      </c>
      <c r="AO1197" t="s">
        <v>789</v>
      </c>
      <c r="AP1197">
        <v>4.46</v>
      </c>
      <c r="AQ1197" t="s">
        <v>33</v>
      </c>
      <c r="AR1197" t="s">
        <v>33</v>
      </c>
      <c r="AS1197">
        <v>7.5</v>
      </c>
      <c r="AT1197">
        <f>AS1197-AU1197</f>
        <v>6.05</v>
      </c>
      <c r="AU1197" s="6">
        <v>1.45</v>
      </c>
      <c r="AV1197" t="b">
        <v>1</v>
      </c>
      <c r="AW1197" t="s">
        <v>617</v>
      </c>
      <c r="AX1197" t="s">
        <v>33</v>
      </c>
      <c r="AY1197" t="s">
        <v>33</v>
      </c>
      <c r="AZ1197" t="s">
        <v>619</v>
      </c>
      <c r="BA1197" s="18" t="s">
        <v>802</v>
      </c>
      <c r="BB1197" s="3" t="b">
        <v>0</v>
      </c>
      <c r="BC1197" t="s">
        <v>81</v>
      </c>
      <c r="BD1197">
        <v>15</v>
      </c>
      <c r="BE1197" t="s">
        <v>80</v>
      </c>
      <c r="BF1197">
        <v>24</v>
      </c>
      <c r="BG1197" t="s">
        <v>697</v>
      </c>
      <c r="BH1197" t="s">
        <v>32</v>
      </c>
      <c r="BI1197" t="s">
        <v>31</v>
      </c>
      <c r="BJ1197">
        <f t="shared" ref="BJ1197:BJ1260" si="620">AU1197</f>
        <v>1.45</v>
      </c>
      <c r="BK1197" s="3">
        <f t="shared" si="619"/>
        <v>0.16136800223497488</v>
      </c>
      <c r="BL1197">
        <v>2</v>
      </c>
      <c r="BM1197" s="3">
        <f t="shared" si="618"/>
        <v>2.9641945844061999</v>
      </c>
      <c r="BN1197" t="s">
        <v>33</v>
      </c>
      <c r="BO1197" s="3">
        <f t="shared" si="591"/>
        <v>920.86206896551732</v>
      </c>
      <c r="BP1197" t="s">
        <v>33</v>
      </c>
      <c r="BQ1197" t="s">
        <v>33</v>
      </c>
      <c r="BR1197" t="s">
        <v>33</v>
      </c>
      <c r="BS1197" t="s">
        <v>33</v>
      </c>
      <c r="BT1197" t="s">
        <v>31</v>
      </c>
      <c r="BU1197" t="s">
        <v>219</v>
      </c>
      <c r="BV1197" s="14">
        <v>2008</v>
      </c>
      <c r="BW1197" t="s">
        <v>257</v>
      </c>
      <c r="BX1197" t="s">
        <v>78</v>
      </c>
      <c r="BY1197" s="13" t="s">
        <v>670</v>
      </c>
      <c r="CA1197" t="str">
        <f t="shared" si="592"/>
        <v>high acid</v>
      </c>
    </row>
    <row r="1198" spans="1:79">
      <c r="A1198" t="s">
        <v>589</v>
      </c>
      <c r="B1198" t="s">
        <v>566</v>
      </c>
      <c r="C1198" t="s">
        <v>563</v>
      </c>
      <c r="D1198" t="s">
        <v>33</v>
      </c>
      <c r="E1198" t="s">
        <v>77</v>
      </c>
      <c r="F1198" t="s">
        <v>33</v>
      </c>
      <c r="G1198" t="s">
        <v>33</v>
      </c>
      <c r="H1198">
        <v>35</v>
      </c>
      <c r="I1198" t="b">
        <v>0</v>
      </c>
      <c r="J1198" t="s">
        <v>33</v>
      </c>
      <c r="K1198" t="s">
        <v>33</v>
      </c>
      <c r="L1198">
        <v>28</v>
      </c>
      <c r="M1198" s="4">
        <v>1</v>
      </c>
      <c r="N1198" t="e">
        <f>(#REF!*Y1198)/(T1198*X1198*O1198)</f>
        <v>#REF!</v>
      </c>
      <c r="O1198">
        <v>2</v>
      </c>
      <c r="P1198" t="s">
        <v>33</v>
      </c>
      <c r="Q1198" s="1">
        <f t="shared" si="609"/>
        <v>15.5</v>
      </c>
      <c r="R1198" t="s">
        <v>183</v>
      </c>
      <c r="S1198" t="s">
        <v>613</v>
      </c>
      <c r="T1198">
        <v>1</v>
      </c>
      <c r="U1198">
        <v>2.5</v>
      </c>
      <c r="V1198" t="s">
        <v>33</v>
      </c>
      <c r="W1198">
        <v>0.50249999999999995</v>
      </c>
      <c r="X1198">
        <f>W1198</f>
        <v>0.50249999999999995</v>
      </c>
      <c r="Y1198" t="s">
        <v>33</v>
      </c>
      <c r="Z1198" s="3">
        <f t="shared" si="610"/>
        <v>3.2419354838709676E-2</v>
      </c>
      <c r="AA1198" t="s">
        <v>33</v>
      </c>
      <c r="AB1198">
        <f t="shared" si="611"/>
        <v>15.5</v>
      </c>
      <c r="AC1198" s="1" t="str">
        <f t="shared" si="612"/>
        <v>NA</v>
      </c>
      <c r="AE1198" s="3">
        <f t="shared" si="613"/>
        <v>48.607999999999997</v>
      </c>
      <c r="AF1198">
        <v>31</v>
      </c>
      <c r="AG1198" s="1" t="str">
        <f>IFERROR((N1198*P1198*Q1198), "NA")</f>
        <v>NA</v>
      </c>
      <c r="AH1198" s="1" t="str">
        <f>IFERROR((AG1198*U1198*AI1198), "NA")</f>
        <v>NA</v>
      </c>
      <c r="AI1198" s="1">
        <v>1</v>
      </c>
      <c r="AJ1198" s="11" t="s">
        <v>31</v>
      </c>
      <c r="AK1198">
        <v>2000</v>
      </c>
      <c r="AL1198" t="s">
        <v>616</v>
      </c>
      <c r="AM1198" s="3" t="s">
        <v>103</v>
      </c>
      <c r="AN1198" t="s">
        <v>130</v>
      </c>
      <c r="AO1198" t="s">
        <v>795</v>
      </c>
      <c r="AP1198">
        <v>7</v>
      </c>
      <c r="AQ1198" t="s">
        <v>33</v>
      </c>
      <c r="AR1198" t="s">
        <v>33</v>
      </c>
      <c r="AS1198">
        <v>9</v>
      </c>
      <c r="AT1198">
        <f>AS1198-AU1198</f>
        <v>6.05</v>
      </c>
      <c r="AU1198" s="6">
        <v>2.95</v>
      </c>
      <c r="AV1198" t="b">
        <v>1</v>
      </c>
      <c r="AW1198" t="s">
        <v>617</v>
      </c>
      <c r="AX1198" t="s">
        <v>33</v>
      </c>
      <c r="AY1198" t="s">
        <v>628</v>
      </c>
      <c r="AZ1198" t="s">
        <v>619</v>
      </c>
      <c r="BA1198" s="18" t="s">
        <v>802</v>
      </c>
      <c r="BB1198" s="3" t="b">
        <v>0</v>
      </c>
      <c r="BC1198" t="s">
        <v>81</v>
      </c>
      <c r="BD1198">
        <v>24</v>
      </c>
      <c r="BE1198" t="s">
        <v>80</v>
      </c>
      <c r="BF1198">
        <v>24</v>
      </c>
      <c r="BG1198" t="s">
        <v>644</v>
      </c>
      <c r="BH1198" t="s">
        <v>31</v>
      </c>
      <c r="BI1198" t="s">
        <v>31</v>
      </c>
      <c r="BJ1198">
        <f t="shared" si="620"/>
        <v>2.95</v>
      </c>
      <c r="BK1198" s="3">
        <f t="shared" si="619"/>
        <v>0.46982201597816303</v>
      </c>
      <c r="BL1198">
        <v>2</v>
      </c>
      <c r="BM1198" s="3">
        <f t="shared" si="618"/>
        <v>1.2168857362045293</v>
      </c>
      <c r="BN1198" t="s">
        <v>33</v>
      </c>
      <c r="BO1198" s="3">
        <f t="shared" si="591"/>
        <v>16.47728813559322</v>
      </c>
      <c r="BP1198" t="s">
        <v>33</v>
      </c>
      <c r="BQ1198" t="s">
        <v>33</v>
      </c>
      <c r="BR1198" t="s">
        <v>33</v>
      </c>
      <c r="BS1198" t="s">
        <v>33</v>
      </c>
      <c r="BT1198" t="s">
        <v>31</v>
      </c>
      <c r="BU1198" s="15" t="s">
        <v>655</v>
      </c>
      <c r="BV1198">
        <v>2003</v>
      </c>
      <c r="BW1198" t="s">
        <v>656</v>
      </c>
      <c r="BX1198" t="s">
        <v>78</v>
      </c>
      <c r="BY1198" s="13" t="s">
        <v>677</v>
      </c>
      <c r="CA1198" t="str">
        <f t="shared" si="592"/>
        <v>low acid</v>
      </c>
    </row>
    <row r="1199" spans="1:79">
      <c r="A1199" t="s">
        <v>109</v>
      </c>
      <c r="B1199" t="s">
        <v>565</v>
      </c>
      <c r="C1199" t="s">
        <v>563</v>
      </c>
      <c r="D1199" t="s">
        <v>118</v>
      </c>
      <c r="E1199" t="s">
        <v>77</v>
      </c>
      <c r="F1199" t="s">
        <v>32</v>
      </c>
      <c r="G1199">
        <v>23</v>
      </c>
      <c r="H1199">
        <v>40</v>
      </c>
      <c r="I1199" t="b">
        <v>0</v>
      </c>
      <c r="J1199" t="s">
        <v>33</v>
      </c>
      <c r="K1199" t="s">
        <v>33</v>
      </c>
      <c r="L1199">
        <v>25</v>
      </c>
      <c r="M1199" s="4">
        <v>667</v>
      </c>
      <c r="N1199" s="3">
        <f>IFERROR(AF1199/((T1199*X1199/Y1199)*O1199*AI1199),"NA")</f>
        <v>663.96690945057719</v>
      </c>
      <c r="O1199">
        <v>3</v>
      </c>
      <c r="P1199" t="s">
        <v>33</v>
      </c>
      <c r="Q1199" s="8">
        <f t="shared" si="609"/>
        <v>5.9970014992503755E-3</v>
      </c>
      <c r="R1199" t="s">
        <v>183</v>
      </c>
      <c r="S1199" t="s">
        <v>613</v>
      </c>
      <c r="T1199" s="11">
        <v>4</v>
      </c>
      <c r="U1199">
        <v>2.9</v>
      </c>
      <c r="V1199">
        <v>2.2999999999999998</v>
      </c>
      <c r="W1199" t="s">
        <v>33</v>
      </c>
      <c r="X1199">
        <f>IFERROR(((PI())*(((V1199*10^-1)/2)^2)*(U1199*10^-1)), "NA")</f>
        <v>1.204879322468025E-2</v>
      </c>
      <c r="Y1199">
        <v>2</v>
      </c>
      <c r="Z1199" s="9">
        <f t="shared" si="610"/>
        <v>2.0091362702154316</v>
      </c>
      <c r="AA1199" t="s">
        <v>33</v>
      </c>
      <c r="AB1199" s="6">
        <f t="shared" si="611"/>
        <v>4</v>
      </c>
      <c r="AC1199" t="str">
        <f t="shared" si="612"/>
        <v>NA</v>
      </c>
      <c r="AD1199" s="4">
        <f>IFERROR(AB1199*T1199*AI1199, "NA")</f>
        <v>16</v>
      </c>
      <c r="AE1199">
        <f t="shared" si="613"/>
        <v>138.00000000000003</v>
      </c>
      <c r="AF1199">
        <v>48</v>
      </c>
      <c r="AG1199" t="str">
        <f>IFERROR((M1199*O1199*P1199), "NA")</f>
        <v>NA</v>
      </c>
      <c r="AH1199" t="str">
        <f>IFERROR((AG1199*T1199*AI1199), "NA")</f>
        <v>NA</v>
      </c>
      <c r="AI1199" s="11">
        <v>1</v>
      </c>
      <c r="AJ1199" t="s">
        <v>31</v>
      </c>
      <c r="AK1199">
        <v>4600</v>
      </c>
      <c r="AL1199" t="s">
        <v>204</v>
      </c>
      <c r="AM1199" t="s">
        <v>785</v>
      </c>
      <c r="AN1199" t="s">
        <v>205</v>
      </c>
      <c r="AO1199" t="s">
        <v>791</v>
      </c>
      <c r="AP1199">
        <v>4.2</v>
      </c>
      <c r="AQ1199" t="s">
        <v>33</v>
      </c>
      <c r="AR1199" t="s">
        <v>33</v>
      </c>
      <c r="AS1199" s="3">
        <v>8</v>
      </c>
      <c r="AT1199" s="3">
        <f>IFERROR(AS1199-AU1199,"NA")</f>
        <v>5.9399999999999995</v>
      </c>
      <c r="AU1199" s="6">
        <v>2.06</v>
      </c>
      <c r="AV1199" t="b">
        <v>1</v>
      </c>
      <c r="AW1199" t="s">
        <v>92</v>
      </c>
      <c r="AX1199" t="s">
        <v>93</v>
      </c>
      <c r="AY1199" t="s">
        <v>99</v>
      </c>
      <c r="AZ1199" t="s">
        <v>33</v>
      </c>
      <c r="BA1199" s="18" t="s">
        <v>801</v>
      </c>
      <c r="BB1199" t="b">
        <v>0</v>
      </c>
      <c r="BC1199" t="s">
        <v>81</v>
      </c>
      <c r="BD1199">
        <v>18</v>
      </c>
      <c r="BE1199" t="s">
        <v>80</v>
      </c>
      <c r="BF1199" t="s">
        <v>33</v>
      </c>
      <c r="BG1199" t="s">
        <v>568</v>
      </c>
      <c r="BH1199" t="s">
        <v>31</v>
      </c>
      <c r="BI1199" t="s">
        <v>31</v>
      </c>
      <c r="BJ1199">
        <f t="shared" si="620"/>
        <v>2.06</v>
      </c>
      <c r="BK1199" s="3">
        <f t="shared" si="619"/>
        <v>0.31386722036915343</v>
      </c>
      <c r="BL1199">
        <v>2</v>
      </c>
      <c r="BM1199" s="3">
        <f>LOG(BO1199)</f>
        <v>1.8260118660320832</v>
      </c>
      <c r="BN1199" t="s">
        <v>33</v>
      </c>
      <c r="BO1199" s="3">
        <f t="shared" si="591"/>
        <v>66.990291262135941</v>
      </c>
      <c r="BP1199" t="s">
        <v>33</v>
      </c>
      <c r="BQ1199" t="s">
        <v>33</v>
      </c>
      <c r="BR1199" t="s">
        <v>33</v>
      </c>
      <c r="BS1199" t="s">
        <v>33</v>
      </c>
      <c r="BT1199" t="s">
        <v>32</v>
      </c>
      <c r="BU1199" t="s">
        <v>116</v>
      </c>
      <c r="BV1199">
        <v>2011</v>
      </c>
      <c r="BW1199" t="s">
        <v>91</v>
      </c>
      <c r="BX1199" t="s">
        <v>78</v>
      </c>
      <c r="BY1199" t="s">
        <v>33</v>
      </c>
      <c r="BZ1199" t="s">
        <v>113</v>
      </c>
      <c r="CA1199" t="str">
        <f t="shared" si="592"/>
        <v>high acid</v>
      </c>
    </row>
    <row r="1200" spans="1:79">
      <c r="A1200" t="s">
        <v>458</v>
      </c>
      <c r="B1200" t="s">
        <v>565</v>
      </c>
      <c r="C1200" t="s">
        <v>563</v>
      </c>
      <c r="D1200" t="s">
        <v>182</v>
      </c>
      <c r="E1200" t="s">
        <v>77</v>
      </c>
      <c r="F1200" t="s">
        <v>32</v>
      </c>
      <c r="G1200">
        <v>18</v>
      </c>
      <c r="H1200">
        <v>48</v>
      </c>
      <c r="I1200" t="b">
        <v>1</v>
      </c>
      <c r="J1200" t="s">
        <v>33</v>
      </c>
      <c r="K1200" t="s">
        <v>33</v>
      </c>
      <c r="L1200">
        <v>22</v>
      </c>
      <c r="M1200" s="4" t="s">
        <v>33</v>
      </c>
      <c r="N1200" s="3">
        <f>IFERROR(AF1200/((T1200*X1200/Y1200)*O1200*AI1200),"NA")</f>
        <v>330.20830099655922</v>
      </c>
      <c r="O1200">
        <v>10</v>
      </c>
      <c r="P1200">
        <f>0.047/2</f>
        <v>2.35E-2</v>
      </c>
      <c r="Q1200" s="8">
        <f t="shared" si="609"/>
        <v>2.3318614270936316E-2</v>
      </c>
      <c r="R1200" t="s">
        <v>183</v>
      </c>
      <c r="S1200" t="s">
        <v>613</v>
      </c>
      <c r="T1200" s="11">
        <v>2</v>
      </c>
      <c r="U1200">
        <v>5.6</v>
      </c>
      <c r="V1200">
        <v>4.5</v>
      </c>
      <c r="W1200" t="s">
        <v>33</v>
      </c>
      <c r="X1200" s="9">
        <f>IFERROR(((PI())*(((V1200*10^-1)/2)^2)*(U1200*10^-1)), "NA")</f>
        <v>8.9064151729270638E-2</v>
      </c>
      <c r="Y1200" s="6">
        <f>13750/3600</f>
        <v>3.8194444444444446</v>
      </c>
      <c r="Z1200" s="3">
        <f>IFERROR(X1200*N1200*O1200*T1200*AI1200/AF1200, "NA")</f>
        <v>3.8194444444444438</v>
      </c>
      <c r="AA1200" t="s">
        <v>33</v>
      </c>
      <c r="AB1200" s="4">
        <f>IFERROR(((X1200*N1200)/Y1200), "NA")</f>
        <v>7.6999999999999984</v>
      </c>
      <c r="AC1200" s="4">
        <f>IFERROR(N1200*P1200,"NA")</f>
        <v>7.7598950734191412</v>
      </c>
      <c r="AD1200" s="4">
        <f>IFERROR(AB1200*T1200*AI1200, "NA")</f>
        <v>15.399999999999997</v>
      </c>
      <c r="AE1200" s="3">
        <f>IFERROR(((L1200^2)*N1200*O1200*AK1200*10^-6*Q1200*T1200*AI1200), "NA")</f>
        <v>171.43280000000001</v>
      </c>
      <c r="AF1200">
        <v>154</v>
      </c>
      <c r="AG1200" s="4">
        <f>IFERROR((N1200*O1200*P1200), "NA")</f>
        <v>77.598950734191419</v>
      </c>
      <c r="AH1200" s="4">
        <f>IFERROR((AG1200*T1200*AI1200), "NA")</f>
        <v>155.19790146838284</v>
      </c>
      <c r="AI1200" s="11">
        <v>1</v>
      </c>
      <c r="AJ1200" t="s">
        <v>31</v>
      </c>
      <c r="AK1200">
        <v>2300</v>
      </c>
      <c r="AL1200" t="s">
        <v>805</v>
      </c>
      <c r="AM1200" t="s">
        <v>515</v>
      </c>
      <c r="AN1200" t="s">
        <v>205</v>
      </c>
      <c r="AO1200" t="s">
        <v>788</v>
      </c>
      <c r="AP1200">
        <v>3.68</v>
      </c>
      <c r="AQ1200" t="s">
        <v>33</v>
      </c>
      <c r="AR1200" t="s">
        <v>33</v>
      </c>
      <c r="AS1200">
        <f>LOG(10^8)</f>
        <v>8</v>
      </c>
      <c r="AT1200" s="3">
        <f>IFERROR(AS1200-AU1200,"NA")</f>
        <v>6.0600000000000005</v>
      </c>
      <c r="AU1200" s="6">
        <v>1.94</v>
      </c>
      <c r="AV1200" t="b">
        <v>1</v>
      </c>
      <c r="AW1200" t="s">
        <v>480</v>
      </c>
      <c r="AX1200" t="s">
        <v>472</v>
      </c>
      <c r="AY1200" t="s">
        <v>476</v>
      </c>
      <c r="AZ1200" t="s">
        <v>33</v>
      </c>
      <c r="BA1200" s="18" t="s">
        <v>579</v>
      </c>
      <c r="BB1200" t="b">
        <v>1</v>
      </c>
      <c r="BC1200" t="s">
        <v>81</v>
      </c>
      <c r="BD1200" t="s">
        <v>33</v>
      </c>
      <c r="BE1200" t="s">
        <v>80</v>
      </c>
      <c r="BF1200" t="s">
        <v>33</v>
      </c>
      <c r="BG1200" t="s">
        <v>395</v>
      </c>
      <c r="BH1200" t="s">
        <v>31</v>
      </c>
      <c r="BI1200" t="s">
        <v>31</v>
      </c>
      <c r="BJ1200" s="3">
        <f t="shared" si="620"/>
        <v>1.94</v>
      </c>
      <c r="BK1200" s="3">
        <f t="shared" si="619"/>
        <v>0.28780172993022601</v>
      </c>
      <c r="BL1200">
        <v>2</v>
      </c>
      <c r="BM1200" s="3">
        <f t="shared" ref="BM1200:BM1231" si="621">IFERROR(LOG(BO1200),"NA")</f>
        <v>1.9462921885682425</v>
      </c>
      <c r="BN1200" t="s">
        <v>33</v>
      </c>
      <c r="BO1200" s="3">
        <f t="shared" si="591"/>
        <v>88.367422680412375</v>
      </c>
      <c r="BP1200" t="s">
        <v>33</v>
      </c>
      <c r="BQ1200" t="s">
        <v>33</v>
      </c>
      <c r="BR1200" t="s">
        <v>33</v>
      </c>
      <c r="BS1200" t="s">
        <v>33</v>
      </c>
      <c r="BT1200" t="s">
        <v>32</v>
      </c>
      <c r="BU1200" t="s">
        <v>484</v>
      </c>
      <c r="BV1200">
        <v>2015</v>
      </c>
      <c r="BW1200" t="s">
        <v>485</v>
      </c>
      <c r="BX1200" t="s">
        <v>78</v>
      </c>
      <c r="BY1200" t="s">
        <v>486</v>
      </c>
      <c r="BZ1200" t="s">
        <v>780</v>
      </c>
      <c r="CA1200" t="str">
        <f t="shared" si="592"/>
        <v>high acid</v>
      </c>
    </row>
    <row r="1201" spans="1:79">
      <c r="A1201" t="s">
        <v>383</v>
      </c>
      <c r="B1201" t="s">
        <v>565</v>
      </c>
      <c r="C1201" t="s">
        <v>563</v>
      </c>
      <c r="D1201" t="s">
        <v>378</v>
      </c>
      <c r="E1201" t="s">
        <v>77</v>
      </c>
      <c r="F1201" t="s">
        <v>32</v>
      </c>
      <c r="G1201">
        <v>30</v>
      </c>
      <c r="H1201">
        <v>34</v>
      </c>
      <c r="I1201" t="b">
        <v>1</v>
      </c>
      <c r="J1201">
        <v>5438</v>
      </c>
      <c r="K1201">
        <v>15.6</v>
      </c>
      <c r="L1201">
        <v>20</v>
      </c>
      <c r="M1201" s="4">
        <v>250</v>
      </c>
      <c r="N1201" s="3">
        <f>IFERROR(AF1201/((T1201*X1201/Y1201)*O1201*AI1201),"NA")</f>
        <v>251.11113243387931</v>
      </c>
      <c r="O1201">
        <v>2</v>
      </c>
      <c r="P1201" t="s">
        <v>33</v>
      </c>
      <c r="Q1201" s="8">
        <f t="shared" si="609"/>
        <v>1.4200000000000001E-2</v>
      </c>
      <c r="R1201" t="s">
        <v>183</v>
      </c>
      <c r="S1201" t="s">
        <v>612</v>
      </c>
      <c r="T1201" s="11">
        <v>6</v>
      </c>
      <c r="U1201">
        <v>2.7</v>
      </c>
      <c r="V1201">
        <v>2</v>
      </c>
      <c r="W1201">
        <v>8.5000000000000006E-3</v>
      </c>
      <c r="X1201" s="8">
        <f>IFERROR(((PI())*(((V1201*10^-1)/2)^2)*(U1201*10^-1)), "NA")</f>
        <v>8.4823001646924419E-3</v>
      </c>
      <c r="Y1201">
        <f>36/60</f>
        <v>0.6</v>
      </c>
      <c r="Z1201" s="3">
        <f>IFERROR(X1201*M1201*O1201*T1201*AI1201/AF1201, "NA")</f>
        <v>0.59734508202059444</v>
      </c>
      <c r="AA1201">
        <f>21.3/6</f>
        <v>3.5500000000000003</v>
      </c>
      <c r="AB1201" s="6">
        <f>IFERROR(((X1201*M1201)/Z1201), "NA")</f>
        <v>3.5500000000000003</v>
      </c>
      <c r="AC1201" t="str">
        <f>IFERROR(M1201*P1201,"NA")</f>
        <v>NA</v>
      </c>
      <c r="AD1201" s="4">
        <f>IFERROR(AB1201*T1201*AI1201, "NA")</f>
        <v>21.3</v>
      </c>
      <c r="AE1201" s="3">
        <f>IFERROR(((L1201^2)*M1201*O1201*AK1201*10^-6*Q1201*T1201*AI1201), "NA")</f>
        <v>68.160000000000011</v>
      </c>
      <c r="AF1201">
        <f>AA1201*O1201*T1201*AI1201</f>
        <v>42.6</v>
      </c>
      <c r="AG1201" t="str">
        <f>IFERROR((M1201*O1201*P1201), "NA")</f>
        <v>NA</v>
      </c>
      <c r="AH1201" t="str">
        <f>IFERROR((AG1201*T1201*AI1201), "NA")</f>
        <v>NA</v>
      </c>
      <c r="AI1201" s="1">
        <v>1</v>
      </c>
      <c r="AJ1201" t="s">
        <v>31</v>
      </c>
      <c r="AK1201">
        <v>4000</v>
      </c>
      <c r="AL1201" t="s">
        <v>545</v>
      </c>
      <c r="AM1201" t="s">
        <v>103</v>
      </c>
      <c r="AN1201" t="s">
        <v>130</v>
      </c>
      <c r="AO1201" t="s">
        <v>795</v>
      </c>
      <c r="AP1201">
        <v>7</v>
      </c>
      <c r="AQ1201" t="s">
        <v>33</v>
      </c>
      <c r="AR1201" t="s">
        <v>33</v>
      </c>
      <c r="AS1201" s="6">
        <f>LOG(10^8)</f>
        <v>8</v>
      </c>
      <c r="AT1201" s="3">
        <f>IFERROR(AS1201-AU1201,"NA")</f>
        <v>6.0659999999999998</v>
      </c>
      <c r="AU1201" s="6">
        <v>1.9339999999999999</v>
      </c>
      <c r="AV1201" t="b">
        <v>1</v>
      </c>
      <c r="AW1201" t="s">
        <v>29</v>
      </c>
      <c r="AX1201" t="s">
        <v>30</v>
      </c>
      <c r="AY1201" t="s">
        <v>226</v>
      </c>
      <c r="AZ1201" t="s">
        <v>33</v>
      </c>
      <c r="BA1201" s="18" t="s">
        <v>798</v>
      </c>
      <c r="BB1201" t="b">
        <v>0</v>
      </c>
      <c r="BC1201" t="s">
        <v>81</v>
      </c>
      <c r="BD1201">
        <v>14</v>
      </c>
      <c r="BE1201" t="s">
        <v>80</v>
      </c>
      <c r="BF1201" s="11">
        <v>48</v>
      </c>
      <c r="BG1201" t="s">
        <v>139</v>
      </c>
      <c r="BH1201" t="s">
        <v>31</v>
      </c>
      <c r="BI1201" t="s">
        <v>31</v>
      </c>
      <c r="BJ1201" s="3">
        <f t="shared" si="620"/>
        <v>1.9339999999999999</v>
      </c>
      <c r="BK1201" s="3">
        <f t="shared" si="619"/>
        <v>0.28645646974698286</v>
      </c>
      <c r="BL1201">
        <v>2</v>
      </c>
      <c r="BM1201" s="3">
        <f t="shared" si="621"/>
        <v>1.547073112011661</v>
      </c>
      <c r="BN1201" t="s">
        <v>33</v>
      </c>
      <c r="BO1201" s="3">
        <f t="shared" si="591"/>
        <v>35.243019648397109</v>
      </c>
      <c r="BP1201" t="s">
        <v>33</v>
      </c>
      <c r="BQ1201" t="s">
        <v>33</v>
      </c>
      <c r="BR1201" t="s">
        <v>33</v>
      </c>
      <c r="BS1201" t="s">
        <v>33</v>
      </c>
      <c r="BT1201" t="s">
        <v>31</v>
      </c>
      <c r="BU1201" t="s">
        <v>227</v>
      </c>
      <c r="BV1201">
        <v>2004</v>
      </c>
      <c r="BW1201" t="s">
        <v>381</v>
      </c>
      <c r="BX1201" t="s">
        <v>78</v>
      </c>
      <c r="BY1201" t="s">
        <v>33</v>
      </c>
      <c r="BZ1201" t="s">
        <v>33</v>
      </c>
      <c r="CA1201" t="str">
        <f t="shared" si="592"/>
        <v>low acid</v>
      </c>
    </row>
    <row r="1202" spans="1:79">
      <c r="A1202" t="s">
        <v>237</v>
      </c>
      <c r="B1202" t="s">
        <v>565</v>
      </c>
      <c r="C1202" t="s">
        <v>563</v>
      </c>
      <c r="D1202" t="s">
        <v>118</v>
      </c>
      <c r="E1202" t="s">
        <v>77</v>
      </c>
      <c r="F1202" t="s">
        <v>32</v>
      </c>
      <c r="G1202">
        <v>4</v>
      </c>
      <c r="H1202">
        <v>32.5</v>
      </c>
      <c r="I1202" t="b">
        <v>0</v>
      </c>
      <c r="J1202" t="s">
        <v>33</v>
      </c>
      <c r="K1202" t="s">
        <v>33</v>
      </c>
      <c r="L1202">
        <v>15</v>
      </c>
      <c r="M1202" s="4">
        <v>200</v>
      </c>
      <c r="N1202" s="3">
        <f>IFERROR(AF1202/((T1202*X1202/Y1202)*O1202*AI1202),"NA")</f>
        <v>2575.8562144245957</v>
      </c>
      <c r="O1202">
        <v>4</v>
      </c>
      <c r="P1202" t="s">
        <v>33</v>
      </c>
      <c r="Q1202" s="9">
        <f t="shared" si="609"/>
        <v>0.15625</v>
      </c>
      <c r="R1202" t="s">
        <v>183</v>
      </c>
      <c r="S1202" t="s">
        <v>612</v>
      </c>
      <c r="T1202" s="11">
        <v>8</v>
      </c>
      <c r="U1202">
        <v>2.92</v>
      </c>
      <c r="V1202">
        <v>2.2999999999999998</v>
      </c>
      <c r="W1202">
        <v>1.2E-2</v>
      </c>
      <c r="X1202" s="8">
        <f>IFERROR(((PI())*(((V1202*10^-1)/2)^2)*(U1202*10^-1)), "NA")</f>
        <v>1.2131888350367701E-2</v>
      </c>
      <c r="Y1202" s="6">
        <f>60/60</f>
        <v>1</v>
      </c>
      <c r="Z1202" s="3">
        <f>IFERROR(X1202*M1202*O1202*T1202*AI1202/AF1202, "NA")</f>
        <v>7.7644085442353281E-2</v>
      </c>
      <c r="AA1202" t="s">
        <v>33</v>
      </c>
      <c r="AB1202" s="6">
        <f>IFERROR(((X1202*M1202)/Z1202), "NA")</f>
        <v>31.250000000000004</v>
      </c>
      <c r="AC1202" t="str">
        <f>IFERROR(M1202*P1202,"NA")</f>
        <v>NA</v>
      </c>
      <c r="AD1202" s="4">
        <f>AB1202*T1202*AI1202</f>
        <v>250.00000000000003</v>
      </c>
      <c r="AE1202" s="3">
        <f>IFERROR(((L1202^2)*M1202*O1202*AK1202*10^-6*Q1202*T1202*AI1202), "NA")</f>
        <v>953.99999999999989</v>
      </c>
      <c r="AF1202">
        <v>1000</v>
      </c>
      <c r="AG1202" t="str">
        <f>IFERROR((M1202*O1202*P1202), "NA")</f>
        <v>NA</v>
      </c>
      <c r="AH1202" t="str">
        <f>IFERROR((AG1202*T1202*AI1202), "NA")</f>
        <v>NA</v>
      </c>
      <c r="AI1202">
        <v>1</v>
      </c>
      <c r="AJ1202" t="s">
        <v>31</v>
      </c>
      <c r="AK1202">
        <v>4240</v>
      </c>
      <c r="AL1202" t="s">
        <v>238</v>
      </c>
      <c r="AM1202" t="s">
        <v>86</v>
      </c>
      <c r="AN1202" t="s">
        <v>205</v>
      </c>
      <c r="AO1202" t="s">
        <v>789</v>
      </c>
      <c r="AP1202">
        <v>3.56</v>
      </c>
      <c r="AQ1202" t="s">
        <v>33</v>
      </c>
      <c r="AR1202" t="s">
        <v>33</v>
      </c>
      <c r="AS1202">
        <f>LOG(10^8)</f>
        <v>8</v>
      </c>
      <c r="AT1202" s="3">
        <f>IFERROR(AS1202-AU1202,"NA")</f>
        <v>6.0670000000000002</v>
      </c>
      <c r="AU1202" s="6">
        <v>1.9330000000000001</v>
      </c>
      <c r="AV1202" t="b">
        <v>1</v>
      </c>
      <c r="AW1202" t="s">
        <v>172</v>
      </c>
      <c r="AX1202" t="s">
        <v>173</v>
      </c>
      <c r="AY1202" t="s">
        <v>239</v>
      </c>
      <c r="AZ1202" t="s">
        <v>33</v>
      </c>
      <c r="BA1202" s="18" t="s">
        <v>799</v>
      </c>
      <c r="BB1202" t="b">
        <v>0</v>
      </c>
      <c r="BC1202" t="s">
        <v>81</v>
      </c>
      <c r="BD1202">
        <v>48</v>
      </c>
      <c r="BE1202" t="s">
        <v>80</v>
      </c>
      <c r="BF1202" s="11">
        <v>120</v>
      </c>
      <c r="BG1202" t="s">
        <v>571</v>
      </c>
      <c r="BH1202" t="s">
        <v>31</v>
      </c>
      <c r="BI1202" t="s">
        <v>31</v>
      </c>
      <c r="BJ1202" s="3">
        <f t="shared" si="620"/>
        <v>1.9330000000000001</v>
      </c>
      <c r="BK1202" s="3">
        <f t="shared" si="619"/>
        <v>0.286231854028553</v>
      </c>
      <c r="BL1202">
        <v>2</v>
      </c>
      <c r="BM1202" s="3">
        <f t="shared" si="621"/>
        <v>2.6933165206755421</v>
      </c>
      <c r="BN1202" t="s">
        <v>33</v>
      </c>
      <c r="BO1202" s="3">
        <f t="shared" si="591"/>
        <v>493.5333678220382</v>
      </c>
      <c r="BP1202" t="s">
        <v>33</v>
      </c>
      <c r="BQ1202" t="s">
        <v>33</v>
      </c>
      <c r="BR1202" t="s">
        <v>33</v>
      </c>
      <c r="BS1202" t="s">
        <v>33</v>
      </c>
      <c r="BT1202" t="s">
        <v>31</v>
      </c>
      <c r="BU1202" t="s">
        <v>240</v>
      </c>
      <c r="BV1202">
        <v>2004</v>
      </c>
      <c r="BW1202" t="s">
        <v>241</v>
      </c>
      <c r="BX1202" t="s">
        <v>78</v>
      </c>
      <c r="BY1202" t="s">
        <v>33</v>
      </c>
      <c r="BZ1202" t="s">
        <v>33</v>
      </c>
      <c r="CA1202" t="str">
        <f t="shared" si="592"/>
        <v>high acid</v>
      </c>
    </row>
    <row r="1203" spans="1:79">
      <c r="A1203" t="s">
        <v>460</v>
      </c>
      <c r="B1203" t="s">
        <v>565</v>
      </c>
      <c r="C1203" t="s">
        <v>563</v>
      </c>
      <c r="D1203" t="s">
        <v>182</v>
      </c>
      <c r="E1203" t="s">
        <v>77</v>
      </c>
      <c r="F1203" t="s">
        <v>32</v>
      </c>
      <c r="G1203">
        <v>18</v>
      </c>
      <c r="H1203">
        <v>48</v>
      </c>
      <c r="I1203" t="b">
        <v>1</v>
      </c>
      <c r="J1203" t="s">
        <v>33</v>
      </c>
      <c r="K1203" t="s">
        <v>33</v>
      </c>
      <c r="L1203">
        <v>22</v>
      </c>
      <c r="M1203" s="4" t="s">
        <v>33</v>
      </c>
      <c r="N1203" s="3">
        <f>IFERROR(AF1203/((T1203*X1203/Y1203)*O1203*AI1203),"NA")</f>
        <v>330.20830099655922</v>
      </c>
      <c r="O1203">
        <v>10</v>
      </c>
      <c r="P1203">
        <f>0.047/2</f>
        <v>2.35E-2</v>
      </c>
      <c r="Q1203" s="8">
        <f t="shared" si="609"/>
        <v>2.3318614270936316E-2</v>
      </c>
      <c r="R1203" t="s">
        <v>183</v>
      </c>
      <c r="S1203" t="s">
        <v>613</v>
      </c>
      <c r="T1203" s="11">
        <v>2</v>
      </c>
      <c r="U1203">
        <v>5.6</v>
      </c>
      <c r="V1203">
        <v>4.5</v>
      </c>
      <c r="W1203" t="s">
        <v>33</v>
      </c>
      <c r="X1203" s="9">
        <f>IFERROR(((PI())*(((V1203*10^-1)/2)^2)*(U1203*10^-1)), "NA")</f>
        <v>8.9064151729270638E-2</v>
      </c>
      <c r="Y1203" s="6">
        <f>13750/3600</f>
        <v>3.8194444444444446</v>
      </c>
      <c r="Z1203" s="3">
        <f>IFERROR(X1203*N1203*O1203*T1203*AI1203/AF1203, "NA")</f>
        <v>3.8194444444444438</v>
      </c>
      <c r="AA1203" t="s">
        <v>33</v>
      </c>
      <c r="AB1203" s="4">
        <f>IFERROR(((X1203*N1203)/Y1203), "NA")</f>
        <v>7.6999999999999984</v>
      </c>
      <c r="AC1203" s="4">
        <f>IFERROR(N1203*P1203,"NA")</f>
        <v>7.7598950734191412</v>
      </c>
      <c r="AD1203" s="4">
        <f>IFERROR(AB1203*T1203*AI1203, "NA")</f>
        <v>15.399999999999997</v>
      </c>
      <c r="AE1203" s="3">
        <f>IFERROR(((L1203^2)*N1203*O1203*AK1203*10^-6*Q1203*T1203*AI1203), "NA")</f>
        <v>171.43280000000001</v>
      </c>
      <c r="AF1203">
        <v>154</v>
      </c>
      <c r="AG1203" s="4">
        <f>IFERROR((N1203*O1203*P1203), "NA")</f>
        <v>77.598950734191419</v>
      </c>
      <c r="AH1203" s="4">
        <f>IFERROR((AG1203*T1203*AI1203), "NA")</f>
        <v>155.19790146838284</v>
      </c>
      <c r="AI1203" s="11">
        <v>1</v>
      </c>
      <c r="AJ1203" t="s">
        <v>31</v>
      </c>
      <c r="AK1203">
        <v>2300</v>
      </c>
      <c r="AL1203" t="s">
        <v>805</v>
      </c>
      <c r="AM1203" t="s">
        <v>515</v>
      </c>
      <c r="AN1203" t="s">
        <v>205</v>
      </c>
      <c r="AO1203" t="s">
        <v>788</v>
      </c>
      <c r="AP1203">
        <v>3.68</v>
      </c>
      <c r="AQ1203" t="s">
        <v>33</v>
      </c>
      <c r="AR1203" t="s">
        <v>33</v>
      </c>
      <c r="AS1203">
        <f>LOG(10^8)</f>
        <v>8</v>
      </c>
      <c r="AT1203" s="3">
        <f>IFERROR(AS1203-AU1203,"NA")</f>
        <v>6.07</v>
      </c>
      <c r="AU1203" s="6">
        <v>1.93</v>
      </c>
      <c r="AV1203" t="b">
        <v>1</v>
      </c>
      <c r="AW1203" t="s">
        <v>480</v>
      </c>
      <c r="AX1203" t="s">
        <v>479</v>
      </c>
      <c r="AY1203" t="s">
        <v>482</v>
      </c>
      <c r="AZ1203" t="s">
        <v>33</v>
      </c>
      <c r="BA1203" s="18" t="s">
        <v>579</v>
      </c>
      <c r="BB1203" t="b">
        <v>1</v>
      </c>
      <c r="BC1203" t="s">
        <v>81</v>
      </c>
      <c r="BD1203" t="s">
        <v>33</v>
      </c>
      <c r="BE1203" t="s">
        <v>80</v>
      </c>
      <c r="BF1203" t="s">
        <v>33</v>
      </c>
      <c r="BG1203" t="s">
        <v>395</v>
      </c>
      <c r="BH1203" t="s">
        <v>31</v>
      </c>
      <c r="BI1203" t="s">
        <v>31</v>
      </c>
      <c r="BJ1203" s="3">
        <f t="shared" si="620"/>
        <v>1.93</v>
      </c>
      <c r="BK1203" s="3">
        <f t="shared" si="619"/>
        <v>0.28555730900777376</v>
      </c>
      <c r="BL1203">
        <v>2</v>
      </c>
      <c r="BM1203" s="3">
        <f t="shared" si="621"/>
        <v>1.9485366094906946</v>
      </c>
      <c r="BN1203" t="s">
        <v>33</v>
      </c>
      <c r="BO1203" s="3">
        <f t="shared" si="591"/>
        <v>88.825284974093279</v>
      </c>
      <c r="BP1203" t="s">
        <v>33</v>
      </c>
      <c r="BQ1203" t="s">
        <v>33</v>
      </c>
      <c r="BR1203" t="s">
        <v>33</v>
      </c>
      <c r="BS1203" t="s">
        <v>33</v>
      </c>
      <c r="BT1203" t="s">
        <v>32</v>
      </c>
      <c r="BU1203" t="s">
        <v>484</v>
      </c>
      <c r="BV1203">
        <v>2015</v>
      </c>
      <c r="BW1203" t="s">
        <v>485</v>
      </c>
      <c r="BX1203" t="s">
        <v>78</v>
      </c>
      <c r="BY1203" t="s">
        <v>486</v>
      </c>
      <c r="CA1203" t="str">
        <f t="shared" si="592"/>
        <v>high acid</v>
      </c>
    </row>
    <row r="1204" spans="1:79">
      <c r="A1204" t="s">
        <v>583</v>
      </c>
      <c r="B1204" t="s">
        <v>566</v>
      </c>
      <c r="C1204" t="s">
        <v>563</v>
      </c>
      <c r="D1204" t="s">
        <v>33</v>
      </c>
      <c r="E1204" t="s">
        <v>77</v>
      </c>
      <c r="F1204" t="s">
        <v>32</v>
      </c>
      <c r="G1204" t="s">
        <v>33</v>
      </c>
      <c r="H1204">
        <v>20</v>
      </c>
      <c r="I1204" t="b">
        <v>1</v>
      </c>
      <c r="J1204" t="s">
        <v>33</v>
      </c>
      <c r="K1204" t="s">
        <v>33</v>
      </c>
      <c r="L1204">
        <v>20</v>
      </c>
      <c r="M1204" s="4">
        <v>2</v>
      </c>
      <c r="N1204" t="e">
        <f>(#REF!*Y1204)/(T1204*X1204*O1204)</f>
        <v>#REF!</v>
      </c>
      <c r="O1204">
        <v>2</v>
      </c>
      <c r="P1204" t="s">
        <v>33</v>
      </c>
      <c r="Q1204" s="1">
        <f t="shared" si="609"/>
        <v>52.5</v>
      </c>
      <c r="R1204" t="s">
        <v>183</v>
      </c>
      <c r="S1204" t="s">
        <v>613</v>
      </c>
      <c r="T1204">
        <v>1</v>
      </c>
      <c r="U1204">
        <v>5</v>
      </c>
      <c r="V1204" t="s">
        <v>33</v>
      </c>
      <c r="W1204">
        <v>0.71</v>
      </c>
      <c r="X1204">
        <f>W1204</f>
        <v>0.71</v>
      </c>
      <c r="Y1204">
        <v>0.1</v>
      </c>
      <c r="Z1204" s="3">
        <f>IFERROR(X1204*M1204*O1204*T1204*AI1204/AF1204, "NA")</f>
        <v>1.3523809523809523E-2</v>
      </c>
      <c r="AA1204" t="s">
        <v>33</v>
      </c>
      <c r="AB1204">
        <f>IFERROR(((X1204*M1204)/Z1204), "NA")</f>
        <v>105</v>
      </c>
      <c r="AC1204" s="1" t="str">
        <f t="shared" ref="AC1204:AC1229" si="622">IFERROR(M1204*P1204,"NA")</f>
        <v>NA</v>
      </c>
      <c r="AE1204" s="3">
        <f t="shared" ref="AE1204:AE1229" si="623">IFERROR(((L1204^2)*M1204*O1204*AK1204*10^-6*Q1204*T1204*AI1204), "NA")</f>
        <v>394.79999999999995</v>
      </c>
      <c r="AF1204">
        <v>210</v>
      </c>
      <c r="AG1204" s="1" t="str">
        <f>IFERROR((N1204*P1204*Q1204), "NA")</f>
        <v>NA</v>
      </c>
      <c r="AH1204" s="1" t="str">
        <f>IFERROR((AG1204*U1204*AI1204), "NA")</f>
        <v>NA</v>
      </c>
      <c r="AI1204" s="1">
        <v>1</v>
      </c>
      <c r="AJ1204" s="11" t="s">
        <v>31</v>
      </c>
      <c r="AK1204">
        <v>4700</v>
      </c>
      <c r="AL1204" t="s">
        <v>562</v>
      </c>
      <c r="AM1204" s="3" t="s">
        <v>786</v>
      </c>
      <c r="AN1204" t="s">
        <v>186</v>
      </c>
      <c r="AO1204" t="s">
        <v>793</v>
      </c>
      <c r="AP1204" t="s">
        <v>33</v>
      </c>
      <c r="AQ1204" t="s">
        <v>33</v>
      </c>
      <c r="AR1204" t="s">
        <v>33</v>
      </c>
      <c r="AS1204">
        <v>8</v>
      </c>
      <c r="AT1204">
        <f>AS1204-AU1204</f>
        <v>6.07</v>
      </c>
      <c r="AU1204" s="6">
        <v>1.93</v>
      </c>
      <c r="AV1204" t="b">
        <v>1</v>
      </c>
      <c r="AW1204" t="s">
        <v>617</v>
      </c>
      <c r="AX1204" t="s">
        <v>33</v>
      </c>
      <c r="AY1204" t="s">
        <v>622</v>
      </c>
      <c r="AZ1204" t="s">
        <v>619</v>
      </c>
      <c r="BA1204" s="18" t="s">
        <v>802</v>
      </c>
      <c r="BB1204" s="3" t="b">
        <v>0</v>
      </c>
      <c r="BC1204" t="s">
        <v>81</v>
      </c>
      <c r="BD1204">
        <v>18</v>
      </c>
      <c r="BE1204" t="s">
        <v>80</v>
      </c>
      <c r="BF1204">
        <v>24</v>
      </c>
      <c r="BG1204" t="s">
        <v>696</v>
      </c>
      <c r="BH1204" t="s">
        <v>32</v>
      </c>
      <c r="BI1204" t="s">
        <v>31</v>
      </c>
      <c r="BJ1204">
        <f t="shared" si="620"/>
        <v>1.93</v>
      </c>
      <c r="BK1204" s="3">
        <f t="shared" si="619"/>
        <v>0.28555730900777376</v>
      </c>
      <c r="BL1204">
        <v>2</v>
      </c>
      <c r="BM1204" s="3">
        <f t="shared" si="621"/>
        <v>2.3108198349898252</v>
      </c>
      <c r="BN1204" t="s">
        <v>33</v>
      </c>
      <c r="BO1204" s="3">
        <f t="shared" si="591"/>
        <v>204.55958549222797</v>
      </c>
      <c r="BP1204" t="s">
        <v>33</v>
      </c>
      <c r="BQ1204" t="s">
        <v>33</v>
      </c>
      <c r="BR1204" t="s">
        <v>33</v>
      </c>
      <c r="BS1204" t="s">
        <v>33</v>
      </c>
      <c r="BT1204" t="s">
        <v>31</v>
      </c>
      <c r="BU1204" t="s">
        <v>338</v>
      </c>
      <c r="BV1204">
        <v>2005</v>
      </c>
      <c r="BW1204" t="s">
        <v>342</v>
      </c>
      <c r="BX1204" t="s">
        <v>78</v>
      </c>
      <c r="BY1204" s="13" t="s">
        <v>673</v>
      </c>
      <c r="CA1204" t="str">
        <f t="shared" si="592"/>
        <v>low acid</v>
      </c>
    </row>
    <row r="1205" spans="1:79">
      <c r="A1205" t="s">
        <v>152</v>
      </c>
      <c r="B1205" t="s">
        <v>565</v>
      </c>
      <c r="C1205" t="s">
        <v>563</v>
      </c>
      <c r="D1205" t="s">
        <v>118</v>
      </c>
      <c r="E1205" t="s">
        <v>77</v>
      </c>
      <c r="F1205" t="s">
        <v>32</v>
      </c>
      <c r="G1205">
        <v>20</v>
      </c>
      <c r="H1205" t="s">
        <v>33</v>
      </c>
      <c r="I1205" t="b">
        <v>0</v>
      </c>
      <c r="J1205" t="s">
        <v>33</v>
      </c>
      <c r="K1205" t="s">
        <v>33</v>
      </c>
      <c r="L1205">
        <v>17</v>
      </c>
      <c r="M1205" s="4">
        <v>500</v>
      </c>
      <c r="N1205" s="3">
        <f>IFERROR(AF1205/((T1205*X1205/Y1205)*O1205*AI1205),"NA")</f>
        <v>503.35454362283343</v>
      </c>
      <c r="O1205">
        <v>3</v>
      </c>
      <c r="P1205" t="s">
        <v>33</v>
      </c>
      <c r="Q1205" s="8">
        <f t="shared" si="609"/>
        <v>1.4555555555555556E-2</v>
      </c>
      <c r="R1205" t="s">
        <v>183</v>
      </c>
      <c r="S1205" t="s">
        <v>613</v>
      </c>
      <c r="T1205" s="11">
        <v>6</v>
      </c>
      <c r="U1205">
        <v>2.9</v>
      </c>
      <c r="V1205">
        <v>2.2999999999999998</v>
      </c>
      <c r="W1205" t="s">
        <v>33</v>
      </c>
      <c r="X1205" s="8">
        <f>IFERROR(((PI())*(((V1205*10^-1)/2)^2)*(U1205*10^-1)), "NA")</f>
        <v>1.204879322468025E-2</v>
      </c>
      <c r="Y1205" s="6">
        <f>50/60</f>
        <v>0.83333333333333337</v>
      </c>
      <c r="Z1205" s="3">
        <f>IFERROR(X1205*M1205*O1205*T1205*AI1205/AF1205, "NA")</f>
        <v>0.82777968719177286</v>
      </c>
      <c r="AA1205" t="s">
        <v>33</v>
      </c>
      <c r="AB1205" s="6">
        <f>IFERROR(((X1205*M1205)/Z1205), "NA")</f>
        <v>7.2777777777777786</v>
      </c>
      <c r="AC1205" t="str">
        <f t="shared" si="622"/>
        <v>NA</v>
      </c>
      <c r="AD1205" s="4">
        <f>IFERROR(AB1205*T1205*AI1205, "NA")</f>
        <v>43.666666666666671</v>
      </c>
      <c r="AE1205" s="3">
        <f t="shared" si="623"/>
        <v>43.916440000000001</v>
      </c>
      <c r="AF1205">
        <v>131</v>
      </c>
      <c r="AG1205" t="str">
        <f>IFERROR((M1205*O1205*P1205), "NA")</f>
        <v>NA</v>
      </c>
      <c r="AH1205" t="str">
        <f>IFERROR((AG1205*T1205*AI1205), "NA")</f>
        <v>NA</v>
      </c>
      <c r="AI1205" s="11">
        <v>1</v>
      </c>
      <c r="AJ1205" t="s">
        <v>31</v>
      </c>
      <c r="AK1205">
        <v>1160</v>
      </c>
      <c r="AL1205" t="s">
        <v>138</v>
      </c>
      <c r="AM1205" t="s">
        <v>86</v>
      </c>
      <c r="AN1205" t="s">
        <v>205</v>
      </c>
      <c r="AO1205" t="s">
        <v>789</v>
      </c>
      <c r="AP1205">
        <v>3.9</v>
      </c>
      <c r="AQ1205" t="s">
        <v>33</v>
      </c>
      <c r="AR1205" t="s">
        <v>33</v>
      </c>
      <c r="AS1205" s="3">
        <v>7.7720000000000002</v>
      </c>
      <c r="AT1205" s="3">
        <f>IFERROR(AS1205-AU1205,"NA")</f>
        <v>6.0720000000000001</v>
      </c>
      <c r="AU1205" s="6">
        <v>1.7</v>
      </c>
      <c r="AV1205" t="b">
        <v>1</v>
      </c>
      <c r="AW1205" t="s">
        <v>29</v>
      </c>
      <c r="AX1205" t="s">
        <v>30</v>
      </c>
      <c r="AY1205" t="s">
        <v>33</v>
      </c>
      <c r="AZ1205" t="s">
        <v>134</v>
      </c>
      <c r="BA1205" s="18" t="s">
        <v>798</v>
      </c>
      <c r="BB1205" t="b">
        <v>0</v>
      </c>
      <c r="BC1205" t="s">
        <v>81</v>
      </c>
      <c r="BD1205">
        <f>(48+24)/2</f>
        <v>36</v>
      </c>
      <c r="BE1205" t="s">
        <v>80</v>
      </c>
      <c r="BF1205" s="11">
        <f>(48+24)/2</f>
        <v>36</v>
      </c>
      <c r="BG1205" t="s">
        <v>139</v>
      </c>
      <c r="BH1205" t="s">
        <v>31</v>
      </c>
      <c r="BI1205" t="s">
        <v>31</v>
      </c>
      <c r="BJ1205" s="3">
        <f t="shared" si="620"/>
        <v>1.7</v>
      </c>
      <c r="BK1205" s="3">
        <f t="shared" si="619"/>
        <v>0.23044892137827391</v>
      </c>
      <c r="BL1205">
        <v>2</v>
      </c>
      <c r="BM1205" s="3">
        <f t="shared" si="621"/>
        <v>1.4121782062609567</v>
      </c>
      <c r="BN1205" t="s">
        <v>33</v>
      </c>
      <c r="BO1205" s="3">
        <f t="shared" si="591"/>
        <v>25.833200000000001</v>
      </c>
      <c r="BP1205" t="s">
        <v>33</v>
      </c>
      <c r="BQ1205" t="s">
        <v>33</v>
      </c>
      <c r="BR1205" t="s">
        <v>33</v>
      </c>
      <c r="BS1205" t="s">
        <v>33</v>
      </c>
      <c r="BT1205" t="s">
        <v>31</v>
      </c>
      <c r="BU1205" t="s">
        <v>135</v>
      </c>
      <c r="BV1205">
        <v>2011</v>
      </c>
      <c r="BW1205" s="7" t="s">
        <v>136</v>
      </c>
      <c r="BX1205" t="s">
        <v>78</v>
      </c>
      <c r="BY1205" t="s">
        <v>33</v>
      </c>
      <c r="BZ1205" t="s">
        <v>33</v>
      </c>
      <c r="CA1205" t="str">
        <f t="shared" si="592"/>
        <v>high acid</v>
      </c>
    </row>
    <row r="1206" spans="1:79">
      <c r="A1206" t="s">
        <v>722</v>
      </c>
      <c r="B1206" t="s">
        <v>566</v>
      </c>
      <c r="C1206" t="s">
        <v>563</v>
      </c>
      <c r="D1206" t="s">
        <v>699</v>
      </c>
      <c r="E1206" t="s">
        <v>77</v>
      </c>
      <c r="F1206" t="s">
        <v>32</v>
      </c>
      <c r="G1206">
        <v>20</v>
      </c>
      <c r="H1206">
        <v>42.5</v>
      </c>
      <c r="I1206" t="b">
        <v>1</v>
      </c>
      <c r="J1206" t="s">
        <v>33</v>
      </c>
      <c r="K1206" t="s">
        <v>33</v>
      </c>
      <c r="L1206">
        <v>20</v>
      </c>
      <c r="M1206" s="4">
        <v>47</v>
      </c>
      <c r="N1206" s="3">
        <f>IFERROR(AF1206/((T1206*X1206/Y1206)*O1206*AI1206),"NA")</f>
        <v>46.759259259259245</v>
      </c>
      <c r="O1206">
        <v>5</v>
      </c>
      <c r="P1206">
        <v>0.43</v>
      </c>
      <c r="Q1206" s="8">
        <f>IFERROR(X1206/Y1206, "NA")</f>
        <v>0.43200000000000011</v>
      </c>
      <c r="R1206" t="s">
        <v>183</v>
      </c>
      <c r="S1206" t="s">
        <v>612</v>
      </c>
      <c r="T1206" s="11">
        <v>1</v>
      </c>
      <c r="U1206">
        <v>4</v>
      </c>
      <c r="V1206" t="s">
        <v>33</v>
      </c>
      <c r="W1206">
        <f>0.4*3*0.5</f>
        <v>0.60000000000000009</v>
      </c>
      <c r="X1206" s="9">
        <f>W1206</f>
        <v>0.60000000000000009</v>
      </c>
      <c r="Y1206" s="6">
        <f>5000/3600</f>
        <v>1.3888888888888888</v>
      </c>
      <c r="Z1206" s="3">
        <f>IFERROR(X1206*M1206*O1206*T1206*AI1206/AF1206, "NA")</f>
        <v>1.3960396039603959</v>
      </c>
      <c r="AA1206" t="s">
        <v>33</v>
      </c>
      <c r="AB1206" s="4">
        <f>IFERROR(((X1206*M1206)/Y1206), "NA")</f>
        <v>20.304000000000002</v>
      </c>
      <c r="AC1206" s="4">
        <f t="shared" si="622"/>
        <v>20.21</v>
      </c>
      <c r="AD1206" s="4">
        <f>AB1206*T1206*AI1206</f>
        <v>20.304000000000002</v>
      </c>
      <c r="AE1206" s="3">
        <f t="shared" si="623"/>
        <v>81.216000000000022</v>
      </c>
      <c r="AF1206">
        <v>101</v>
      </c>
      <c r="AG1206" s="4">
        <f>IFERROR((M1206*O1206*P1206), "NA")</f>
        <v>101.05</v>
      </c>
      <c r="AH1206" s="4">
        <f>IFERROR((AG1206*T1206*AI1206), "NA")</f>
        <v>101.05</v>
      </c>
      <c r="AI1206">
        <v>1</v>
      </c>
      <c r="AJ1206" s="11" t="s">
        <v>31</v>
      </c>
      <c r="AK1206">
        <v>2000</v>
      </c>
      <c r="AL1206" t="s">
        <v>784</v>
      </c>
      <c r="AM1206" t="s">
        <v>103</v>
      </c>
      <c r="AN1206" t="s">
        <v>130</v>
      </c>
      <c r="AO1206" t="s">
        <v>795</v>
      </c>
      <c r="AP1206">
        <v>7</v>
      </c>
      <c r="AQ1206" t="s">
        <v>33</v>
      </c>
      <c r="AR1206" t="s">
        <v>33</v>
      </c>
      <c r="AS1206" s="6">
        <f>LOG(AVERAGE(10^8, 10^9))</f>
        <v>8.7403626894942441</v>
      </c>
      <c r="AT1206" s="3">
        <f>IFERROR(AS1206-AU1206,"NA")</f>
        <v>6.0743626894942437</v>
      </c>
      <c r="AU1206" s="6">
        <v>2.6659999999999999</v>
      </c>
      <c r="AV1206" t="b">
        <v>1</v>
      </c>
      <c r="AW1206" t="s">
        <v>123</v>
      </c>
      <c r="AX1206" t="s">
        <v>88</v>
      </c>
      <c r="AY1206" t="s">
        <v>732</v>
      </c>
      <c r="AZ1206" t="s">
        <v>33</v>
      </c>
      <c r="BA1206" s="18" t="s">
        <v>579</v>
      </c>
      <c r="BB1206" s="3" t="b">
        <v>1</v>
      </c>
      <c r="BC1206" t="s">
        <v>81</v>
      </c>
      <c r="BD1206">
        <v>24</v>
      </c>
      <c r="BE1206" t="s">
        <v>80</v>
      </c>
      <c r="BF1206">
        <v>48</v>
      </c>
      <c r="BG1206" t="s">
        <v>395</v>
      </c>
      <c r="BH1206" t="s">
        <v>31</v>
      </c>
      <c r="BI1206" t="s">
        <v>31</v>
      </c>
      <c r="BJ1206" s="3">
        <f t="shared" si="620"/>
        <v>2.6659999999999999</v>
      </c>
      <c r="BK1206" s="3">
        <f t="shared" si="619"/>
        <v>0.42586014507784037</v>
      </c>
      <c r="BL1206">
        <v>2</v>
      </c>
      <c r="BM1206" s="3">
        <f t="shared" si="621"/>
        <v>1.4837814510007516</v>
      </c>
      <c r="BN1206" t="s">
        <v>33</v>
      </c>
      <c r="BO1206" s="3">
        <f t="shared" si="591"/>
        <v>30.463615903976002</v>
      </c>
      <c r="BP1206" t="s">
        <v>33</v>
      </c>
      <c r="BQ1206" t="s">
        <v>33</v>
      </c>
      <c r="BR1206" t="s">
        <v>33</v>
      </c>
      <c r="BS1206" t="s">
        <v>33</v>
      </c>
      <c r="BT1206" t="s">
        <v>32</v>
      </c>
      <c r="BU1206" t="s">
        <v>709</v>
      </c>
      <c r="BV1206">
        <v>2024</v>
      </c>
      <c r="BW1206" t="s">
        <v>710</v>
      </c>
      <c r="BX1206" t="s">
        <v>78</v>
      </c>
      <c r="BY1206" t="s">
        <v>711</v>
      </c>
      <c r="CA1206" t="str">
        <f t="shared" si="592"/>
        <v>low acid</v>
      </c>
    </row>
    <row r="1207" spans="1:79">
      <c r="A1207" t="s">
        <v>764</v>
      </c>
      <c r="B1207" t="s">
        <v>565</v>
      </c>
      <c r="C1207" t="s">
        <v>563</v>
      </c>
      <c r="D1207" t="s">
        <v>765</v>
      </c>
      <c r="E1207" t="s">
        <v>77</v>
      </c>
      <c r="F1207" t="s">
        <v>31</v>
      </c>
      <c r="G1207">
        <v>20</v>
      </c>
      <c r="H1207">
        <v>49</v>
      </c>
      <c r="I1207" t="b">
        <v>0</v>
      </c>
      <c r="J1207" t="s">
        <v>33</v>
      </c>
      <c r="K1207" t="s">
        <v>33</v>
      </c>
      <c r="L1207">
        <v>20</v>
      </c>
      <c r="M1207" s="4">
        <f>N1207</f>
        <v>151.23456790123456</v>
      </c>
      <c r="N1207" s="3">
        <f>IFERROR(AF1207/((T1207*X1207/Y1207)*O1207*AI1207),"NA")</f>
        <v>151.23456790123456</v>
      </c>
      <c r="O1207">
        <v>3</v>
      </c>
      <c r="P1207">
        <v>5.4399999999999997E-2</v>
      </c>
      <c r="Q1207" s="8">
        <f>IFERROR(X1207/Y1207, "NA")</f>
        <v>5.3999999999999999E-2</v>
      </c>
      <c r="R1207" t="s">
        <v>183</v>
      </c>
      <c r="S1207" t="s">
        <v>33</v>
      </c>
      <c r="T1207" s="11">
        <v>1</v>
      </c>
      <c r="U1207" t="s">
        <v>33</v>
      </c>
      <c r="V1207" t="s">
        <v>33</v>
      </c>
      <c r="W1207">
        <v>4.4999999999999997E-3</v>
      </c>
      <c r="X1207">
        <f>W1207</f>
        <v>4.4999999999999997E-3</v>
      </c>
      <c r="Y1207" s="6">
        <f>5/60</f>
        <v>8.3333333333333329E-2</v>
      </c>
      <c r="Z1207" s="6">
        <f>Y1207</f>
        <v>8.3333333333333329E-2</v>
      </c>
      <c r="AA1207" t="s">
        <v>33</v>
      </c>
      <c r="AB1207" s="4">
        <f>IFERROR(((X1207*M1207)/Y1207), "NA")</f>
        <v>8.1666666666666661</v>
      </c>
      <c r="AC1207" s="4">
        <f t="shared" si="622"/>
        <v>8.2271604938271601</v>
      </c>
      <c r="AD1207" s="4">
        <f>AB1207*T1207*AI1207</f>
        <v>8.1666666666666661</v>
      </c>
      <c r="AE1207" s="3">
        <f t="shared" si="623"/>
        <v>97.999999999999986</v>
      </c>
      <c r="AF1207">
        <v>24.5</v>
      </c>
      <c r="AG1207" s="4">
        <f>IFERROR((M1207*O1207*P1207), "NA")</f>
        <v>24.68148148148148</v>
      </c>
      <c r="AH1207" s="4">
        <f>IFERROR((AG1207*T1207*AI1207), "NA")</f>
        <v>24.68148148148148</v>
      </c>
      <c r="AI1207">
        <v>1</v>
      </c>
      <c r="AJ1207" s="11" t="s">
        <v>31</v>
      </c>
      <c r="AK1207">
        <v>10000</v>
      </c>
      <c r="AL1207" t="s">
        <v>169</v>
      </c>
      <c r="AM1207" t="s">
        <v>103</v>
      </c>
      <c r="AN1207" t="s">
        <v>130</v>
      </c>
      <c r="AO1207" t="s">
        <v>795</v>
      </c>
      <c r="AP1207">
        <v>7.2</v>
      </c>
      <c r="AQ1207" t="s">
        <v>33</v>
      </c>
      <c r="AR1207" t="s">
        <v>33</v>
      </c>
      <c r="AS1207">
        <v>7</v>
      </c>
      <c r="AT1207" s="3">
        <f>IFERROR(AS1207-AU1207,"NA")</f>
        <v>6.0780000000000003</v>
      </c>
      <c r="AU1207" s="6">
        <v>0.92200000000000004</v>
      </c>
      <c r="AV1207" t="b">
        <v>1</v>
      </c>
      <c r="AW1207" t="s">
        <v>29</v>
      </c>
      <c r="AX1207" t="s">
        <v>30</v>
      </c>
      <c r="AY1207" t="s">
        <v>766</v>
      </c>
      <c r="AZ1207" t="s">
        <v>33</v>
      </c>
      <c r="BA1207" s="18" t="s">
        <v>798</v>
      </c>
      <c r="BB1207" s="3" t="b">
        <v>0</v>
      </c>
      <c r="BC1207" t="s">
        <v>81</v>
      </c>
      <c r="BD1207">
        <v>16</v>
      </c>
      <c r="BE1207" t="s">
        <v>80</v>
      </c>
      <c r="BF1207">
        <v>24</v>
      </c>
      <c r="BG1207" t="s">
        <v>569</v>
      </c>
      <c r="BH1207" t="s">
        <v>31</v>
      </c>
      <c r="BI1207" t="s">
        <v>31</v>
      </c>
      <c r="BJ1207" s="3">
        <f t="shared" si="620"/>
        <v>0.92200000000000004</v>
      </c>
      <c r="BK1207" s="3">
        <f t="shared" si="619"/>
        <v>-3.5269078946370637E-2</v>
      </c>
      <c r="BL1207">
        <v>2</v>
      </c>
      <c r="BM1207" s="3">
        <f t="shared" si="621"/>
        <v>2.0264951546388654</v>
      </c>
      <c r="BN1207" t="s">
        <v>33</v>
      </c>
      <c r="BO1207" s="3">
        <f t="shared" si="591"/>
        <v>106.29067245119303</v>
      </c>
      <c r="BP1207" t="s">
        <v>33</v>
      </c>
      <c r="BQ1207" t="s">
        <v>33</v>
      </c>
      <c r="BR1207" t="s">
        <v>33</v>
      </c>
      <c r="BS1207" t="s">
        <v>33</v>
      </c>
      <c r="BT1207" t="s">
        <v>31</v>
      </c>
      <c r="BU1207" t="s">
        <v>767</v>
      </c>
      <c r="BV1207">
        <v>2021</v>
      </c>
      <c r="BW1207" t="s">
        <v>768</v>
      </c>
      <c r="BX1207" t="s">
        <v>78</v>
      </c>
      <c r="BY1207" t="s">
        <v>769</v>
      </c>
      <c r="CA1207" t="str">
        <f t="shared" si="592"/>
        <v>low acid</v>
      </c>
    </row>
    <row r="1208" spans="1:79">
      <c r="A1208" t="s">
        <v>537</v>
      </c>
      <c r="B1208" t="s">
        <v>565</v>
      </c>
      <c r="C1208" t="s">
        <v>563</v>
      </c>
      <c r="D1208" t="s">
        <v>118</v>
      </c>
      <c r="E1208" t="s">
        <v>77</v>
      </c>
      <c r="F1208" t="s">
        <v>32</v>
      </c>
      <c r="G1208">
        <v>5</v>
      </c>
      <c r="H1208">
        <v>50</v>
      </c>
      <c r="I1208" t="b">
        <v>0</v>
      </c>
      <c r="J1208" t="s">
        <v>33</v>
      </c>
      <c r="K1208" t="s">
        <v>33</v>
      </c>
      <c r="L1208">
        <v>34</v>
      </c>
      <c r="M1208" s="4">
        <v>500</v>
      </c>
      <c r="N1208" s="3">
        <f>IFERROR(AF1208/((T1208*X1208/Y1208)*O1208*AI1208),"NA")</f>
        <v>497.97518208793286</v>
      </c>
      <c r="O1208">
        <v>2</v>
      </c>
      <c r="P1208" t="s">
        <v>33</v>
      </c>
      <c r="Q1208">
        <f>IFERROR(X1208/Z1208, "NA")</f>
        <v>1.2E-2</v>
      </c>
      <c r="R1208" t="s">
        <v>183</v>
      </c>
      <c r="S1208" t="s">
        <v>613</v>
      </c>
      <c r="T1208" s="11">
        <v>6</v>
      </c>
      <c r="U1208">
        <v>2.9</v>
      </c>
      <c r="V1208">
        <v>2.2999999999999998</v>
      </c>
      <c r="W1208" t="s">
        <v>33</v>
      </c>
      <c r="X1208" s="8">
        <f>IFERROR(((PI())*(((V1208*10^-1)/2)^2)*(U1208*10^-1)), "NA")</f>
        <v>1.204879322468025E-2</v>
      </c>
      <c r="Y1208" s="6">
        <f>60/60</f>
        <v>1</v>
      </c>
      <c r="Z1208" s="3">
        <f>IFERROR(X1208*M1208*O1208*T1208*AI1208/AF1208, "NA")</f>
        <v>1.0040661020566874</v>
      </c>
      <c r="AA1208" t="s">
        <v>33</v>
      </c>
      <c r="AB1208" s="6">
        <f>IFERROR(((X1208*M1208)/Z1208), "NA")</f>
        <v>6.0000000000000009</v>
      </c>
      <c r="AC1208" t="str">
        <f t="shared" si="622"/>
        <v>NA</v>
      </c>
      <c r="AD1208" s="4">
        <f>IFERROR(AB1208*T1208*AI1208, "NA")</f>
        <v>36.000000000000007</v>
      </c>
      <c r="AE1208" s="3">
        <f t="shared" si="623"/>
        <v>133.83705600000002</v>
      </c>
      <c r="AF1208">
        <v>72</v>
      </c>
      <c r="AG1208" t="str">
        <f>IFERROR((M1208*O1208*P1208), "NA")</f>
        <v>NA</v>
      </c>
      <c r="AH1208" t="str">
        <f>IFERROR((AG1208*T1208*AI1208), "NA")</f>
        <v>NA</v>
      </c>
      <c r="AI1208" s="11">
        <v>1</v>
      </c>
      <c r="AJ1208" t="s">
        <v>31</v>
      </c>
      <c r="AK1208">
        <v>1608</v>
      </c>
      <c r="AL1208" t="s">
        <v>149</v>
      </c>
      <c r="AM1208" t="s">
        <v>86</v>
      </c>
      <c r="AN1208" t="s">
        <v>205</v>
      </c>
      <c r="AO1208" t="s">
        <v>789</v>
      </c>
      <c r="AP1208">
        <v>3.41</v>
      </c>
      <c r="AQ1208" t="s">
        <v>33</v>
      </c>
      <c r="AR1208" t="s">
        <v>33</v>
      </c>
      <c r="AS1208" s="3">
        <v>9</v>
      </c>
      <c r="AT1208" s="3">
        <f>IFERROR(AS1208-AU1208,"NA")</f>
        <v>6.08</v>
      </c>
      <c r="AU1208" s="6">
        <v>2.92</v>
      </c>
      <c r="AV1208" t="b">
        <v>1</v>
      </c>
      <c r="AW1208" t="s">
        <v>29</v>
      </c>
      <c r="AX1208" t="s">
        <v>30</v>
      </c>
      <c r="AY1208" t="s">
        <v>33</v>
      </c>
      <c r="AZ1208" t="s">
        <v>134</v>
      </c>
      <c r="BA1208" s="18" t="s">
        <v>798</v>
      </c>
      <c r="BB1208" t="b">
        <v>0</v>
      </c>
      <c r="BC1208" t="s">
        <v>81</v>
      </c>
      <c r="BD1208">
        <f>18</f>
        <v>18</v>
      </c>
      <c r="BE1208" t="s">
        <v>80</v>
      </c>
      <c r="BF1208" s="11">
        <v>24</v>
      </c>
      <c r="BG1208" t="s">
        <v>262</v>
      </c>
      <c r="BH1208" t="s">
        <v>31</v>
      </c>
      <c r="BI1208" t="s">
        <v>31</v>
      </c>
      <c r="BJ1208" s="3">
        <f t="shared" si="620"/>
        <v>2.92</v>
      </c>
      <c r="BK1208" s="3">
        <f t="shared" si="619"/>
        <v>0.46538285144841829</v>
      </c>
      <c r="BL1208">
        <v>2</v>
      </c>
      <c r="BM1208" s="3">
        <f t="shared" si="621"/>
        <v>1.661193523479793</v>
      </c>
      <c r="BN1208" t="s">
        <v>33</v>
      </c>
      <c r="BO1208" s="3">
        <f t="shared" si="591"/>
        <v>45.834608219178087</v>
      </c>
      <c r="BP1208" t="s">
        <v>33</v>
      </c>
      <c r="BQ1208" t="s">
        <v>33</v>
      </c>
      <c r="BR1208" t="s">
        <v>33</v>
      </c>
      <c r="BS1208" t="s">
        <v>33</v>
      </c>
      <c r="BT1208" t="s">
        <v>31</v>
      </c>
      <c r="BU1208" t="s">
        <v>190</v>
      </c>
      <c r="BV1208">
        <v>2021</v>
      </c>
      <c r="BW1208" s="5" t="s">
        <v>191</v>
      </c>
      <c r="BX1208" t="s">
        <v>78</v>
      </c>
      <c r="BY1208" t="s">
        <v>33</v>
      </c>
      <c r="BZ1208" t="s">
        <v>150</v>
      </c>
      <c r="CA1208" t="str">
        <f t="shared" si="592"/>
        <v>high acid</v>
      </c>
    </row>
    <row r="1209" spans="1:79">
      <c r="A1209" t="s">
        <v>505</v>
      </c>
      <c r="B1209" t="s">
        <v>565</v>
      </c>
      <c r="C1209" t="s">
        <v>563</v>
      </c>
      <c r="D1209" t="s">
        <v>118</v>
      </c>
      <c r="E1209" t="s">
        <v>77</v>
      </c>
      <c r="F1209" t="s">
        <v>32</v>
      </c>
      <c r="G1209">
        <v>15</v>
      </c>
      <c r="H1209">
        <v>30</v>
      </c>
      <c r="I1209" t="b">
        <v>0</v>
      </c>
      <c r="J1209" t="s">
        <v>33</v>
      </c>
      <c r="K1209" t="s">
        <v>33</v>
      </c>
      <c r="L1209">
        <v>20</v>
      </c>
      <c r="M1209" s="4">
        <v>200</v>
      </c>
      <c r="N1209" s="3" t="str">
        <f>IFERROR(AF1209/((T1209*X1209/Y1209)*O1209*AI1209),"NA")</f>
        <v>NA</v>
      </c>
      <c r="O1209">
        <v>2</v>
      </c>
      <c r="P1209" s="9" t="s">
        <v>33</v>
      </c>
      <c r="Q1209" s="8">
        <f>IFERROR(X1209/Z1209, "NA")</f>
        <v>0.125</v>
      </c>
      <c r="R1209" t="s">
        <v>183</v>
      </c>
      <c r="S1209" t="s">
        <v>613</v>
      </c>
      <c r="T1209" s="11">
        <v>6</v>
      </c>
      <c r="U1209">
        <v>2.92</v>
      </c>
      <c r="V1209">
        <v>2.2999999999999998</v>
      </c>
      <c r="W1209" t="s">
        <v>33</v>
      </c>
      <c r="X1209" s="9">
        <f>IFERROR(((PI())*(((V1209*10^-1)/2)^2)*(U1209*10^-1)), "NA")</f>
        <v>1.2131888350367701E-2</v>
      </c>
      <c r="Y1209" s="6" t="s">
        <v>33</v>
      </c>
      <c r="Z1209" s="3">
        <f>IFERROR(X1209*M1209*O1209*T1209*AI1209/AF1209, "NA")</f>
        <v>9.7055106802941604E-2</v>
      </c>
      <c r="AA1209" t="s">
        <v>33</v>
      </c>
      <c r="AB1209" s="4" t="str">
        <f>IFERROR(((X1209*M1209)/Y1209), "NA")</f>
        <v>NA</v>
      </c>
      <c r="AC1209" s="4" t="str">
        <f t="shared" si="622"/>
        <v>NA</v>
      </c>
      <c r="AD1209" s="4" t="e">
        <f>AB1209*T1209*AI1209</f>
        <v>#VALUE!</v>
      </c>
      <c r="AE1209" s="3">
        <f t="shared" si="623"/>
        <v>240</v>
      </c>
      <c r="AF1209">
        <v>300</v>
      </c>
      <c r="AG1209" s="4" t="str">
        <f>IFERROR((M1209*O1209*P1209), "NA")</f>
        <v>NA</v>
      </c>
      <c r="AH1209" s="4" t="str">
        <f>IFERROR((AG1209*T1209*AI1209), "NA")</f>
        <v>NA</v>
      </c>
      <c r="AI1209">
        <v>1</v>
      </c>
      <c r="AJ1209" t="s">
        <v>31</v>
      </c>
      <c r="AK1209">
        <v>2000</v>
      </c>
      <c r="AL1209" t="s">
        <v>506</v>
      </c>
      <c r="AM1209" s="3" t="s">
        <v>103</v>
      </c>
      <c r="AN1209" t="s">
        <v>130</v>
      </c>
      <c r="AO1209" t="s">
        <v>795</v>
      </c>
      <c r="AP1209">
        <v>7.2</v>
      </c>
      <c r="AQ1209" t="s">
        <v>33</v>
      </c>
      <c r="AR1209" t="s">
        <v>33</v>
      </c>
      <c r="AS1209" s="6">
        <f>LOG(10^8)</f>
        <v>8</v>
      </c>
      <c r="AT1209" s="3">
        <f>IFERROR(AS1209-AU1209,"NA")</f>
        <v>6.08</v>
      </c>
      <c r="AU1209" s="6">
        <v>1.92</v>
      </c>
      <c r="AV1209" t="b">
        <v>1</v>
      </c>
      <c r="AW1209" t="s">
        <v>172</v>
      </c>
      <c r="AX1209" t="s">
        <v>173</v>
      </c>
      <c r="AY1209" t="s">
        <v>213</v>
      </c>
      <c r="AZ1209" t="s">
        <v>33</v>
      </c>
      <c r="BA1209" s="18" t="s">
        <v>799</v>
      </c>
      <c r="BB1209" s="3" t="b">
        <v>0</v>
      </c>
      <c r="BC1209" t="s">
        <v>81</v>
      </c>
      <c r="BD1209">
        <v>16</v>
      </c>
      <c r="BE1209" t="s">
        <v>80</v>
      </c>
      <c r="BF1209" s="11">
        <v>48</v>
      </c>
      <c r="BG1209" t="s">
        <v>522</v>
      </c>
      <c r="BH1209" t="s">
        <v>31</v>
      </c>
      <c r="BI1209" t="s">
        <v>31</v>
      </c>
      <c r="BJ1209" s="3">
        <f t="shared" si="620"/>
        <v>1.92</v>
      </c>
      <c r="BK1209" s="3">
        <f t="shared" si="619"/>
        <v>0.28330122870354957</v>
      </c>
      <c r="BL1209">
        <v>2</v>
      </c>
      <c r="BM1209" s="3">
        <f t="shared" si="621"/>
        <v>2.0969100130080562</v>
      </c>
      <c r="BN1209" t="s">
        <v>33</v>
      </c>
      <c r="BO1209" s="3">
        <f t="shared" si="591"/>
        <v>125</v>
      </c>
      <c r="BP1209" t="s">
        <v>33</v>
      </c>
      <c r="BQ1209" t="s">
        <v>33</v>
      </c>
      <c r="BR1209" t="s">
        <v>33</v>
      </c>
      <c r="BS1209" t="s">
        <v>33</v>
      </c>
      <c r="BT1209" t="s">
        <v>31</v>
      </c>
      <c r="BU1209" t="s">
        <v>344</v>
      </c>
      <c r="BV1209">
        <v>2014</v>
      </c>
      <c r="BW1209" t="s">
        <v>507</v>
      </c>
      <c r="BX1209" t="s">
        <v>78</v>
      </c>
      <c r="BY1209" t="s">
        <v>33</v>
      </c>
      <c r="BZ1209" t="s">
        <v>33</v>
      </c>
      <c r="CA1209" t="str">
        <f t="shared" si="592"/>
        <v>low acid</v>
      </c>
    </row>
    <row r="1210" spans="1:79">
      <c r="A1210" t="s">
        <v>589</v>
      </c>
      <c r="B1210" t="s">
        <v>566</v>
      </c>
      <c r="C1210" t="s">
        <v>563</v>
      </c>
      <c r="D1210" t="s">
        <v>33</v>
      </c>
      <c r="E1210" t="s">
        <v>77</v>
      </c>
      <c r="F1210" t="s">
        <v>33</v>
      </c>
      <c r="G1210" t="s">
        <v>33</v>
      </c>
      <c r="H1210">
        <v>35</v>
      </c>
      <c r="I1210" t="b">
        <v>0</v>
      </c>
      <c r="J1210" t="s">
        <v>33</v>
      </c>
      <c r="K1210" t="s">
        <v>33</v>
      </c>
      <c r="L1210">
        <v>15</v>
      </c>
      <c r="M1210" s="4">
        <v>1</v>
      </c>
      <c r="N1210" t="e">
        <f>(#REF!*Y1210)/(T1210*X1210*O1210)</f>
        <v>#REF!</v>
      </c>
      <c r="O1210">
        <v>2</v>
      </c>
      <c r="P1210" t="s">
        <v>33</v>
      </c>
      <c r="Q1210" s="1">
        <f>IFERROR(X1210/Z1210, "NA")</f>
        <v>196.00000000000003</v>
      </c>
      <c r="R1210" t="s">
        <v>183</v>
      </c>
      <c r="S1210" t="s">
        <v>613</v>
      </c>
      <c r="T1210">
        <v>1</v>
      </c>
      <c r="U1210">
        <v>2.5</v>
      </c>
      <c r="V1210" t="s">
        <v>33</v>
      </c>
      <c r="W1210">
        <v>0.50249999999999995</v>
      </c>
      <c r="X1210">
        <f>W1210</f>
        <v>0.50249999999999995</v>
      </c>
      <c r="Y1210" t="s">
        <v>33</v>
      </c>
      <c r="Z1210" s="3">
        <f>IFERROR(X1210*M1210*O1210*T1210*AI1210/AF1210, "NA")</f>
        <v>2.5637755102040811E-3</v>
      </c>
      <c r="AA1210" t="s">
        <v>33</v>
      </c>
      <c r="AB1210">
        <f>IFERROR(((X1210*M1210)/Z1210), "NA")</f>
        <v>196.00000000000003</v>
      </c>
      <c r="AC1210" s="1" t="str">
        <f t="shared" si="622"/>
        <v>NA</v>
      </c>
      <c r="AE1210" s="3">
        <f t="shared" si="623"/>
        <v>176.4</v>
      </c>
      <c r="AF1210">
        <v>392</v>
      </c>
      <c r="AG1210" s="1" t="str">
        <f>IFERROR((N1210*P1210*Q1210), "NA")</f>
        <v>NA</v>
      </c>
      <c r="AH1210" s="1" t="str">
        <f>IFERROR((AG1210*U1210*AI1210), "NA")</f>
        <v>NA</v>
      </c>
      <c r="AI1210" s="1">
        <v>1</v>
      </c>
      <c r="AJ1210" s="11" t="s">
        <v>31</v>
      </c>
      <c r="AK1210">
        <v>2000</v>
      </c>
      <c r="AL1210" t="s">
        <v>616</v>
      </c>
      <c r="AM1210" s="3" t="s">
        <v>103</v>
      </c>
      <c r="AN1210" t="s">
        <v>130</v>
      </c>
      <c r="AO1210" t="s">
        <v>795</v>
      </c>
      <c r="AP1210">
        <v>7</v>
      </c>
      <c r="AQ1210" t="s">
        <v>33</v>
      </c>
      <c r="AR1210" t="s">
        <v>33</v>
      </c>
      <c r="AS1210">
        <v>9</v>
      </c>
      <c r="AT1210">
        <f>AS1210-AU1210</f>
        <v>6.08</v>
      </c>
      <c r="AU1210" s="6">
        <v>2.92</v>
      </c>
      <c r="AV1210" t="b">
        <v>1</v>
      </c>
      <c r="AW1210" t="s">
        <v>617</v>
      </c>
      <c r="AX1210" t="s">
        <v>33</v>
      </c>
      <c r="AY1210" t="s">
        <v>628</v>
      </c>
      <c r="AZ1210" t="s">
        <v>619</v>
      </c>
      <c r="BA1210" s="18" t="s">
        <v>802</v>
      </c>
      <c r="BB1210" s="3" t="b">
        <v>0</v>
      </c>
      <c r="BC1210" t="s">
        <v>81</v>
      </c>
      <c r="BD1210">
        <v>24</v>
      </c>
      <c r="BE1210" t="s">
        <v>80</v>
      </c>
      <c r="BF1210">
        <v>24</v>
      </c>
      <c r="BG1210" t="s">
        <v>644</v>
      </c>
      <c r="BH1210" t="s">
        <v>31</v>
      </c>
      <c r="BI1210" t="s">
        <v>31</v>
      </c>
      <c r="BJ1210">
        <f t="shared" si="620"/>
        <v>2.92</v>
      </c>
      <c r="BK1210" s="3">
        <f t="shared" si="619"/>
        <v>0.46538285144841829</v>
      </c>
      <c r="BL1210">
        <v>2</v>
      </c>
      <c r="BM1210" s="3">
        <f t="shared" si="621"/>
        <v>1.7811157293473827</v>
      </c>
      <c r="BN1210" t="s">
        <v>33</v>
      </c>
      <c r="BO1210" s="3">
        <f t="shared" si="591"/>
        <v>60.410958904109592</v>
      </c>
      <c r="BP1210" t="s">
        <v>33</v>
      </c>
      <c r="BQ1210" t="s">
        <v>33</v>
      </c>
      <c r="BR1210" t="s">
        <v>33</v>
      </c>
      <c r="BS1210" t="s">
        <v>33</v>
      </c>
      <c r="BT1210" t="s">
        <v>31</v>
      </c>
      <c r="BU1210" s="15" t="s">
        <v>655</v>
      </c>
      <c r="BV1210">
        <v>2003</v>
      </c>
      <c r="BW1210" t="s">
        <v>656</v>
      </c>
      <c r="BX1210" t="s">
        <v>78</v>
      </c>
      <c r="BY1210" s="13" t="s">
        <v>677</v>
      </c>
      <c r="CA1210" t="str">
        <f t="shared" si="592"/>
        <v>low acid</v>
      </c>
    </row>
    <row r="1211" spans="1:79">
      <c r="A1211" t="s">
        <v>326</v>
      </c>
      <c r="B1211" t="s">
        <v>565</v>
      </c>
      <c r="C1211" t="s">
        <v>563</v>
      </c>
      <c r="D1211" t="s">
        <v>118</v>
      </c>
      <c r="E1211" t="s">
        <v>77</v>
      </c>
      <c r="F1211" t="s">
        <v>32</v>
      </c>
      <c r="G1211">
        <v>15</v>
      </c>
      <c r="H1211">
        <v>30.4</v>
      </c>
      <c r="I1211" t="b">
        <v>0</v>
      </c>
      <c r="J1211" t="s">
        <v>33</v>
      </c>
      <c r="K1211" t="s">
        <v>33</v>
      </c>
      <c r="L1211">
        <v>27.5</v>
      </c>
      <c r="M1211" s="4">
        <v>100</v>
      </c>
      <c r="N1211" s="3">
        <f t="shared" ref="N1211:N1219" si="624">IFERROR(AF1211/((T1211*X1211/Y1211)*O1211*AI1211),"NA")</f>
        <v>3454.7028257350348</v>
      </c>
      <c r="O1211">
        <v>5</v>
      </c>
      <c r="P1211" t="s">
        <v>33</v>
      </c>
      <c r="Q1211" s="8">
        <f>IFERROR(X1211/Z1211, "NA")</f>
        <v>0.12500000000000003</v>
      </c>
      <c r="R1211" t="s">
        <v>183</v>
      </c>
      <c r="S1211" t="s">
        <v>613</v>
      </c>
      <c r="T1211" s="11">
        <v>8</v>
      </c>
      <c r="U1211">
        <v>2.9</v>
      </c>
      <c r="V1211">
        <v>2.2999999999999998</v>
      </c>
      <c r="W1211">
        <v>1.2E-2</v>
      </c>
      <c r="X1211" s="8">
        <f>IFERROR(((PI())*(((V1211*10^-1)/2)^2)*(U1211*10^-1)), "NA")</f>
        <v>1.204879322468025E-2</v>
      </c>
      <c r="Y1211">
        <v>3.33</v>
      </c>
      <c r="Z1211" s="3">
        <f>IFERROR(X1211*M1211*O1211*T1211*AI1211/AF1211, "NA")</f>
        <v>9.639034579744199E-2</v>
      </c>
      <c r="AA1211" t="s">
        <v>33</v>
      </c>
      <c r="AB1211" s="6">
        <f>IFERROR(((X1211*M1211)/Z1211), "NA")</f>
        <v>12.500000000000002</v>
      </c>
      <c r="AC1211" t="str">
        <f t="shared" si="622"/>
        <v>NA</v>
      </c>
      <c r="AD1211" s="4">
        <f t="shared" ref="AD1211:AD1217" si="625">AB1211*T1211*AI1211</f>
        <v>100.00000000000001</v>
      </c>
      <c r="AE1211" s="3">
        <f t="shared" si="623"/>
        <v>794.06250000000023</v>
      </c>
      <c r="AF1211">
        <v>500</v>
      </c>
      <c r="AG1211" t="str">
        <f t="shared" ref="AG1211:AG1219" si="626">IFERROR((M1211*O1211*P1211), "NA")</f>
        <v>NA</v>
      </c>
      <c r="AH1211" t="str">
        <f t="shared" ref="AH1211:AH1219" si="627">IFERROR((AG1211*T1211*AI1211), "NA")</f>
        <v>NA</v>
      </c>
      <c r="AI1211">
        <v>1</v>
      </c>
      <c r="AJ1211" t="s">
        <v>31</v>
      </c>
      <c r="AK1211">
        <v>2100</v>
      </c>
      <c r="AL1211" t="s">
        <v>551</v>
      </c>
      <c r="AM1211" t="s">
        <v>86</v>
      </c>
      <c r="AN1211" t="s">
        <v>205</v>
      </c>
      <c r="AO1211" t="s">
        <v>789</v>
      </c>
      <c r="AP1211">
        <v>3.79</v>
      </c>
      <c r="AQ1211">
        <v>1060</v>
      </c>
      <c r="AR1211" t="s">
        <v>33</v>
      </c>
      <c r="AS1211" s="6">
        <f>LOG((10^6+10^7)/2)</f>
        <v>6.7403626894942441</v>
      </c>
      <c r="AT1211" s="3">
        <f t="shared" ref="AT1211:AT1219" si="628">IFERROR(AS1211-AU1211,"NA")</f>
        <v>6.080362689494244</v>
      </c>
      <c r="AU1211" s="6">
        <v>0.66</v>
      </c>
      <c r="AV1211" t="b">
        <v>1</v>
      </c>
      <c r="AW1211" t="s">
        <v>123</v>
      </c>
      <c r="AX1211" t="s">
        <v>327</v>
      </c>
      <c r="AY1211" t="s">
        <v>328</v>
      </c>
      <c r="AZ1211" t="s">
        <v>33</v>
      </c>
      <c r="BA1211" s="18" t="s">
        <v>579</v>
      </c>
      <c r="BB1211" t="b">
        <v>1</v>
      </c>
      <c r="BC1211" t="s">
        <v>81</v>
      </c>
      <c r="BD1211">
        <v>144</v>
      </c>
      <c r="BE1211" t="s">
        <v>80</v>
      </c>
      <c r="BF1211" s="11">
        <v>120</v>
      </c>
      <c r="BG1211" t="s">
        <v>329</v>
      </c>
      <c r="BH1211" t="s">
        <v>31</v>
      </c>
      <c r="BI1211" t="s">
        <v>31</v>
      </c>
      <c r="BJ1211" s="3">
        <f t="shared" si="620"/>
        <v>0.66</v>
      </c>
      <c r="BK1211" s="3">
        <f t="shared" si="619"/>
        <v>-0.18045606445813131</v>
      </c>
      <c r="BL1211">
        <v>2</v>
      </c>
      <c r="BM1211" s="3">
        <f t="shared" si="621"/>
        <v>3.0803107511885948</v>
      </c>
      <c r="BN1211" t="s">
        <v>33</v>
      </c>
      <c r="BO1211" s="3">
        <f t="shared" si="591"/>
        <v>1203.1250000000002</v>
      </c>
      <c r="BP1211" t="s">
        <v>33</v>
      </c>
      <c r="BQ1211" t="s">
        <v>33</v>
      </c>
      <c r="BR1211" t="s">
        <v>33</v>
      </c>
      <c r="BS1211" t="s">
        <v>33</v>
      </c>
      <c r="BT1211" t="s">
        <v>31</v>
      </c>
      <c r="BU1211" t="s">
        <v>330</v>
      </c>
      <c r="BV1211">
        <v>2009</v>
      </c>
      <c r="BW1211" t="s">
        <v>331</v>
      </c>
      <c r="BX1211" t="s">
        <v>78</v>
      </c>
      <c r="BY1211" t="s">
        <v>33</v>
      </c>
      <c r="BZ1211" t="s">
        <v>335</v>
      </c>
      <c r="CA1211" t="str">
        <f t="shared" si="592"/>
        <v>high acid</v>
      </c>
    </row>
    <row r="1212" spans="1:79">
      <c r="A1212" t="s">
        <v>487</v>
      </c>
      <c r="B1212" t="s">
        <v>566</v>
      </c>
      <c r="C1212" t="s">
        <v>564</v>
      </c>
      <c r="D1212" t="s">
        <v>321</v>
      </c>
      <c r="E1212" t="s">
        <v>77</v>
      </c>
      <c r="F1212" t="s">
        <v>32</v>
      </c>
      <c r="G1212">
        <v>4</v>
      </c>
      <c r="H1212" t="s">
        <v>33</v>
      </c>
      <c r="I1212" t="b">
        <v>0</v>
      </c>
      <c r="J1212" t="s">
        <v>33</v>
      </c>
      <c r="K1212" t="s">
        <v>33</v>
      </c>
      <c r="L1212">
        <v>15</v>
      </c>
      <c r="M1212" s="4">
        <v>10</v>
      </c>
      <c r="N1212" s="3">
        <f t="shared" si="624"/>
        <v>10</v>
      </c>
      <c r="O1212">
        <v>1.5</v>
      </c>
      <c r="P1212" s="3">
        <f>6/(52.5/60)</f>
        <v>6.8571428571428568</v>
      </c>
      <c r="Q1212" s="8">
        <f>IFERROR(X1212/Z1212, "NA")</f>
        <v>6.8571428571428568</v>
      </c>
      <c r="R1212" t="s">
        <v>278</v>
      </c>
      <c r="S1212" t="s">
        <v>613</v>
      </c>
      <c r="T1212" s="11">
        <v>1</v>
      </c>
      <c r="U1212">
        <v>100</v>
      </c>
      <c r="V1212" t="s">
        <v>33</v>
      </c>
      <c r="W1212">
        <v>6</v>
      </c>
      <c r="X1212" s="9">
        <f t="shared" ref="X1212:X1217" si="629">W1212</f>
        <v>6</v>
      </c>
      <c r="Y1212" s="6">
        <f>52.5/60</f>
        <v>0.875</v>
      </c>
      <c r="Z1212" s="3">
        <f>IFERROR(X1212*M1212*O1212*T1212*AI1212/AF1212, "NA")</f>
        <v>0.875</v>
      </c>
      <c r="AA1212" t="s">
        <v>33</v>
      </c>
      <c r="AB1212" s="4">
        <f>IFERROR(((X1212*M1212)/Y1212), "NA")</f>
        <v>68.571428571428569</v>
      </c>
      <c r="AC1212" s="4">
        <f t="shared" si="622"/>
        <v>68.571428571428569</v>
      </c>
      <c r="AD1212" s="4">
        <f t="shared" si="625"/>
        <v>828</v>
      </c>
      <c r="AE1212" s="3">
        <f t="shared" si="623"/>
        <v>1425.1949999999999</v>
      </c>
      <c r="AF1212">
        <f>828*O1212</f>
        <v>1242</v>
      </c>
      <c r="AG1212" s="4">
        <f t="shared" si="626"/>
        <v>102.85714285714285</v>
      </c>
      <c r="AH1212" s="4">
        <f t="shared" si="627"/>
        <v>1242</v>
      </c>
      <c r="AI1212" s="3">
        <f>AF1212/(AG1212*T1212)</f>
        <v>12.075000000000001</v>
      </c>
      <c r="AJ1212" s="11" t="s">
        <v>32</v>
      </c>
      <c r="AK1212">
        <v>5100</v>
      </c>
      <c r="AL1212" t="s">
        <v>319</v>
      </c>
      <c r="AM1212" t="s">
        <v>86</v>
      </c>
      <c r="AN1212" t="s">
        <v>186</v>
      </c>
      <c r="AO1212" t="s">
        <v>794</v>
      </c>
      <c r="AP1212">
        <v>6.05</v>
      </c>
      <c r="AQ1212" t="s">
        <v>33</v>
      </c>
      <c r="AR1212" t="s">
        <v>33</v>
      </c>
      <c r="AS1212" s="6">
        <f>LOG((10^7+10^8)/2)</f>
        <v>7.7403626894942441</v>
      </c>
      <c r="AT1212" s="3">
        <f t="shared" si="628"/>
        <v>6.080362689494244</v>
      </c>
      <c r="AU1212" s="6">
        <v>1.66</v>
      </c>
      <c r="AV1212" t="b">
        <v>1</v>
      </c>
      <c r="AW1212" t="s">
        <v>29</v>
      </c>
      <c r="AX1212" t="s">
        <v>30</v>
      </c>
      <c r="AY1212" t="s">
        <v>320</v>
      </c>
      <c r="AZ1212" t="s">
        <v>33</v>
      </c>
      <c r="BA1212" s="18" t="s">
        <v>798</v>
      </c>
      <c r="BB1212" s="3" t="b">
        <v>0</v>
      </c>
      <c r="BC1212" t="s">
        <v>81</v>
      </c>
      <c r="BD1212">
        <v>12</v>
      </c>
      <c r="BE1212" t="s">
        <v>80</v>
      </c>
      <c r="BF1212" t="s">
        <v>33</v>
      </c>
      <c r="BG1212" t="s">
        <v>488</v>
      </c>
      <c r="BH1212" t="s">
        <v>31</v>
      </c>
      <c r="BI1212" t="s">
        <v>31</v>
      </c>
      <c r="BJ1212" s="3">
        <f t="shared" si="620"/>
        <v>1.66</v>
      </c>
      <c r="BK1212" s="3">
        <f t="shared" si="619"/>
        <v>0.22010808804005508</v>
      </c>
      <c r="BL1212">
        <v>2</v>
      </c>
      <c r="BM1212" s="3">
        <f t="shared" si="621"/>
        <v>2.9337662020098052</v>
      </c>
      <c r="BN1212" t="s">
        <v>33</v>
      </c>
      <c r="BO1212" s="3">
        <f t="shared" si="591"/>
        <v>858.55120481927713</v>
      </c>
      <c r="BP1212" t="s">
        <v>33</v>
      </c>
      <c r="BQ1212" t="s">
        <v>33</v>
      </c>
      <c r="BR1212" t="s">
        <v>33</v>
      </c>
      <c r="BS1212" t="s">
        <v>33</v>
      </c>
      <c r="BT1212" t="s">
        <v>31</v>
      </c>
      <c r="BU1212" t="s">
        <v>318</v>
      </c>
      <c r="BV1212">
        <v>2005</v>
      </c>
      <c r="BW1212" t="s">
        <v>489</v>
      </c>
      <c r="BX1212" t="s">
        <v>78</v>
      </c>
      <c r="BY1212" t="s">
        <v>33</v>
      </c>
      <c r="BZ1212" t="s">
        <v>490</v>
      </c>
      <c r="CA1212" t="str">
        <f t="shared" si="592"/>
        <v>low acid</v>
      </c>
    </row>
    <row r="1213" spans="1:79">
      <c r="A1213" t="s">
        <v>764</v>
      </c>
      <c r="B1213" t="s">
        <v>565</v>
      </c>
      <c r="C1213" t="s">
        <v>563</v>
      </c>
      <c r="D1213" t="s">
        <v>765</v>
      </c>
      <c r="E1213" t="s">
        <v>77</v>
      </c>
      <c r="F1213" t="s">
        <v>31</v>
      </c>
      <c r="G1213">
        <v>22</v>
      </c>
      <c r="H1213">
        <v>28</v>
      </c>
      <c r="I1213" t="b">
        <v>0</v>
      </c>
      <c r="J1213" t="s">
        <v>33</v>
      </c>
      <c r="K1213" t="s">
        <v>33</v>
      </c>
      <c r="L1213">
        <v>20</v>
      </c>
      <c r="M1213" s="4">
        <f>N1213</f>
        <v>1006.7901234567901</v>
      </c>
      <c r="N1213" s="3">
        <f t="shared" si="624"/>
        <v>1006.7901234567901</v>
      </c>
      <c r="O1213">
        <v>3</v>
      </c>
      <c r="P1213">
        <v>5.4399999999999997E-2</v>
      </c>
      <c r="Q1213" s="8">
        <f>IFERROR(X1213/Y1213, "NA")</f>
        <v>5.3999999999999999E-2</v>
      </c>
      <c r="R1213" t="s">
        <v>183</v>
      </c>
      <c r="S1213" t="s">
        <v>33</v>
      </c>
      <c r="T1213" s="11">
        <v>1</v>
      </c>
      <c r="U1213" t="s">
        <v>33</v>
      </c>
      <c r="V1213" t="s">
        <v>33</v>
      </c>
      <c r="W1213">
        <v>4.4999999999999997E-3</v>
      </c>
      <c r="X1213">
        <f t="shared" si="629"/>
        <v>4.4999999999999997E-3</v>
      </c>
      <c r="Y1213" s="6">
        <f>5/60</f>
        <v>8.3333333333333329E-2</v>
      </c>
      <c r="Z1213" s="6">
        <f>Y1213</f>
        <v>8.3333333333333329E-2</v>
      </c>
      <c r="AA1213" t="s">
        <v>33</v>
      </c>
      <c r="AB1213" s="4">
        <f>IFERROR(((X1213*M1213)/Y1213), "NA")</f>
        <v>54.36666666666666</v>
      </c>
      <c r="AC1213" s="4">
        <f t="shared" si="622"/>
        <v>54.769382716049378</v>
      </c>
      <c r="AD1213" s="4">
        <f t="shared" si="625"/>
        <v>54.36666666666666</v>
      </c>
      <c r="AE1213" s="3">
        <f t="shared" si="623"/>
        <v>6.5239999999999991</v>
      </c>
      <c r="AF1213">
        <v>163.1</v>
      </c>
      <c r="AG1213" s="4">
        <f t="shared" si="626"/>
        <v>164.30814814814815</v>
      </c>
      <c r="AH1213" s="4">
        <f t="shared" si="627"/>
        <v>164.30814814814815</v>
      </c>
      <c r="AI1213">
        <v>1</v>
      </c>
      <c r="AJ1213" s="11" t="s">
        <v>31</v>
      </c>
      <c r="AK1213">
        <v>100</v>
      </c>
      <c r="AL1213" t="s">
        <v>169</v>
      </c>
      <c r="AM1213" t="s">
        <v>103</v>
      </c>
      <c r="AN1213" t="s">
        <v>130</v>
      </c>
      <c r="AO1213" t="s">
        <v>795</v>
      </c>
      <c r="AP1213">
        <v>7</v>
      </c>
      <c r="AQ1213" t="s">
        <v>33</v>
      </c>
      <c r="AR1213" t="s">
        <v>33</v>
      </c>
      <c r="AS1213">
        <v>7</v>
      </c>
      <c r="AT1213" s="3">
        <f t="shared" si="628"/>
        <v>6.0809999999999995</v>
      </c>
      <c r="AU1213" s="6">
        <v>0.91900000000000004</v>
      </c>
      <c r="AV1213" t="b">
        <v>1</v>
      </c>
      <c r="AW1213" t="s">
        <v>29</v>
      </c>
      <c r="AX1213" t="s">
        <v>30</v>
      </c>
      <c r="AY1213" t="s">
        <v>766</v>
      </c>
      <c r="AZ1213" t="s">
        <v>33</v>
      </c>
      <c r="BA1213" s="18" t="s">
        <v>798</v>
      </c>
      <c r="BB1213" s="3" t="b">
        <v>0</v>
      </c>
      <c r="BC1213" t="s">
        <v>81</v>
      </c>
      <c r="BD1213">
        <v>16</v>
      </c>
      <c r="BE1213" t="s">
        <v>80</v>
      </c>
      <c r="BF1213">
        <v>24</v>
      </c>
      <c r="BG1213" t="s">
        <v>569</v>
      </c>
      <c r="BH1213" t="s">
        <v>31</v>
      </c>
      <c r="BI1213" t="s">
        <v>31</v>
      </c>
      <c r="BJ1213" s="3">
        <f t="shared" si="620"/>
        <v>0.91900000000000004</v>
      </c>
      <c r="BK1213" s="3">
        <f t="shared" si="619"/>
        <v>-3.6684488613888719E-2</v>
      </c>
      <c r="BL1213">
        <v>2</v>
      </c>
      <c r="BM1213" s="3">
        <f t="shared" si="621"/>
        <v>0.85119844098212682</v>
      </c>
      <c r="BN1213" t="s">
        <v>33</v>
      </c>
      <c r="BO1213" s="3">
        <f t="shared" si="591"/>
        <v>7.0990206746463533</v>
      </c>
      <c r="BP1213" t="s">
        <v>33</v>
      </c>
      <c r="BQ1213" t="s">
        <v>33</v>
      </c>
      <c r="BR1213" t="s">
        <v>33</v>
      </c>
      <c r="BS1213" t="s">
        <v>33</v>
      </c>
      <c r="BT1213" t="s">
        <v>31</v>
      </c>
      <c r="BU1213" t="s">
        <v>767</v>
      </c>
      <c r="BV1213">
        <v>2021</v>
      </c>
      <c r="BW1213" t="s">
        <v>768</v>
      </c>
      <c r="BX1213" t="s">
        <v>78</v>
      </c>
      <c r="BY1213" t="s">
        <v>769</v>
      </c>
      <c r="CA1213" t="str">
        <f t="shared" si="592"/>
        <v>low acid</v>
      </c>
    </row>
    <row r="1214" spans="1:79">
      <c r="A1214" t="s">
        <v>712</v>
      </c>
      <c r="B1214" t="s">
        <v>566</v>
      </c>
      <c r="C1214" t="s">
        <v>563</v>
      </c>
      <c r="D1214" t="s">
        <v>699</v>
      </c>
      <c r="E1214" t="s">
        <v>77</v>
      </c>
      <c r="F1214" t="s">
        <v>32</v>
      </c>
      <c r="G1214">
        <v>20</v>
      </c>
      <c r="H1214">
        <v>64</v>
      </c>
      <c r="I1214" t="b">
        <v>1</v>
      </c>
      <c r="J1214" t="s">
        <v>33</v>
      </c>
      <c r="K1214" t="s">
        <v>33</v>
      </c>
      <c r="L1214">
        <v>20</v>
      </c>
      <c r="M1214" s="4">
        <v>64</v>
      </c>
      <c r="N1214" s="3">
        <f t="shared" si="624"/>
        <v>63.657407407407391</v>
      </c>
      <c r="O1214">
        <v>5</v>
      </c>
      <c r="P1214">
        <v>0.43</v>
      </c>
      <c r="Q1214" s="8">
        <f>IFERROR(X1214/Y1214, "NA")</f>
        <v>0.43200000000000011</v>
      </c>
      <c r="R1214" t="s">
        <v>183</v>
      </c>
      <c r="S1214" t="s">
        <v>612</v>
      </c>
      <c r="T1214" s="11">
        <v>1</v>
      </c>
      <c r="U1214">
        <v>4</v>
      </c>
      <c r="V1214" t="s">
        <v>33</v>
      </c>
      <c r="W1214">
        <f>0.4*3*0.5</f>
        <v>0.60000000000000009</v>
      </c>
      <c r="X1214" s="9">
        <f t="shared" si="629"/>
        <v>0.60000000000000009</v>
      </c>
      <c r="Y1214" s="6">
        <f>5000/3600</f>
        <v>1.3888888888888888</v>
      </c>
      <c r="Z1214" s="3">
        <f>IFERROR(X1214*M1214*O1214*T1214*AI1214/AF1214, "NA")</f>
        <v>1.3963636363636365</v>
      </c>
      <c r="AA1214" t="s">
        <v>33</v>
      </c>
      <c r="AB1214" s="4">
        <f>IFERROR(((X1214*M1214)/Y1214), "NA")</f>
        <v>27.648000000000007</v>
      </c>
      <c r="AC1214" s="4">
        <f t="shared" si="622"/>
        <v>27.52</v>
      </c>
      <c r="AD1214" s="4">
        <f t="shared" si="625"/>
        <v>27.648000000000007</v>
      </c>
      <c r="AE1214" s="3">
        <f t="shared" si="623"/>
        <v>110.59200000000003</v>
      </c>
      <c r="AF1214">
        <v>137.5</v>
      </c>
      <c r="AG1214" s="4">
        <f t="shared" si="626"/>
        <v>137.6</v>
      </c>
      <c r="AH1214" s="4">
        <f t="shared" si="627"/>
        <v>137.6</v>
      </c>
      <c r="AI1214">
        <v>1</v>
      </c>
      <c r="AJ1214" s="11" t="s">
        <v>31</v>
      </c>
      <c r="AK1214">
        <v>2000</v>
      </c>
      <c r="AL1214" t="s">
        <v>784</v>
      </c>
      <c r="AM1214" t="s">
        <v>103</v>
      </c>
      <c r="AN1214" t="s">
        <v>130</v>
      </c>
      <c r="AO1214" t="s">
        <v>795</v>
      </c>
      <c r="AP1214">
        <v>7</v>
      </c>
      <c r="AQ1214" t="s">
        <v>33</v>
      </c>
      <c r="AR1214" t="s">
        <v>33</v>
      </c>
      <c r="AS1214" s="6">
        <f>LOG(AVERAGE(10^8, 10^9))</f>
        <v>8.7403626894942441</v>
      </c>
      <c r="AT1214" s="3">
        <f t="shared" si="628"/>
        <v>6.0863626894942442</v>
      </c>
      <c r="AU1214" s="6">
        <v>2.6539999999999999</v>
      </c>
      <c r="AV1214" t="b">
        <v>1</v>
      </c>
      <c r="AW1214" t="s">
        <v>92</v>
      </c>
      <c r="AX1214" t="s">
        <v>93</v>
      </c>
      <c r="AY1214" t="s">
        <v>714</v>
      </c>
      <c r="AZ1214" t="s">
        <v>33</v>
      </c>
      <c r="BA1214" s="18" t="s">
        <v>801</v>
      </c>
      <c r="BB1214" s="3" t="b">
        <v>0</v>
      </c>
      <c r="BC1214" t="s">
        <v>81</v>
      </c>
      <c r="BD1214">
        <v>24</v>
      </c>
      <c r="BE1214" t="s">
        <v>80</v>
      </c>
      <c r="BF1214">
        <v>24</v>
      </c>
      <c r="BG1214" t="s">
        <v>568</v>
      </c>
      <c r="BH1214" t="s">
        <v>31</v>
      </c>
      <c r="BI1214" t="s">
        <v>31</v>
      </c>
      <c r="BJ1214" s="3">
        <f t="shared" si="620"/>
        <v>2.6539999999999999</v>
      </c>
      <c r="BK1214" s="3">
        <f t="shared" si="619"/>
        <v>0.42390091852841671</v>
      </c>
      <c r="BL1214">
        <v>2</v>
      </c>
      <c r="BM1214" s="3">
        <f t="shared" si="621"/>
        <v>1.6198227935983451</v>
      </c>
      <c r="BN1214" t="s">
        <v>33</v>
      </c>
      <c r="BO1214" s="3">
        <f t="shared" si="591"/>
        <v>41.669932177844771</v>
      </c>
      <c r="BP1214" t="s">
        <v>33</v>
      </c>
      <c r="BQ1214" t="s">
        <v>33</v>
      </c>
      <c r="BR1214" t="s">
        <v>33</v>
      </c>
      <c r="BS1214" t="s">
        <v>33</v>
      </c>
      <c r="BT1214" t="s">
        <v>32</v>
      </c>
      <c r="BU1214" t="s">
        <v>709</v>
      </c>
      <c r="BV1214">
        <v>2024</v>
      </c>
      <c r="BW1214" t="s">
        <v>710</v>
      </c>
      <c r="BX1214" t="s">
        <v>78</v>
      </c>
      <c r="BY1214" t="s">
        <v>711</v>
      </c>
      <c r="CA1214" t="str">
        <f t="shared" si="592"/>
        <v>low acid</v>
      </c>
    </row>
    <row r="1215" spans="1:79">
      <c r="A1215" t="s">
        <v>764</v>
      </c>
      <c r="B1215" t="s">
        <v>565</v>
      </c>
      <c r="C1215" t="s">
        <v>563</v>
      </c>
      <c r="D1215" t="s">
        <v>765</v>
      </c>
      <c r="E1215" t="s">
        <v>77</v>
      </c>
      <c r="F1215" t="s">
        <v>31</v>
      </c>
      <c r="G1215">
        <v>23</v>
      </c>
      <c r="H1215">
        <v>52</v>
      </c>
      <c r="I1215" t="b">
        <v>0</v>
      </c>
      <c r="J1215" t="s">
        <v>33</v>
      </c>
      <c r="K1215" t="s">
        <v>33</v>
      </c>
      <c r="L1215">
        <v>16</v>
      </c>
      <c r="M1215" s="4">
        <f>N1215</f>
        <v>759.87654320987644</v>
      </c>
      <c r="N1215" s="3">
        <f t="shared" si="624"/>
        <v>759.87654320987644</v>
      </c>
      <c r="O1215">
        <v>3</v>
      </c>
      <c r="P1215">
        <v>5.4399999999999997E-2</v>
      </c>
      <c r="Q1215" s="8">
        <f>IFERROR(X1215/Y1215, "NA")</f>
        <v>5.3999999999999999E-2</v>
      </c>
      <c r="R1215" t="s">
        <v>183</v>
      </c>
      <c r="S1215" t="s">
        <v>33</v>
      </c>
      <c r="T1215" s="11">
        <v>1</v>
      </c>
      <c r="U1215" t="s">
        <v>33</v>
      </c>
      <c r="V1215" t="s">
        <v>33</v>
      </c>
      <c r="W1215">
        <v>4.4999999999999997E-3</v>
      </c>
      <c r="X1215">
        <f t="shared" si="629"/>
        <v>4.4999999999999997E-3</v>
      </c>
      <c r="Y1215" s="6">
        <f>5/60</f>
        <v>8.3333333333333329E-2</v>
      </c>
      <c r="Z1215" s="6">
        <f>Y1215</f>
        <v>8.3333333333333329E-2</v>
      </c>
      <c r="AA1215" t="s">
        <v>33</v>
      </c>
      <c r="AB1215" s="4">
        <f>IFERROR(((X1215*M1215)/Y1215), "NA")</f>
        <v>41.033333333333331</v>
      </c>
      <c r="AC1215" s="4">
        <f t="shared" si="622"/>
        <v>41.337283950617277</v>
      </c>
      <c r="AD1215" s="4">
        <f t="shared" si="625"/>
        <v>41.033333333333331</v>
      </c>
      <c r="AE1215" s="3">
        <f t="shared" si="623"/>
        <v>94.54079999999999</v>
      </c>
      <c r="AF1215">
        <v>123.1</v>
      </c>
      <c r="AG1215" s="4">
        <f t="shared" si="626"/>
        <v>124.01185185185184</v>
      </c>
      <c r="AH1215" s="4">
        <f t="shared" si="627"/>
        <v>124.01185185185184</v>
      </c>
      <c r="AI1215">
        <v>1</v>
      </c>
      <c r="AJ1215" s="11" t="s">
        <v>31</v>
      </c>
      <c r="AK1215">
        <v>3000</v>
      </c>
      <c r="AL1215" t="s">
        <v>169</v>
      </c>
      <c r="AM1215" t="s">
        <v>103</v>
      </c>
      <c r="AN1215" t="s">
        <v>130</v>
      </c>
      <c r="AO1215" t="s">
        <v>795</v>
      </c>
      <c r="AP1215">
        <v>7.3</v>
      </c>
      <c r="AQ1215" t="s">
        <v>33</v>
      </c>
      <c r="AR1215" t="s">
        <v>33</v>
      </c>
      <c r="AS1215">
        <v>7</v>
      </c>
      <c r="AT1215" s="3">
        <f t="shared" si="628"/>
        <v>6.0919999999999996</v>
      </c>
      <c r="AU1215" s="6">
        <v>0.90800000000000003</v>
      </c>
      <c r="AV1215" t="b">
        <v>1</v>
      </c>
      <c r="AW1215" t="s">
        <v>29</v>
      </c>
      <c r="AX1215" t="s">
        <v>30</v>
      </c>
      <c r="AY1215" t="s">
        <v>766</v>
      </c>
      <c r="AZ1215" t="s">
        <v>33</v>
      </c>
      <c r="BA1215" s="18" t="s">
        <v>798</v>
      </c>
      <c r="BB1215" s="3" t="b">
        <v>0</v>
      </c>
      <c r="BC1215" t="s">
        <v>81</v>
      </c>
      <c r="BD1215">
        <v>16</v>
      </c>
      <c r="BE1215" t="s">
        <v>80</v>
      </c>
      <c r="BF1215">
        <v>24</v>
      </c>
      <c r="BG1215" t="s">
        <v>569</v>
      </c>
      <c r="BH1215" t="s">
        <v>31</v>
      </c>
      <c r="BI1215" t="s">
        <v>31</v>
      </c>
      <c r="BJ1215" s="3">
        <f t="shared" si="620"/>
        <v>0.90800000000000003</v>
      </c>
      <c r="BK1215" s="3">
        <f t="shared" si="619"/>
        <v>-4.1914151478914877E-2</v>
      </c>
      <c r="BL1215">
        <v>2</v>
      </c>
      <c r="BM1215" s="3">
        <f t="shared" si="621"/>
        <v>2.0175334244417433</v>
      </c>
      <c r="BN1215" t="s">
        <v>33</v>
      </c>
      <c r="BO1215" s="3">
        <f t="shared" si="591"/>
        <v>104.11982378854624</v>
      </c>
      <c r="BP1215" t="s">
        <v>33</v>
      </c>
      <c r="BQ1215" t="s">
        <v>33</v>
      </c>
      <c r="BR1215" t="s">
        <v>33</v>
      </c>
      <c r="BS1215" t="s">
        <v>33</v>
      </c>
      <c r="BT1215" t="s">
        <v>31</v>
      </c>
      <c r="BU1215" t="s">
        <v>767</v>
      </c>
      <c r="BV1215">
        <v>2021</v>
      </c>
      <c r="BW1215" t="s">
        <v>768</v>
      </c>
      <c r="BX1215" t="s">
        <v>78</v>
      </c>
      <c r="BY1215" t="s">
        <v>769</v>
      </c>
      <c r="CA1215" t="str">
        <f t="shared" si="592"/>
        <v>low acid</v>
      </c>
    </row>
    <row r="1216" spans="1:79">
      <c r="A1216" t="s">
        <v>343</v>
      </c>
      <c r="B1216" t="s">
        <v>566</v>
      </c>
      <c r="C1216" t="s">
        <v>563</v>
      </c>
      <c r="D1216" t="s">
        <v>33</v>
      </c>
      <c r="E1216" t="s">
        <v>77</v>
      </c>
      <c r="F1216" t="s">
        <v>32</v>
      </c>
      <c r="G1216">
        <v>20</v>
      </c>
      <c r="H1216">
        <v>23</v>
      </c>
      <c r="I1216" t="b">
        <v>0</v>
      </c>
      <c r="J1216" t="s">
        <v>33</v>
      </c>
      <c r="K1216" t="s">
        <v>33</v>
      </c>
      <c r="L1216">
        <v>30</v>
      </c>
      <c r="M1216" s="4">
        <v>2</v>
      </c>
      <c r="N1216" s="3">
        <f t="shared" si="624"/>
        <v>2.1126760563380285</v>
      </c>
      <c r="O1216">
        <v>2</v>
      </c>
      <c r="P1216" t="s">
        <v>33</v>
      </c>
      <c r="Q1216" s="8">
        <f>IFERROR(X1216/Z1216, "NA")</f>
        <v>7.5</v>
      </c>
      <c r="R1216" t="s">
        <v>183</v>
      </c>
      <c r="S1216" t="s">
        <v>613</v>
      </c>
      <c r="T1216" s="11">
        <v>1</v>
      </c>
      <c r="U1216">
        <v>5</v>
      </c>
      <c r="V1216" t="s">
        <v>33</v>
      </c>
      <c r="W1216">
        <v>0.71</v>
      </c>
      <c r="X1216" s="8">
        <f t="shared" si="629"/>
        <v>0.71</v>
      </c>
      <c r="Y1216">
        <f>6/60</f>
        <v>0.1</v>
      </c>
      <c r="Z1216" s="3">
        <f>IFERROR(X1216*M1216*O1216*T1216*AI1216/AF1216, "NA")</f>
        <v>9.4666666666666663E-2</v>
      </c>
      <c r="AA1216">
        <v>15</v>
      </c>
      <c r="AB1216" s="6">
        <f>IFERROR(((X1216*M1216)/Z1216), "NA")</f>
        <v>15</v>
      </c>
      <c r="AC1216" t="str">
        <f t="shared" si="622"/>
        <v>NA</v>
      </c>
      <c r="AD1216" s="4">
        <f t="shared" si="625"/>
        <v>90</v>
      </c>
      <c r="AE1216" s="3">
        <f t="shared" si="623"/>
        <v>947.69999999999993</v>
      </c>
      <c r="AF1216">
        <v>180</v>
      </c>
      <c r="AG1216" t="str">
        <f t="shared" si="626"/>
        <v>NA</v>
      </c>
      <c r="AH1216" t="str">
        <f t="shared" si="627"/>
        <v>NA</v>
      </c>
      <c r="AI1216">
        <v>6</v>
      </c>
      <c r="AJ1216" s="11" t="s">
        <v>32</v>
      </c>
      <c r="AK1216">
        <v>5850</v>
      </c>
      <c r="AL1216" t="s">
        <v>562</v>
      </c>
      <c r="AM1216" s="3" t="s">
        <v>786</v>
      </c>
      <c r="AN1216" t="s">
        <v>186</v>
      </c>
      <c r="AO1216" t="s">
        <v>793</v>
      </c>
      <c r="AP1216" t="s">
        <v>33</v>
      </c>
      <c r="AQ1216" t="s">
        <v>33</v>
      </c>
      <c r="AR1216" t="s">
        <v>33</v>
      </c>
      <c r="AS1216" s="6">
        <f>LOG(10^8)</f>
        <v>8</v>
      </c>
      <c r="AT1216" s="3">
        <f t="shared" si="628"/>
        <v>6.0920000000000005</v>
      </c>
      <c r="AU1216" s="6">
        <v>1.9079999999999999</v>
      </c>
      <c r="AV1216" t="b">
        <v>1</v>
      </c>
      <c r="AW1216" t="s">
        <v>29</v>
      </c>
      <c r="AX1216" t="s">
        <v>30</v>
      </c>
      <c r="AY1216" t="s">
        <v>33</v>
      </c>
      <c r="AZ1216" t="s">
        <v>134</v>
      </c>
      <c r="BA1216" s="18" t="s">
        <v>798</v>
      </c>
      <c r="BB1216" t="b">
        <v>0</v>
      </c>
      <c r="BC1216" t="s">
        <v>81</v>
      </c>
      <c r="BD1216">
        <v>18</v>
      </c>
      <c r="BE1216" t="s">
        <v>80</v>
      </c>
      <c r="BF1216" s="11">
        <v>21</v>
      </c>
      <c r="BG1216" t="s">
        <v>694</v>
      </c>
      <c r="BH1216" t="s">
        <v>31</v>
      </c>
      <c r="BI1216" t="s">
        <v>31</v>
      </c>
      <c r="BJ1216" s="3">
        <f t="shared" si="620"/>
        <v>1.9079999999999999</v>
      </c>
      <c r="BK1216" s="3">
        <f t="shared" si="619"/>
        <v>0.28057837036807631</v>
      </c>
      <c r="BL1216">
        <v>2</v>
      </c>
      <c r="BM1216" s="3">
        <f t="shared" si="621"/>
        <v>2.6960925102567352</v>
      </c>
      <c r="BN1216" t="s">
        <v>33</v>
      </c>
      <c r="BO1216" s="3">
        <f t="shared" si="591"/>
        <v>496.69811320754718</v>
      </c>
      <c r="BP1216" t="s">
        <v>33</v>
      </c>
      <c r="BQ1216" t="s">
        <v>33</v>
      </c>
      <c r="BR1216" t="s">
        <v>33</v>
      </c>
      <c r="BS1216" t="s">
        <v>33</v>
      </c>
      <c r="BT1216" t="s">
        <v>31</v>
      </c>
      <c r="BU1216" t="s">
        <v>338</v>
      </c>
      <c r="BV1216">
        <v>2005</v>
      </c>
      <c r="BW1216" s="2" t="s">
        <v>342</v>
      </c>
      <c r="BX1216" t="s">
        <v>78</v>
      </c>
      <c r="BY1216" t="s">
        <v>340</v>
      </c>
      <c r="BZ1216" t="s">
        <v>33</v>
      </c>
      <c r="CA1216" t="str">
        <f t="shared" si="592"/>
        <v>low acid</v>
      </c>
    </row>
    <row r="1217" spans="1:79">
      <c r="A1217" t="s">
        <v>764</v>
      </c>
      <c r="B1217" t="s">
        <v>565</v>
      </c>
      <c r="C1217" t="s">
        <v>563</v>
      </c>
      <c r="D1217" t="s">
        <v>765</v>
      </c>
      <c r="E1217" t="s">
        <v>77</v>
      </c>
      <c r="F1217" t="s">
        <v>31</v>
      </c>
      <c r="G1217">
        <v>20</v>
      </c>
      <c r="H1217">
        <v>49</v>
      </c>
      <c r="I1217" t="b">
        <v>0</v>
      </c>
      <c r="J1217" t="s">
        <v>33</v>
      </c>
      <c r="K1217" t="s">
        <v>33</v>
      </c>
      <c r="L1217">
        <v>16</v>
      </c>
      <c r="M1217" s="4">
        <f>N1217</f>
        <v>290.12345679012344</v>
      </c>
      <c r="N1217" s="3">
        <f t="shared" si="624"/>
        <v>290.12345679012344</v>
      </c>
      <c r="O1217">
        <v>3</v>
      </c>
      <c r="P1217">
        <v>5.4399999999999997E-2</v>
      </c>
      <c r="Q1217" s="8">
        <f>IFERROR(X1217/Y1217, "NA")</f>
        <v>5.3999999999999999E-2</v>
      </c>
      <c r="R1217" t="s">
        <v>183</v>
      </c>
      <c r="S1217" t="s">
        <v>33</v>
      </c>
      <c r="T1217" s="11">
        <v>1</v>
      </c>
      <c r="U1217" t="s">
        <v>33</v>
      </c>
      <c r="V1217" t="s">
        <v>33</v>
      </c>
      <c r="W1217">
        <v>4.4999999999999997E-3</v>
      </c>
      <c r="X1217">
        <f t="shared" si="629"/>
        <v>4.4999999999999997E-3</v>
      </c>
      <c r="Y1217" s="6">
        <f>5/60</f>
        <v>8.3333333333333329E-2</v>
      </c>
      <c r="Z1217" s="6">
        <f>Y1217</f>
        <v>8.3333333333333329E-2</v>
      </c>
      <c r="AA1217" t="s">
        <v>33</v>
      </c>
      <c r="AB1217" s="4">
        <f>IFERROR(((X1217*M1217)/Y1217), "NA")</f>
        <v>15.666666666666664</v>
      </c>
      <c r="AC1217" s="4">
        <f t="shared" si="622"/>
        <v>15.782716049382714</v>
      </c>
      <c r="AD1217" s="4">
        <f t="shared" si="625"/>
        <v>15.666666666666664</v>
      </c>
      <c r="AE1217" s="3">
        <f t="shared" si="623"/>
        <v>120.31999999999998</v>
      </c>
      <c r="AF1217">
        <v>47</v>
      </c>
      <c r="AG1217" s="4">
        <f t="shared" si="626"/>
        <v>47.348148148148141</v>
      </c>
      <c r="AH1217" s="4">
        <f t="shared" si="627"/>
        <v>47.348148148148141</v>
      </c>
      <c r="AI1217">
        <v>1</v>
      </c>
      <c r="AJ1217" s="11" t="s">
        <v>31</v>
      </c>
      <c r="AK1217">
        <v>10000</v>
      </c>
      <c r="AL1217" t="s">
        <v>169</v>
      </c>
      <c r="AM1217" t="s">
        <v>103</v>
      </c>
      <c r="AN1217" t="s">
        <v>130</v>
      </c>
      <c r="AO1217" t="s">
        <v>795</v>
      </c>
      <c r="AP1217">
        <v>7.2</v>
      </c>
      <c r="AQ1217" t="s">
        <v>33</v>
      </c>
      <c r="AR1217" t="s">
        <v>33</v>
      </c>
      <c r="AS1217">
        <v>7</v>
      </c>
      <c r="AT1217" s="3">
        <f t="shared" si="628"/>
        <v>6.0940000000000003</v>
      </c>
      <c r="AU1217" s="6">
        <v>0.90600000000000003</v>
      </c>
      <c r="AV1217" t="b">
        <v>1</v>
      </c>
      <c r="AW1217" t="s">
        <v>29</v>
      </c>
      <c r="AX1217" t="s">
        <v>30</v>
      </c>
      <c r="AY1217" t="s">
        <v>766</v>
      </c>
      <c r="AZ1217" t="s">
        <v>33</v>
      </c>
      <c r="BA1217" s="18" t="s">
        <v>798</v>
      </c>
      <c r="BB1217" s="3" t="b">
        <v>0</v>
      </c>
      <c r="BC1217" t="s">
        <v>81</v>
      </c>
      <c r="BD1217">
        <v>16</v>
      </c>
      <c r="BE1217" t="s">
        <v>80</v>
      </c>
      <c r="BF1217">
        <v>24</v>
      </c>
      <c r="BG1217" t="s">
        <v>569</v>
      </c>
      <c r="BH1217" t="s">
        <v>31</v>
      </c>
      <c r="BI1217" t="s">
        <v>31</v>
      </c>
      <c r="BJ1217" s="3">
        <f t="shared" si="620"/>
        <v>0.90600000000000003</v>
      </c>
      <c r="BK1217" s="3">
        <f t="shared" si="619"/>
        <v>-4.2871802323186915E-2</v>
      </c>
      <c r="BL1217">
        <v>2</v>
      </c>
      <c r="BM1217" s="3">
        <f t="shared" si="621"/>
        <v>2.123209625570754</v>
      </c>
      <c r="BN1217" t="s">
        <v>33</v>
      </c>
      <c r="BO1217" s="3">
        <f t="shared" si="591"/>
        <v>132.80353200882999</v>
      </c>
      <c r="BP1217" t="s">
        <v>33</v>
      </c>
      <c r="BQ1217" t="s">
        <v>33</v>
      </c>
      <c r="BR1217" t="s">
        <v>33</v>
      </c>
      <c r="BS1217" t="s">
        <v>33</v>
      </c>
      <c r="BT1217" t="s">
        <v>31</v>
      </c>
      <c r="BU1217" t="s">
        <v>767</v>
      </c>
      <c r="BV1217">
        <v>2021</v>
      </c>
      <c r="BW1217" t="s">
        <v>768</v>
      </c>
      <c r="BX1217" t="s">
        <v>78</v>
      </c>
      <c r="BY1217" t="s">
        <v>769</v>
      </c>
      <c r="CA1217" t="str">
        <f t="shared" si="592"/>
        <v>low acid</v>
      </c>
    </row>
    <row r="1218" spans="1:79">
      <c r="A1218" t="s">
        <v>79</v>
      </c>
      <c r="B1218" t="s">
        <v>565</v>
      </c>
      <c r="C1218" t="s">
        <v>563</v>
      </c>
      <c r="D1218" t="s">
        <v>76</v>
      </c>
      <c r="E1218" t="s">
        <v>77</v>
      </c>
      <c r="F1218" t="s">
        <v>32</v>
      </c>
      <c r="G1218">
        <v>4</v>
      </c>
      <c r="H1218">
        <f>30</f>
        <v>30</v>
      </c>
      <c r="I1218" t="b">
        <v>0</v>
      </c>
      <c r="J1218" t="s">
        <v>33</v>
      </c>
      <c r="K1218" t="s">
        <v>33</v>
      </c>
      <c r="L1218">
        <v>30</v>
      </c>
      <c r="M1218" s="4">
        <v>1000</v>
      </c>
      <c r="N1218" s="3">
        <f t="shared" si="624"/>
        <v>575.8971743084935</v>
      </c>
      <c r="O1218">
        <v>8</v>
      </c>
      <c r="P1218" t="s">
        <v>33</v>
      </c>
      <c r="Q1218" s="8">
        <f t="shared" ref="Q1218:Q1224" si="630">IFERROR(X1218/Z1218, "NA")</f>
        <v>6.249999999999999E-4</v>
      </c>
      <c r="R1218" t="s">
        <v>183</v>
      </c>
      <c r="S1218" t="s">
        <v>612</v>
      </c>
      <c r="T1218" s="11">
        <v>1</v>
      </c>
      <c r="U1218">
        <f>4.7</f>
        <v>4.7</v>
      </c>
      <c r="V1218">
        <v>3.5</v>
      </c>
      <c r="W1218" t="s">
        <v>33</v>
      </c>
      <c r="X1218" s="8">
        <f>IFERROR(((PI())*(((V1218*10^-1)/2)^2)*(U1218*10^-1)), "NA")</f>
        <v>4.5219299257608099E-2</v>
      </c>
      <c r="Y1218" s="6">
        <f>2.5*1000/60</f>
        <v>41.666666666666664</v>
      </c>
      <c r="Z1218" s="3">
        <f t="shared" ref="Z1218:Z1224" si="631">IFERROR(X1218*M1218*O1218*T1218*AI1218/AF1218, "NA")</f>
        <v>72.350878812172965</v>
      </c>
      <c r="AA1218" t="s">
        <v>33</v>
      </c>
      <c r="AB1218" s="6">
        <f>IFERROR(((X1218*M1218)/Z1218), "NA")</f>
        <v>0.625</v>
      </c>
      <c r="AC1218" t="str">
        <f t="shared" si="622"/>
        <v>NA</v>
      </c>
      <c r="AD1218" s="4">
        <f>IFERROR(AB1218*T1218*AI1218, "NA")</f>
        <v>0.625</v>
      </c>
      <c r="AE1218" s="3">
        <f t="shared" si="623"/>
        <v>24.749999999999996</v>
      </c>
      <c r="AF1218">
        <v>5</v>
      </c>
      <c r="AG1218" t="str">
        <f t="shared" si="626"/>
        <v>NA</v>
      </c>
      <c r="AH1218" t="str">
        <f t="shared" si="627"/>
        <v>NA</v>
      </c>
      <c r="AI1218" s="11">
        <v>1</v>
      </c>
      <c r="AJ1218" t="s">
        <v>31</v>
      </c>
      <c r="AK1218">
        <v>5500</v>
      </c>
      <c r="AL1218" t="s">
        <v>540</v>
      </c>
      <c r="AM1218" t="s">
        <v>157</v>
      </c>
      <c r="AN1218" t="s">
        <v>186</v>
      </c>
      <c r="AO1218" t="s">
        <v>792</v>
      </c>
      <c r="AP1218" s="3">
        <f>(6.53+6.6)/2</f>
        <v>6.5649999999999995</v>
      </c>
      <c r="AQ1218" t="s">
        <v>33</v>
      </c>
      <c r="AR1218" t="s">
        <v>33</v>
      </c>
      <c r="AS1218">
        <v>8</v>
      </c>
      <c r="AT1218" s="3">
        <f t="shared" si="628"/>
        <v>6.1</v>
      </c>
      <c r="AU1218" s="6">
        <v>1.9</v>
      </c>
      <c r="AV1218" t="b">
        <v>1</v>
      </c>
      <c r="AW1218" t="s">
        <v>29</v>
      </c>
      <c r="AX1218" t="s">
        <v>30</v>
      </c>
      <c r="AY1218" t="s">
        <v>216</v>
      </c>
      <c r="AZ1218" t="s">
        <v>33</v>
      </c>
      <c r="BA1218" s="18" t="s">
        <v>798</v>
      </c>
      <c r="BB1218" t="b">
        <v>0</v>
      </c>
      <c r="BC1218" t="s">
        <v>81</v>
      </c>
      <c r="BD1218">
        <v>24</v>
      </c>
      <c r="BE1218" t="s">
        <v>80</v>
      </c>
      <c r="BF1218" s="11">
        <v>24</v>
      </c>
      <c r="BG1218" t="s">
        <v>572</v>
      </c>
      <c r="BH1218" t="s">
        <v>31</v>
      </c>
      <c r="BI1218" t="s">
        <v>31</v>
      </c>
      <c r="BJ1218" s="3">
        <f t="shared" si="620"/>
        <v>1.9</v>
      </c>
      <c r="BK1218" s="3">
        <f t="shared" si="619"/>
        <v>0.27875360095282892</v>
      </c>
      <c r="BL1218">
        <v>2</v>
      </c>
      <c r="BM1218" s="3">
        <f t="shared" si="621"/>
        <v>1.1148216023167585</v>
      </c>
      <c r="BN1218" t="s">
        <v>33</v>
      </c>
      <c r="BO1218" s="3">
        <f t="shared" ref="BO1218:BO1281" si="632">IFERROR((AE1218/BJ1218),"NA")</f>
        <v>13.026315789473683</v>
      </c>
      <c r="BP1218" t="s">
        <v>33</v>
      </c>
      <c r="BQ1218" t="s">
        <v>33</v>
      </c>
      <c r="BR1218" t="s">
        <v>33</v>
      </c>
      <c r="BS1218" t="s">
        <v>33</v>
      </c>
      <c r="BT1218" t="s">
        <v>32</v>
      </c>
      <c r="BU1218" t="s">
        <v>117</v>
      </c>
      <c r="BV1218">
        <v>2021</v>
      </c>
      <c r="BW1218" s="2" t="s">
        <v>82</v>
      </c>
      <c r="BX1218" t="s">
        <v>78</v>
      </c>
      <c r="BY1218" t="s">
        <v>90</v>
      </c>
      <c r="CA1218" t="str">
        <f t="shared" si="592"/>
        <v>low acid</v>
      </c>
    </row>
    <row r="1219" spans="1:79">
      <c r="A1219" t="s">
        <v>415</v>
      </c>
      <c r="B1219" t="s">
        <v>565</v>
      </c>
      <c r="C1219" t="s">
        <v>563</v>
      </c>
      <c r="D1219" t="s">
        <v>33</v>
      </c>
      <c r="E1219" t="s">
        <v>77</v>
      </c>
      <c r="F1219" t="s">
        <v>32</v>
      </c>
      <c r="G1219">
        <v>25</v>
      </c>
      <c r="H1219">
        <v>36</v>
      </c>
      <c r="I1219" t="b">
        <v>0</v>
      </c>
      <c r="J1219">
        <v>6188</v>
      </c>
      <c r="K1219">
        <v>18.100000000000001</v>
      </c>
      <c r="L1219">
        <v>22.5</v>
      </c>
      <c r="M1219" s="4">
        <v>250</v>
      </c>
      <c r="N1219" s="3">
        <f t="shared" si="624"/>
        <v>251.11113243387931</v>
      </c>
      <c r="O1219">
        <v>4</v>
      </c>
      <c r="P1219" t="s">
        <v>33</v>
      </c>
      <c r="Q1219" s="8">
        <f t="shared" si="630"/>
        <v>1.4200000000000001E-2</v>
      </c>
      <c r="R1219" t="s">
        <v>183</v>
      </c>
      <c r="S1219" t="s">
        <v>612</v>
      </c>
      <c r="T1219" s="11">
        <v>6</v>
      </c>
      <c r="U1219">
        <v>2.7</v>
      </c>
      <c r="V1219">
        <v>2</v>
      </c>
      <c r="W1219">
        <v>8.5000000000000006E-3</v>
      </c>
      <c r="X1219" s="9">
        <f>IFERROR(((PI())*(((V1219*10^-1)/2)^2)*(U1219*10^-1)), "NA")</f>
        <v>8.4823001646924419E-3</v>
      </c>
      <c r="Y1219" s="6">
        <f>36/60</f>
        <v>0.6</v>
      </c>
      <c r="Z1219" s="3">
        <f t="shared" si="631"/>
        <v>0.59734508202059444</v>
      </c>
      <c r="AA1219">
        <f>21.3/6</f>
        <v>3.5500000000000003</v>
      </c>
      <c r="AB1219" s="6">
        <f>IFERROR(((X1219*M1219)/Y1219), "NA")</f>
        <v>3.5342917352885173</v>
      </c>
      <c r="AC1219" t="str">
        <f t="shared" si="622"/>
        <v>NA</v>
      </c>
      <c r="AD1219" s="4">
        <f>IFERROR(AB1219*T1219*AI1219, "NA")</f>
        <v>21.205750411731103</v>
      </c>
      <c r="AE1219" s="3">
        <f t="shared" si="623"/>
        <v>172.53000000000003</v>
      </c>
      <c r="AF1219">
        <f>AI1219*T1219*O1219*AA1219</f>
        <v>85.2</v>
      </c>
      <c r="AG1219" t="str">
        <f t="shared" si="626"/>
        <v>NA</v>
      </c>
      <c r="AH1219" t="str">
        <f t="shared" si="627"/>
        <v>NA</v>
      </c>
      <c r="AI1219" s="1">
        <v>1</v>
      </c>
      <c r="AJ1219" t="s">
        <v>31</v>
      </c>
      <c r="AK1219">
        <v>4000</v>
      </c>
      <c r="AL1219" t="s">
        <v>416</v>
      </c>
      <c r="AM1219" t="s">
        <v>103</v>
      </c>
      <c r="AN1219" t="s">
        <v>130</v>
      </c>
      <c r="AO1219" t="s">
        <v>795</v>
      </c>
      <c r="AP1219" s="4">
        <v>7</v>
      </c>
      <c r="AQ1219" t="s">
        <v>33</v>
      </c>
      <c r="AR1219" t="s">
        <v>33</v>
      </c>
      <c r="AS1219" s="3">
        <f>LOG(10^8)</f>
        <v>8</v>
      </c>
      <c r="AT1219" s="3">
        <f t="shared" si="628"/>
        <v>6.1</v>
      </c>
      <c r="AU1219" s="6">
        <v>1.9</v>
      </c>
      <c r="AV1219" t="b">
        <v>1</v>
      </c>
      <c r="AW1219" t="s">
        <v>29</v>
      </c>
      <c r="AX1219" t="s">
        <v>30</v>
      </c>
      <c r="AY1219" t="s">
        <v>226</v>
      </c>
      <c r="AZ1219" t="s">
        <v>33</v>
      </c>
      <c r="BA1219" s="18" t="s">
        <v>798</v>
      </c>
      <c r="BB1219" t="b">
        <v>0</v>
      </c>
      <c r="BC1219" t="s">
        <v>81</v>
      </c>
      <c r="BD1219">
        <v>14</v>
      </c>
      <c r="BE1219" t="s">
        <v>80</v>
      </c>
      <c r="BF1219" s="11">
        <v>48</v>
      </c>
      <c r="BG1219" t="s">
        <v>139</v>
      </c>
      <c r="BH1219" t="s">
        <v>31</v>
      </c>
      <c r="BI1219" t="s">
        <v>31</v>
      </c>
      <c r="BJ1219" s="3">
        <f t="shared" si="620"/>
        <v>1.9</v>
      </c>
      <c r="BK1219" s="3">
        <f t="shared" si="619"/>
        <v>0.27875360095282892</v>
      </c>
      <c r="BL1219">
        <v>2</v>
      </c>
      <c r="BM1219" s="3">
        <f t="shared" si="621"/>
        <v>1.9581110213645585</v>
      </c>
      <c r="BN1219" t="s">
        <v>33</v>
      </c>
      <c r="BO1219" s="3">
        <f t="shared" si="632"/>
        <v>90.805263157894757</v>
      </c>
      <c r="BP1219" t="s">
        <v>33</v>
      </c>
      <c r="BQ1219" t="s">
        <v>33</v>
      </c>
      <c r="BR1219" t="s">
        <v>33</v>
      </c>
      <c r="BS1219" t="s">
        <v>33</v>
      </c>
      <c r="BT1219" t="s">
        <v>31</v>
      </c>
      <c r="BU1219" t="s">
        <v>227</v>
      </c>
      <c r="BV1219">
        <v>2004</v>
      </c>
      <c r="BW1219" t="s">
        <v>417</v>
      </c>
      <c r="BX1219" t="s">
        <v>78</v>
      </c>
      <c r="BY1219" t="s">
        <v>33</v>
      </c>
      <c r="BZ1219" t="s">
        <v>33</v>
      </c>
      <c r="CA1219" t="str">
        <f t="shared" ref="CA1219:CA1282" si="633">IF(OR(AN1219="low acidic liquid medium", AN1219="low acidic food product"), "low acid",
    IF(OR(AN1219="high acidic food product", AN1219="high acidic liquid medium"), "high acid", "NA"))</f>
        <v>low acid</v>
      </c>
    </row>
    <row r="1220" spans="1:79">
      <c r="A1220" t="s">
        <v>589</v>
      </c>
      <c r="B1220" t="s">
        <v>566</v>
      </c>
      <c r="C1220" t="s">
        <v>563</v>
      </c>
      <c r="D1220" t="s">
        <v>33</v>
      </c>
      <c r="E1220" t="s">
        <v>77</v>
      </c>
      <c r="F1220" t="s">
        <v>33</v>
      </c>
      <c r="G1220" t="s">
        <v>33</v>
      </c>
      <c r="H1220">
        <v>35</v>
      </c>
      <c r="I1220" t="b">
        <v>0</v>
      </c>
      <c r="J1220" t="s">
        <v>33</v>
      </c>
      <c r="K1220" t="s">
        <v>33</v>
      </c>
      <c r="L1220">
        <v>12</v>
      </c>
      <c r="M1220" s="4">
        <v>1</v>
      </c>
      <c r="N1220" t="e">
        <f>(#REF!*Y1220)/(T1220*X1220*O1220)</f>
        <v>#REF!</v>
      </c>
      <c r="O1220">
        <v>2</v>
      </c>
      <c r="P1220" t="s">
        <v>33</v>
      </c>
      <c r="Q1220" s="1">
        <f t="shared" si="630"/>
        <v>394.5</v>
      </c>
      <c r="R1220" t="s">
        <v>183</v>
      </c>
      <c r="S1220" t="s">
        <v>613</v>
      </c>
      <c r="T1220">
        <v>1</v>
      </c>
      <c r="U1220">
        <v>2.5</v>
      </c>
      <c r="V1220" t="s">
        <v>33</v>
      </c>
      <c r="W1220">
        <v>0.50249999999999995</v>
      </c>
      <c r="X1220">
        <f>W1220</f>
        <v>0.50249999999999995</v>
      </c>
      <c r="Y1220" t="s">
        <v>33</v>
      </c>
      <c r="Z1220" s="3">
        <f t="shared" si="631"/>
        <v>1.273764258555133E-3</v>
      </c>
      <c r="AA1220" t="s">
        <v>33</v>
      </c>
      <c r="AB1220">
        <f>IFERROR(((X1220*M1220)/Z1220), "NA")</f>
        <v>394.5</v>
      </c>
      <c r="AC1220" s="1" t="str">
        <f t="shared" si="622"/>
        <v>NA</v>
      </c>
      <c r="AE1220" s="3">
        <f t="shared" si="623"/>
        <v>227.23199999999997</v>
      </c>
      <c r="AF1220">
        <v>789</v>
      </c>
      <c r="AG1220" s="1" t="str">
        <f>IFERROR((N1220*P1220*Q1220), "NA")</f>
        <v>NA</v>
      </c>
      <c r="AH1220" s="1" t="str">
        <f>IFERROR((AG1220*U1220*AI1220), "NA")</f>
        <v>NA</v>
      </c>
      <c r="AI1220" s="1">
        <v>1</v>
      </c>
      <c r="AJ1220" s="11" t="s">
        <v>31</v>
      </c>
      <c r="AK1220">
        <v>2000</v>
      </c>
      <c r="AL1220" t="s">
        <v>616</v>
      </c>
      <c r="AM1220" s="3" t="s">
        <v>103</v>
      </c>
      <c r="AN1220" t="s">
        <v>130</v>
      </c>
      <c r="AO1220" t="s">
        <v>795</v>
      </c>
      <c r="AP1220">
        <v>7</v>
      </c>
      <c r="AQ1220" t="s">
        <v>33</v>
      </c>
      <c r="AR1220" t="s">
        <v>33</v>
      </c>
      <c r="AS1220">
        <v>9</v>
      </c>
      <c r="AT1220">
        <f>AS1220-AU1220</f>
        <v>6.1099999999999994</v>
      </c>
      <c r="AU1220" s="6">
        <v>2.89</v>
      </c>
      <c r="AV1220" t="b">
        <v>1</v>
      </c>
      <c r="AW1220" t="s">
        <v>617</v>
      </c>
      <c r="AX1220" t="s">
        <v>33</v>
      </c>
      <c r="AY1220" t="s">
        <v>628</v>
      </c>
      <c r="AZ1220" t="s">
        <v>619</v>
      </c>
      <c r="BA1220" s="18" t="s">
        <v>802</v>
      </c>
      <c r="BB1220" s="3" t="b">
        <v>0</v>
      </c>
      <c r="BC1220" t="s">
        <v>81</v>
      </c>
      <c r="BD1220">
        <v>24</v>
      </c>
      <c r="BE1220" t="s">
        <v>80</v>
      </c>
      <c r="BF1220">
        <v>24</v>
      </c>
      <c r="BG1220" t="s">
        <v>644</v>
      </c>
      <c r="BH1220" t="s">
        <v>31</v>
      </c>
      <c r="BI1220" t="s">
        <v>31</v>
      </c>
      <c r="BJ1220">
        <f t="shared" si="620"/>
        <v>2.89</v>
      </c>
      <c r="BK1220" s="3">
        <f t="shared" si="619"/>
        <v>0.46089784275654788</v>
      </c>
      <c r="BL1220">
        <v>2</v>
      </c>
      <c r="BM1220" s="3">
        <f t="shared" si="621"/>
        <v>1.8955716482121032</v>
      </c>
      <c r="BN1220" t="s">
        <v>33</v>
      </c>
      <c r="BO1220" s="3">
        <f t="shared" si="632"/>
        <v>78.626989619377156</v>
      </c>
      <c r="BP1220" t="s">
        <v>33</v>
      </c>
      <c r="BQ1220" t="s">
        <v>33</v>
      </c>
      <c r="BR1220" t="s">
        <v>33</v>
      </c>
      <c r="BS1220" t="s">
        <v>33</v>
      </c>
      <c r="BT1220" t="s">
        <v>31</v>
      </c>
      <c r="BU1220" s="15" t="s">
        <v>655</v>
      </c>
      <c r="BV1220">
        <v>2003</v>
      </c>
      <c r="BW1220" t="s">
        <v>656</v>
      </c>
      <c r="BX1220" t="s">
        <v>78</v>
      </c>
      <c r="BY1220" s="13" t="s">
        <v>677</v>
      </c>
      <c r="CA1220" t="str">
        <f t="shared" si="633"/>
        <v>low acid</v>
      </c>
    </row>
    <row r="1221" spans="1:79">
      <c r="A1221" t="s">
        <v>597</v>
      </c>
      <c r="B1221" t="s">
        <v>565</v>
      </c>
      <c r="C1221" t="s">
        <v>563</v>
      </c>
      <c r="D1221" t="s">
        <v>33</v>
      </c>
      <c r="E1221" t="s">
        <v>77</v>
      </c>
      <c r="F1221" t="s">
        <v>33</v>
      </c>
      <c r="G1221">
        <v>20</v>
      </c>
      <c r="H1221">
        <v>35</v>
      </c>
      <c r="I1221" t="b">
        <v>0</v>
      </c>
      <c r="J1221" t="s">
        <v>33</v>
      </c>
      <c r="K1221" t="s">
        <v>33</v>
      </c>
      <c r="L1221">
        <v>22</v>
      </c>
      <c r="M1221" s="4">
        <v>1</v>
      </c>
      <c r="N1221" t="e">
        <f>(#REF!*Y1221)/(T1221*X1221*O1221)</f>
        <v>#REF!</v>
      </c>
      <c r="O1221">
        <v>2</v>
      </c>
      <c r="P1221" t="s">
        <v>33</v>
      </c>
      <c r="Q1221" s="1">
        <f t="shared" si="630"/>
        <v>200.00000000000003</v>
      </c>
      <c r="R1221" t="s">
        <v>183</v>
      </c>
      <c r="S1221" t="s">
        <v>33</v>
      </c>
      <c r="T1221">
        <v>1</v>
      </c>
      <c r="U1221">
        <v>2.5</v>
      </c>
      <c r="V1221" t="s">
        <v>33</v>
      </c>
      <c r="W1221">
        <v>0.50249999999999995</v>
      </c>
      <c r="X1221">
        <f>W1221</f>
        <v>0.50249999999999995</v>
      </c>
      <c r="Y1221" t="s">
        <v>33</v>
      </c>
      <c r="Z1221" s="3">
        <f t="shared" si="631"/>
        <v>2.5124999999999995E-3</v>
      </c>
      <c r="AA1221" t="s">
        <v>33</v>
      </c>
      <c r="AB1221">
        <f>IFERROR(((X1221*M1221)/Z1221), "NA")</f>
        <v>200.00000000000003</v>
      </c>
      <c r="AC1221" s="1" t="str">
        <f t="shared" si="622"/>
        <v>NA</v>
      </c>
      <c r="AE1221" s="3">
        <f t="shared" si="623"/>
        <v>387.20000000000005</v>
      </c>
      <c r="AF1221">
        <v>400</v>
      </c>
      <c r="AG1221" s="1" t="str">
        <f>IFERROR((N1221*P1221*Q1221), "NA")</f>
        <v>NA</v>
      </c>
      <c r="AH1221" s="1" t="str">
        <f>IFERROR((AG1221*U1221*AI1221), "NA")</f>
        <v>NA</v>
      </c>
      <c r="AI1221" s="1">
        <v>1</v>
      </c>
      <c r="AJ1221" s="11" t="s">
        <v>31</v>
      </c>
      <c r="AK1221">
        <v>2000</v>
      </c>
      <c r="AL1221" t="s">
        <v>784</v>
      </c>
      <c r="AM1221" s="3" t="s">
        <v>103</v>
      </c>
      <c r="AN1221" t="s">
        <v>130</v>
      </c>
      <c r="AO1221" t="s">
        <v>795</v>
      </c>
      <c r="AP1221">
        <v>7</v>
      </c>
      <c r="AQ1221" t="s">
        <v>33</v>
      </c>
      <c r="AR1221" t="s">
        <v>33</v>
      </c>
      <c r="AS1221">
        <v>9</v>
      </c>
      <c r="AT1221">
        <f>AS1221-AU1221</f>
        <v>6.1099999999999994</v>
      </c>
      <c r="AU1221" s="6">
        <v>2.89</v>
      </c>
      <c r="AV1221" t="b">
        <v>1</v>
      </c>
      <c r="AW1221" t="s">
        <v>617</v>
      </c>
      <c r="AX1221" t="s">
        <v>635</v>
      </c>
      <c r="AY1221" t="s">
        <v>636</v>
      </c>
      <c r="AZ1221" t="s">
        <v>33</v>
      </c>
      <c r="BA1221" s="18" t="s">
        <v>802</v>
      </c>
      <c r="BB1221" s="3" t="b">
        <v>0</v>
      </c>
      <c r="BC1221" t="s">
        <v>81</v>
      </c>
      <c r="BD1221">
        <v>24</v>
      </c>
      <c r="BE1221" t="s">
        <v>80</v>
      </c>
      <c r="BF1221">
        <v>24</v>
      </c>
      <c r="BG1221" t="s">
        <v>644</v>
      </c>
      <c r="BH1221" t="s">
        <v>31</v>
      </c>
      <c r="BI1221" t="s">
        <v>31</v>
      </c>
      <c r="BJ1221">
        <f t="shared" si="620"/>
        <v>2.89</v>
      </c>
      <c r="BK1221" s="3">
        <f t="shared" si="619"/>
        <v>0.46089784275654788</v>
      </c>
      <c r="BL1221">
        <v>2</v>
      </c>
      <c r="BM1221" s="3">
        <f t="shared" si="621"/>
        <v>2.1270375058798083</v>
      </c>
      <c r="BN1221" t="s">
        <v>33</v>
      </c>
      <c r="BO1221" s="3">
        <f t="shared" si="632"/>
        <v>133.97923875432528</v>
      </c>
      <c r="BP1221" t="s">
        <v>33</v>
      </c>
      <c r="BQ1221" t="s">
        <v>33</v>
      </c>
      <c r="BR1221" t="s">
        <v>33</v>
      </c>
      <c r="BS1221" t="s">
        <v>33</v>
      </c>
      <c r="BT1221" t="s">
        <v>31</v>
      </c>
      <c r="BU1221" t="s">
        <v>664</v>
      </c>
      <c r="BV1221">
        <v>2000</v>
      </c>
      <c r="BW1221" t="s">
        <v>665</v>
      </c>
      <c r="BX1221" t="s">
        <v>78</v>
      </c>
      <c r="BY1221" s="13" t="s">
        <v>685</v>
      </c>
      <c r="CA1221" t="str">
        <f t="shared" si="633"/>
        <v>low acid</v>
      </c>
    </row>
    <row r="1222" spans="1:79">
      <c r="A1222" t="s">
        <v>599</v>
      </c>
      <c r="B1222" t="s">
        <v>565</v>
      </c>
      <c r="C1222" t="s">
        <v>563</v>
      </c>
      <c r="D1222" t="s">
        <v>118</v>
      </c>
      <c r="E1222" t="s">
        <v>77</v>
      </c>
      <c r="F1222" t="s">
        <v>32</v>
      </c>
      <c r="G1222" t="s">
        <v>33</v>
      </c>
      <c r="H1222" t="s">
        <v>33</v>
      </c>
      <c r="I1222" t="b">
        <v>0</v>
      </c>
      <c r="J1222" t="s">
        <v>33</v>
      </c>
      <c r="K1222" t="s">
        <v>33</v>
      </c>
      <c r="L1222">
        <v>17</v>
      </c>
      <c r="M1222" s="4">
        <v>500</v>
      </c>
      <c r="N1222" t="e">
        <f>(#REF!*Y1222)/(T1222*X1222*O1222)</f>
        <v>#REF!</v>
      </c>
      <c r="O1222">
        <v>3</v>
      </c>
      <c r="P1222" t="s">
        <v>33</v>
      </c>
      <c r="Q1222" s="1">
        <f t="shared" si="630"/>
        <v>1.1666666666666665E-2</v>
      </c>
      <c r="R1222" t="s">
        <v>183</v>
      </c>
      <c r="S1222" t="s">
        <v>613</v>
      </c>
      <c r="T1222">
        <v>6</v>
      </c>
      <c r="U1222">
        <v>2.2999999999999998</v>
      </c>
      <c r="V1222">
        <v>2.9</v>
      </c>
      <c r="W1222">
        <v>0.36420000000000002</v>
      </c>
      <c r="X1222">
        <f>IFERROR(((PI())*(((V1222*10^-1)/2)^2)*(U1222*10^-1)), "NA")</f>
        <v>1.519195667459684E-2</v>
      </c>
      <c r="Y1222">
        <v>0.83333299999999999</v>
      </c>
      <c r="Z1222" s="3">
        <f t="shared" si="631"/>
        <v>1.3021677149654436</v>
      </c>
      <c r="AA1222" t="s">
        <v>33</v>
      </c>
      <c r="AB1222">
        <f>IFERROR(((X1222*M1222)/Z1222), "NA")</f>
        <v>5.833333333333333</v>
      </c>
      <c r="AC1222" s="1" t="str">
        <f t="shared" si="622"/>
        <v>NA</v>
      </c>
      <c r="AE1222" s="3">
        <f t="shared" si="623"/>
        <v>110.45579999999997</v>
      </c>
      <c r="AF1222">
        <v>105</v>
      </c>
      <c r="AG1222" s="1" t="str">
        <f>IFERROR((N1222*P1222*Q1222), "NA")</f>
        <v>NA</v>
      </c>
      <c r="AH1222" s="1" t="str">
        <f>IFERROR((AG1222*U1222*AI1222), "NA")</f>
        <v>NA</v>
      </c>
      <c r="AI1222" s="1">
        <v>1</v>
      </c>
      <c r="AJ1222" s="11" t="s">
        <v>31</v>
      </c>
      <c r="AK1222">
        <f>3.64*10^3</f>
        <v>3640</v>
      </c>
      <c r="AL1222" t="s">
        <v>145</v>
      </c>
      <c r="AM1222" t="s">
        <v>86</v>
      </c>
      <c r="AN1222" t="s">
        <v>205</v>
      </c>
      <c r="AO1222" t="s">
        <v>789</v>
      </c>
      <c r="AP1222">
        <v>3.19</v>
      </c>
      <c r="AQ1222" t="s">
        <v>33</v>
      </c>
      <c r="AR1222" t="s">
        <v>33</v>
      </c>
      <c r="AS1222">
        <v>7.36</v>
      </c>
      <c r="AT1222">
        <v>6.11</v>
      </c>
      <c r="AU1222" s="6">
        <f>AS1222-AT1222</f>
        <v>1.25</v>
      </c>
      <c r="AV1222" t="b">
        <v>1</v>
      </c>
      <c r="AW1222" t="s">
        <v>632</v>
      </c>
      <c r="AX1222" t="s">
        <v>639</v>
      </c>
      <c r="AY1222" t="s">
        <v>33</v>
      </c>
      <c r="AZ1222" t="s">
        <v>33</v>
      </c>
      <c r="BA1222" s="18" t="s">
        <v>803</v>
      </c>
      <c r="BB1222" s="3" t="b">
        <v>0</v>
      </c>
      <c r="BC1222" t="s">
        <v>81</v>
      </c>
      <c r="BD1222">
        <f>AVERAGE(24,48)</f>
        <v>36</v>
      </c>
      <c r="BE1222" t="s">
        <v>80</v>
      </c>
      <c r="BF1222">
        <v>48</v>
      </c>
      <c r="BG1222" t="s">
        <v>647</v>
      </c>
      <c r="BH1222" t="s">
        <v>31</v>
      </c>
      <c r="BI1222" t="s">
        <v>31</v>
      </c>
      <c r="BJ1222" s="3">
        <f t="shared" si="620"/>
        <v>1.25</v>
      </c>
      <c r="BK1222" s="3">
        <f t="shared" si="619"/>
        <v>9.691001300805642E-2</v>
      </c>
      <c r="BL1222">
        <v>2</v>
      </c>
      <c r="BM1222" s="3">
        <f t="shared" si="621"/>
        <v>1.9462785124674855</v>
      </c>
      <c r="BN1222" t="s">
        <v>33</v>
      </c>
      <c r="BO1222" s="3">
        <f t="shared" si="632"/>
        <v>88.36463999999998</v>
      </c>
      <c r="BP1222" t="s">
        <v>33</v>
      </c>
      <c r="BQ1222" t="s">
        <v>33</v>
      </c>
      <c r="BR1222" t="s">
        <v>33</v>
      </c>
      <c r="BS1222" t="s">
        <v>33</v>
      </c>
      <c r="BT1222" t="s">
        <v>31</v>
      </c>
      <c r="BU1222" s="13" t="s">
        <v>135</v>
      </c>
      <c r="BV1222" s="14">
        <v>2010</v>
      </c>
      <c r="BW1222" s="13" t="s">
        <v>140</v>
      </c>
      <c r="BX1222" t="s">
        <v>78</v>
      </c>
      <c r="BY1222" s="13" t="s">
        <v>687</v>
      </c>
      <c r="CA1222" t="str">
        <f t="shared" si="633"/>
        <v>high acid</v>
      </c>
    </row>
    <row r="1223" spans="1:79">
      <c r="A1223" s="3" t="s">
        <v>249</v>
      </c>
      <c r="B1223" t="s">
        <v>566</v>
      </c>
      <c r="C1223" t="s">
        <v>563</v>
      </c>
      <c r="D1223" s="3" t="s">
        <v>279</v>
      </c>
      <c r="E1223" s="3" t="s">
        <v>77</v>
      </c>
      <c r="F1223" t="s">
        <v>32</v>
      </c>
      <c r="G1223" s="11">
        <v>20</v>
      </c>
      <c r="H1223" s="11" t="s">
        <v>33</v>
      </c>
      <c r="I1223" s="3" t="b">
        <v>0</v>
      </c>
      <c r="J1223" s="3" t="s">
        <v>33</v>
      </c>
      <c r="K1223" s="3" t="s">
        <v>33</v>
      </c>
      <c r="L1223" s="3">
        <v>20</v>
      </c>
      <c r="M1223" s="4">
        <v>1000</v>
      </c>
      <c r="N1223" s="3">
        <f>IFERROR(AF1223/((T1223*X1223/Y1223)*O1223*AI1223),"NA")</f>
        <v>3031.5227255599107</v>
      </c>
      <c r="O1223" s="3">
        <v>40</v>
      </c>
      <c r="P1223" s="3" t="s">
        <v>33</v>
      </c>
      <c r="Q1223" s="3">
        <f t="shared" si="630"/>
        <v>9.0000000000000011E-2</v>
      </c>
      <c r="R1223" t="s">
        <v>183</v>
      </c>
      <c r="S1223" t="s">
        <v>613</v>
      </c>
      <c r="T1223" s="11">
        <v>1</v>
      </c>
      <c r="U1223" s="3">
        <v>2.8</v>
      </c>
      <c r="V1223" s="3">
        <v>3</v>
      </c>
      <c r="W1223" s="3">
        <v>0.02</v>
      </c>
      <c r="X1223" s="3">
        <f>IFERROR(((PI())*(((V1223*10^-1)/2)^2)*(U1223*10^-1)), "NA")</f>
        <v>1.97920337176157E-2</v>
      </c>
      <c r="Y1223" s="3">
        <f>40/60</f>
        <v>0.66666666666666663</v>
      </c>
      <c r="Z1223" s="3">
        <f t="shared" si="631"/>
        <v>0.21991148575128552</v>
      </c>
      <c r="AA1223" s="3" t="s">
        <v>33</v>
      </c>
      <c r="AB1223" s="3">
        <f>IFERROR(((X1223*M1223)/Z1223), "NA")</f>
        <v>90</v>
      </c>
      <c r="AC1223" s="3" t="str">
        <f t="shared" si="622"/>
        <v>NA</v>
      </c>
      <c r="AD1223" s="4">
        <f>AB1223*T1223*AI1223</f>
        <v>90</v>
      </c>
      <c r="AE1223" s="3">
        <f t="shared" si="623"/>
        <v>720.00000000000011</v>
      </c>
      <c r="AF1223" s="3">
        <v>3600</v>
      </c>
      <c r="AG1223" s="3" t="str">
        <f>IFERROR((M1223*O1223*P1223), "NA")</f>
        <v>NA</v>
      </c>
      <c r="AH1223" s="3" t="str">
        <f>IFERROR((AG1223*T1223*AI1223), "NA")</f>
        <v>NA</v>
      </c>
      <c r="AI1223" s="3">
        <v>1</v>
      </c>
      <c r="AJ1223" t="s">
        <v>31</v>
      </c>
      <c r="AK1223" s="3">
        <v>500</v>
      </c>
      <c r="AL1223" s="3" t="s">
        <v>250</v>
      </c>
      <c r="AM1223" s="3" t="s">
        <v>103</v>
      </c>
      <c r="AN1223" t="s">
        <v>130</v>
      </c>
      <c r="AO1223" t="s">
        <v>795</v>
      </c>
      <c r="AP1223" s="3">
        <f>(6.5+6.8)/2</f>
        <v>6.65</v>
      </c>
      <c r="AQ1223" s="3" t="s">
        <v>33</v>
      </c>
      <c r="AR1223" s="3" t="s">
        <v>33</v>
      </c>
      <c r="AS1223" s="3">
        <f>LOG((10^6+10^7)/2)</f>
        <v>6.7403626894942441</v>
      </c>
      <c r="AT1223" s="3">
        <f>IFERROR(AS1223-AU1223,"NA")</f>
        <v>6.1113626894942445</v>
      </c>
      <c r="AU1223" s="6">
        <v>0.629</v>
      </c>
      <c r="AV1223" s="3" t="b">
        <v>1</v>
      </c>
      <c r="AW1223" s="3" t="s">
        <v>172</v>
      </c>
      <c r="AX1223" s="3" t="s">
        <v>173</v>
      </c>
      <c r="AY1223" s="3" t="s">
        <v>251</v>
      </c>
      <c r="AZ1223" s="3" t="s">
        <v>33</v>
      </c>
      <c r="BA1223" s="18" t="s">
        <v>799</v>
      </c>
      <c r="BB1223" s="3" t="b">
        <v>0</v>
      </c>
      <c r="BC1223" t="s">
        <v>81</v>
      </c>
      <c r="BD1223" s="3">
        <v>0.5</v>
      </c>
      <c r="BE1223" s="3" t="s">
        <v>252</v>
      </c>
      <c r="BF1223" s="11">
        <v>72</v>
      </c>
      <c r="BG1223" s="3" t="s">
        <v>253</v>
      </c>
      <c r="BH1223" s="3" t="s">
        <v>32</v>
      </c>
      <c r="BI1223" s="3" t="s">
        <v>31</v>
      </c>
      <c r="BJ1223" s="3">
        <f t="shared" si="620"/>
        <v>0.629</v>
      </c>
      <c r="BK1223" s="3">
        <f t="shared" si="619"/>
        <v>-0.20134935455473107</v>
      </c>
      <c r="BL1223" s="3">
        <v>2</v>
      </c>
      <c r="BM1223" s="3">
        <f t="shared" si="621"/>
        <v>3.0586818509859994</v>
      </c>
      <c r="BN1223" s="3" t="s">
        <v>33</v>
      </c>
      <c r="BO1223" s="3">
        <f t="shared" si="632"/>
        <v>1144.6740858505566</v>
      </c>
      <c r="BP1223" s="3" t="s">
        <v>33</v>
      </c>
      <c r="BQ1223" s="3" t="s">
        <v>33</v>
      </c>
      <c r="BR1223" s="3" t="s">
        <v>33</v>
      </c>
      <c r="BS1223" s="3" t="s">
        <v>33</v>
      </c>
      <c r="BT1223" t="s">
        <v>31</v>
      </c>
      <c r="BU1223" s="3" t="s">
        <v>247</v>
      </c>
      <c r="BV1223" s="11">
        <v>2015</v>
      </c>
      <c r="BW1223" s="12" t="s">
        <v>248</v>
      </c>
      <c r="BX1223" t="s">
        <v>78</v>
      </c>
      <c r="BY1223" s="3" t="s">
        <v>33</v>
      </c>
      <c r="BZ1223" s="3" t="s">
        <v>33</v>
      </c>
      <c r="CA1223" t="str">
        <f t="shared" si="633"/>
        <v>low acid</v>
      </c>
    </row>
    <row r="1224" spans="1:79">
      <c r="A1224" t="s">
        <v>325</v>
      </c>
      <c r="B1224" t="s">
        <v>565</v>
      </c>
      <c r="C1224" t="s">
        <v>563</v>
      </c>
      <c r="D1224" t="s">
        <v>304</v>
      </c>
      <c r="E1224" t="s">
        <v>77</v>
      </c>
      <c r="F1224" t="s">
        <v>32</v>
      </c>
      <c r="G1224">
        <v>30</v>
      </c>
      <c r="H1224">
        <v>31.7</v>
      </c>
      <c r="I1224" t="b">
        <v>1</v>
      </c>
      <c r="J1224">
        <v>12600</v>
      </c>
      <c r="K1224">
        <v>50.4</v>
      </c>
      <c r="L1224">
        <v>30.4</v>
      </c>
      <c r="M1224" s="4">
        <v>495</v>
      </c>
      <c r="N1224" s="3">
        <f>IFERROR(AF1224/((T1224*X1224/Y1224)*O1224*AI1224),"NA")</f>
        <v>457.70048993747662</v>
      </c>
      <c r="O1224">
        <v>1</v>
      </c>
      <c r="P1224">
        <v>2.4E-2</v>
      </c>
      <c r="Q1224" s="8">
        <f t="shared" si="630"/>
        <v>2.222222222222222E-2</v>
      </c>
      <c r="R1224" t="s">
        <v>183</v>
      </c>
      <c r="S1224" t="s">
        <v>612</v>
      </c>
      <c r="T1224" s="11">
        <v>1</v>
      </c>
      <c r="U1224">
        <v>3.4</v>
      </c>
      <c r="V1224">
        <v>3</v>
      </c>
      <c r="W1224">
        <v>2.4E-2</v>
      </c>
      <c r="X1224" s="8">
        <f>IFERROR(((PI())*(((V1224*10^-1)/2)^2)*(U1224*10^-1)), "NA")</f>
        <v>2.4033183799961926E-2</v>
      </c>
      <c r="Y1224" s="6">
        <f>1</f>
        <v>1</v>
      </c>
      <c r="Z1224" s="3">
        <f t="shared" si="631"/>
        <v>1.0814932709982867</v>
      </c>
      <c r="AA1224">
        <v>11.9</v>
      </c>
      <c r="AB1224" s="6">
        <f>IFERROR(((X1224*M1224)/Z1224), "NA")</f>
        <v>10.999999999999998</v>
      </c>
      <c r="AC1224">
        <f t="shared" si="622"/>
        <v>11.88</v>
      </c>
      <c r="AD1224" s="4">
        <f>IFERROR(AB1224*T1224*AI1224, "NA")</f>
        <v>10.999999999999998</v>
      </c>
      <c r="AE1224" s="3">
        <f t="shared" si="623"/>
        <v>10.165759999999997</v>
      </c>
      <c r="AF1224">
        <v>11</v>
      </c>
      <c r="AG1224">
        <f>IFERROR((M1224*O1224*P1224), "NA")</f>
        <v>11.88</v>
      </c>
      <c r="AH1224">
        <f>IFERROR((AG1224*T1224*AI1224), "NA")</f>
        <v>11.88</v>
      </c>
      <c r="AI1224" s="11">
        <v>1</v>
      </c>
      <c r="AJ1224" t="s">
        <v>31</v>
      </c>
      <c r="AK1224">
        <v>1000</v>
      </c>
      <c r="AL1224" t="s">
        <v>169</v>
      </c>
      <c r="AM1224" t="s">
        <v>103</v>
      </c>
      <c r="AN1224" t="s">
        <v>305</v>
      </c>
      <c r="AO1224" t="s">
        <v>790</v>
      </c>
      <c r="AP1224">
        <v>4.5</v>
      </c>
      <c r="AQ1224" t="s">
        <v>33</v>
      </c>
      <c r="AR1224" t="s">
        <v>33</v>
      </c>
      <c r="AS1224" s="6">
        <f>LOG(3*10^7)</f>
        <v>7.4771212547196626</v>
      </c>
      <c r="AT1224" s="3">
        <f>IFERROR(AS1224-AU1224,"NA")</f>
        <v>6.1171212547196623</v>
      </c>
      <c r="AU1224" s="6">
        <v>1.36</v>
      </c>
      <c r="AV1224" t="b">
        <v>1</v>
      </c>
      <c r="AW1224" t="s">
        <v>123</v>
      </c>
      <c r="AX1224" t="s">
        <v>88</v>
      </c>
      <c r="AY1224" t="s">
        <v>306</v>
      </c>
      <c r="AZ1224" t="s">
        <v>33</v>
      </c>
      <c r="BA1224" s="18" t="s">
        <v>579</v>
      </c>
      <c r="BB1224" t="b">
        <v>1</v>
      </c>
      <c r="BC1224" t="s">
        <v>81</v>
      </c>
      <c r="BD1224">
        <v>48</v>
      </c>
      <c r="BE1224" t="s">
        <v>80</v>
      </c>
      <c r="BF1224" s="11">
        <v>120</v>
      </c>
      <c r="BG1224" t="s">
        <v>395</v>
      </c>
      <c r="BH1224" t="s">
        <v>31</v>
      </c>
      <c r="BI1224" t="s">
        <v>31</v>
      </c>
      <c r="BJ1224" s="3">
        <f t="shared" si="620"/>
        <v>1.36</v>
      </c>
      <c r="BK1224" s="3">
        <f t="shared" si="619"/>
        <v>0.13353890837021754</v>
      </c>
      <c r="BL1224">
        <v>2</v>
      </c>
      <c r="BM1224" s="3">
        <f t="shared" si="621"/>
        <v>0.87360094400551491</v>
      </c>
      <c r="BN1224" t="s">
        <v>33</v>
      </c>
      <c r="BO1224" s="3">
        <f t="shared" si="632"/>
        <v>7.4748235294117622</v>
      </c>
      <c r="BP1224" t="s">
        <v>33</v>
      </c>
      <c r="BQ1224" t="s">
        <v>33</v>
      </c>
      <c r="BR1224" t="s">
        <v>33</v>
      </c>
      <c r="BS1224" t="s">
        <v>33</v>
      </c>
      <c r="BT1224" t="s">
        <v>32</v>
      </c>
      <c r="BU1224" t="s">
        <v>323</v>
      </c>
      <c r="BV1224">
        <v>2003</v>
      </c>
      <c r="BW1224" s="2" t="s">
        <v>322</v>
      </c>
      <c r="BX1224" t="s">
        <v>78</v>
      </c>
      <c r="BY1224" t="s">
        <v>33</v>
      </c>
      <c r="BZ1224" t="s">
        <v>33</v>
      </c>
      <c r="CA1224" t="str">
        <f t="shared" si="633"/>
        <v>high acid</v>
      </c>
    </row>
    <row r="1225" spans="1:79">
      <c r="A1225" t="s">
        <v>764</v>
      </c>
      <c r="B1225" t="s">
        <v>565</v>
      </c>
      <c r="C1225" t="s">
        <v>563</v>
      </c>
      <c r="D1225" t="s">
        <v>765</v>
      </c>
      <c r="E1225" t="s">
        <v>77</v>
      </c>
      <c r="F1225" t="s">
        <v>31</v>
      </c>
      <c r="G1225">
        <v>20</v>
      </c>
      <c r="H1225">
        <v>49</v>
      </c>
      <c r="I1225" t="b">
        <v>0</v>
      </c>
      <c r="J1225" t="s">
        <v>33</v>
      </c>
      <c r="K1225" t="s">
        <v>33</v>
      </c>
      <c r="L1225">
        <v>16</v>
      </c>
      <c r="M1225" s="4">
        <f>N1225</f>
        <v>238.27160493827159</v>
      </c>
      <c r="N1225" s="3">
        <f>IFERROR(AF1225/((T1225*X1225/Y1225)*O1225*AI1225),"NA")</f>
        <v>238.27160493827159</v>
      </c>
      <c r="O1225">
        <v>3</v>
      </c>
      <c r="P1225">
        <v>5.4399999999999997E-2</v>
      </c>
      <c r="Q1225" s="8">
        <f>IFERROR(X1225/Y1225, "NA")</f>
        <v>5.3999999999999999E-2</v>
      </c>
      <c r="R1225" t="s">
        <v>183</v>
      </c>
      <c r="S1225" t="s">
        <v>33</v>
      </c>
      <c r="T1225" s="11">
        <v>1</v>
      </c>
      <c r="U1225" t="s">
        <v>33</v>
      </c>
      <c r="V1225" t="s">
        <v>33</v>
      </c>
      <c r="W1225">
        <v>4.4999999999999997E-3</v>
      </c>
      <c r="X1225">
        <f>W1225</f>
        <v>4.4999999999999997E-3</v>
      </c>
      <c r="Y1225" s="6">
        <f>5/60</f>
        <v>8.3333333333333329E-2</v>
      </c>
      <c r="Z1225" s="6">
        <f>Y1225</f>
        <v>8.3333333333333329E-2</v>
      </c>
      <c r="AA1225" t="s">
        <v>33</v>
      </c>
      <c r="AB1225" s="4">
        <f>IFERROR(((X1225*M1225)/Y1225), "NA")</f>
        <v>12.866666666666667</v>
      </c>
      <c r="AC1225" s="4">
        <f t="shared" si="622"/>
        <v>12.961975308641973</v>
      </c>
      <c r="AD1225" s="4">
        <f>AB1225*T1225*AI1225</f>
        <v>12.866666666666667</v>
      </c>
      <c r="AE1225" s="3">
        <f t="shared" si="623"/>
        <v>98.815999999999988</v>
      </c>
      <c r="AF1225">
        <v>38.6</v>
      </c>
      <c r="AG1225" s="4">
        <f>IFERROR((M1225*O1225*P1225), "NA")</f>
        <v>38.885925925925925</v>
      </c>
      <c r="AH1225" s="4">
        <f>IFERROR((AG1225*T1225*AI1225), "NA")</f>
        <v>38.885925925925925</v>
      </c>
      <c r="AI1225">
        <v>1</v>
      </c>
      <c r="AJ1225" s="11" t="s">
        <v>31</v>
      </c>
      <c r="AK1225">
        <v>10000</v>
      </c>
      <c r="AL1225" t="s">
        <v>169</v>
      </c>
      <c r="AM1225" t="s">
        <v>103</v>
      </c>
      <c r="AN1225" t="s">
        <v>130</v>
      </c>
      <c r="AO1225" t="s">
        <v>795</v>
      </c>
      <c r="AP1225">
        <v>7.2</v>
      </c>
      <c r="AQ1225" t="s">
        <v>33</v>
      </c>
      <c r="AR1225" t="s">
        <v>33</v>
      </c>
      <c r="AS1225">
        <v>7</v>
      </c>
      <c r="AT1225" s="3">
        <f>IFERROR(AS1225-AU1225,"NA")</f>
        <v>6.1180000000000003</v>
      </c>
      <c r="AU1225" s="6">
        <v>0.88200000000000001</v>
      </c>
      <c r="AV1225" t="b">
        <v>1</v>
      </c>
      <c r="AW1225" t="s">
        <v>29</v>
      </c>
      <c r="AX1225" t="s">
        <v>30</v>
      </c>
      <c r="AY1225" t="s">
        <v>766</v>
      </c>
      <c r="AZ1225" t="s">
        <v>33</v>
      </c>
      <c r="BA1225" s="18" t="s">
        <v>798</v>
      </c>
      <c r="BB1225" s="3" t="b">
        <v>0</v>
      </c>
      <c r="BC1225" t="s">
        <v>81</v>
      </c>
      <c r="BD1225">
        <v>16</v>
      </c>
      <c r="BE1225" t="s">
        <v>80</v>
      </c>
      <c r="BF1225">
        <v>24</v>
      </c>
      <c r="BG1225" t="s">
        <v>569</v>
      </c>
      <c r="BH1225" t="s">
        <v>31</v>
      </c>
      <c r="BI1225" t="s">
        <v>31</v>
      </c>
      <c r="BJ1225" s="3">
        <f t="shared" si="620"/>
        <v>0.88200000000000001</v>
      </c>
      <c r="BK1225" s="3">
        <f t="shared" si="619"/>
        <v>-5.4531414868180264E-2</v>
      </c>
      <c r="BL1225">
        <v>2</v>
      </c>
      <c r="BM1225" s="3">
        <f t="shared" si="621"/>
        <v>2.0493586848517849</v>
      </c>
      <c r="BN1225" t="s">
        <v>33</v>
      </c>
      <c r="BO1225" s="3">
        <f t="shared" si="632"/>
        <v>112.03628117913831</v>
      </c>
      <c r="BP1225" t="s">
        <v>33</v>
      </c>
      <c r="BQ1225" t="s">
        <v>33</v>
      </c>
      <c r="BR1225" t="s">
        <v>33</v>
      </c>
      <c r="BS1225" t="s">
        <v>33</v>
      </c>
      <c r="BT1225" t="s">
        <v>31</v>
      </c>
      <c r="BU1225" t="s">
        <v>767</v>
      </c>
      <c r="BV1225">
        <v>2021</v>
      </c>
      <c r="BW1225" t="s">
        <v>768</v>
      </c>
      <c r="BX1225" t="s">
        <v>78</v>
      </c>
      <c r="BY1225" t="s">
        <v>769</v>
      </c>
      <c r="CA1225" t="str">
        <f t="shared" si="633"/>
        <v>low acid</v>
      </c>
    </row>
    <row r="1226" spans="1:79">
      <c r="A1226" t="s">
        <v>392</v>
      </c>
      <c r="B1226" t="s">
        <v>565</v>
      </c>
      <c r="C1226" t="s">
        <v>563</v>
      </c>
      <c r="D1226" t="s">
        <v>118</v>
      </c>
      <c r="E1226" t="s">
        <v>77</v>
      </c>
      <c r="F1226" t="s">
        <v>32</v>
      </c>
      <c r="G1226">
        <v>25</v>
      </c>
      <c r="H1226">
        <v>36</v>
      </c>
      <c r="I1226" t="b">
        <v>0</v>
      </c>
      <c r="J1226" t="s">
        <v>33</v>
      </c>
      <c r="K1226" t="s">
        <v>33</v>
      </c>
      <c r="L1226">
        <v>15</v>
      </c>
      <c r="M1226" s="4">
        <v>200</v>
      </c>
      <c r="N1226" s="3" t="str">
        <f>IFERROR(AF1226/((T1226*X1226/Y1226)*O1226*AI1226),"NA")</f>
        <v>NA</v>
      </c>
      <c r="O1226">
        <v>4</v>
      </c>
      <c r="P1226" t="s">
        <v>33</v>
      </c>
      <c r="Q1226" s="8">
        <f t="shared" ref="Q1226:Q1251" si="634">IFERROR(X1226/Z1226, "NA")</f>
        <v>9.3750000000000014E-2</v>
      </c>
      <c r="R1226" t="s">
        <v>183</v>
      </c>
      <c r="S1226" t="s">
        <v>613</v>
      </c>
      <c r="T1226" s="11">
        <v>8</v>
      </c>
      <c r="U1226">
        <v>2.9</v>
      </c>
      <c r="V1226">
        <v>2.2999999999999998</v>
      </c>
      <c r="W1226">
        <v>1.2E-2</v>
      </c>
      <c r="X1226" s="8">
        <f>IFERROR(((PI())*(((V1226*10^-1)/2)^2)*(U1226*10^-1)), "NA")</f>
        <v>1.204879322468025E-2</v>
      </c>
      <c r="Y1226" t="s">
        <v>33</v>
      </c>
      <c r="Z1226" s="3">
        <f>IFERROR(X1226*M1226*O1226*T1226*AI1226/AF1226, "NA")</f>
        <v>0.12852046106325599</v>
      </c>
      <c r="AA1226" t="s">
        <v>33</v>
      </c>
      <c r="AB1226" s="6">
        <f>IFERROR(((X1226*M1226)/Z1226), "NA")</f>
        <v>18.75</v>
      </c>
      <c r="AC1226" t="str">
        <f t="shared" si="622"/>
        <v>NA</v>
      </c>
      <c r="AD1226" s="4">
        <f>AB1226*T1226*AI1226</f>
        <v>150</v>
      </c>
      <c r="AE1226" s="3">
        <f t="shared" si="623"/>
        <v>572.4</v>
      </c>
      <c r="AF1226">
        <v>600</v>
      </c>
      <c r="AG1226" t="str">
        <f>IFERROR((M1226*O1226*P1226), "NA")</f>
        <v>NA</v>
      </c>
      <c r="AH1226" t="str">
        <f>IFERROR((AG1226*T1226*AI1226), "NA")</f>
        <v>NA</v>
      </c>
      <c r="AI1226">
        <v>1</v>
      </c>
      <c r="AJ1226" t="s">
        <v>31</v>
      </c>
      <c r="AK1226">
        <v>4240</v>
      </c>
      <c r="AL1226" t="s">
        <v>238</v>
      </c>
      <c r="AM1226" t="s">
        <v>86</v>
      </c>
      <c r="AN1226" t="s">
        <v>205</v>
      </c>
      <c r="AO1226" t="s">
        <v>789</v>
      </c>
      <c r="AP1226">
        <v>3.56</v>
      </c>
      <c r="AQ1226" t="s">
        <v>33</v>
      </c>
      <c r="AR1226" t="s">
        <v>33</v>
      </c>
      <c r="AS1226" s="6">
        <f>LOG(10^8)</f>
        <v>8</v>
      </c>
      <c r="AT1226" s="3">
        <f>IFERROR(AS1226-AU1226,"NA")</f>
        <v>6.12</v>
      </c>
      <c r="AU1226" s="6">
        <v>1.88</v>
      </c>
      <c r="AV1226" t="b">
        <v>1</v>
      </c>
      <c r="AW1226" t="s">
        <v>123</v>
      </c>
      <c r="AX1226" t="s">
        <v>393</v>
      </c>
      <c r="AY1226" t="s">
        <v>394</v>
      </c>
      <c r="AZ1226" t="s">
        <v>33</v>
      </c>
      <c r="BA1226" s="18" t="s">
        <v>579</v>
      </c>
      <c r="BB1226" t="b">
        <v>1</v>
      </c>
      <c r="BC1226" t="s">
        <v>81</v>
      </c>
      <c r="BD1226">
        <v>72</v>
      </c>
      <c r="BE1226" t="s">
        <v>80</v>
      </c>
      <c r="BF1226" s="11">
        <v>72</v>
      </c>
      <c r="BG1226" t="s">
        <v>395</v>
      </c>
      <c r="BH1226" t="s">
        <v>31</v>
      </c>
      <c r="BI1226" t="s">
        <v>31</v>
      </c>
      <c r="BJ1226" s="3">
        <f t="shared" si="620"/>
        <v>1.88</v>
      </c>
      <c r="BK1226" s="3">
        <f t="shared" si="619"/>
        <v>0.27415784926367981</v>
      </c>
      <c r="BL1226">
        <v>2</v>
      </c>
      <c r="BM1226" s="3">
        <f t="shared" si="621"/>
        <v>2.483541775824059</v>
      </c>
      <c r="BN1226" t="s">
        <v>33</v>
      </c>
      <c r="BO1226" s="3">
        <f t="shared" si="632"/>
        <v>304.468085106383</v>
      </c>
      <c r="BP1226" t="s">
        <v>33</v>
      </c>
      <c r="BQ1226" t="s">
        <v>33</v>
      </c>
      <c r="BR1226" t="s">
        <v>33</v>
      </c>
      <c r="BS1226" t="s">
        <v>33</v>
      </c>
      <c r="BT1226" t="s">
        <v>31</v>
      </c>
      <c r="BU1226" t="s">
        <v>240</v>
      </c>
      <c r="BV1226">
        <v>2005</v>
      </c>
      <c r="BW1226" t="s">
        <v>396</v>
      </c>
      <c r="BX1226" t="s">
        <v>78</v>
      </c>
      <c r="BY1226" t="s">
        <v>33</v>
      </c>
      <c r="BZ1226" t="s">
        <v>33</v>
      </c>
      <c r="CA1226" t="str">
        <f t="shared" si="633"/>
        <v>high acid</v>
      </c>
    </row>
    <row r="1227" spans="1:79">
      <c r="A1227" t="s">
        <v>589</v>
      </c>
      <c r="B1227" t="s">
        <v>566</v>
      </c>
      <c r="C1227" t="s">
        <v>563</v>
      </c>
      <c r="D1227" t="s">
        <v>33</v>
      </c>
      <c r="E1227" t="s">
        <v>77</v>
      </c>
      <c r="F1227" t="s">
        <v>33</v>
      </c>
      <c r="G1227" t="s">
        <v>33</v>
      </c>
      <c r="H1227">
        <v>35</v>
      </c>
      <c r="I1227" t="b">
        <v>0</v>
      </c>
      <c r="J1227" t="s">
        <v>33</v>
      </c>
      <c r="K1227" t="s">
        <v>33</v>
      </c>
      <c r="L1227">
        <v>19</v>
      </c>
      <c r="M1227" s="4">
        <v>1</v>
      </c>
      <c r="N1227" t="e">
        <f>(#REF!*Y1227)/(T1227*X1227*O1227)</f>
        <v>#REF!</v>
      </c>
      <c r="O1227">
        <v>2</v>
      </c>
      <c r="P1227" t="s">
        <v>33</v>
      </c>
      <c r="Q1227" s="1">
        <f t="shared" si="634"/>
        <v>48.1</v>
      </c>
      <c r="R1227" t="s">
        <v>183</v>
      </c>
      <c r="S1227" t="s">
        <v>613</v>
      </c>
      <c r="T1227">
        <v>1</v>
      </c>
      <c r="U1227">
        <v>2.5</v>
      </c>
      <c r="V1227" t="s">
        <v>33</v>
      </c>
      <c r="W1227">
        <v>0.50249999999999995</v>
      </c>
      <c r="X1227">
        <f>W1227</f>
        <v>0.50249999999999995</v>
      </c>
      <c r="Y1227" t="s">
        <v>33</v>
      </c>
      <c r="Z1227" s="3">
        <f>IFERROR(X1227*M1227*O1227*T1227*AI1227/AF1227, "NA")</f>
        <v>1.0446985446985446E-2</v>
      </c>
      <c r="AA1227" t="s">
        <v>33</v>
      </c>
      <c r="AB1227">
        <f>IFERROR(((X1227*M1227)/Z1227), "NA")</f>
        <v>48.1</v>
      </c>
      <c r="AC1227" s="1" t="str">
        <f t="shared" si="622"/>
        <v>NA</v>
      </c>
      <c r="AE1227" s="3">
        <f t="shared" si="623"/>
        <v>69.456400000000002</v>
      </c>
      <c r="AF1227">
        <v>96.2</v>
      </c>
      <c r="AG1227" s="1" t="str">
        <f>IFERROR((N1227*P1227*Q1227), "NA")</f>
        <v>NA</v>
      </c>
      <c r="AH1227" s="1" t="str">
        <f>IFERROR((AG1227*U1227*AI1227), "NA")</f>
        <v>NA</v>
      </c>
      <c r="AI1227" s="1">
        <v>1</v>
      </c>
      <c r="AJ1227" s="11" t="s">
        <v>31</v>
      </c>
      <c r="AK1227">
        <v>2000</v>
      </c>
      <c r="AL1227" t="s">
        <v>616</v>
      </c>
      <c r="AM1227" s="3" t="s">
        <v>103</v>
      </c>
      <c r="AN1227" t="s">
        <v>130</v>
      </c>
      <c r="AO1227" t="s">
        <v>795</v>
      </c>
      <c r="AP1227">
        <v>7</v>
      </c>
      <c r="AQ1227" t="s">
        <v>33</v>
      </c>
      <c r="AR1227" t="s">
        <v>33</v>
      </c>
      <c r="AS1227">
        <v>9</v>
      </c>
      <c r="AT1227">
        <f>AS1227-AU1227</f>
        <v>6.12</v>
      </c>
      <c r="AU1227" s="6">
        <v>2.88</v>
      </c>
      <c r="AV1227" t="b">
        <v>1</v>
      </c>
      <c r="AW1227" t="s">
        <v>617</v>
      </c>
      <c r="AX1227" t="s">
        <v>33</v>
      </c>
      <c r="AY1227" t="s">
        <v>628</v>
      </c>
      <c r="AZ1227" t="s">
        <v>619</v>
      </c>
      <c r="BA1227" s="18" t="s">
        <v>802</v>
      </c>
      <c r="BB1227" s="3" t="b">
        <v>0</v>
      </c>
      <c r="BC1227" t="s">
        <v>81</v>
      </c>
      <c r="BD1227">
        <v>24</v>
      </c>
      <c r="BE1227" t="s">
        <v>80</v>
      </c>
      <c r="BF1227">
        <v>24</v>
      </c>
      <c r="BG1227" t="s">
        <v>644</v>
      </c>
      <c r="BH1227" t="s">
        <v>31</v>
      </c>
      <c r="BI1227" t="s">
        <v>31</v>
      </c>
      <c r="BJ1227">
        <f t="shared" si="620"/>
        <v>2.88</v>
      </c>
      <c r="BK1227" s="3">
        <f t="shared" si="619"/>
        <v>0.45939248775923086</v>
      </c>
      <c r="BL1227">
        <v>2</v>
      </c>
      <c r="BM1227" s="3">
        <f t="shared" si="621"/>
        <v>1.3823197818482214</v>
      </c>
      <c r="BN1227" t="s">
        <v>33</v>
      </c>
      <c r="BO1227" s="3">
        <f t="shared" si="632"/>
        <v>24.116805555555558</v>
      </c>
      <c r="BP1227" t="s">
        <v>33</v>
      </c>
      <c r="BQ1227" t="s">
        <v>33</v>
      </c>
      <c r="BR1227" t="s">
        <v>33</v>
      </c>
      <c r="BS1227" t="s">
        <v>33</v>
      </c>
      <c r="BT1227" t="s">
        <v>31</v>
      </c>
      <c r="BU1227" s="15" t="s">
        <v>655</v>
      </c>
      <c r="BV1227">
        <v>2003</v>
      </c>
      <c r="BW1227" t="s">
        <v>656</v>
      </c>
      <c r="BX1227" t="s">
        <v>78</v>
      </c>
      <c r="BY1227" s="13" t="s">
        <v>677</v>
      </c>
      <c r="CA1227" t="str">
        <f t="shared" si="633"/>
        <v>low acid</v>
      </c>
    </row>
    <row r="1228" spans="1:79">
      <c r="A1228" t="s">
        <v>589</v>
      </c>
      <c r="B1228" t="s">
        <v>566</v>
      </c>
      <c r="C1228" t="s">
        <v>563</v>
      </c>
      <c r="D1228" t="s">
        <v>33</v>
      </c>
      <c r="E1228" t="s">
        <v>77</v>
      </c>
      <c r="F1228" t="s">
        <v>33</v>
      </c>
      <c r="G1228" t="s">
        <v>33</v>
      </c>
      <c r="H1228">
        <v>35</v>
      </c>
      <c r="I1228" t="b">
        <v>0</v>
      </c>
      <c r="J1228" t="s">
        <v>33</v>
      </c>
      <c r="K1228" t="s">
        <v>33</v>
      </c>
      <c r="L1228">
        <v>22</v>
      </c>
      <c r="M1228" s="4">
        <v>1</v>
      </c>
      <c r="N1228" t="e">
        <f>(#REF!*Y1228)/(T1228*X1228*O1228)</f>
        <v>#REF!</v>
      </c>
      <c r="O1228">
        <v>2</v>
      </c>
      <c r="P1228" t="s">
        <v>33</v>
      </c>
      <c r="Q1228" s="1">
        <f t="shared" si="634"/>
        <v>15.5</v>
      </c>
      <c r="R1228" t="s">
        <v>183</v>
      </c>
      <c r="S1228" t="s">
        <v>613</v>
      </c>
      <c r="T1228">
        <v>1</v>
      </c>
      <c r="U1228">
        <v>2.5</v>
      </c>
      <c r="V1228" t="s">
        <v>33</v>
      </c>
      <c r="W1228">
        <v>0.50249999999999995</v>
      </c>
      <c r="X1228">
        <f>W1228</f>
        <v>0.50249999999999995</v>
      </c>
      <c r="Y1228" t="s">
        <v>33</v>
      </c>
      <c r="Z1228" s="3">
        <f>IFERROR(X1228*M1228*O1228*T1228*AI1228/AF1228, "NA")</f>
        <v>3.2419354838709676E-2</v>
      </c>
      <c r="AA1228" t="s">
        <v>33</v>
      </c>
      <c r="AB1228">
        <f>IFERROR(((X1228*M1228)/Z1228), "NA")</f>
        <v>15.5</v>
      </c>
      <c r="AC1228" s="1" t="str">
        <f t="shared" si="622"/>
        <v>NA</v>
      </c>
      <c r="AE1228" s="3">
        <f t="shared" si="623"/>
        <v>30.007999999999999</v>
      </c>
      <c r="AF1228">
        <v>31</v>
      </c>
      <c r="AG1228" s="1" t="str">
        <f>IFERROR((N1228*P1228*Q1228), "NA")</f>
        <v>NA</v>
      </c>
      <c r="AH1228" s="1" t="str">
        <f>IFERROR((AG1228*U1228*AI1228), "NA")</f>
        <v>NA</v>
      </c>
      <c r="AI1228" s="1">
        <v>1</v>
      </c>
      <c r="AJ1228" s="11" t="s">
        <v>31</v>
      </c>
      <c r="AK1228">
        <v>2000</v>
      </c>
      <c r="AL1228" t="s">
        <v>616</v>
      </c>
      <c r="AM1228" s="3" t="s">
        <v>103</v>
      </c>
      <c r="AN1228" t="s">
        <v>130</v>
      </c>
      <c r="AO1228" t="s">
        <v>795</v>
      </c>
      <c r="AP1228">
        <v>7</v>
      </c>
      <c r="AQ1228" t="s">
        <v>33</v>
      </c>
      <c r="AR1228" t="s">
        <v>33</v>
      </c>
      <c r="AS1228">
        <v>9</v>
      </c>
      <c r="AT1228">
        <f>AS1228-AU1228</f>
        <v>6.12</v>
      </c>
      <c r="AU1228" s="6">
        <v>2.88</v>
      </c>
      <c r="AV1228" t="b">
        <v>1</v>
      </c>
      <c r="AW1228" t="s">
        <v>617</v>
      </c>
      <c r="AX1228" t="s">
        <v>33</v>
      </c>
      <c r="AY1228" t="s">
        <v>628</v>
      </c>
      <c r="AZ1228" t="s">
        <v>619</v>
      </c>
      <c r="BA1228" s="18" t="s">
        <v>802</v>
      </c>
      <c r="BB1228" s="3" t="b">
        <v>0</v>
      </c>
      <c r="BC1228" t="s">
        <v>81</v>
      </c>
      <c r="BD1228">
        <v>24</v>
      </c>
      <c r="BE1228" t="s">
        <v>80</v>
      </c>
      <c r="BF1228">
        <v>24</v>
      </c>
      <c r="BG1228" t="s">
        <v>644</v>
      </c>
      <c r="BH1228" t="s">
        <v>31</v>
      </c>
      <c r="BI1228" t="s">
        <v>31</v>
      </c>
      <c r="BJ1228">
        <f t="shared" si="620"/>
        <v>2.88</v>
      </c>
      <c r="BK1228" s="3">
        <f t="shared" si="619"/>
        <v>0.45939248775923086</v>
      </c>
      <c r="BL1228">
        <v>2</v>
      </c>
      <c r="BM1228" s="3">
        <f t="shared" si="621"/>
        <v>1.0178445633834354</v>
      </c>
      <c r="BN1228" t="s">
        <v>33</v>
      </c>
      <c r="BO1228" s="3">
        <f t="shared" si="632"/>
        <v>10.419444444444444</v>
      </c>
      <c r="BP1228" t="s">
        <v>33</v>
      </c>
      <c r="BQ1228" t="s">
        <v>33</v>
      </c>
      <c r="BR1228" t="s">
        <v>33</v>
      </c>
      <c r="BS1228" t="s">
        <v>33</v>
      </c>
      <c r="BT1228" t="s">
        <v>31</v>
      </c>
      <c r="BU1228" s="15" t="s">
        <v>655</v>
      </c>
      <c r="BV1228">
        <v>2003</v>
      </c>
      <c r="BW1228" t="s">
        <v>656</v>
      </c>
      <c r="BX1228" t="s">
        <v>78</v>
      </c>
      <c r="BY1228" s="13" t="s">
        <v>677</v>
      </c>
      <c r="CA1228" t="str">
        <f t="shared" si="633"/>
        <v>low acid</v>
      </c>
    </row>
    <row r="1229" spans="1:79">
      <c r="A1229" t="s">
        <v>325</v>
      </c>
      <c r="B1229" t="s">
        <v>565</v>
      </c>
      <c r="C1229" t="s">
        <v>563</v>
      </c>
      <c r="D1229" t="s">
        <v>304</v>
      </c>
      <c r="E1229" t="s">
        <v>77</v>
      </c>
      <c r="F1229" t="s">
        <v>32</v>
      </c>
      <c r="G1229">
        <v>30</v>
      </c>
      <c r="H1229">
        <v>31.5</v>
      </c>
      <c r="I1229" t="b">
        <v>1</v>
      </c>
      <c r="J1229">
        <v>12600</v>
      </c>
      <c r="K1229">
        <v>50.4</v>
      </c>
      <c r="L1229">
        <v>22.6</v>
      </c>
      <c r="M1229" s="4">
        <v>394</v>
      </c>
      <c r="N1229" s="3">
        <f>IFERROR(AF1229/((T1229*X1229/Y1229)*O1229*AI1229),"NA")</f>
        <v>395.28678676418434</v>
      </c>
      <c r="O1229">
        <v>2</v>
      </c>
      <c r="P1229">
        <v>2.4E-2</v>
      </c>
      <c r="Q1229" s="8">
        <f t="shared" si="634"/>
        <v>2.4111675126903556E-2</v>
      </c>
      <c r="R1229" t="s">
        <v>183</v>
      </c>
      <c r="S1229" t="s">
        <v>612</v>
      </c>
      <c r="T1229" s="11">
        <v>1</v>
      </c>
      <c r="U1229">
        <v>3.4</v>
      </c>
      <c r="V1229">
        <v>3</v>
      </c>
      <c r="W1229">
        <v>2.4E-2</v>
      </c>
      <c r="X1229" s="8">
        <f>IFERROR(((PI())*(((V1229*10^-1)/2)^2)*(U1229*10^-1)), "NA")</f>
        <v>2.4033183799961926E-2</v>
      </c>
      <c r="Y1229" s="6">
        <f>1</f>
        <v>1</v>
      </c>
      <c r="Z1229" s="3">
        <f>IFERROR(X1229*M1229*O1229*T1229*AI1229/AF1229, "NA")</f>
        <v>0.99674467549315771</v>
      </c>
      <c r="AA1229">
        <v>9.5</v>
      </c>
      <c r="AB1229" s="6">
        <f>IFERROR(((X1229*M1229)/Z1229), "NA")</f>
        <v>9.5</v>
      </c>
      <c r="AC1229">
        <f t="shared" si="622"/>
        <v>9.4559999999999995</v>
      </c>
      <c r="AD1229" s="4">
        <f>IFERROR(AB1229*T1229*AI1229, "NA")</f>
        <v>9.5</v>
      </c>
      <c r="AE1229" s="3">
        <f t="shared" si="623"/>
        <v>9.7044400000000035</v>
      </c>
      <c r="AF1229">
        <v>19</v>
      </c>
      <c r="AG1229">
        <f>IFERROR((M1229*O1229*P1229), "NA")</f>
        <v>18.911999999999999</v>
      </c>
      <c r="AH1229">
        <f>IFERROR((AG1229*T1229*AI1229), "NA")</f>
        <v>18.911999999999999</v>
      </c>
      <c r="AI1229" s="11">
        <v>1</v>
      </c>
      <c r="AJ1229" t="s">
        <v>31</v>
      </c>
      <c r="AK1229">
        <v>1000</v>
      </c>
      <c r="AL1229" t="s">
        <v>169</v>
      </c>
      <c r="AM1229" t="s">
        <v>103</v>
      </c>
      <c r="AN1229" t="s">
        <v>305</v>
      </c>
      <c r="AO1229" t="s">
        <v>790</v>
      </c>
      <c r="AP1229">
        <v>4.5</v>
      </c>
      <c r="AQ1229" t="s">
        <v>33</v>
      </c>
      <c r="AR1229" t="s">
        <v>33</v>
      </c>
      <c r="AS1229" s="6">
        <f>LOG(3*10^7)</f>
        <v>7.4771212547196626</v>
      </c>
      <c r="AT1229" s="3">
        <f>IFERROR(AS1229-AU1229,"NA")</f>
        <v>6.127121254719663</v>
      </c>
      <c r="AU1229" s="6">
        <v>1.35</v>
      </c>
      <c r="AV1229" t="b">
        <v>1</v>
      </c>
      <c r="AW1229" t="s">
        <v>123</v>
      </c>
      <c r="AX1229" t="s">
        <v>88</v>
      </c>
      <c r="AY1229" t="s">
        <v>306</v>
      </c>
      <c r="AZ1229" t="s">
        <v>33</v>
      </c>
      <c r="BA1229" s="18" t="s">
        <v>579</v>
      </c>
      <c r="BB1229" t="b">
        <v>1</v>
      </c>
      <c r="BC1229" t="s">
        <v>81</v>
      </c>
      <c r="BD1229">
        <v>48</v>
      </c>
      <c r="BE1229" t="s">
        <v>80</v>
      </c>
      <c r="BF1229" s="11">
        <v>120</v>
      </c>
      <c r="BG1229" t="s">
        <v>395</v>
      </c>
      <c r="BH1229" t="s">
        <v>31</v>
      </c>
      <c r="BI1229" t="s">
        <v>31</v>
      </c>
      <c r="BJ1229" s="3">
        <f t="shared" si="620"/>
        <v>1.35</v>
      </c>
      <c r="BK1229" s="3">
        <f t="shared" si="619"/>
        <v>0.13033376849500614</v>
      </c>
      <c r="BL1229">
        <v>2</v>
      </c>
      <c r="BM1229" s="3">
        <f t="shared" si="621"/>
        <v>0.85663671075262482</v>
      </c>
      <c r="BN1229" t="s">
        <v>33</v>
      </c>
      <c r="BO1229" s="3">
        <f t="shared" si="632"/>
        <v>7.188474074074076</v>
      </c>
      <c r="BP1229" t="s">
        <v>33</v>
      </c>
      <c r="BQ1229" t="s">
        <v>33</v>
      </c>
      <c r="BR1229" t="s">
        <v>33</v>
      </c>
      <c r="BS1229" t="s">
        <v>33</v>
      </c>
      <c r="BT1229" t="s">
        <v>32</v>
      </c>
      <c r="BU1229" t="s">
        <v>323</v>
      </c>
      <c r="BV1229">
        <v>2003</v>
      </c>
      <c r="BW1229" s="2" t="s">
        <v>322</v>
      </c>
      <c r="BX1229" t="s">
        <v>78</v>
      </c>
      <c r="BY1229" t="s">
        <v>33</v>
      </c>
      <c r="BZ1229" t="s">
        <v>33</v>
      </c>
      <c r="CA1229" t="str">
        <f t="shared" si="633"/>
        <v>high acid</v>
      </c>
    </row>
    <row r="1230" spans="1:79">
      <c r="A1230" t="s">
        <v>452</v>
      </c>
      <c r="B1230" t="s">
        <v>565</v>
      </c>
      <c r="C1230" t="s">
        <v>563</v>
      </c>
      <c r="D1230" t="s">
        <v>182</v>
      </c>
      <c r="E1230" t="s">
        <v>77</v>
      </c>
      <c r="F1230" t="s">
        <v>32</v>
      </c>
      <c r="G1230">
        <v>18</v>
      </c>
      <c r="H1230">
        <v>47</v>
      </c>
      <c r="I1230" t="b">
        <v>1</v>
      </c>
      <c r="J1230" t="s">
        <v>33</v>
      </c>
      <c r="K1230" t="s">
        <v>33</v>
      </c>
      <c r="L1230">
        <v>27</v>
      </c>
      <c r="M1230" s="4" t="s">
        <v>33</v>
      </c>
      <c r="N1230" s="3">
        <f>IFERROR(AF1230/((T1230*X1230/Y1230)*O1230*AI1230),"NA")</f>
        <v>220.85360391328314</v>
      </c>
      <c r="O1230">
        <v>10</v>
      </c>
      <c r="P1230">
        <f>0.047/2</f>
        <v>2.35E-2</v>
      </c>
      <c r="Q1230" s="8">
        <f t="shared" si="634"/>
        <v>2.3318614270936313E-2</v>
      </c>
      <c r="R1230" t="s">
        <v>183</v>
      </c>
      <c r="S1230" t="s">
        <v>613</v>
      </c>
      <c r="T1230" s="11">
        <v>2</v>
      </c>
      <c r="U1230">
        <v>5.6</v>
      </c>
      <c r="V1230">
        <v>4.5</v>
      </c>
      <c r="W1230" t="s">
        <v>33</v>
      </c>
      <c r="X1230" s="9">
        <f>IFERROR(((PI())*(((V1230*10^-1)/2)^2)*(U1230*10^-1)), "NA")</f>
        <v>8.9064151729270638E-2</v>
      </c>
      <c r="Y1230" s="6">
        <f>13750/3600</f>
        <v>3.8194444444444446</v>
      </c>
      <c r="Z1230" s="3">
        <f>IFERROR(X1230*N1230*O1230*T1230*AI1230/AF1230, "NA")</f>
        <v>3.8194444444444442</v>
      </c>
      <c r="AA1230" t="s">
        <v>33</v>
      </c>
      <c r="AB1230" s="4">
        <f>IFERROR(((X1230*N1230)/Y1230), "NA")</f>
        <v>5.1499999999999995</v>
      </c>
      <c r="AC1230" s="4">
        <f>IFERROR(N1230*P1230,"NA")</f>
        <v>5.190059691962154</v>
      </c>
      <c r="AD1230" s="4">
        <f>IFERROR(AB1230*T1230*AI1230, "NA")</f>
        <v>10.299999999999999</v>
      </c>
      <c r="AE1230" s="3">
        <f>IFERROR(((L1230^2)*N1230*O1230*AK1230*10^-6*Q1230*T1230*AI1230), "NA")</f>
        <v>172.70010000000002</v>
      </c>
      <c r="AF1230">
        <v>103</v>
      </c>
      <c r="AG1230" s="4">
        <f>IFERROR((N1230*O1230*P1230), "NA")</f>
        <v>51.900596919621535</v>
      </c>
      <c r="AH1230" s="4">
        <f>IFERROR((AG1230*T1230*AI1230), "NA")</f>
        <v>103.80119383924307</v>
      </c>
      <c r="AI1230" s="11">
        <v>1</v>
      </c>
      <c r="AJ1230" t="s">
        <v>31</v>
      </c>
      <c r="AK1230">
        <v>2300</v>
      </c>
      <c r="AL1230" t="s">
        <v>805</v>
      </c>
      <c r="AM1230" t="s">
        <v>515</v>
      </c>
      <c r="AN1230" t="s">
        <v>205</v>
      </c>
      <c r="AO1230" t="s">
        <v>788</v>
      </c>
      <c r="AP1230">
        <v>3.68</v>
      </c>
      <c r="AQ1230" t="s">
        <v>33</v>
      </c>
      <c r="AR1230" t="s">
        <v>33</v>
      </c>
      <c r="AS1230">
        <f>LOG(10^8)</f>
        <v>8</v>
      </c>
      <c r="AT1230" s="3">
        <f>IFERROR(AS1230-AU1230,"NA")</f>
        <v>6.13</v>
      </c>
      <c r="AU1230" s="6">
        <v>1.87</v>
      </c>
      <c r="AV1230" t="b">
        <v>1</v>
      </c>
      <c r="AW1230" t="s">
        <v>123</v>
      </c>
      <c r="AX1230" t="s">
        <v>463</v>
      </c>
      <c r="AY1230" t="s">
        <v>467</v>
      </c>
      <c r="AZ1230" t="s">
        <v>33</v>
      </c>
      <c r="BA1230" s="18" t="s">
        <v>579</v>
      </c>
      <c r="BB1230" t="b">
        <v>1</v>
      </c>
      <c r="BC1230" t="s">
        <v>81</v>
      </c>
      <c r="BD1230" t="s">
        <v>33</v>
      </c>
      <c r="BE1230" t="s">
        <v>80</v>
      </c>
      <c r="BF1230" t="s">
        <v>33</v>
      </c>
      <c r="BG1230" t="s">
        <v>395</v>
      </c>
      <c r="BH1230" t="s">
        <v>31</v>
      </c>
      <c r="BI1230" t="s">
        <v>31</v>
      </c>
      <c r="BJ1230" s="3">
        <f t="shared" si="620"/>
        <v>1.87</v>
      </c>
      <c r="BK1230" s="3">
        <f t="shared" si="619"/>
        <v>0.27184160653649897</v>
      </c>
      <c r="BL1230">
        <v>2</v>
      </c>
      <c r="BM1230" s="3">
        <f t="shared" si="621"/>
        <v>1.9654509825042408</v>
      </c>
      <c r="BN1230" t="s">
        <v>33</v>
      </c>
      <c r="BO1230" s="3">
        <f t="shared" si="632"/>
        <v>92.352994652406423</v>
      </c>
      <c r="BP1230" t="s">
        <v>33</v>
      </c>
      <c r="BQ1230" t="s">
        <v>33</v>
      </c>
      <c r="BR1230" t="s">
        <v>33</v>
      </c>
      <c r="BS1230" t="s">
        <v>33</v>
      </c>
      <c r="BT1230" t="s">
        <v>32</v>
      </c>
      <c r="BU1230" t="s">
        <v>484</v>
      </c>
      <c r="BV1230">
        <v>2015</v>
      </c>
      <c r="BW1230" t="s">
        <v>485</v>
      </c>
      <c r="BX1230" t="s">
        <v>78</v>
      </c>
      <c r="BY1230" t="s">
        <v>486</v>
      </c>
      <c r="CA1230" t="str">
        <f t="shared" si="633"/>
        <v>high acid</v>
      </c>
    </row>
    <row r="1231" spans="1:79">
      <c r="A1231" t="s">
        <v>584</v>
      </c>
      <c r="B1231" t="s">
        <v>566</v>
      </c>
      <c r="C1231" t="s">
        <v>563</v>
      </c>
      <c r="D1231" t="s">
        <v>607</v>
      </c>
      <c r="E1231" t="s">
        <v>77</v>
      </c>
      <c r="F1231" t="s">
        <v>33</v>
      </c>
      <c r="G1231">
        <v>20</v>
      </c>
      <c r="H1231">
        <v>35</v>
      </c>
      <c r="I1231" t="b">
        <v>0</v>
      </c>
      <c r="J1231">
        <v>1000</v>
      </c>
      <c r="K1231">
        <v>200</v>
      </c>
      <c r="L1231">
        <v>25</v>
      </c>
      <c r="M1231" s="4">
        <v>1</v>
      </c>
      <c r="N1231" t="e">
        <f>(#REF!*Y1231)/(T1231*X1231*O1231)</f>
        <v>#REF!</v>
      </c>
      <c r="O1231">
        <v>3</v>
      </c>
      <c r="P1231" t="s">
        <v>33</v>
      </c>
      <c r="Q1231" s="1">
        <f t="shared" si="634"/>
        <v>9</v>
      </c>
      <c r="R1231" t="s">
        <v>183</v>
      </c>
      <c r="S1231" t="s">
        <v>33</v>
      </c>
      <c r="T1231">
        <v>1</v>
      </c>
      <c r="U1231">
        <v>2.5</v>
      </c>
      <c r="V1231" t="s">
        <v>33</v>
      </c>
      <c r="W1231">
        <v>0.50249999999999995</v>
      </c>
      <c r="X1231">
        <f>W1231</f>
        <v>0.50249999999999995</v>
      </c>
      <c r="Y1231" t="s">
        <v>33</v>
      </c>
      <c r="Z1231" s="3">
        <f t="shared" ref="Z1231:Z1251" si="635">IFERROR(X1231*M1231*O1231*T1231*AI1231/AF1231, "NA")</f>
        <v>5.5833333333333325E-2</v>
      </c>
      <c r="AA1231" t="s">
        <v>33</v>
      </c>
      <c r="AB1231">
        <f t="shared" ref="AB1231:AB1240" si="636">IFERROR(((X1231*M1231)/Z1231), "NA")</f>
        <v>9</v>
      </c>
      <c r="AC1231" s="1" t="str">
        <f t="shared" ref="AC1231:AC1264" si="637">IFERROR(M1231*P1231,"NA")</f>
        <v>NA</v>
      </c>
      <c r="AE1231" s="3">
        <f t="shared" ref="AE1231:AE1264" si="638">IFERROR(((L1231^2)*M1231*O1231*AK1231*10^-6*Q1231*T1231*AI1231), "NA")</f>
        <v>16.875</v>
      </c>
      <c r="AF1231">
        <v>27</v>
      </c>
      <c r="AG1231" s="1" t="str">
        <f>IFERROR((N1231*P1231*Q1231), "NA")</f>
        <v>NA</v>
      </c>
      <c r="AH1231" s="1" t="str">
        <f>IFERROR((AG1231*U1231*AI1231), "NA")</f>
        <v>NA</v>
      </c>
      <c r="AI1231" s="1">
        <v>1</v>
      </c>
      <c r="AJ1231" s="11" t="s">
        <v>31</v>
      </c>
      <c r="AK1231">
        <v>1000</v>
      </c>
      <c r="AL1231" t="s">
        <v>614</v>
      </c>
      <c r="AM1231" s="3" t="s">
        <v>103</v>
      </c>
      <c r="AN1231" t="s">
        <v>305</v>
      </c>
      <c r="AO1231" t="s">
        <v>790</v>
      </c>
      <c r="AP1231">
        <v>3.5</v>
      </c>
      <c r="AQ1231" t="s">
        <v>33</v>
      </c>
      <c r="AR1231" t="s">
        <v>33</v>
      </c>
      <c r="AS1231">
        <v>8</v>
      </c>
      <c r="AT1231">
        <f>AS1231-AU1231</f>
        <v>6.13</v>
      </c>
      <c r="AU1231" s="6">
        <v>1.87</v>
      </c>
      <c r="AV1231" t="b">
        <v>1</v>
      </c>
      <c r="AW1231" t="s">
        <v>617</v>
      </c>
      <c r="AX1231" t="s">
        <v>33</v>
      </c>
      <c r="AY1231" t="s">
        <v>623</v>
      </c>
      <c r="AZ1231" t="s">
        <v>621</v>
      </c>
      <c r="BA1231" s="18" t="s">
        <v>802</v>
      </c>
      <c r="BB1231" s="3" t="b">
        <v>0</v>
      </c>
      <c r="BC1231" t="s">
        <v>81</v>
      </c>
      <c r="BD1231">
        <v>18</v>
      </c>
      <c r="BE1231" t="s">
        <v>80</v>
      </c>
      <c r="BF1231">
        <v>24</v>
      </c>
      <c r="BG1231" t="s">
        <v>569</v>
      </c>
      <c r="BH1231" t="s">
        <v>31</v>
      </c>
      <c r="BI1231" t="s">
        <v>31</v>
      </c>
      <c r="BJ1231">
        <f t="shared" si="620"/>
        <v>1.87</v>
      </c>
      <c r="BK1231" s="3">
        <f t="shared" si="619"/>
        <v>0.27184160653649897</v>
      </c>
      <c r="BL1231">
        <v>2</v>
      </c>
      <c r="BM1231" s="3">
        <f t="shared" si="621"/>
        <v>0.95540217496656354</v>
      </c>
      <c r="BN1231" t="s">
        <v>33</v>
      </c>
      <c r="BO1231" s="3">
        <f t="shared" si="632"/>
        <v>9.0240641711229941</v>
      </c>
      <c r="BP1231" t="s">
        <v>33</v>
      </c>
      <c r="BQ1231" t="s">
        <v>33</v>
      </c>
      <c r="BR1231" t="s">
        <v>33</v>
      </c>
      <c r="BS1231" t="s">
        <v>33</v>
      </c>
      <c r="BT1231" t="s">
        <v>31</v>
      </c>
      <c r="BU1231" t="s">
        <v>255</v>
      </c>
      <c r="BV1231">
        <v>2010</v>
      </c>
      <c r="BW1231" t="s">
        <v>651</v>
      </c>
      <c r="BX1231" t="s">
        <v>78</v>
      </c>
      <c r="BY1231" s="13" t="s">
        <v>674</v>
      </c>
      <c r="CA1231" t="str">
        <f t="shared" si="633"/>
        <v>high acid</v>
      </c>
    </row>
    <row r="1232" spans="1:79">
      <c r="A1232" t="s">
        <v>258</v>
      </c>
      <c r="B1232" t="s">
        <v>565</v>
      </c>
      <c r="C1232" t="s">
        <v>563</v>
      </c>
      <c r="D1232" t="s">
        <v>118</v>
      </c>
      <c r="E1232" t="s">
        <v>77</v>
      </c>
      <c r="F1232" t="s">
        <v>32</v>
      </c>
      <c r="G1232">
        <v>5</v>
      </c>
      <c r="H1232">
        <v>40</v>
      </c>
      <c r="I1232" t="b">
        <v>0</v>
      </c>
      <c r="J1232" t="s">
        <v>33</v>
      </c>
      <c r="K1232" t="s">
        <v>33</v>
      </c>
      <c r="L1232">
        <v>35</v>
      </c>
      <c r="M1232" s="4">
        <v>100</v>
      </c>
      <c r="N1232" s="3">
        <f>IFERROR(AF1232/((T1232*X1232/Y1232)*O1232*AI1232),"NA")</f>
        <v>2361.2015298892129</v>
      </c>
      <c r="O1232">
        <v>4</v>
      </c>
      <c r="P1232" t="s">
        <v>33</v>
      </c>
      <c r="Q1232">
        <f t="shared" si="634"/>
        <v>0.15625</v>
      </c>
      <c r="R1232" t="s">
        <v>183</v>
      </c>
      <c r="S1232" t="s">
        <v>613</v>
      </c>
      <c r="T1232" s="11">
        <v>8</v>
      </c>
      <c r="U1232">
        <v>2.92</v>
      </c>
      <c r="V1232">
        <v>2.2999999999999998</v>
      </c>
      <c r="W1232">
        <v>1.21E-2</v>
      </c>
      <c r="X1232" s="8">
        <f>IFERROR(((PI())*(((V1232*10^-1)/2)^2)*(U1232*10^-1)), "NA")</f>
        <v>1.2131888350367701E-2</v>
      </c>
      <c r="Y1232" s="6">
        <f>110/60</f>
        <v>1.8333333333333333</v>
      </c>
      <c r="Z1232" s="3">
        <f t="shared" si="635"/>
        <v>7.7644085442353281E-2</v>
      </c>
      <c r="AA1232" t="s">
        <v>33</v>
      </c>
      <c r="AB1232" s="6">
        <f t="shared" si="636"/>
        <v>15.625000000000002</v>
      </c>
      <c r="AC1232" t="str">
        <f t="shared" si="637"/>
        <v>NA</v>
      </c>
      <c r="AD1232" s="4">
        <f>AB1232*T1232*AI1232</f>
        <v>125.00000000000001</v>
      </c>
      <c r="AE1232" s="3">
        <f t="shared" si="638"/>
        <v>1335.25</v>
      </c>
      <c r="AF1232">
        <v>500</v>
      </c>
      <c r="AG1232" t="str">
        <f>IFERROR((M1232*O1232*P1232), "NA")</f>
        <v>NA</v>
      </c>
      <c r="AH1232" t="str">
        <f>IFERROR((AG1232*T1232*AI1232), "NA")</f>
        <v>NA</v>
      </c>
      <c r="AI1232">
        <v>1</v>
      </c>
      <c r="AJ1232" t="s">
        <v>31</v>
      </c>
      <c r="AK1232">
        <v>2180</v>
      </c>
      <c r="AL1232" t="s">
        <v>149</v>
      </c>
      <c r="AM1232" t="s">
        <v>86</v>
      </c>
      <c r="AN1232" t="s">
        <v>205</v>
      </c>
      <c r="AO1232" t="s">
        <v>789</v>
      </c>
      <c r="AP1232">
        <v>4.46</v>
      </c>
      <c r="AQ1232" t="s">
        <v>33</v>
      </c>
      <c r="AR1232" t="s">
        <v>33</v>
      </c>
      <c r="AS1232" s="6">
        <f>LOG((10^7+10^8)/2)</f>
        <v>7.7403626894942441</v>
      </c>
      <c r="AT1232" s="3">
        <f>IFERROR(AS1232-AU1232,"NA")</f>
        <v>6.1323626894942436</v>
      </c>
      <c r="AU1232" s="6">
        <v>1.6080000000000001</v>
      </c>
      <c r="AV1232" t="b">
        <v>1</v>
      </c>
      <c r="AW1232" t="s">
        <v>29</v>
      </c>
      <c r="AX1232" t="s">
        <v>30</v>
      </c>
      <c r="AY1232" t="s">
        <v>33</v>
      </c>
      <c r="AZ1232" t="s">
        <v>134</v>
      </c>
      <c r="BA1232" s="18" t="s">
        <v>798</v>
      </c>
      <c r="BB1232" t="b">
        <v>0</v>
      </c>
      <c r="BC1232" t="s">
        <v>81</v>
      </c>
      <c r="BD1232">
        <v>15</v>
      </c>
      <c r="BE1232" t="s">
        <v>80</v>
      </c>
      <c r="BF1232" s="11">
        <v>24</v>
      </c>
      <c r="BG1232" t="s">
        <v>262</v>
      </c>
      <c r="BH1232" t="s">
        <v>31</v>
      </c>
      <c r="BI1232" t="s">
        <v>31</v>
      </c>
      <c r="BJ1232" s="3">
        <f t="shared" si="620"/>
        <v>1.6080000000000001</v>
      </c>
      <c r="BK1232" s="3">
        <f t="shared" si="619"/>
        <v>0.20628604441243248</v>
      </c>
      <c r="BL1232">
        <v>2</v>
      </c>
      <c r="BM1232" s="3">
        <f t="shared" ref="BM1232:BM1266" si="639">IFERROR(LOG(BO1232),"NA")</f>
        <v>2.9192765422287423</v>
      </c>
      <c r="BN1232" t="s">
        <v>33</v>
      </c>
      <c r="BO1232" s="3">
        <f t="shared" si="632"/>
        <v>830.37935323383078</v>
      </c>
      <c r="BP1232" t="s">
        <v>33</v>
      </c>
      <c r="BQ1232" t="s">
        <v>33</v>
      </c>
      <c r="BR1232" t="s">
        <v>33</v>
      </c>
      <c r="BS1232" t="s">
        <v>33</v>
      </c>
      <c r="BT1232" t="s">
        <v>31</v>
      </c>
      <c r="BU1232" t="s">
        <v>219</v>
      </c>
      <c r="BV1232">
        <v>2008</v>
      </c>
      <c r="BW1232" s="2" t="s">
        <v>257</v>
      </c>
      <c r="BX1232" t="s">
        <v>78</v>
      </c>
      <c r="BY1232" t="s">
        <v>33</v>
      </c>
      <c r="BZ1232" t="s">
        <v>33</v>
      </c>
      <c r="CA1232" t="str">
        <f t="shared" si="633"/>
        <v>high acid</v>
      </c>
    </row>
    <row r="1233" spans="1:79">
      <c r="A1233" t="s">
        <v>237</v>
      </c>
      <c r="B1233" t="s">
        <v>565</v>
      </c>
      <c r="C1233" t="s">
        <v>563</v>
      </c>
      <c r="D1233" t="s">
        <v>118</v>
      </c>
      <c r="E1233" t="s">
        <v>77</v>
      </c>
      <c r="F1233" t="s">
        <v>32</v>
      </c>
      <c r="G1233">
        <v>4</v>
      </c>
      <c r="H1233">
        <v>32.5</v>
      </c>
      <c r="I1233" t="b">
        <v>0</v>
      </c>
      <c r="J1233" t="s">
        <v>33</v>
      </c>
      <c r="K1233" t="s">
        <v>33</v>
      </c>
      <c r="L1233">
        <v>35</v>
      </c>
      <c r="M1233" s="4">
        <v>200</v>
      </c>
      <c r="N1233" s="3">
        <f>IFERROR(AF1233/((T1233*X1233/Y1233)*O1233*AI1233),"NA")</f>
        <v>386.37843216368935</v>
      </c>
      <c r="O1233">
        <v>4</v>
      </c>
      <c r="P1233" t="s">
        <v>33</v>
      </c>
      <c r="Q1233" s="9">
        <f t="shared" si="634"/>
        <v>2.3437499999999997E-2</v>
      </c>
      <c r="R1233" t="s">
        <v>183</v>
      </c>
      <c r="S1233" t="s">
        <v>613</v>
      </c>
      <c r="T1233" s="11">
        <v>8</v>
      </c>
      <c r="U1233">
        <v>2.92</v>
      </c>
      <c r="V1233">
        <v>2.2999999999999998</v>
      </c>
      <c r="W1233">
        <v>1.2E-2</v>
      </c>
      <c r="X1233" s="8">
        <f>IFERROR(((PI())*(((V1233*10^-1)/2)^2)*(U1233*10^-1)), "NA")</f>
        <v>1.2131888350367701E-2</v>
      </c>
      <c r="Y1233" s="6">
        <f>60/60</f>
        <v>1</v>
      </c>
      <c r="Z1233" s="3">
        <f t="shared" si="635"/>
        <v>0.5176272362823553</v>
      </c>
      <c r="AA1233" t="s">
        <v>33</v>
      </c>
      <c r="AB1233" s="6">
        <f t="shared" si="636"/>
        <v>4.6874999999999991</v>
      </c>
      <c r="AC1233" t="str">
        <f t="shared" si="637"/>
        <v>NA</v>
      </c>
      <c r="AD1233" s="4">
        <f>AB1233*T1233*AI1233</f>
        <v>37.499999999999993</v>
      </c>
      <c r="AE1233" s="3">
        <f t="shared" si="638"/>
        <v>779.0999999999998</v>
      </c>
      <c r="AF1233">
        <v>150</v>
      </c>
      <c r="AG1233" t="str">
        <f>IFERROR((M1233*O1233*P1233), "NA")</f>
        <v>NA</v>
      </c>
      <c r="AH1233" t="str">
        <f>IFERROR((AG1233*T1233*AI1233), "NA")</f>
        <v>NA</v>
      </c>
      <c r="AI1233">
        <v>1</v>
      </c>
      <c r="AJ1233" t="s">
        <v>31</v>
      </c>
      <c r="AK1233">
        <v>4240</v>
      </c>
      <c r="AL1233" t="s">
        <v>238</v>
      </c>
      <c r="AM1233" t="s">
        <v>86</v>
      </c>
      <c r="AN1233" t="s">
        <v>205</v>
      </c>
      <c r="AO1233" t="s">
        <v>789</v>
      </c>
      <c r="AP1233">
        <v>3.56</v>
      </c>
      <c r="AQ1233" t="s">
        <v>33</v>
      </c>
      <c r="AR1233" t="s">
        <v>33</v>
      </c>
      <c r="AS1233">
        <f>LOG(10^8)</f>
        <v>8</v>
      </c>
      <c r="AT1233" s="3">
        <f>IFERROR(AS1233-AU1233,"NA")</f>
        <v>6.1390000000000002</v>
      </c>
      <c r="AU1233" s="6">
        <v>1.861</v>
      </c>
      <c r="AV1233" t="b">
        <v>1</v>
      </c>
      <c r="AW1233" t="s">
        <v>172</v>
      </c>
      <c r="AX1233" t="s">
        <v>173</v>
      </c>
      <c r="AY1233" t="s">
        <v>239</v>
      </c>
      <c r="AZ1233" t="s">
        <v>33</v>
      </c>
      <c r="BA1233" s="18" t="s">
        <v>799</v>
      </c>
      <c r="BB1233" t="b">
        <v>0</v>
      </c>
      <c r="BC1233" t="s">
        <v>81</v>
      </c>
      <c r="BD1233">
        <v>48</v>
      </c>
      <c r="BE1233" t="s">
        <v>80</v>
      </c>
      <c r="BF1233" s="11">
        <v>120</v>
      </c>
      <c r="BG1233" t="s">
        <v>571</v>
      </c>
      <c r="BH1233" t="s">
        <v>31</v>
      </c>
      <c r="BI1233" t="s">
        <v>31</v>
      </c>
      <c r="BJ1233" s="3">
        <f t="shared" si="620"/>
        <v>1.861</v>
      </c>
      <c r="BK1233" s="3">
        <f t="shared" si="619"/>
        <v>0.26974637313076699</v>
      </c>
      <c r="BL1233">
        <v>2</v>
      </c>
      <c r="BM1233" s="3">
        <f t="shared" si="639"/>
        <v>2.6218468312181979</v>
      </c>
      <c r="BN1233" t="s">
        <v>33</v>
      </c>
      <c r="BO1233" s="3">
        <f t="shared" si="632"/>
        <v>418.64588930682419</v>
      </c>
      <c r="BP1233" t="s">
        <v>33</v>
      </c>
      <c r="BQ1233" t="s">
        <v>33</v>
      </c>
      <c r="BR1233" t="s">
        <v>33</v>
      </c>
      <c r="BS1233" t="s">
        <v>33</v>
      </c>
      <c r="BT1233" t="s">
        <v>31</v>
      </c>
      <c r="BU1233" t="s">
        <v>240</v>
      </c>
      <c r="BV1233">
        <v>2004</v>
      </c>
      <c r="BW1233" t="s">
        <v>241</v>
      </c>
      <c r="BX1233" t="s">
        <v>78</v>
      </c>
      <c r="BY1233" t="s">
        <v>33</v>
      </c>
      <c r="BZ1233" t="s">
        <v>33</v>
      </c>
      <c r="CA1233" t="str">
        <f t="shared" si="633"/>
        <v>high acid</v>
      </c>
    </row>
    <row r="1234" spans="1:79">
      <c r="A1234" t="s">
        <v>600</v>
      </c>
      <c r="B1234" t="s">
        <v>566</v>
      </c>
      <c r="C1234" t="s">
        <v>563</v>
      </c>
      <c r="D1234" t="s">
        <v>33</v>
      </c>
      <c r="E1234" t="s">
        <v>77</v>
      </c>
      <c r="F1234" t="s">
        <v>33</v>
      </c>
      <c r="G1234" t="s">
        <v>33</v>
      </c>
      <c r="H1234">
        <v>35</v>
      </c>
      <c r="I1234" t="b">
        <v>0</v>
      </c>
      <c r="J1234" t="s">
        <v>33</v>
      </c>
      <c r="K1234" t="s">
        <v>33</v>
      </c>
      <c r="L1234">
        <v>22</v>
      </c>
      <c r="M1234" s="4">
        <v>1</v>
      </c>
      <c r="N1234" t="e">
        <f>(#REF!*Y1234)/(T1234*X1234*O1234)</f>
        <v>#REF!</v>
      </c>
      <c r="O1234">
        <v>2</v>
      </c>
      <c r="P1234" t="s">
        <v>33</v>
      </c>
      <c r="Q1234" s="1">
        <f t="shared" si="634"/>
        <v>100.00000000000001</v>
      </c>
      <c r="R1234" t="s">
        <v>183</v>
      </c>
      <c r="S1234" t="s">
        <v>33</v>
      </c>
      <c r="T1234">
        <v>1</v>
      </c>
      <c r="U1234">
        <v>2.5</v>
      </c>
      <c r="V1234" t="s">
        <v>33</v>
      </c>
      <c r="W1234">
        <v>0.50249999999999995</v>
      </c>
      <c r="X1234">
        <f>W1234</f>
        <v>0.50249999999999995</v>
      </c>
      <c r="Y1234" t="s">
        <v>33</v>
      </c>
      <c r="Z1234" s="3">
        <f t="shared" si="635"/>
        <v>5.0249999999999991E-3</v>
      </c>
      <c r="AA1234" t="s">
        <v>33</v>
      </c>
      <c r="AB1234">
        <f t="shared" si="636"/>
        <v>100.00000000000001</v>
      </c>
      <c r="AC1234" s="1" t="str">
        <f t="shared" si="637"/>
        <v>NA</v>
      </c>
      <c r="AE1234" s="3">
        <f t="shared" si="638"/>
        <v>193.60000000000002</v>
      </c>
      <c r="AF1234">
        <v>200</v>
      </c>
      <c r="AG1234" s="1" t="str">
        <f>IFERROR((N1234*P1234*Q1234), "NA")</f>
        <v>NA</v>
      </c>
      <c r="AH1234" s="1" t="str">
        <f>IFERROR((AG1234*U1234*AI1234), "NA")</f>
        <v>NA</v>
      </c>
      <c r="AI1234" s="1">
        <v>1</v>
      </c>
      <c r="AJ1234" s="11" t="s">
        <v>31</v>
      </c>
      <c r="AK1234">
        <v>2000</v>
      </c>
      <c r="AL1234" t="s">
        <v>784</v>
      </c>
      <c r="AM1234" s="3" t="s">
        <v>103</v>
      </c>
      <c r="AN1234" t="s">
        <v>130</v>
      </c>
      <c r="AO1234" t="s">
        <v>795</v>
      </c>
      <c r="AP1234">
        <v>7</v>
      </c>
      <c r="AQ1234" t="s">
        <v>33</v>
      </c>
      <c r="AR1234" t="s">
        <v>33</v>
      </c>
      <c r="AS1234">
        <v>8</v>
      </c>
      <c r="AT1234">
        <f>AS1234-AU1234</f>
        <v>6.14</v>
      </c>
      <c r="AU1234" s="6">
        <v>1.86</v>
      </c>
      <c r="AV1234" t="b">
        <v>1</v>
      </c>
      <c r="AW1234" t="s">
        <v>626</v>
      </c>
      <c r="AX1234" t="s">
        <v>627</v>
      </c>
      <c r="AY1234" t="s">
        <v>640</v>
      </c>
      <c r="AZ1234" t="s">
        <v>33</v>
      </c>
      <c r="BA1234" s="18" t="s">
        <v>800</v>
      </c>
      <c r="BB1234" s="3" t="b">
        <v>0</v>
      </c>
      <c r="BC1234" t="s">
        <v>81</v>
      </c>
      <c r="BD1234">
        <f>AVERAGE(24,30)</f>
        <v>27</v>
      </c>
      <c r="BE1234" t="s">
        <v>80</v>
      </c>
      <c r="BF1234">
        <v>24</v>
      </c>
      <c r="BG1234" t="s">
        <v>568</v>
      </c>
      <c r="BH1234" t="s">
        <v>31</v>
      </c>
      <c r="BI1234" t="s">
        <v>31</v>
      </c>
      <c r="BJ1234" s="3">
        <f t="shared" si="620"/>
        <v>1.86</v>
      </c>
      <c r="BK1234" s="3">
        <f t="shared" si="619"/>
        <v>0.26951294421791633</v>
      </c>
      <c r="BL1234">
        <v>2</v>
      </c>
      <c r="BM1234" s="3">
        <f t="shared" si="639"/>
        <v>2.0173924087544588</v>
      </c>
      <c r="BN1234" t="s">
        <v>33</v>
      </c>
      <c r="BO1234" s="3">
        <f t="shared" si="632"/>
        <v>104.08602150537635</v>
      </c>
      <c r="BP1234" t="s">
        <v>33</v>
      </c>
      <c r="BQ1234" t="s">
        <v>33</v>
      </c>
      <c r="BR1234" t="s">
        <v>33</v>
      </c>
      <c r="BS1234" t="s">
        <v>33</v>
      </c>
      <c r="BT1234" t="s">
        <v>31</v>
      </c>
      <c r="BU1234" t="s">
        <v>666</v>
      </c>
      <c r="BV1234" s="14">
        <v>2006</v>
      </c>
      <c r="BW1234" t="s">
        <v>667</v>
      </c>
      <c r="BX1234" t="s">
        <v>78</v>
      </c>
      <c r="BY1234" s="13" t="s">
        <v>688</v>
      </c>
      <c r="CA1234" t="str">
        <f t="shared" si="633"/>
        <v>low acid</v>
      </c>
    </row>
    <row r="1235" spans="1:79">
      <c r="A1235" t="s">
        <v>254</v>
      </c>
      <c r="B1235" t="s">
        <v>566</v>
      </c>
      <c r="C1235" t="s">
        <v>563</v>
      </c>
      <c r="D1235" t="s">
        <v>33</v>
      </c>
      <c r="E1235" t="s">
        <v>77</v>
      </c>
      <c r="F1235" t="s">
        <v>32</v>
      </c>
      <c r="G1235">
        <v>20</v>
      </c>
      <c r="H1235">
        <v>39.85</v>
      </c>
      <c r="I1235" t="b">
        <v>1</v>
      </c>
      <c r="J1235" t="s">
        <v>33</v>
      </c>
      <c r="K1235" t="s">
        <v>33</v>
      </c>
      <c r="L1235">
        <v>30</v>
      </c>
      <c r="M1235" s="4">
        <v>52</v>
      </c>
      <c r="N1235" s="3">
        <f>IFERROR(AF1235/((T1235*X1235/Y1235)*O1235*AI1235),"NA")</f>
        <v>14.529268497522468</v>
      </c>
      <c r="O1235">
        <v>3</v>
      </c>
      <c r="P1235" t="s">
        <v>33</v>
      </c>
      <c r="Q1235" s="8">
        <f t="shared" si="634"/>
        <v>0.22179487179487181</v>
      </c>
      <c r="R1235" t="s">
        <v>183</v>
      </c>
      <c r="S1235" t="s">
        <v>612</v>
      </c>
      <c r="T1235" s="11">
        <v>1</v>
      </c>
      <c r="U1235">
        <v>4.5</v>
      </c>
      <c r="V1235" t="s">
        <v>33</v>
      </c>
      <c r="W1235" t="s">
        <v>33</v>
      </c>
      <c r="X1235">
        <f>U1235*0.1*1.47</f>
        <v>0.66149999999999998</v>
      </c>
      <c r="Y1235" s="6">
        <f>3000/3600</f>
        <v>0.83333333333333337</v>
      </c>
      <c r="Z1235" s="3">
        <f t="shared" si="635"/>
        <v>2.9824855491329476</v>
      </c>
      <c r="AA1235" t="s">
        <v>33</v>
      </c>
      <c r="AB1235" s="6">
        <f t="shared" si="636"/>
        <v>11.533333333333333</v>
      </c>
      <c r="AC1235" t="str">
        <f t="shared" si="637"/>
        <v>NA</v>
      </c>
      <c r="AD1235" s="4">
        <f>IFERROR(AB1235*T1235*AI1235, "NA")</f>
        <v>11.533333333333333</v>
      </c>
      <c r="AE1235" s="3">
        <f t="shared" si="638"/>
        <v>84.078000000000003</v>
      </c>
      <c r="AF1235">
        <v>34.6</v>
      </c>
      <c r="AG1235" t="str">
        <f>IFERROR((M1235*O1235*P1235), "NA")</f>
        <v>NA</v>
      </c>
      <c r="AH1235" t="str">
        <f>IFERROR((AG1235*T1235*AI1235), "NA")</f>
        <v>NA</v>
      </c>
      <c r="AI1235" s="11">
        <v>1</v>
      </c>
      <c r="AJ1235" t="s">
        <v>31</v>
      </c>
      <c r="AK1235" s="11">
        <v>2700</v>
      </c>
      <c r="AL1235" t="s">
        <v>149</v>
      </c>
      <c r="AM1235" t="s">
        <v>86</v>
      </c>
      <c r="AN1235" t="s">
        <v>205</v>
      </c>
      <c r="AO1235" t="s">
        <v>789</v>
      </c>
      <c r="AP1235">
        <v>3.5</v>
      </c>
      <c r="AQ1235" t="s">
        <v>33</v>
      </c>
      <c r="AR1235" t="s">
        <v>33</v>
      </c>
      <c r="AS1235" s="6">
        <f>LOG(10^8)</f>
        <v>8</v>
      </c>
      <c r="AT1235" s="3">
        <f>IFERROR(AS1235-AU1235,"NA")</f>
        <v>6.15</v>
      </c>
      <c r="AU1235" s="6">
        <v>1.85</v>
      </c>
      <c r="AV1235" t="b">
        <v>1</v>
      </c>
      <c r="AW1235" t="s">
        <v>29</v>
      </c>
      <c r="AX1235" t="s">
        <v>30</v>
      </c>
      <c r="AY1235" t="s">
        <v>33</v>
      </c>
      <c r="AZ1235" t="s">
        <v>134</v>
      </c>
      <c r="BA1235" s="18" t="s">
        <v>798</v>
      </c>
      <c r="BB1235" t="b">
        <v>0</v>
      </c>
      <c r="BC1235" t="s">
        <v>81</v>
      </c>
      <c r="BD1235">
        <v>12</v>
      </c>
      <c r="BE1235" t="s">
        <v>80</v>
      </c>
      <c r="BF1235" s="11">
        <v>48</v>
      </c>
      <c r="BG1235" t="s">
        <v>569</v>
      </c>
      <c r="BH1235" t="s">
        <v>31</v>
      </c>
      <c r="BI1235" t="s">
        <v>31</v>
      </c>
      <c r="BJ1235" s="3">
        <f t="shared" si="620"/>
        <v>1.85</v>
      </c>
      <c r="BK1235" s="3">
        <f t="shared" si="619"/>
        <v>0.26717172840301384</v>
      </c>
      <c r="BL1235">
        <v>2</v>
      </c>
      <c r="BM1235" s="3">
        <f t="shared" si="639"/>
        <v>1.6575106439880749</v>
      </c>
      <c r="BN1235" t="s">
        <v>33</v>
      </c>
      <c r="BO1235" s="3">
        <f t="shared" si="632"/>
        <v>45.447567567567567</v>
      </c>
      <c r="BP1235" t="s">
        <v>33</v>
      </c>
      <c r="BQ1235" t="s">
        <v>33</v>
      </c>
      <c r="BR1235" t="s">
        <v>33</v>
      </c>
      <c r="BS1235" t="s">
        <v>33</v>
      </c>
      <c r="BT1235" t="s">
        <v>32</v>
      </c>
      <c r="BU1235" t="s">
        <v>255</v>
      </c>
      <c r="BV1235">
        <v>2011</v>
      </c>
      <c r="BW1235" s="2" t="s">
        <v>256</v>
      </c>
      <c r="BX1235" t="s">
        <v>78</v>
      </c>
      <c r="BY1235" t="s">
        <v>33</v>
      </c>
      <c r="BZ1235" t="s">
        <v>33</v>
      </c>
      <c r="CA1235" t="str">
        <f t="shared" si="633"/>
        <v>high acid</v>
      </c>
    </row>
    <row r="1236" spans="1:79">
      <c r="A1236" t="s">
        <v>583</v>
      </c>
      <c r="B1236" t="s">
        <v>566</v>
      </c>
      <c r="C1236" t="s">
        <v>563</v>
      </c>
      <c r="D1236" t="s">
        <v>33</v>
      </c>
      <c r="E1236" t="s">
        <v>77</v>
      </c>
      <c r="F1236" t="s">
        <v>32</v>
      </c>
      <c r="G1236" t="s">
        <v>33</v>
      </c>
      <c r="H1236">
        <v>20</v>
      </c>
      <c r="I1236" t="b">
        <v>1</v>
      </c>
      <c r="J1236" t="s">
        <v>33</v>
      </c>
      <c r="K1236" t="s">
        <v>33</v>
      </c>
      <c r="L1236">
        <v>30</v>
      </c>
      <c r="M1236" s="4">
        <v>2</v>
      </c>
      <c r="N1236" t="e">
        <f>(#REF!*Y1236)/(T1236*X1236*O1236)</f>
        <v>#REF!</v>
      </c>
      <c r="O1236">
        <v>2</v>
      </c>
      <c r="P1236" t="s">
        <v>33</v>
      </c>
      <c r="Q1236" s="1">
        <f t="shared" si="634"/>
        <v>45</v>
      </c>
      <c r="R1236" t="s">
        <v>183</v>
      </c>
      <c r="S1236" t="s">
        <v>613</v>
      </c>
      <c r="T1236">
        <v>1</v>
      </c>
      <c r="U1236">
        <v>5</v>
      </c>
      <c r="V1236" t="s">
        <v>33</v>
      </c>
      <c r="W1236">
        <v>0.71</v>
      </c>
      <c r="X1236">
        <f>W1236</f>
        <v>0.71</v>
      </c>
      <c r="Y1236">
        <v>0.1</v>
      </c>
      <c r="Z1236" s="3">
        <f t="shared" si="635"/>
        <v>1.5777777777777776E-2</v>
      </c>
      <c r="AA1236" t="s">
        <v>33</v>
      </c>
      <c r="AB1236">
        <f t="shared" si="636"/>
        <v>90</v>
      </c>
      <c r="AC1236" s="1" t="str">
        <f t="shared" si="637"/>
        <v>NA</v>
      </c>
      <c r="AE1236" s="3">
        <f t="shared" si="638"/>
        <v>761.39999999999986</v>
      </c>
      <c r="AF1236">
        <v>180</v>
      </c>
      <c r="AG1236" s="1" t="str">
        <f>IFERROR((N1236*P1236*Q1236), "NA")</f>
        <v>NA</v>
      </c>
      <c r="AH1236" s="1" t="str">
        <f>IFERROR((AG1236*U1236*AI1236), "NA")</f>
        <v>NA</v>
      </c>
      <c r="AI1236" s="1">
        <v>1</v>
      </c>
      <c r="AJ1236" s="11" t="s">
        <v>31</v>
      </c>
      <c r="AK1236">
        <v>4700</v>
      </c>
      <c r="AL1236" t="s">
        <v>562</v>
      </c>
      <c r="AM1236" s="3" t="s">
        <v>786</v>
      </c>
      <c r="AN1236" t="s">
        <v>186</v>
      </c>
      <c r="AO1236" t="s">
        <v>793</v>
      </c>
      <c r="AP1236" t="s">
        <v>33</v>
      </c>
      <c r="AQ1236" t="s">
        <v>33</v>
      </c>
      <c r="AR1236" t="s">
        <v>33</v>
      </c>
      <c r="AS1236">
        <v>8</v>
      </c>
      <c r="AT1236">
        <f>AS1236-AU1236</f>
        <v>6.15</v>
      </c>
      <c r="AU1236" s="6">
        <v>1.85</v>
      </c>
      <c r="AV1236" t="b">
        <v>1</v>
      </c>
      <c r="AW1236" t="s">
        <v>617</v>
      </c>
      <c r="AX1236" t="s">
        <v>33</v>
      </c>
      <c r="AY1236" t="s">
        <v>622</v>
      </c>
      <c r="AZ1236" t="s">
        <v>619</v>
      </c>
      <c r="BA1236" s="18" t="s">
        <v>802</v>
      </c>
      <c r="BB1236" s="3" t="b">
        <v>0</v>
      </c>
      <c r="BC1236" t="s">
        <v>81</v>
      </c>
      <c r="BD1236">
        <v>18</v>
      </c>
      <c r="BE1236" t="s">
        <v>80</v>
      </c>
      <c r="BF1236">
        <v>24</v>
      </c>
      <c r="BG1236" t="s">
        <v>696</v>
      </c>
      <c r="BH1236" t="s">
        <v>32</v>
      </c>
      <c r="BI1236" t="s">
        <v>31</v>
      </c>
      <c r="BJ1236">
        <f t="shared" si="620"/>
        <v>1.85</v>
      </c>
      <c r="BK1236" s="3">
        <f t="shared" si="619"/>
        <v>0.26717172840301384</v>
      </c>
      <c r="BL1236">
        <v>2</v>
      </c>
      <c r="BM1236" s="3">
        <f t="shared" si="639"/>
        <v>2.6144411440753346</v>
      </c>
      <c r="BN1236" t="s">
        <v>33</v>
      </c>
      <c r="BO1236" s="3">
        <f t="shared" si="632"/>
        <v>411.56756756756749</v>
      </c>
      <c r="BP1236" t="s">
        <v>33</v>
      </c>
      <c r="BQ1236" t="s">
        <v>33</v>
      </c>
      <c r="BR1236" t="s">
        <v>33</v>
      </c>
      <c r="BS1236" t="s">
        <v>33</v>
      </c>
      <c r="BT1236" t="s">
        <v>31</v>
      </c>
      <c r="BU1236" t="s">
        <v>338</v>
      </c>
      <c r="BV1236">
        <v>2005</v>
      </c>
      <c r="BW1236" t="s">
        <v>342</v>
      </c>
      <c r="BX1236" t="s">
        <v>78</v>
      </c>
      <c r="BY1236" s="13" t="s">
        <v>673</v>
      </c>
      <c r="CA1236" t="str">
        <f t="shared" si="633"/>
        <v>low acid</v>
      </c>
    </row>
    <row r="1237" spans="1:79">
      <c r="A1237" t="s">
        <v>584</v>
      </c>
      <c r="B1237" t="s">
        <v>566</v>
      </c>
      <c r="C1237" t="s">
        <v>563</v>
      </c>
      <c r="D1237" t="s">
        <v>607</v>
      </c>
      <c r="E1237" t="s">
        <v>77</v>
      </c>
      <c r="F1237" t="s">
        <v>33</v>
      </c>
      <c r="G1237">
        <v>20</v>
      </c>
      <c r="H1237">
        <v>35</v>
      </c>
      <c r="I1237" t="b">
        <v>0</v>
      </c>
      <c r="J1237">
        <v>1000</v>
      </c>
      <c r="K1237">
        <v>200</v>
      </c>
      <c r="L1237">
        <v>15</v>
      </c>
      <c r="M1237" s="4">
        <v>1</v>
      </c>
      <c r="N1237" t="e">
        <f>(#REF!*Y1237)/(T1237*X1237*O1237)</f>
        <v>#REF!</v>
      </c>
      <c r="O1237">
        <v>3</v>
      </c>
      <c r="P1237" t="s">
        <v>33</v>
      </c>
      <c r="Q1237" s="1">
        <f t="shared" si="634"/>
        <v>100.00000000000001</v>
      </c>
      <c r="R1237" t="s">
        <v>183</v>
      </c>
      <c r="S1237" t="s">
        <v>33</v>
      </c>
      <c r="T1237">
        <v>1</v>
      </c>
      <c r="U1237">
        <v>2.5</v>
      </c>
      <c r="V1237" t="s">
        <v>33</v>
      </c>
      <c r="W1237">
        <v>0.50249999999999995</v>
      </c>
      <c r="X1237">
        <f>W1237</f>
        <v>0.50249999999999995</v>
      </c>
      <c r="Y1237" t="s">
        <v>33</v>
      </c>
      <c r="Z1237" s="3">
        <f t="shared" si="635"/>
        <v>5.0249999999999991E-3</v>
      </c>
      <c r="AA1237" t="s">
        <v>33</v>
      </c>
      <c r="AB1237">
        <f t="shared" si="636"/>
        <v>100.00000000000001</v>
      </c>
      <c r="AC1237" s="1" t="str">
        <f t="shared" si="637"/>
        <v>NA</v>
      </c>
      <c r="AE1237" s="3">
        <f t="shared" si="638"/>
        <v>67.5</v>
      </c>
      <c r="AF1237">
        <v>300</v>
      </c>
      <c r="AG1237" s="1" t="str">
        <f>IFERROR((N1237*P1237*Q1237), "NA")</f>
        <v>NA</v>
      </c>
      <c r="AH1237" s="1" t="str">
        <f>IFERROR((AG1237*U1237*AI1237), "NA")</f>
        <v>NA</v>
      </c>
      <c r="AI1237" s="1">
        <v>1</v>
      </c>
      <c r="AJ1237" s="11" t="s">
        <v>31</v>
      </c>
      <c r="AK1237">
        <v>1000</v>
      </c>
      <c r="AL1237" t="s">
        <v>614</v>
      </c>
      <c r="AM1237" s="3" t="s">
        <v>103</v>
      </c>
      <c r="AN1237" t="s">
        <v>305</v>
      </c>
      <c r="AO1237" t="s">
        <v>790</v>
      </c>
      <c r="AP1237">
        <v>3.5</v>
      </c>
      <c r="AQ1237" t="s">
        <v>33</v>
      </c>
      <c r="AR1237" t="s">
        <v>33</v>
      </c>
      <c r="AS1237">
        <v>8</v>
      </c>
      <c r="AT1237">
        <f>AS1237-AU1237</f>
        <v>6.15</v>
      </c>
      <c r="AU1237" s="6">
        <v>1.85</v>
      </c>
      <c r="AV1237" t="b">
        <v>1</v>
      </c>
      <c r="AW1237" t="s">
        <v>617</v>
      </c>
      <c r="AX1237" t="s">
        <v>33</v>
      </c>
      <c r="AY1237" t="s">
        <v>623</v>
      </c>
      <c r="AZ1237" t="s">
        <v>621</v>
      </c>
      <c r="BA1237" s="18" t="s">
        <v>802</v>
      </c>
      <c r="BB1237" s="3" t="b">
        <v>0</v>
      </c>
      <c r="BC1237" t="s">
        <v>81</v>
      </c>
      <c r="BD1237">
        <v>18</v>
      </c>
      <c r="BE1237" t="s">
        <v>80</v>
      </c>
      <c r="BF1237">
        <v>24</v>
      </c>
      <c r="BG1237" t="s">
        <v>642</v>
      </c>
      <c r="BH1237" t="s">
        <v>32</v>
      </c>
      <c r="BI1237" t="s">
        <v>31</v>
      </c>
      <c r="BJ1237">
        <f t="shared" si="620"/>
        <v>1.85</v>
      </c>
      <c r="BK1237" s="3">
        <f t="shared" si="619"/>
        <v>0.26717172840301384</v>
      </c>
      <c r="BL1237">
        <v>2</v>
      </c>
      <c r="BM1237" s="3">
        <f t="shared" si="639"/>
        <v>1.5621320444280111</v>
      </c>
      <c r="BN1237" t="s">
        <v>33</v>
      </c>
      <c r="BO1237" s="3">
        <f t="shared" si="632"/>
        <v>36.486486486486484</v>
      </c>
      <c r="BP1237" t="s">
        <v>33</v>
      </c>
      <c r="BQ1237" t="s">
        <v>33</v>
      </c>
      <c r="BR1237" t="s">
        <v>33</v>
      </c>
      <c r="BS1237" t="s">
        <v>33</v>
      </c>
      <c r="BT1237" t="s">
        <v>31</v>
      </c>
      <c r="BU1237" t="s">
        <v>255</v>
      </c>
      <c r="BV1237">
        <v>2010</v>
      </c>
      <c r="BW1237" t="s">
        <v>651</v>
      </c>
      <c r="BX1237" t="s">
        <v>78</v>
      </c>
      <c r="BY1237" s="13" t="s">
        <v>674</v>
      </c>
      <c r="CA1237" t="str">
        <f t="shared" si="633"/>
        <v>high acid</v>
      </c>
    </row>
    <row r="1238" spans="1:79">
      <c r="A1238" t="s">
        <v>589</v>
      </c>
      <c r="B1238" t="s">
        <v>566</v>
      </c>
      <c r="C1238" t="s">
        <v>563</v>
      </c>
      <c r="D1238" t="s">
        <v>33</v>
      </c>
      <c r="E1238" t="s">
        <v>77</v>
      </c>
      <c r="F1238" t="s">
        <v>33</v>
      </c>
      <c r="G1238" t="s">
        <v>33</v>
      </c>
      <c r="H1238">
        <v>35</v>
      </c>
      <c r="I1238" t="b">
        <v>0</v>
      </c>
      <c r="J1238" t="s">
        <v>33</v>
      </c>
      <c r="K1238" t="s">
        <v>33</v>
      </c>
      <c r="L1238">
        <v>19</v>
      </c>
      <c r="M1238" s="4">
        <v>1</v>
      </c>
      <c r="N1238" t="e">
        <f>(#REF!*Y1238)/(T1238*X1238*O1238)</f>
        <v>#REF!</v>
      </c>
      <c r="O1238">
        <v>2</v>
      </c>
      <c r="P1238" t="s">
        <v>33</v>
      </c>
      <c r="Q1238" s="1">
        <f t="shared" si="634"/>
        <v>49.35</v>
      </c>
      <c r="R1238" t="s">
        <v>183</v>
      </c>
      <c r="S1238" t="s">
        <v>613</v>
      </c>
      <c r="T1238">
        <v>1</v>
      </c>
      <c r="U1238">
        <v>2.5</v>
      </c>
      <c r="V1238" t="s">
        <v>33</v>
      </c>
      <c r="W1238">
        <v>0.50249999999999995</v>
      </c>
      <c r="X1238">
        <f>W1238</f>
        <v>0.50249999999999995</v>
      </c>
      <c r="Y1238" t="s">
        <v>33</v>
      </c>
      <c r="Z1238" s="3">
        <f t="shared" si="635"/>
        <v>1.0182370820668692E-2</v>
      </c>
      <c r="AA1238" t="s">
        <v>33</v>
      </c>
      <c r="AB1238">
        <f t="shared" si="636"/>
        <v>49.35</v>
      </c>
      <c r="AC1238" s="1" t="str">
        <f t="shared" si="637"/>
        <v>NA</v>
      </c>
      <c r="AE1238" s="3">
        <f t="shared" si="638"/>
        <v>71.261399999999995</v>
      </c>
      <c r="AF1238">
        <v>98.7</v>
      </c>
      <c r="AG1238" s="1" t="str">
        <f>IFERROR((N1238*P1238*Q1238), "NA")</f>
        <v>NA</v>
      </c>
      <c r="AH1238" s="1" t="str">
        <f>IFERROR((AG1238*U1238*AI1238), "NA")</f>
        <v>NA</v>
      </c>
      <c r="AI1238" s="1">
        <v>1</v>
      </c>
      <c r="AJ1238" s="11" t="s">
        <v>31</v>
      </c>
      <c r="AK1238">
        <v>2000</v>
      </c>
      <c r="AL1238" t="s">
        <v>616</v>
      </c>
      <c r="AM1238" s="3" t="s">
        <v>103</v>
      </c>
      <c r="AN1238" t="s">
        <v>130</v>
      </c>
      <c r="AO1238" t="s">
        <v>795</v>
      </c>
      <c r="AP1238">
        <v>7</v>
      </c>
      <c r="AQ1238" t="s">
        <v>33</v>
      </c>
      <c r="AR1238" t="s">
        <v>33</v>
      </c>
      <c r="AS1238">
        <v>9</v>
      </c>
      <c r="AT1238">
        <f>AS1238-AU1238</f>
        <v>6.15</v>
      </c>
      <c r="AU1238" s="6">
        <v>2.85</v>
      </c>
      <c r="AV1238" t="b">
        <v>1</v>
      </c>
      <c r="AW1238" t="s">
        <v>617</v>
      </c>
      <c r="AX1238" t="s">
        <v>33</v>
      </c>
      <c r="AY1238" t="s">
        <v>629</v>
      </c>
      <c r="AZ1238" t="s">
        <v>630</v>
      </c>
      <c r="BA1238" s="18" t="s">
        <v>802</v>
      </c>
      <c r="BB1238" s="3" t="b">
        <v>0</v>
      </c>
      <c r="BC1238" t="s">
        <v>81</v>
      </c>
      <c r="BD1238">
        <v>24</v>
      </c>
      <c r="BE1238" t="s">
        <v>80</v>
      </c>
      <c r="BF1238">
        <v>24</v>
      </c>
      <c r="BG1238" t="s">
        <v>644</v>
      </c>
      <c r="BH1238" t="s">
        <v>31</v>
      </c>
      <c r="BI1238" t="s">
        <v>31</v>
      </c>
      <c r="BJ1238">
        <f t="shared" si="620"/>
        <v>2.85</v>
      </c>
      <c r="BK1238" s="3">
        <f t="shared" si="619"/>
        <v>0.45484486000851021</v>
      </c>
      <c r="BL1238">
        <v>2</v>
      </c>
      <c r="BM1238" s="3">
        <f t="shared" si="639"/>
        <v>1.3980094902307656</v>
      </c>
      <c r="BN1238" t="s">
        <v>33</v>
      </c>
      <c r="BO1238" s="3">
        <f t="shared" si="632"/>
        <v>25.003999999999998</v>
      </c>
      <c r="BP1238" t="s">
        <v>33</v>
      </c>
      <c r="BQ1238" t="s">
        <v>33</v>
      </c>
      <c r="BR1238" t="s">
        <v>33</v>
      </c>
      <c r="BS1238" t="s">
        <v>33</v>
      </c>
      <c r="BT1238" t="s">
        <v>31</v>
      </c>
      <c r="BU1238" s="15" t="s">
        <v>655</v>
      </c>
      <c r="BV1238">
        <v>2003</v>
      </c>
      <c r="BW1238" t="s">
        <v>656</v>
      </c>
      <c r="BX1238" t="s">
        <v>78</v>
      </c>
      <c r="BY1238" s="13" t="s">
        <v>677</v>
      </c>
      <c r="CA1238" t="str">
        <f t="shared" si="633"/>
        <v>low acid</v>
      </c>
    </row>
    <row r="1239" spans="1:79">
      <c r="A1239" t="s">
        <v>589</v>
      </c>
      <c r="B1239" t="s">
        <v>566</v>
      </c>
      <c r="C1239" t="s">
        <v>563</v>
      </c>
      <c r="D1239" t="s">
        <v>33</v>
      </c>
      <c r="E1239" t="s">
        <v>77</v>
      </c>
      <c r="F1239" t="s">
        <v>33</v>
      </c>
      <c r="G1239" t="s">
        <v>33</v>
      </c>
      <c r="H1239">
        <v>35</v>
      </c>
      <c r="I1239" t="b">
        <v>0</v>
      </c>
      <c r="J1239" t="s">
        <v>33</v>
      </c>
      <c r="K1239" t="s">
        <v>33</v>
      </c>
      <c r="L1239">
        <v>22</v>
      </c>
      <c r="M1239" s="4">
        <v>1</v>
      </c>
      <c r="N1239" t="e">
        <f>(#REF!*Y1239)/(T1239*X1239*O1239)</f>
        <v>#REF!</v>
      </c>
      <c r="O1239">
        <v>2</v>
      </c>
      <c r="P1239" t="s">
        <v>33</v>
      </c>
      <c r="Q1239" s="1">
        <f t="shared" si="634"/>
        <v>46.25</v>
      </c>
      <c r="R1239" t="s">
        <v>183</v>
      </c>
      <c r="S1239" t="s">
        <v>613</v>
      </c>
      <c r="T1239">
        <v>1</v>
      </c>
      <c r="U1239">
        <v>2.5</v>
      </c>
      <c r="V1239" t="s">
        <v>33</v>
      </c>
      <c r="W1239">
        <v>0.50249999999999995</v>
      </c>
      <c r="X1239">
        <f>W1239</f>
        <v>0.50249999999999995</v>
      </c>
      <c r="Y1239" t="s">
        <v>33</v>
      </c>
      <c r="Z1239" s="3">
        <f t="shared" si="635"/>
        <v>1.0864864864864864E-2</v>
      </c>
      <c r="AA1239" t="s">
        <v>33</v>
      </c>
      <c r="AB1239">
        <f t="shared" si="636"/>
        <v>46.25</v>
      </c>
      <c r="AC1239" s="1" t="str">
        <f t="shared" si="637"/>
        <v>NA</v>
      </c>
      <c r="AE1239" s="3">
        <f t="shared" si="638"/>
        <v>89.539999999999992</v>
      </c>
      <c r="AF1239">
        <v>92.5</v>
      </c>
      <c r="AG1239" s="1" t="str">
        <f>IFERROR((N1239*P1239*Q1239), "NA")</f>
        <v>NA</v>
      </c>
      <c r="AH1239" s="1" t="str">
        <f>IFERROR((AG1239*U1239*AI1239), "NA")</f>
        <v>NA</v>
      </c>
      <c r="AI1239" s="1">
        <v>1</v>
      </c>
      <c r="AJ1239" s="11" t="s">
        <v>31</v>
      </c>
      <c r="AK1239">
        <v>2000</v>
      </c>
      <c r="AL1239" t="s">
        <v>616</v>
      </c>
      <c r="AM1239" s="3" t="s">
        <v>103</v>
      </c>
      <c r="AN1239" t="s">
        <v>130</v>
      </c>
      <c r="AO1239" t="s">
        <v>795</v>
      </c>
      <c r="AP1239">
        <v>7</v>
      </c>
      <c r="AQ1239" t="s">
        <v>33</v>
      </c>
      <c r="AR1239" t="s">
        <v>33</v>
      </c>
      <c r="AS1239">
        <v>9</v>
      </c>
      <c r="AT1239">
        <f>AS1239-AU1239</f>
        <v>6.15</v>
      </c>
      <c r="AU1239" s="6">
        <v>2.85</v>
      </c>
      <c r="AV1239" t="b">
        <v>1</v>
      </c>
      <c r="AW1239" t="s">
        <v>617</v>
      </c>
      <c r="AX1239" t="s">
        <v>33</v>
      </c>
      <c r="AY1239" t="s">
        <v>629</v>
      </c>
      <c r="AZ1239" t="s">
        <v>630</v>
      </c>
      <c r="BA1239" s="18" t="s">
        <v>802</v>
      </c>
      <c r="BB1239" s="3" t="b">
        <v>0</v>
      </c>
      <c r="BC1239" t="s">
        <v>81</v>
      </c>
      <c r="BD1239">
        <v>24</v>
      </c>
      <c r="BE1239" t="s">
        <v>80</v>
      </c>
      <c r="BF1239">
        <v>24</v>
      </c>
      <c r="BG1239" t="s">
        <v>644</v>
      </c>
      <c r="BH1239" t="s">
        <v>31</v>
      </c>
      <c r="BI1239" t="s">
        <v>31</v>
      </c>
      <c r="BJ1239">
        <f t="shared" si="620"/>
        <v>2.85</v>
      </c>
      <c r="BK1239" s="3">
        <f t="shared" si="619"/>
        <v>0.45484486000851021</v>
      </c>
      <c r="BL1239">
        <v>2</v>
      </c>
      <c r="BM1239" s="3">
        <f t="shared" si="639"/>
        <v>1.4971722300389161</v>
      </c>
      <c r="BN1239" t="s">
        <v>33</v>
      </c>
      <c r="BO1239" s="3">
        <f t="shared" si="632"/>
        <v>31.417543859649118</v>
      </c>
      <c r="BP1239" t="s">
        <v>33</v>
      </c>
      <c r="BQ1239" t="s">
        <v>33</v>
      </c>
      <c r="BR1239" t="s">
        <v>33</v>
      </c>
      <c r="BS1239" t="s">
        <v>33</v>
      </c>
      <c r="BT1239" t="s">
        <v>31</v>
      </c>
      <c r="BU1239" s="15" t="s">
        <v>655</v>
      </c>
      <c r="BV1239">
        <v>2003</v>
      </c>
      <c r="BW1239" t="s">
        <v>656</v>
      </c>
      <c r="BX1239" t="s">
        <v>78</v>
      </c>
      <c r="BY1239" s="13" t="s">
        <v>677</v>
      </c>
      <c r="CA1239" t="str">
        <f t="shared" si="633"/>
        <v>low acid</v>
      </c>
    </row>
    <row r="1240" spans="1:79">
      <c r="A1240" t="s">
        <v>589</v>
      </c>
      <c r="B1240" t="s">
        <v>566</v>
      </c>
      <c r="C1240" t="s">
        <v>563</v>
      </c>
      <c r="D1240" t="s">
        <v>33</v>
      </c>
      <c r="E1240" t="s">
        <v>77</v>
      </c>
      <c r="F1240" t="s">
        <v>33</v>
      </c>
      <c r="G1240" t="s">
        <v>33</v>
      </c>
      <c r="H1240">
        <v>35</v>
      </c>
      <c r="I1240" t="b">
        <v>0</v>
      </c>
      <c r="J1240" t="s">
        <v>33</v>
      </c>
      <c r="K1240" t="s">
        <v>33</v>
      </c>
      <c r="L1240">
        <v>28</v>
      </c>
      <c r="M1240" s="4">
        <v>1</v>
      </c>
      <c r="N1240" t="e">
        <f>(#REF!*Y1240)/(T1240*X1240*O1240)</f>
        <v>#REF!</v>
      </c>
      <c r="O1240">
        <v>2</v>
      </c>
      <c r="P1240" t="s">
        <v>33</v>
      </c>
      <c r="Q1240" s="1">
        <f t="shared" si="634"/>
        <v>18.515000000000001</v>
      </c>
      <c r="R1240" t="s">
        <v>183</v>
      </c>
      <c r="S1240" t="s">
        <v>613</v>
      </c>
      <c r="T1240">
        <v>1</v>
      </c>
      <c r="U1240">
        <v>2.5</v>
      </c>
      <c r="V1240" t="s">
        <v>33</v>
      </c>
      <c r="W1240">
        <v>0.50249999999999995</v>
      </c>
      <c r="X1240">
        <f>W1240</f>
        <v>0.50249999999999995</v>
      </c>
      <c r="Y1240" t="s">
        <v>33</v>
      </c>
      <c r="Z1240" s="3">
        <f t="shared" si="635"/>
        <v>2.7140156629759649E-2</v>
      </c>
      <c r="AA1240" t="s">
        <v>33</v>
      </c>
      <c r="AB1240">
        <f t="shared" si="636"/>
        <v>18.515000000000001</v>
      </c>
      <c r="AC1240" s="1" t="str">
        <f t="shared" si="637"/>
        <v>NA</v>
      </c>
      <c r="AE1240" s="3">
        <f t="shared" si="638"/>
        <v>58.063039999999994</v>
      </c>
      <c r="AF1240">
        <v>37.03</v>
      </c>
      <c r="AG1240" s="1" t="str">
        <f>IFERROR((N1240*P1240*Q1240), "NA")</f>
        <v>NA</v>
      </c>
      <c r="AH1240" s="1" t="str">
        <f>IFERROR((AG1240*U1240*AI1240), "NA")</f>
        <v>NA</v>
      </c>
      <c r="AI1240" s="1">
        <v>1</v>
      </c>
      <c r="AJ1240" s="11" t="s">
        <v>31</v>
      </c>
      <c r="AK1240">
        <v>2000</v>
      </c>
      <c r="AL1240" t="s">
        <v>616</v>
      </c>
      <c r="AM1240" s="3" t="s">
        <v>103</v>
      </c>
      <c r="AN1240" t="s">
        <v>130</v>
      </c>
      <c r="AO1240" t="s">
        <v>795</v>
      </c>
      <c r="AP1240">
        <v>7</v>
      </c>
      <c r="AQ1240" t="s">
        <v>33</v>
      </c>
      <c r="AR1240" t="s">
        <v>33</v>
      </c>
      <c r="AS1240">
        <v>9</v>
      </c>
      <c r="AT1240">
        <f>AS1240-AU1240</f>
        <v>6.15</v>
      </c>
      <c r="AU1240" s="6">
        <v>2.85</v>
      </c>
      <c r="AV1240" t="b">
        <v>1</v>
      </c>
      <c r="AW1240" t="s">
        <v>617</v>
      </c>
      <c r="AX1240" t="s">
        <v>33</v>
      </c>
      <c r="AY1240" t="s">
        <v>629</v>
      </c>
      <c r="AZ1240" t="s">
        <v>630</v>
      </c>
      <c r="BA1240" s="18" t="s">
        <v>802</v>
      </c>
      <c r="BB1240" s="3" t="b">
        <v>0</v>
      </c>
      <c r="BC1240" t="s">
        <v>81</v>
      </c>
      <c r="BD1240">
        <v>24</v>
      </c>
      <c r="BE1240" t="s">
        <v>80</v>
      </c>
      <c r="BF1240">
        <v>24</v>
      </c>
      <c r="BG1240" t="s">
        <v>644</v>
      </c>
      <c r="BH1240" t="s">
        <v>31</v>
      </c>
      <c r="BI1240" t="s">
        <v>31</v>
      </c>
      <c r="BJ1240">
        <f t="shared" si="620"/>
        <v>2.85</v>
      </c>
      <c r="BK1240" s="3">
        <f t="shared" si="619"/>
        <v>0.45484486000851021</v>
      </c>
      <c r="BL1240">
        <v>2</v>
      </c>
      <c r="BM1240" s="3">
        <f t="shared" si="639"/>
        <v>1.3090549103893521</v>
      </c>
      <c r="BN1240" t="s">
        <v>33</v>
      </c>
      <c r="BO1240" s="3">
        <f t="shared" si="632"/>
        <v>20.372996491228069</v>
      </c>
      <c r="BP1240" t="s">
        <v>33</v>
      </c>
      <c r="BQ1240" t="s">
        <v>33</v>
      </c>
      <c r="BR1240" t="s">
        <v>33</v>
      </c>
      <c r="BS1240" t="s">
        <v>33</v>
      </c>
      <c r="BT1240" t="s">
        <v>31</v>
      </c>
      <c r="BU1240" s="15" t="s">
        <v>655</v>
      </c>
      <c r="BV1240">
        <v>2003</v>
      </c>
      <c r="BW1240" t="s">
        <v>656</v>
      </c>
      <c r="BX1240" t="s">
        <v>78</v>
      </c>
      <c r="BY1240" s="13" t="s">
        <v>677</v>
      </c>
      <c r="CA1240" t="str">
        <f t="shared" si="633"/>
        <v>low acid</v>
      </c>
    </row>
    <row r="1241" spans="1:79">
      <c r="A1241" t="s">
        <v>434</v>
      </c>
      <c r="B1241" t="s">
        <v>565</v>
      </c>
      <c r="C1241" t="s">
        <v>563</v>
      </c>
      <c r="D1241" t="s">
        <v>118</v>
      </c>
      <c r="E1241" t="s">
        <v>77</v>
      </c>
      <c r="F1241" t="s">
        <v>32</v>
      </c>
      <c r="G1241">
        <v>5</v>
      </c>
      <c r="H1241">
        <v>20</v>
      </c>
      <c r="I1241" t="b">
        <v>0</v>
      </c>
      <c r="J1241" t="s">
        <v>33</v>
      </c>
      <c r="K1241" t="s">
        <v>33</v>
      </c>
      <c r="L1241">
        <v>20</v>
      </c>
      <c r="M1241" s="4">
        <v>200</v>
      </c>
      <c r="N1241" s="3" t="str">
        <f>IFERROR(AF1241/((T1241*X1241/Y1241)*O1241*AI1241),"NA")</f>
        <v>NA</v>
      </c>
      <c r="O1241">
        <v>2</v>
      </c>
      <c r="P1241" t="s">
        <v>33</v>
      </c>
      <c r="Q1241" s="8">
        <f t="shared" si="634"/>
        <v>8.3333333333333329E-2</v>
      </c>
      <c r="R1241" t="s">
        <v>183</v>
      </c>
      <c r="S1241" t="s">
        <v>613</v>
      </c>
      <c r="T1241" s="11">
        <v>6</v>
      </c>
      <c r="U1241">
        <v>2.92</v>
      </c>
      <c r="V1241">
        <v>2.2999999999999998</v>
      </c>
      <c r="W1241" t="s">
        <v>33</v>
      </c>
      <c r="X1241" s="9">
        <f>IFERROR(((PI())*(((V1241*10^-1)/2)^2)*(U1241*10^-1)), "NA")</f>
        <v>1.2131888350367701E-2</v>
      </c>
      <c r="Y1241" s="6" t="s">
        <v>33</v>
      </c>
      <c r="Z1241" s="3">
        <f t="shared" si="635"/>
        <v>0.14558266020441241</v>
      </c>
      <c r="AA1241" t="s">
        <v>33</v>
      </c>
      <c r="AB1241" s="6" t="str">
        <f>IFERROR(((X1241*M1241)/Y1241), "NA")</f>
        <v>NA</v>
      </c>
      <c r="AC1241" t="str">
        <f t="shared" si="637"/>
        <v>NA</v>
      </c>
      <c r="AD1241" s="4" t="str">
        <f>IFERROR(AB1241*T1241*AI1241, "NA")</f>
        <v>NA</v>
      </c>
      <c r="AE1241" s="3">
        <f t="shared" si="638"/>
        <v>145.68</v>
      </c>
      <c r="AF1241">
        <v>200</v>
      </c>
      <c r="AG1241" t="str">
        <f>IFERROR((M1241*O1241*P1241), "NA")</f>
        <v>NA</v>
      </c>
      <c r="AH1241" t="str">
        <f>IFERROR((AG1241*T1241*AI1241), "NA")</f>
        <v>NA</v>
      </c>
      <c r="AI1241" s="11">
        <v>1</v>
      </c>
      <c r="AJ1241" t="s">
        <v>31</v>
      </c>
      <c r="AK1241">
        <v>1821</v>
      </c>
      <c r="AL1241" t="s">
        <v>433</v>
      </c>
      <c r="AM1241" t="s">
        <v>103</v>
      </c>
      <c r="AN1241" t="s">
        <v>130</v>
      </c>
      <c r="AO1241" t="s">
        <v>795</v>
      </c>
      <c r="AP1241" s="4">
        <v>6.44</v>
      </c>
      <c r="AQ1241" t="s">
        <v>33</v>
      </c>
      <c r="AR1241" t="s">
        <v>33</v>
      </c>
      <c r="AS1241">
        <f>LOG(10^7)</f>
        <v>7</v>
      </c>
      <c r="AT1241" s="3">
        <f>IFERROR(AS1241-AU1241,"NA")</f>
        <v>6.1619999999999999</v>
      </c>
      <c r="AU1241" s="6">
        <v>0.83799999999999997</v>
      </c>
      <c r="AV1241" t="b">
        <v>1</v>
      </c>
      <c r="AW1241" t="s">
        <v>172</v>
      </c>
      <c r="AX1241" t="s">
        <v>173</v>
      </c>
      <c r="AY1241" t="s">
        <v>213</v>
      </c>
      <c r="AZ1241" t="s">
        <v>33</v>
      </c>
      <c r="BA1241" s="18" t="s">
        <v>799</v>
      </c>
      <c r="BB1241" t="b">
        <v>0</v>
      </c>
      <c r="BC1241" t="s">
        <v>81</v>
      </c>
      <c r="BD1241">
        <v>14</v>
      </c>
      <c r="BE1241" t="s">
        <v>80</v>
      </c>
      <c r="BF1241" s="11">
        <v>48</v>
      </c>
      <c r="BG1241" t="s">
        <v>522</v>
      </c>
      <c r="BH1241" t="s">
        <v>31</v>
      </c>
      <c r="BI1241" t="s">
        <v>31</v>
      </c>
      <c r="BJ1241" s="3">
        <f t="shared" si="620"/>
        <v>0.83799999999999997</v>
      </c>
      <c r="BK1241" s="3">
        <f t="shared" si="619"/>
        <v>-7.6755981369723517E-2</v>
      </c>
      <c r="BL1241">
        <v>2</v>
      </c>
      <c r="BM1241" s="3">
        <f t="shared" si="639"/>
        <v>2.240155914156587</v>
      </c>
      <c r="BN1241" t="s">
        <v>33</v>
      </c>
      <c r="BO1241" s="3">
        <f t="shared" si="632"/>
        <v>173.84248210023867</v>
      </c>
      <c r="BP1241" t="s">
        <v>33</v>
      </c>
      <c r="BQ1241" t="s">
        <v>33</v>
      </c>
      <c r="BR1241" t="s">
        <v>33</v>
      </c>
      <c r="BS1241" t="s">
        <v>33</v>
      </c>
      <c r="BT1241" t="s">
        <v>32</v>
      </c>
      <c r="BU1241" t="s">
        <v>217</v>
      </c>
      <c r="BV1241">
        <v>2021</v>
      </c>
      <c r="BW1241" t="s">
        <v>435</v>
      </c>
      <c r="BX1241" t="s">
        <v>78</v>
      </c>
      <c r="BY1241" t="s">
        <v>33</v>
      </c>
      <c r="BZ1241" t="s">
        <v>33</v>
      </c>
      <c r="CA1241" t="str">
        <f t="shared" si="633"/>
        <v>low acid</v>
      </c>
    </row>
    <row r="1242" spans="1:79">
      <c r="A1242" t="s">
        <v>79</v>
      </c>
      <c r="B1242" t="s">
        <v>565</v>
      </c>
      <c r="C1242" t="s">
        <v>563</v>
      </c>
      <c r="D1242" t="s">
        <v>76</v>
      </c>
      <c r="E1242" t="s">
        <v>77</v>
      </c>
      <c r="F1242" t="s">
        <v>32</v>
      </c>
      <c r="G1242">
        <v>4</v>
      </c>
      <c r="H1242">
        <f>30</f>
        <v>30</v>
      </c>
      <c r="I1242" t="b">
        <v>0</v>
      </c>
      <c r="J1242" t="s">
        <v>33</v>
      </c>
      <c r="K1242" t="s">
        <v>33</v>
      </c>
      <c r="L1242">
        <v>20</v>
      </c>
      <c r="M1242" s="4">
        <v>1000</v>
      </c>
      <c r="N1242" s="3">
        <f>IFERROR(AF1242/((T1242*X1242/Y1242)*O1242*AI1242),"NA")</f>
        <v>1497.3326532020833</v>
      </c>
      <c r="O1242">
        <v>8</v>
      </c>
      <c r="P1242" t="s">
        <v>33</v>
      </c>
      <c r="Q1242" s="8">
        <f t="shared" si="634"/>
        <v>1.6249999999999999E-3</v>
      </c>
      <c r="R1242" t="s">
        <v>183</v>
      </c>
      <c r="S1242" t="s">
        <v>612</v>
      </c>
      <c r="T1242" s="11">
        <v>1</v>
      </c>
      <c r="U1242">
        <f>4.7</f>
        <v>4.7</v>
      </c>
      <c r="V1242">
        <v>3.5</v>
      </c>
      <c r="W1242" t="s">
        <v>33</v>
      </c>
      <c r="X1242" s="8">
        <f>IFERROR(((PI())*(((V1242*10^-1)/2)^2)*(U1242*10^-1)), "NA")</f>
        <v>4.5219299257608099E-2</v>
      </c>
      <c r="Y1242" s="6">
        <f>2.5*1000/60</f>
        <v>41.666666666666664</v>
      </c>
      <c r="Z1242" s="3">
        <f t="shared" si="635"/>
        <v>27.827261081604984</v>
      </c>
      <c r="AA1242" t="s">
        <v>33</v>
      </c>
      <c r="AB1242" s="6">
        <f t="shared" ref="AB1242:AB1251" si="640">IFERROR(((X1242*M1242)/Z1242), "NA")</f>
        <v>1.625</v>
      </c>
      <c r="AC1242" t="str">
        <f t="shared" si="637"/>
        <v>NA</v>
      </c>
      <c r="AD1242" s="4">
        <f>IFERROR(AB1242*T1242*AI1242, "NA")</f>
        <v>1.625</v>
      </c>
      <c r="AE1242">
        <f t="shared" si="638"/>
        <v>28.599999999999998</v>
      </c>
      <c r="AF1242">
        <v>13</v>
      </c>
      <c r="AG1242" t="str">
        <f>IFERROR((M1242*O1242*P1242), "NA")</f>
        <v>NA</v>
      </c>
      <c r="AH1242" t="str">
        <f>IFERROR((AG1242*T1242*AI1242), "NA")</f>
        <v>NA</v>
      </c>
      <c r="AI1242" s="11">
        <v>1</v>
      </c>
      <c r="AJ1242" t="s">
        <v>31</v>
      </c>
      <c r="AK1242">
        <v>5500</v>
      </c>
      <c r="AL1242" t="s">
        <v>540</v>
      </c>
      <c r="AM1242" t="s">
        <v>157</v>
      </c>
      <c r="AN1242" t="s">
        <v>186</v>
      </c>
      <c r="AO1242" t="s">
        <v>792</v>
      </c>
      <c r="AP1242" s="3">
        <f>(6.53+6.6)/2</f>
        <v>6.5649999999999995</v>
      </c>
      <c r="AQ1242" t="s">
        <v>33</v>
      </c>
      <c r="AR1242" t="s">
        <v>33</v>
      </c>
      <c r="AS1242">
        <v>8</v>
      </c>
      <c r="AT1242" s="3">
        <f>IFERROR(AS1242-AU1242,"NA")</f>
        <v>6.17</v>
      </c>
      <c r="AU1242" s="6">
        <v>1.83</v>
      </c>
      <c r="AV1242" t="b">
        <v>1</v>
      </c>
      <c r="AW1242" t="s">
        <v>29</v>
      </c>
      <c r="AX1242" t="s">
        <v>30</v>
      </c>
      <c r="AY1242" t="s">
        <v>216</v>
      </c>
      <c r="AZ1242" t="s">
        <v>33</v>
      </c>
      <c r="BA1242" s="18" t="s">
        <v>798</v>
      </c>
      <c r="BB1242" t="b">
        <v>0</v>
      </c>
      <c r="BC1242" t="s">
        <v>81</v>
      </c>
      <c r="BD1242">
        <v>24</v>
      </c>
      <c r="BE1242" t="s">
        <v>80</v>
      </c>
      <c r="BF1242" s="11">
        <v>24</v>
      </c>
      <c r="BG1242" t="s">
        <v>572</v>
      </c>
      <c r="BH1242" t="s">
        <v>31</v>
      </c>
      <c r="BI1242" t="s">
        <v>31</v>
      </c>
      <c r="BJ1242" s="3">
        <f t="shared" si="620"/>
        <v>1.83</v>
      </c>
      <c r="BK1242" s="3">
        <f t="shared" si="619"/>
        <v>0.26245108973042947</v>
      </c>
      <c r="BL1242">
        <v>2</v>
      </c>
      <c r="BM1242" s="3">
        <f t="shared" si="639"/>
        <v>1.1939149433986136</v>
      </c>
      <c r="BN1242" t="s">
        <v>33</v>
      </c>
      <c r="BO1242" s="3">
        <f t="shared" si="632"/>
        <v>15.628415300546447</v>
      </c>
      <c r="BP1242" t="s">
        <v>33</v>
      </c>
      <c r="BQ1242" t="s">
        <v>33</v>
      </c>
      <c r="BR1242" t="s">
        <v>33</v>
      </c>
      <c r="BS1242" t="s">
        <v>33</v>
      </c>
      <c r="BT1242" t="s">
        <v>32</v>
      </c>
      <c r="BU1242" t="s">
        <v>117</v>
      </c>
      <c r="BV1242">
        <v>2021</v>
      </c>
      <c r="BW1242" s="2" t="s">
        <v>82</v>
      </c>
      <c r="BX1242" t="s">
        <v>78</v>
      </c>
      <c r="BY1242" t="s">
        <v>90</v>
      </c>
      <c r="CA1242" t="str">
        <f t="shared" si="633"/>
        <v>low acid</v>
      </c>
    </row>
    <row r="1243" spans="1:79">
      <c r="A1243" t="s">
        <v>584</v>
      </c>
      <c r="B1243" t="s">
        <v>566</v>
      </c>
      <c r="C1243" t="s">
        <v>563</v>
      </c>
      <c r="D1243" t="s">
        <v>607</v>
      </c>
      <c r="E1243" t="s">
        <v>77</v>
      </c>
      <c r="F1243" t="s">
        <v>33</v>
      </c>
      <c r="G1243">
        <v>20</v>
      </c>
      <c r="H1243">
        <v>35</v>
      </c>
      <c r="I1243" t="b">
        <v>0</v>
      </c>
      <c r="J1243">
        <v>1000</v>
      </c>
      <c r="K1243">
        <v>200</v>
      </c>
      <c r="L1243">
        <v>25</v>
      </c>
      <c r="M1243" s="4">
        <v>1</v>
      </c>
      <c r="N1243" t="e">
        <f>(#REF!*Y1243)/(T1243*X1243*O1243)</f>
        <v>#REF!</v>
      </c>
      <c r="O1243">
        <v>3</v>
      </c>
      <c r="P1243" t="s">
        <v>33</v>
      </c>
      <c r="Q1243" s="1">
        <f t="shared" si="634"/>
        <v>10</v>
      </c>
      <c r="R1243" t="s">
        <v>183</v>
      </c>
      <c r="S1243" t="s">
        <v>33</v>
      </c>
      <c r="T1243">
        <v>1</v>
      </c>
      <c r="U1243">
        <v>2.5</v>
      </c>
      <c r="V1243" t="s">
        <v>33</v>
      </c>
      <c r="W1243">
        <v>0.50249999999999995</v>
      </c>
      <c r="X1243">
        <f>W1243</f>
        <v>0.50249999999999995</v>
      </c>
      <c r="Y1243" t="s">
        <v>33</v>
      </c>
      <c r="Z1243" s="3">
        <f t="shared" si="635"/>
        <v>5.0249999999999996E-2</v>
      </c>
      <c r="AA1243" t="s">
        <v>33</v>
      </c>
      <c r="AB1243">
        <f t="shared" si="640"/>
        <v>10</v>
      </c>
      <c r="AC1243" s="1" t="str">
        <f t="shared" si="637"/>
        <v>NA</v>
      </c>
      <c r="AE1243" s="3">
        <f t="shared" si="638"/>
        <v>18.75</v>
      </c>
      <c r="AF1243">
        <v>30</v>
      </c>
      <c r="AG1243" s="1" t="str">
        <f>IFERROR((N1243*P1243*Q1243), "NA")</f>
        <v>NA</v>
      </c>
      <c r="AH1243" s="1" t="str">
        <f>IFERROR((AG1243*U1243*AI1243), "NA")</f>
        <v>NA</v>
      </c>
      <c r="AI1243" s="1">
        <v>1</v>
      </c>
      <c r="AJ1243" s="11" t="s">
        <v>31</v>
      </c>
      <c r="AK1243">
        <v>1000</v>
      </c>
      <c r="AL1243" t="s">
        <v>614</v>
      </c>
      <c r="AM1243" s="3" t="s">
        <v>103</v>
      </c>
      <c r="AN1243" t="s">
        <v>305</v>
      </c>
      <c r="AO1243" t="s">
        <v>790</v>
      </c>
      <c r="AP1243">
        <v>3.5</v>
      </c>
      <c r="AQ1243" t="s">
        <v>33</v>
      </c>
      <c r="AR1243" t="s">
        <v>33</v>
      </c>
      <c r="AS1243">
        <v>8</v>
      </c>
      <c r="AT1243">
        <f>AS1243-AU1243</f>
        <v>6.17</v>
      </c>
      <c r="AU1243" s="6">
        <v>1.83</v>
      </c>
      <c r="AV1243" t="b">
        <v>1</v>
      </c>
      <c r="AW1243" t="s">
        <v>617</v>
      </c>
      <c r="AX1243" t="s">
        <v>33</v>
      </c>
      <c r="AY1243" t="s">
        <v>623</v>
      </c>
      <c r="AZ1243" t="s">
        <v>621</v>
      </c>
      <c r="BA1243" s="18" t="s">
        <v>802</v>
      </c>
      <c r="BB1243" s="3" t="b">
        <v>0</v>
      </c>
      <c r="BC1243" t="s">
        <v>81</v>
      </c>
      <c r="BD1243">
        <v>18</v>
      </c>
      <c r="BE1243" t="s">
        <v>80</v>
      </c>
      <c r="BF1243">
        <v>24</v>
      </c>
      <c r="BG1243" t="s">
        <v>569</v>
      </c>
      <c r="BH1243" t="s">
        <v>31</v>
      </c>
      <c r="BI1243" t="s">
        <v>31</v>
      </c>
      <c r="BJ1243">
        <f t="shared" si="620"/>
        <v>1.83</v>
      </c>
      <c r="BK1243" s="3">
        <f t="shared" si="619"/>
        <v>0.26245108973042947</v>
      </c>
      <c r="BL1243">
        <v>2</v>
      </c>
      <c r="BM1243" s="3">
        <f t="shared" si="639"/>
        <v>1.0105501823333081</v>
      </c>
      <c r="BN1243" t="s">
        <v>33</v>
      </c>
      <c r="BO1243" s="3">
        <f t="shared" si="632"/>
        <v>10.245901639344261</v>
      </c>
      <c r="BP1243" t="s">
        <v>33</v>
      </c>
      <c r="BQ1243" t="s">
        <v>33</v>
      </c>
      <c r="BR1243" t="s">
        <v>33</v>
      </c>
      <c r="BS1243" t="s">
        <v>33</v>
      </c>
      <c r="BT1243" t="s">
        <v>31</v>
      </c>
      <c r="BU1243" t="s">
        <v>255</v>
      </c>
      <c r="BV1243">
        <v>2010</v>
      </c>
      <c r="BW1243" t="s">
        <v>651</v>
      </c>
      <c r="BX1243" t="s">
        <v>78</v>
      </c>
      <c r="BY1243" s="13" t="s">
        <v>674</v>
      </c>
      <c r="CA1243" t="str">
        <f t="shared" si="633"/>
        <v>high acid</v>
      </c>
    </row>
    <row r="1244" spans="1:79">
      <c r="A1244" t="s">
        <v>179</v>
      </c>
      <c r="B1244" t="s">
        <v>565</v>
      </c>
      <c r="C1244" t="s">
        <v>563</v>
      </c>
      <c r="D1244" t="s">
        <v>118</v>
      </c>
      <c r="E1244" t="s">
        <v>77</v>
      </c>
      <c r="F1244" t="s">
        <v>32</v>
      </c>
      <c r="G1244">
        <v>22</v>
      </c>
      <c r="H1244">
        <v>35</v>
      </c>
      <c r="I1244" t="b">
        <v>0</v>
      </c>
      <c r="J1244" t="s">
        <v>33</v>
      </c>
      <c r="K1244" t="s">
        <v>33</v>
      </c>
      <c r="L1244">
        <v>20</v>
      </c>
      <c r="M1244" s="4">
        <v>1000</v>
      </c>
      <c r="N1244" s="3">
        <f>IFERROR(AF1244/((T1244*X1244/Y1244)*O1244*AI1244),"NA")</f>
        <v>1000.1191061872564</v>
      </c>
      <c r="O1244">
        <v>3</v>
      </c>
      <c r="P1244" t="s">
        <v>33</v>
      </c>
      <c r="Q1244" s="8">
        <f t="shared" si="634"/>
        <v>1.2133333333333333E-2</v>
      </c>
      <c r="R1244" t="s">
        <v>183</v>
      </c>
      <c r="S1244" t="s">
        <v>613</v>
      </c>
      <c r="T1244" s="11">
        <v>4</v>
      </c>
      <c r="U1244">
        <v>2.92</v>
      </c>
      <c r="V1244">
        <v>2.2999999999999998</v>
      </c>
      <c r="W1244" t="s">
        <v>33</v>
      </c>
      <c r="X1244" s="8">
        <f t="shared" ref="X1244:X1251" si="641">IFERROR(((PI())*(((V1244*10^-1)/2)^2)*(U1244*10^-1)), "NA")</f>
        <v>1.2131888350367701E-2</v>
      </c>
      <c r="Y1244">
        <v>1</v>
      </c>
      <c r="Z1244" s="3">
        <f t="shared" si="635"/>
        <v>0.99988090799733798</v>
      </c>
      <c r="AA1244">
        <v>12</v>
      </c>
      <c r="AB1244" s="6">
        <f t="shared" si="640"/>
        <v>12.133333333333333</v>
      </c>
      <c r="AC1244" t="str">
        <f t="shared" si="637"/>
        <v>NA</v>
      </c>
      <c r="AD1244" s="4">
        <f>IFERROR(AB1244*T1244*AI1244, "NA")</f>
        <v>48.533333333333331</v>
      </c>
      <c r="AE1244" s="3">
        <f t="shared" si="638"/>
        <v>116.47999999999999</v>
      </c>
      <c r="AF1244">
        <v>145.6</v>
      </c>
      <c r="AG1244" t="str">
        <f>IFERROR((M1244*O1244*P1244), "NA")</f>
        <v>NA</v>
      </c>
      <c r="AH1244" t="str">
        <f>IFERROR((AG1244*T1244*AI1244), "NA")</f>
        <v>NA</v>
      </c>
      <c r="AI1244" s="11">
        <v>1</v>
      </c>
      <c r="AJ1244" t="s">
        <v>31</v>
      </c>
      <c r="AK1244">
        <v>2000</v>
      </c>
      <c r="AL1244" t="s">
        <v>114</v>
      </c>
      <c r="AM1244" t="s">
        <v>103</v>
      </c>
      <c r="AN1244" t="s">
        <v>130</v>
      </c>
      <c r="AO1244" t="s">
        <v>795</v>
      </c>
      <c r="AP1244" t="s">
        <v>33</v>
      </c>
      <c r="AQ1244" t="s">
        <v>33</v>
      </c>
      <c r="AR1244" t="s">
        <v>33</v>
      </c>
      <c r="AS1244" s="6">
        <f>LOG(3*10^7)</f>
        <v>7.4771212547196626</v>
      </c>
      <c r="AT1244" s="3">
        <f>IFERROR(AS1244-AU1244,"NA")</f>
        <v>6.1771212547196628</v>
      </c>
      <c r="AU1244" s="6">
        <v>1.3</v>
      </c>
      <c r="AV1244" t="b">
        <v>1</v>
      </c>
      <c r="AW1244" t="s">
        <v>123</v>
      </c>
      <c r="AX1244" t="s">
        <v>180</v>
      </c>
      <c r="AY1244" t="s">
        <v>129</v>
      </c>
      <c r="AZ1244" t="s">
        <v>33</v>
      </c>
      <c r="BA1244" s="18" t="s">
        <v>579</v>
      </c>
      <c r="BB1244" t="b">
        <v>1</v>
      </c>
      <c r="BC1244" t="s">
        <v>81</v>
      </c>
      <c r="BD1244" t="s">
        <v>33</v>
      </c>
      <c r="BE1244" t="s">
        <v>33</v>
      </c>
      <c r="BF1244" s="11">
        <v>48</v>
      </c>
      <c r="BG1244" t="s">
        <v>395</v>
      </c>
      <c r="BH1244" t="s">
        <v>31</v>
      </c>
      <c r="BI1244" t="s">
        <v>31</v>
      </c>
      <c r="BJ1244" s="3">
        <f t="shared" si="620"/>
        <v>1.3</v>
      </c>
      <c r="BK1244" s="3">
        <f t="shared" si="619"/>
        <v>0.11394335230683679</v>
      </c>
      <c r="BL1244">
        <v>2</v>
      </c>
      <c r="BM1244" s="3">
        <f t="shared" si="639"/>
        <v>1.9523080096621253</v>
      </c>
      <c r="BN1244" t="s">
        <v>33</v>
      </c>
      <c r="BO1244" s="3">
        <f t="shared" si="632"/>
        <v>89.6</v>
      </c>
      <c r="BP1244" t="s">
        <v>33</v>
      </c>
      <c r="BQ1244" t="s">
        <v>33</v>
      </c>
      <c r="BR1244" t="s">
        <v>33</v>
      </c>
      <c r="BS1244" t="s">
        <v>33</v>
      </c>
      <c r="BT1244" t="s">
        <v>32</v>
      </c>
      <c r="BU1244" t="s">
        <v>177</v>
      </c>
      <c r="BV1244">
        <v>2001</v>
      </c>
      <c r="BW1244" s="2" t="s">
        <v>178</v>
      </c>
      <c r="BX1244" t="s">
        <v>78</v>
      </c>
      <c r="BY1244" t="s">
        <v>33</v>
      </c>
      <c r="BZ1244" t="s">
        <v>33</v>
      </c>
      <c r="CA1244" t="str">
        <f t="shared" si="633"/>
        <v>low acid</v>
      </c>
    </row>
    <row r="1245" spans="1:79">
      <c r="A1245" t="s">
        <v>391</v>
      </c>
      <c r="B1245" t="s">
        <v>565</v>
      </c>
      <c r="C1245" t="s">
        <v>563</v>
      </c>
      <c r="D1245" t="s">
        <v>118</v>
      </c>
      <c r="E1245" t="s">
        <v>77</v>
      </c>
      <c r="F1245" t="s">
        <v>32</v>
      </c>
      <c r="G1245">
        <v>25</v>
      </c>
      <c r="H1245">
        <v>36</v>
      </c>
      <c r="I1245" t="b">
        <v>0</v>
      </c>
      <c r="J1245" t="s">
        <v>33</v>
      </c>
      <c r="K1245" t="s">
        <v>33</v>
      </c>
      <c r="L1245">
        <v>35</v>
      </c>
      <c r="M1245" s="4">
        <v>200</v>
      </c>
      <c r="N1245" s="3" t="str">
        <f>IFERROR(AF1245/((T1245*X1245/Y1245)*O1245*AI1245),"NA")</f>
        <v>NA</v>
      </c>
      <c r="O1245">
        <v>4</v>
      </c>
      <c r="P1245" t="s">
        <v>33</v>
      </c>
      <c r="Q1245" s="8">
        <f t="shared" si="634"/>
        <v>2.3437500000000003E-2</v>
      </c>
      <c r="R1245" t="s">
        <v>183</v>
      </c>
      <c r="S1245" t="s">
        <v>612</v>
      </c>
      <c r="T1245" s="11">
        <v>8</v>
      </c>
      <c r="U1245">
        <v>2.9</v>
      </c>
      <c r="V1245">
        <v>2.2999999999999998</v>
      </c>
      <c r="W1245">
        <v>1.2E-2</v>
      </c>
      <c r="X1245" s="8">
        <f t="shared" si="641"/>
        <v>1.204879322468025E-2</v>
      </c>
      <c r="Y1245" t="s">
        <v>33</v>
      </c>
      <c r="Z1245" s="3">
        <f t="shared" si="635"/>
        <v>0.51408184425302395</v>
      </c>
      <c r="AA1245" t="s">
        <v>33</v>
      </c>
      <c r="AB1245" s="6">
        <f t="shared" si="640"/>
        <v>4.6875</v>
      </c>
      <c r="AC1245" t="str">
        <f t="shared" si="637"/>
        <v>NA</v>
      </c>
      <c r="AD1245" s="4">
        <f>AB1245*T1245*AI1245</f>
        <v>37.5</v>
      </c>
      <c r="AE1245" s="3">
        <f t="shared" si="638"/>
        <v>779.10000000000014</v>
      </c>
      <c r="AF1245">
        <v>150</v>
      </c>
      <c r="AG1245" t="str">
        <f>IFERROR((M1245*O1245*P1245), "NA")</f>
        <v>NA</v>
      </c>
      <c r="AH1245" t="str">
        <f>IFERROR((AG1245*T1245*AI1245), "NA")</f>
        <v>NA</v>
      </c>
      <c r="AI1245">
        <v>1</v>
      </c>
      <c r="AJ1245" t="s">
        <v>31</v>
      </c>
      <c r="AK1245">
        <v>4240</v>
      </c>
      <c r="AL1245" t="s">
        <v>238</v>
      </c>
      <c r="AM1245" t="s">
        <v>86</v>
      </c>
      <c r="AN1245" t="s">
        <v>205</v>
      </c>
      <c r="AO1245" t="s">
        <v>789</v>
      </c>
      <c r="AP1245">
        <v>3.56</v>
      </c>
      <c r="AQ1245" t="s">
        <v>33</v>
      </c>
      <c r="AR1245" t="s">
        <v>33</v>
      </c>
      <c r="AS1245" s="6">
        <f>LOG(10^8)</f>
        <v>8</v>
      </c>
      <c r="AT1245" s="3">
        <f>IFERROR(AS1245-AU1245,"NA")</f>
        <v>6.1790000000000003</v>
      </c>
      <c r="AU1245" s="6">
        <v>1.821</v>
      </c>
      <c r="AV1245" t="b">
        <v>1</v>
      </c>
      <c r="AW1245" t="s">
        <v>123</v>
      </c>
      <c r="AX1245" t="s">
        <v>393</v>
      </c>
      <c r="AY1245" t="s">
        <v>394</v>
      </c>
      <c r="AZ1245" t="s">
        <v>33</v>
      </c>
      <c r="BA1245" s="18" t="s">
        <v>579</v>
      </c>
      <c r="BB1245" t="b">
        <v>1</v>
      </c>
      <c r="BC1245" t="s">
        <v>81</v>
      </c>
      <c r="BD1245">
        <v>72</v>
      </c>
      <c r="BE1245" t="s">
        <v>80</v>
      </c>
      <c r="BF1245" s="11">
        <v>72</v>
      </c>
      <c r="BG1245" t="s">
        <v>395</v>
      </c>
      <c r="BH1245" t="s">
        <v>31</v>
      </c>
      <c r="BI1245" t="s">
        <v>31</v>
      </c>
      <c r="BJ1245" s="3">
        <f t="shared" si="620"/>
        <v>1.821</v>
      </c>
      <c r="BK1245" s="3">
        <f t="shared" si="619"/>
        <v>0.26030994579492001</v>
      </c>
      <c r="BL1245">
        <v>2</v>
      </c>
      <c r="BM1245" s="3">
        <f t="shared" si="639"/>
        <v>2.6312832585540451</v>
      </c>
      <c r="BN1245" t="s">
        <v>33</v>
      </c>
      <c r="BO1245" s="3">
        <f t="shared" si="632"/>
        <v>427.84184514003306</v>
      </c>
      <c r="BP1245" t="s">
        <v>33</v>
      </c>
      <c r="BQ1245" t="s">
        <v>33</v>
      </c>
      <c r="BR1245" t="s">
        <v>33</v>
      </c>
      <c r="BS1245" t="s">
        <v>33</v>
      </c>
      <c r="BT1245" t="s">
        <v>31</v>
      </c>
      <c r="BU1245" t="s">
        <v>240</v>
      </c>
      <c r="BV1245">
        <v>2005</v>
      </c>
      <c r="BW1245" t="s">
        <v>396</v>
      </c>
      <c r="BX1245" t="s">
        <v>78</v>
      </c>
      <c r="BY1245" t="s">
        <v>33</v>
      </c>
      <c r="BZ1245" t="s">
        <v>33</v>
      </c>
      <c r="CA1245" t="str">
        <f t="shared" si="633"/>
        <v>high acid</v>
      </c>
    </row>
    <row r="1246" spans="1:79">
      <c r="A1246" t="s">
        <v>79</v>
      </c>
      <c r="B1246" t="s">
        <v>565</v>
      </c>
      <c r="C1246" t="s">
        <v>563</v>
      </c>
      <c r="D1246" t="s">
        <v>76</v>
      </c>
      <c r="E1246" t="s">
        <v>77</v>
      </c>
      <c r="F1246" t="s">
        <v>32</v>
      </c>
      <c r="G1246">
        <v>4</v>
      </c>
      <c r="H1246">
        <f>30</f>
        <v>30</v>
      </c>
      <c r="I1246" t="b">
        <v>0</v>
      </c>
      <c r="J1246" t="s">
        <v>33</v>
      </c>
      <c r="K1246" t="s">
        <v>33</v>
      </c>
      <c r="L1246">
        <v>25</v>
      </c>
      <c r="M1246" s="4">
        <v>1000</v>
      </c>
      <c r="N1246" s="3">
        <f>IFERROR(AF1246/((T1246*X1246/Y1246)*O1246*AI1246),"NA")</f>
        <v>806.25604403189095</v>
      </c>
      <c r="O1246">
        <v>8</v>
      </c>
      <c r="P1246" t="s">
        <v>33</v>
      </c>
      <c r="Q1246" s="8">
        <f t="shared" si="634"/>
        <v>8.7500000000000002E-4</v>
      </c>
      <c r="R1246" t="s">
        <v>183</v>
      </c>
      <c r="S1246" t="s">
        <v>612</v>
      </c>
      <c r="T1246" s="11">
        <v>1</v>
      </c>
      <c r="U1246">
        <f>4.7</f>
        <v>4.7</v>
      </c>
      <c r="V1246">
        <v>3.5</v>
      </c>
      <c r="W1246" t="s">
        <v>33</v>
      </c>
      <c r="X1246" s="8">
        <f t="shared" si="641"/>
        <v>4.5219299257608099E-2</v>
      </c>
      <c r="Y1246" s="6">
        <f>2.5*1000/60</f>
        <v>41.666666666666664</v>
      </c>
      <c r="Z1246" s="3">
        <f t="shared" si="635"/>
        <v>51.679199151552112</v>
      </c>
      <c r="AA1246" t="s">
        <v>33</v>
      </c>
      <c r="AB1246" s="6">
        <f t="shared" si="640"/>
        <v>0.875</v>
      </c>
      <c r="AC1246" t="str">
        <f t="shared" si="637"/>
        <v>NA</v>
      </c>
      <c r="AD1246" s="4">
        <f>IFERROR(AB1246*T1246*AI1246, "NA")</f>
        <v>0.875</v>
      </c>
      <c r="AE1246" s="3">
        <f t="shared" si="638"/>
        <v>24.0625</v>
      </c>
      <c r="AF1246">
        <v>7</v>
      </c>
      <c r="AG1246" t="str">
        <f>IFERROR((M1246*O1246*P1246), "NA")</f>
        <v>NA</v>
      </c>
      <c r="AH1246" t="str">
        <f>IFERROR((AG1246*T1246*AI1246), "NA")</f>
        <v>NA</v>
      </c>
      <c r="AI1246" s="11">
        <v>1</v>
      </c>
      <c r="AJ1246" t="s">
        <v>31</v>
      </c>
      <c r="AK1246">
        <v>5500</v>
      </c>
      <c r="AL1246" t="s">
        <v>540</v>
      </c>
      <c r="AM1246" t="s">
        <v>157</v>
      </c>
      <c r="AN1246" t="s">
        <v>186</v>
      </c>
      <c r="AO1246" t="s">
        <v>792</v>
      </c>
      <c r="AP1246" s="3">
        <f>(6.53+6.6)/2</f>
        <v>6.5649999999999995</v>
      </c>
      <c r="AQ1246" t="s">
        <v>33</v>
      </c>
      <c r="AR1246" t="s">
        <v>33</v>
      </c>
      <c r="AS1246">
        <v>8</v>
      </c>
      <c r="AT1246" s="3">
        <f>IFERROR(AS1246-AU1246,"NA")</f>
        <v>6.18</v>
      </c>
      <c r="AU1246" s="6">
        <v>1.82</v>
      </c>
      <c r="AV1246" t="b">
        <v>1</v>
      </c>
      <c r="AW1246" t="s">
        <v>29</v>
      </c>
      <c r="AX1246" t="s">
        <v>30</v>
      </c>
      <c r="AY1246" t="s">
        <v>216</v>
      </c>
      <c r="AZ1246" t="s">
        <v>33</v>
      </c>
      <c r="BA1246" s="18" t="s">
        <v>798</v>
      </c>
      <c r="BB1246" t="b">
        <v>0</v>
      </c>
      <c r="BC1246" t="s">
        <v>81</v>
      </c>
      <c r="BD1246">
        <v>24</v>
      </c>
      <c r="BE1246" t="s">
        <v>80</v>
      </c>
      <c r="BF1246" s="11">
        <v>24</v>
      </c>
      <c r="BG1246" t="s">
        <v>572</v>
      </c>
      <c r="BH1246" t="s">
        <v>31</v>
      </c>
      <c r="BI1246" t="s">
        <v>31</v>
      </c>
      <c r="BJ1246" s="3">
        <f t="shared" si="620"/>
        <v>1.82</v>
      </c>
      <c r="BK1246" s="3">
        <f t="shared" si="619"/>
        <v>0.26007138798507479</v>
      </c>
      <c r="BL1246">
        <v>2</v>
      </c>
      <c r="BM1246" s="3">
        <f t="shared" si="639"/>
        <v>1.1212693588675011</v>
      </c>
      <c r="BN1246" t="s">
        <v>33</v>
      </c>
      <c r="BO1246" s="3">
        <f t="shared" si="632"/>
        <v>13.221153846153845</v>
      </c>
      <c r="BP1246" t="s">
        <v>33</v>
      </c>
      <c r="BQ1246" t="s">
        <v>33</v>
      </c>
      <c r="BR1246" t="s">
        <v>33</v>
      </c>
      <c r="BS1246" t="s">
        <v>33</v>
      </c>
      <c r="BT1246" t="s">
        <v>32</v>
      </c>
      <c r="BU1246" t="s">
        <v>117</v>
      </c>
      <c r="BV1246">
        <v>2021</v>
      </c>
      <c r="BW1246" s="2" t="s">
        <v>82</v>
      </c>
      <c r="BX1246" t="s">
        <v>78</v>
      </c>
      <c r="BY1246" t="s">
        <v>90</v>
      </c>
      <c r="CA1246" t="str">
        <f t="shared" si="633"/>
        <v>low acid</v>
      </c>
    </row>
    <row r="1247" spans="1:79">
      <c r="A1247" t="s">
        <v>599</v>
      </c>
      <c r="B1247" t="s">
        <v>565</v>
      </c>
      <c r="C1247" t="s">
        <v>563</v>
      </c>
      <c r="D1247" t="s">
        <v>118</v>
      </c>
      <c r="E1247" t="s">
        <v>77</v>
      </c>
      <c r="F1247" t="s">
        <v>32</v>
      </c>
      <c r="G1247" t="s">
        <v>33</v>
      </c>
      <c r="H1247" t="s">
        <v>33</v>
      </c>
      <c r="I1247" t="b">
        <v>0</v>
      </c>
      <c r="J1247" t="s">
        <v>33</v>
      </c>
      <c r="K1247" t="s">
        <v>33</v>
      </c>
      <c r="L1247">
        <v>23</v>
      </c>
      <c r="M1247" s="4">
        <v>500</v>
      </c>
      <c r="N1247" t="e">
        <f>(#REF!*Y1247)/(T1247*X1247*O1247)</f>
        <v>#REF!</v>
      </c>
      <c r="O1247">
        <v>3</v>
      </c>
      <c r="P1247" t="s">
        <v>33</v>
      </c>
      <c r="Q1247" s="1">
        <f t="shared" si="634"/>
        <v>1.4555555555555554E-2</v>
      </c>
      <c r="R1247" t="s">
        <v>183</v>
      </c>
      <c r="S1247" t="s">
        <v>613</v>
      </c>
      <c r="T1247">
        <v>6</v>
      </c>
      <c r="U1247">
        <v>2.2999999999999998</v>
      </c>
      <c r="V1247">
        <v>2.9</v>
      </c>
      <c r="W1247">
        <v>0.36420000000000002</v>
      </c>
      <c r="X1247">
        <f t="shared" si="641"/>
        <v>1.519195667459684E-2</v>
      </c>
      <c r="Y1247">
        <v>0.83333299999999999</v>
      </c>
      <c r="Z1247" s="3">
        <f t="shared" si="635"/>
        <v>1.0437222142852791</v>
      </c>
      <c r="AA1247" t="s">
        <v>33</v>
      </c>
      <c r="AB1247">
        <f t="shared" si="640"/>
        <v>7.2777777777777777</v>
      </c>
      <c r="AC1247" s="1" t="str">
        <f t="shared" si="637"/>
        <v>NA</v>
      </c>
      <c r="AE1247" s="3">
        <f t="shared" si="638"/>
        <v>252.24835999999993</v>
      </c>
      <c r="AF1247">
        <v>131</v>
      </c>
      <c r="AG1247" s="1" t="str">
        <f>IFERROR((N1247*P1247*Q1247), "NA")</f>
        <v>NA</v>
      </c>
      <c r="AH1247" s="1" t="str">
        <f>IFERROR((AG1247*U1247*AI1247), "NA")</f>
        <v>NA</v>
      </c>
      <c r="AI1247" s="1">
        <v>1</v>
      </c>
      <c r="AJ1247" s="11" t="s">
        <v>31</v>
      </c>
      <c r="AK1247">
        <f>3.64*10^3</f>
        <v>3640</v>
      </c>
      <c r="AL1247" t="s">
        <v>145</v>
      </c>
      <c r="AM1247" t="s">
        <v>86</v>
      </c>
      <c r="AN1247" t="s">
        <v>205</v>
      </c>
      <c r="AO1247" t="s">
        <v>789</v>
      </c>
      <c r="AP1247">
        <v>3.19</v>
      </c>
      <c r="AQ1247" t="s">
        <v>33</v>
      </c>
      <c r="AR1247" t="s">
        <v>33</v>
      </c>
      <c r="AS1247">
        <v>7.94</v>
      </c>
      <c r="AT1247">
        <v>6.18</v>
      </c>
      <c r="AU1247" s="6">
        <f>AS1247-AT1247</f>
        <v>1.7600000000000007</v>
      </c>
      <c r="AV1247" t="b">
        <v>1</v>
      </c>
      <c r="AW1247" t="s">
        <v>626</v>
      </c>
      <c r="AX1247" t="s">
        <v>627</v>
      </c>
      <c r="AY1247">
        <v>95047</v>
      </c>
      <c r="AZ1247" t="s">
        <v>33</v>
      </c>
      <c r="BA1247" s="18" t="s">
        <v>800</v>
      </c>
      <c r="BB1247" s="3" t="b">
        <v>0</v>
      </c>
      <c r="BC1247" t="s">
        <v>81</v>
      </c>
      <c r="BD1247">
        <f>AVERAGE(24, 48)</f>
        <v>36</v>
      </c>
      <c r="BE1247" t="s">
        <v>80</v>
      </c>
      <c r="BF1247">
        <v>48</v>
      </c>
      <c r="BG1247" t="s">
        <v>647</v>
      </c>
      <c r="BH1247" t="s">
        <v>31</v>
      </c>
      <c r="BI1247" t="s">
        <v>31</v>
      </c>
      <c r="BJ1247" s="3">
        <f t="shared" si="620"/>
        <v>1.7600000000000007</v>
      </c>
      <c r="BK1247" s="3">
        <f t="shared" si="619"/>
        <v>0.24551266781414999</v>
      </c>
      <c r="BL1247">
        <v>2</v>
      </c>
      <c r="BM1247" s="3">
        <f t="shared" si="639"/>
        <v>2.1563156835258561</v>
      </c>
      <c r="BN1247" t="s">
        <v>33</v>
      </c>
      <c r="BO1247" s="3">
        <f t="shared" si="632"/>
        <v>143.32293181818173</v>
      </c>
      <c r="BP1247" t="s">
        <v>33</v>
      </c>
      <c r="BQ1247" t="s">
        <v>33</v>
      </c>
      <c r="BR1247" t="s">
        <v>33</v>
      </c>
      <c r="BS1247" t="s">
        <v>33</v>
      </c>
      <c r="BT1247" t="s">
        <v>31</v>
      </c>
      <c r="BU1247" s="13" t="s">
        <v>135</v>
      </c>
      <c r="BV1247" s="14">
        <v>2010</v>
      </c>
      <c r="BW1247" s="13" t="s">
        <v>140</v>
      </c>
      <c r="BX1247" t="s">
        <v>78</v>
      </c>
      <c r="BY1247" s="13" t="s">
        <v>687</v>
      </c>
      <c r="CA1247" t="str">
        <f t="shared" si="633"/>
        <v>high acid</v>
      </c>
    </row>
    <row r="1248" spans="1:79">
      <c r="A1248" t="s">
        <v>587</v>
      </c>
      <c r="B1248" t="s">
        <v>565</v>
      </c>
      <c r="C1248" t="s">
        <v>563</v>
      </c>
      <c r="D1248" t="s">
        <v>118</v>
      </c>
      <c r="E1248" t="s">
        <v>77</v>
      </c>
      <c r="F1248" t="s">
        <v>32</v>
      </c>
      <c r="G1248">
        <v>20</v>
      </c>
      <c r="H1248">
        <v>20</v>
      </c>
      <c r="I1248" t="b">
        <v>1</v>
      </c>
      <c r="J1248" t="s">
        <v>33</v>
      </c>
      <c r="K1248" t="s">
        <v>33</v>
      </c>
      <c r="L1248">
        <v>30</v>
      </c>
      <c r="M1248" s="4">
        <v>100</v>
      </c>
      <c r="N1248" t="e">
        <f>(#REF!*Y1248)/(T1248*X1248*O1248)</f>
        <v>#REF!</v>
      </c>
      <c r="O1248">
        <v>2</v>
      </c>
      <c r="P1248" t="s">
        <v>33</v>
      </c>
      <c r="Q1248" s="1">
        <f t="shared" si="634"/>
        <v>0.33333333333333331</v>
      </c>
      <c r="R1248" t="s">
        <v>183</v>
      </c>
      <c r="S1248" t="s">
        <v>613</v>
      </c>
      <c r="T1248">
        <v>6</v>
      </c>
      <c r="U1248">
        <v>2.92</v>
      </c>
      <c r="V1248">
        <v>2.2999999999999998</v>
      </c>
      <c r="W1248" t="s">
        <v>33</v>
      </c>
      <c r="X1248">
        <f t="shared" si="641"/>
        <v>1.2131888350367701E-2</v>
      </c>
      <c r="Y1248">
        <v>1.4</v>
      </c>
      <c r="Z1248" s="3">
        <f t="shared" si="635"/>
        <v>3.6395665051103102E-2</v>
      </c>
      <c r="AA1248" t="s">
        <v>33</v>
      </c>
      <c r="AB1248">
        <f t="shared" si="640"/>
        <v>33.333333333333336</v>
      </c>
      <c r="AC1248" s="1" t="str">
        <f t="shared" si="637"/>
        <v>NA</v>
      </c>
      <c r="AE1248" s="3">
        <f t="shared" si="638"/>
        <v>2232</v>
      </c>
      <c r="AF1248">
        <v>400</v>
      </c>
      <c r="AG1248" s="1" t="str">
        <f>IFERROR((N1248*P1248*Q1248), "NA")</f>
        <v>NA</v>
      </c>
      <c r="AH1248" s="1" t="str">
        <f>IFERROR((AG1248*U1248*AI1248), "NA")</f>
        <v>NA</v>
      </c>
      <c r="AI1248" s="1">
        <v>1</v>
      </c>
      <c r="AJ1248" s="11" t="s">
        <v>31</v>
      </c>
      <c r="AK1248">
        <v>6200</v>
      </c>
      <c r="AL1248" t="s">
        <v>561</v>
      </c>
      <c r="AM1248" s="3" t="s">
        <v>786</v>
      </c>
      <c r="AN1248" t="s">
        <v>186</v>
      </c>
      <c r="AO1248" t="s">
        <v>793</v>
      </c>
      <c r="AP1248">
        <v>7.6</v>
      </c>
      <c r="AQ1248" t="s">
        <v>33</v>
      </c>
      <c r="AR1248" t="s">
        <v>33</v>
      </c>
      <c r="AS1248">
        <v>8</v>
      </c>
      <c r="AT1248">
        <f>AS1248-AU1248</f>
        <v>6.18</v>
      </c>
      <c r="AU1248" s="6">
        <v>1.82</v>
      </c>
      <c r="AV1248" t="b">
        <v>1</v>
      </c>
      <c r="AW1248" t="s">
        <v>626</v>
      </c>
      <c r="AX1248" t="s">
        <v>627</v>
      </c>
      <c r="AY1248" t="s">
        <v>622</v>
      </c>
      <c r="AZ1248" t="s">
        <v>33</v>
      </c>
      <c r="BA1248" s="18" t="s">
        <v>800</v>
      </c>
      <c r="BB1248" s="3" t="b">
        <v>0</v>
      </c>
      <c r="BC1248" t="s">
        <v>81</v>
      </c>
      <c r="BD1248">
        <v>13</v>
      </c>
      <c r="BE1248" t="s">
        <v>80</v>
      </c>
      <c r="BF1248">
        <v>48</v>
      </c>
      <c r="BG1248" t="s">
        <v>568</v>
      </c>
      <c r="BH1248" t="s">
        <v>31</v>
      </c>
      <c r="BI1248" t="s">
        <v>31</v>
      </c>
      <c r="BJ1248">
        <f t="shared" si="620"/>
        <v>1.82</v>
      </c>
      <c r="BK1248" s="3">
        <f t="shared" si="619"/>
        <v>0.26007138798507479</v>
      </c>
      <c r="BL1248">
        <v>2</v>
      </c>
      <c r="BM1248" s="3">
        <f t="shared" si="639"/>
        <v>3.0886228022804665</v>
      </c>
      <c r="BN1248" t="s">
        <v>33</v>
      </c>
      <c r="BO1248" s="3">
        <f t="shared" si="632"/>
        <v>1226.3736263736264</v>
      </c>
      <c r="BP1248" t="s">
        <v>33</v>
      </c>
      <c r="BQ1248" t="s">
        <v>33</v>
      </c>
      <c r="BR1248" t="s">
        <v>33</v>
      </c>
      <c r="BS1248" t="s">
        <v>33</v>
      </c>
      <c r="BT1248" t="s">
        <v>31</v>
      </c>
      <c r="BU1248" t="s">
        <v>344</v>
      </c>
      <c r="BV1248">
        <v>2007</v>
      </c>
      <c r="BW1248" t="s">
        <v>345</v>
      </c>
      <c r="BX1248" t="s">
        <v>78</v>
      </c>
      <c r="BY1248" s="13" t="s">
        <v>676</v>
      </c>
      <c r="CA1248" t="str">
        <f t="shared" si="633"/>
        <v>low acid</v>
      </c>
    </row>
    <row r="1249" spans="1:79">
      <c r="A1249" t="s">
        <v>535</v>
      </c>
      <c r="B1249" t="s">
        <v>565</v>
      </c>
      <c r="C1249" t="s">
        <v>564</v>
      </c>
      <c r="D1249" t="s">
        <v>243</v>
      </c>
      <c r="E1249" t="s">
        <v>77</v>
      </c>
      <c r="F1249" t="s">
        <v>32</v>
      </c>
      <c r="G1249">
        <v>40</v>
      </c>
      <c r="H1249">
        <v>43</v>
      </c>
      <c r="I1249" t="b">
        <v>0</v>
      </c>
      <c r="J1249" t="s">
        <v>33</v>
      </c>
      <c r="K1249" t="s">
        <v>33</v>
      </c>
      <c r="L1249">
        <v>9</v>
      </c>
      <c r="M1249" s="4">
        <v>120</v>
      </c>
      <c r="N1249" s="3">
        <f t="shared" ref="N1249:N1254" si="642">IFERROR(AF1249/((T1249*X1249/Y1249)*O1249*AI1249),"NA")</f>
        <v>150.41764016738955</v>
      </c>
      <c r="O1249">
        <v>3</v>
      </c>
      <c r="P1249" t="s">
        <v>33</v>
      </c>
      <c r="Q1249" s="9">
        <f t="shared" si="634"/>
        <v>4.7916666666666663E-2</v>
      </c>
      <c r="R1249" t="s">
        <v>183</v>
      </c>
      <c r="S1249" t="s">
        <v>612</v>
      </c>
      <c r="T1249" s="11">
        <v>4</v>
      </c>
      <c r="U1249">
        <v>3</v>
      </c>
      <c r="V1249">
        <v>2.6</v>
      </c>
      <c r="W1249">
        <v>1.5900000000000001E-2</v>
      </c>
      <c r="X1249" s="8">
        <f t="shared" si="641"/>
        <v>1.5927874753700257E-2</v>
      </c>
      <c r="Y1249" s="6">
        <f>25/60</f>
        <v>0.41666666666666669</v>
      </c>
      <c r="Z1249" s="3">
        <f t="shared" si="635"/>
        <v>0.332407820946788</v>
      </c>
      <c r="AA1249" t="s">
        <v>33</v>
      </c>
      <c r="AB1249" s="6">
        <f t="shared" si="640"/>
        <v>5.7499999999999991</v>
      </c>
      <c r="AC1249" t="str">
        <f t="shared" si="637"/>
        <v>NA</v>
      </c>
      <c r="AD1249" s="4">
        <f>IFERROR(AB1249*T1249*AI1249, "NA")</f>
        <v>22.999999999999996</v>
      </c>
      <c r="AE1249" s="3">
        <f t="shared" si="638"/>
        <v>5.1418799999999996</v>
      </c>
      <c r="AF1249">
        <v>69</v>
      </c>
      <c r="AG1249" t="str">
        <f t="shared" ref="AG1249:AG1254" si="643">IFERROR((M1249*O1249*P1249), "NA")</f>
        <v>NA</v>
      </c>
      <c r="AH1249" t="str">
        <f t="shared" ref="AH1249:AH1254" si="644">IFERROR((AG1249*T1249*AI1249), "NA")</f>
        <v>NA</v>
      </c>
      <c r="AI1249" s="11">
        <v>1</v>
      </c>
      <c r="AJ1249" t="s">
        <v>31</v>
      </c>
      <c r="AK1249">
        <v>920</v>
      </c>
      <c r="AL1249" t="s">
        <v>551</v>
      </c>
      <c r="AM1249" t="s">
        <v>86</v>
      </c>
      <c r="AN1249" t="s">
        <v>186</v>
      </c>
      <c r="AO1249" t="s">
        <v>794</v>
      </c>
      <c r="AP1249">
        <v>5.92</v>
      </c>
      <c r="AQ1249" t="s">
        <v>33</v>
      </c>
      <c r="AR1249" t="s">
        <v>33</v>
      </c>
      <c r="AS1249" s="6">
        <f>LOG(1.1*10^7)</f>
        <v>7.0413926851582254</v>
      </c>
      <c r="AT1249" s="3">
        <f t="shared" ref="AT1249:AT1254" si="645">IFERROR(AS1249-AU1249,"NA")</f>
        <v>6.1803926851582256</v>
      </c>
      <c r="AU1249" s="6">
        <v>0.86099999999999999</v>
      </c>
      <c r="AV1249" t="b">
        <v>1</v>
      </c>
      <c r="AW1249" t="s">
        <v>172</v>
      </c>
      <c r="AX1249" t="s">
        <v>173</v>
      </c>
      <c r="AY1249" t="s">
        <v>246</v>
      </c>
      <c r="AZ1249" t="s">
        <v>33</v>
      </c>
      <c r="BA1249" s="18" t="s">
        <v>799</v>
      </c>
      <c r="BB1249" t="b">
        <v>0</v>
      </c>
      <c r="BC1249" t="s">
        <v>81</v>
      </c>
      <c r="BD1249">
        <v>72</v>
      </c>
      <c r="BE1249" t="s">
        <v>80</v>
      </c>
      <c r="BF1249" s="11">
        <v>72</v>
      </c>
      <c r="BG1249" t="s">
        <v>522</v>
      </c>
      <c r="BH1249" t="s">
        <v>31</v>
      </c>
      <c r="BI1249" t="s">
        <v>31</v>
      </c>
      <c r="BJ1249" s="3">
        <f t="shared" si="620"/>
        <v>0.86099999999999999</v>
      </c>
      <c r="BK1249" s="3">
        <f t="shared" si="619"/>
        <v>-6.4996848546345243E-2</v>
      </c>
      <c r="BL1249">
        <v>2</v>
      </c>
      <c r="BM1249" s="3">
        <f t="shared" si="639"/>
        <v>0.77611878550780555</v>
      </c>
      <c r="BN1249" t="s">
        <v>33</v>
      </c>
      <c r="BO1249" s="3">
        <f t="shared" si="632"/>
        <v>5.9719860627177699</v>
      </c>
      <c r="BP1249" t="s">
        <v>33</v>
      </c>
      <c r="BQ1249" t="s">
        <v>33</v>
      </c>
      <c r="BR1249" t="s">
        <v>33</v>
      </c>
      <c r="BS1249" t="s">
        <v>33</v>
      </c>
      <c r="BT1249" t="s">
        <v>32</v>
      </c>
      <c r="BU1249" t="s">
        <v>207</v>
      </c>
      <c r="BV1249">
        <v>2014</v>
      </c>
      <c r="BW1249" s="2" t="s">
        <v>242</v>
      </c>
      <c r="BX1249" t="s">
        <v>78</v>
      </c>
      <c r="BY1249" t="s">
        <v>33</v>
      </c>
      <c r="BZ1249" t="s">
        <v>33</v>
      </c>
      <c r="CA1249" t="str">
        <f t="shared" si="633"/>
        <v>low acid</v>
      </c>
    </row>
    <row r="1250" spans="1:79">
      <c r="A1250" t="s">
        <v>516</v>
      </c>
      <c r="B1250" t="s">
        <v>565</v>
      </c>
      <c r="C1250" t="s">
        <v>563</v>
      </c>
      <c r="D1250" t="s">
        <v>118</v>
      </c>
      <c r="E1250" t="s">
        <v>77</v>
      </c>
      <c r="F1250" t="s">
        <v>32</v>
      </c>
      <c r="G1250">
        <v>20</v>
      </c>
      <c r="H1250">
        <v>23</v>
      </c>
      <c r="I1250" t="b">
        <v>0</v>
      </c>
      <c r="J1250" t="s">
        <v>33</v>
      </c>
      <c r="K1250" t="s">
        <v>33</v>
      </c>
      <c r="L1250">
        <v>30</v>
      </c>
      <c r="M1250" s="4">
        <v>100</v>
      </c>
      <c r="N1250" s="3">
        <f t="shared" si="642"/>
        <v>3846.6119468740631</v>
      </c>
      <c r="O1250">
        <v>2</v>
      </c>
      <c r="P1250" t="s">
        <v>33</v>
      </c>
      <c r="Q1250" s="8">
        <f t="shared" si="634"/>
        <v>0.33333333333333331</v>
      </c>
      <c r="R1250" t="s">
        <v>183</v>
      </c>
      <c r="S1250" t="s">
        <v>613</v>
      </c>
      <c r="T1250" s="11">
        <v>6</v>
      </c>
      <c r="U1250">
        <v>2.92</v>
      </c>
      <c r="V1250">
        <v>2.2999999999999998</v>
      </c>
      <c r="W1250" t="s">
        <v>33</v>
      </c>
      <c r="X1250" s="8">
        <f t="shared" si="641"/>
        <v>1.2131888350367701E-2</v>
      </c>
      <c r="Y1250">
        <v>1.4</v>
      </c>
      <c r="Z1250" s="3">
        <f t="shared" si="635"/>
        <v>3.6395665051103102E-2</v>
      </c>
      <c r="AA1250" t="s">
        <v>33</v>
      </c>
      <c r="AB1250" s="6">
        <f t="shared" si="640"/>
        <v>33.333333333333336</v>
      </c>
      <c r="AC1250" t="str">
        <f t="shared" si="637"/>
        <v>NA</v>
      </c>
      <c r="AD1250" s="4">
        <f>AB1250*T1250*AI1250</f>
        <v>200</v>
      </c>
      <c r="AE1250" s="3">
        <f t="shared" si="638"/>
        <v>2232</v>
      </c>
      <c r="AF1250">
        <v>400</v>
      </c>
      <c r="AG1250" t="str">
        <f t="shared" si="643"/>
        <v>NA</v>
      </c>
      <c r="AH1250" t="str">
        <f t="shared" si="644"/>
        <v>NA</v>
      </c>
      <c r="AI1250">
        <v>1</v>
      </c>
      <c r="AJ1250" t="s">
        <v>31</v>
      </c>
      <c r="AK1250">
        <v>6200</v>
      </c>
      <c r="AL1250" t="s">
        <v>561</v>
      </c>
      <c r="AM1250" s="3" t="s">
        <v>786</v>
      </c>
      <c r="AN1250" t="s">
        <v>186</v>
      </c>
      <c r="AO1250" t="s">
        <v>793</v>
      </c>
      <c r="AP1250">
        <v>7.6</v>
      </c>
      <c r="AQ1250" t="s">
        <v>33</v>
      </c>
      <c r="AR1250" t="s">
        <v>33</v>
      </c>
      <c r="AS1250" s="6">
        <f>LOG(10^8)</f>
        <v>8</v>
      </c>
      <c r="AT1250" s="3">
        <f t="shared" si="645"/>
        <v>6.1820000000000004</v>
      </c>
      <c r="AU1250" s="6">
        <v>1.8180000000000001</v>
      </c>
      <c r="AV1250" t="b">
        <v>1</v>
      </c>
      <c r="AW1250" t="s">
        <v>29</v>
      </c>
      <c r="AX1250" t="s">
        <v>30</v>
      </c>
      <c r="AY1250" t="s">
        <v>216</v>
      </c>
      <c r="AZ1250" t="s">
        <v>33</v>
      </c>
      <c r="BA1250" s="18" t="s">
        <v>798</v>
      </c>
      <c r="BB1250" s="3" t="b">
        <v>0</v>
      </c>
      <c r="BC1250" t="s">
        <v>81</v>
      </c>
      <c r="BD1250">
        <v>13</v>
      </c>
      <c r="BE1250" t="s">
        <v>80</v>
      </c>
      <c r="BF1250" s="11">
        <v>48</v>
      </c>
      <c r="BG1250" t="s">
        <v>568</v>
      </c>
      <c r="BH1250" t="s">
        <v>31</v>
      </c>
      <c r="BI1250" t="s">
        <v>31</v>
      </c>
      <c r="BJ1250" s="3">
        <f t="shared" si="620"/>
        <v>1.8180000000000001</v>
      </c>
      <c r="BK1250" s="3">
        <f t="shared" si="619"/>
        <v>0.25959387888594865</v>
      </c>
      <c r="BL1250">
        <v>2</v>
      </c>
      <c r="BM1250" s="3">
        <f t="shared" si="639"/>
        <v>3.0891003113795925</v>
      </c>
      <c r="BN1250" t="s">
        <v>33</v>
      </c>
      <c r="BO1250" s="3">
        <f t="shared" si="632"/>
        <v>1227.7227722772277</v>
      </c>
      <c r="BP1250" t="s">
        <v>33</v>
      </c>
      <c r="BQ1250" t="s">
        <v>33</v>
      </c>
      <c r="BR1250" t="s">
        <v>33</v>
      </c>
      <c r="BS1250" t="s">
        <v>33</v>
      </c>
      <c r="BT1250" t="s">
        <v>31</v>
      </c>
      <c r="BU1250" t="s">
        <v>344</v>
      </c>
      <c r="BV1250">
        <v>2007</v>
      </c>
      <c r="BW1250" t="s">
        <v>345</v>
      </c>
      <c r="BX1250" t="s">
        <v>78</v>
      </c>
      <c r="BY1250" t="s">
        <v>33</v>
      </c>
      <c r="BZ1250" t="s">
        <v>33</v>
      </c>
      <c r="CA1250" t="str">
        <f t="shared" si="633"/>
        <v>low acid</v>
      </c>
    </row>
    <row r="1251" spans="1:79">
      <c r="A1251" t="s">
        <v>146</v>
      </c>
      <c r="B1251" t="s">
        <v>565</v>
      </c>
      <c r="C1251" t="s">
        <v>563</v>
      </c>
      <c r="D1251" t="s">
        <v>118</v>
      </c>
      <c r="E1251" t="s">
        <v>77</v>
      </c>
      <c r="F1251" t="s">
        <v>32</v>
      </c>
      <c r="G1251">
        <v>10</v>
      </c>
      <c r="H1251" t="s">
        <v>33</v>
      </c>
      <c r="I1251" t="b">
        <v>0</v>
      </c>
      <c r="J1251" t="s">
        <v>33</v>
      </c>
      <c r="K1251" t="s">
        <v>33</v>
      </c>
      <c r="L1251">
        <v>20</v>
      </c>
      <c r="M1251" s="4">
        <v>500</v>
      </c>
      <c r="N1251" s="3">
        <f t="shared" si="642"/>
        <v>503.35454362283343</v>
      </c>
      <c r="O1251">
        <v>3</v>
      </c>
      <c r="P1251" t="s">
        <v>33</v>
      </c>
      <c r="Q1251" s="8">
        <f t="shared" si="634"/>
        <v>1.4555555555555556E-2</v>
      </c>
      <c r="R1251" t="s">
        <v>183</v>
      </c>
      <c r="S1251" t="s">
        <v>613</v>
      </c>
      <c r="T1251" s="11">
        <v>6</v>
      </c>
      <c r="U1251">
        <v>2.9</v>
      </c>
      <c r="V1251">
        <v>2.2999999999999998</v>
      </c>
      <c r="W1251">
        <v>0.36420000000000002</v>
      </c>
      <c r="X1251" s="8">
        <f t="shared" si="641"/>
        <v>1.204879322468025E-2</v>
      </c>
      <c r="Y1251" s="6">
        <f>50/60</f>
        <v>0.83333333333333337</v>
      </c>
      <c r="Z1251" s="3">
        <f t="shared" si="635"/>
        <v>0.82777968719177286</v>
      </c>
      <c r="AA1251" t="s">
        <v>33</v>
      </c>
      <c r="AB1251" s="6">
        <f t="shared" si="640"/>
        <v>7.2777777777777786</v>
      </c>
      <c r="AC1251" t="str">
        <f t="shared" si="637"/>
        <v>NA</v>
      </c>
      <c r="AD1251" s="4">
        <f>IFERROR(AB1251*T1251*AI1251, "NA")</f>
        <v>43.666666666666671</v>
      </c>
      <c r="AE1251" s="3">
        <f t="shared" si="638"/>
        <v>180.78000000000003</v>
      </c>
      <c r="AF1251">
        <v>131</v>
      </c>
      <c r="AG1251" t="str">
        <f t="shared" si="643"/>
        <v>NA</v>
      </c>
      <c r="AH1251" t="str">
        <f t="shared" si="644"/>
        <v>NA</v>
      </c>
      <c r="AI1251" s="11">
        <v>1</v>
      </c>
      <c r="AJ1251" t="s">
        <v>31</v>
      </c>
      <c r="AK1251">
        <v>3450</v>
      </c>
      <c r="AL1251" t="s">
        <v>145</v>
      </c>
      <c r="AM1251" t="s">
        <v>86</v>
      </c>
      <c r="AN1251" t="s">
        <v>205</v>
      </c>
      <c r="AO1251" t="s">
        <v>789</v>
      </c>
      <c r="AP1251">
        <v>3.19</v>
      </c>
      <c r="AQ1251" t="s">
        <v>33</v>
      </c>
      <c r="AR1251" t="s">
        <v>33</v>
      </c>
      <c r="AS1251" s="3">
        <v>7.6529999999999996</v>
      </c>
      <c r="AT1251" s="3">
        <f t="shared" si="645"/>
        <v>6.1829999999999998</v>
      </c>
      <c r="AU1251" s="6">
        <v>1.47</v>
      </c>
      <c r="AV1251" t="b">
        <v>1</v>
      </c>
      <c r="AW1251" t="s">
        <v>29</v>
      </c>
      <c r="AX1251" t="s">
        <v>30</v>
      </c>
      <c r="AY1251" t="s">
        <v>33</v>
      </c>
      <c r="AZ1251" t="s">
        <v>134</v>
      </c>
      <c r="BA1251" s="18" t="s">
        <v>798</v>
      </c>
      <c r="BB1251" t="b">
        <v>0</v>
      </c>
      <c r="BC1251" t="s">
        <v>81</v>
      </c>
      <c r="BD1251">
        <f>(48+24)/2</f>
        <v>36</v>
      </c>
      <c r="BE1251" t="s">
        <v>80</v>
      </c>
      <c r="BF1251" s="11">
        <f>(48+24)/2</f>
        <v>36</v>
      </c>
      <c r="BG1251" t="s">
        <v>139</v>
      </c>
      <c r="BH1251" t="s">
        <v>31</v>
      </c>
      <c r="BI1251" t="s">
        <v>31</v>
      </c>
      <c r="BJ1251" s="3">
        <f t="shared" si="620"/>
        <v>1.47</v>
      </c>
      <c r="BK1251" s="3">
        <f t="shared" si="619"/>
        <v>0.16731733474817609</v>
      </c>
      <c r="BL1251">
        <v>2</v>
      </c>
      <c r="BM1251" s="3">
        <f t="shared" si="639"/>
        <v>2.0898330473088249</v>
      </c>
      <c r="BN1251" t="s">
        <v>33</v>
      </c>
      <c r="BO1251" s="3">
        <f t="shared" si="632"/>
        <v>122.97959183673471</v>
      </c>
      <c r="BP1251" t="s">
        <v>33</v>
      </c>
      <c r="BQ1251" t="s">
        <v>33</v>
      </c>
      <c r="BR1251" t="s">
        <v>33</v>
      </c>
      <c r="BS1251" t="s">
        <v>33</v>
      </c>
      <c r="BT1251" t="s">
        <v>31</v>
      </c>
      <c r="BU1251" t="s">
        <v>135</v>
      </c>
      <c r="BV1251">
        <v>2010</v>
      </c>
      <c r="BW1251" s="1" t="s">
        <v>140</v>
      </c>
      <c r="BX1251" t="s">
        <v>78</v>
      </c>
      <c r="BY1251" t="s">
        <v>33</v>
      </c>
      <c r="BZ1251" t="s">
        <v>33</v>
      </c>
      <c r="CA1251" t="str">
        <f t="shared" si="633"/>
        <v>high acid</v>
      </c>
    </row>
    <row r="1252" spans="1:79">
      <c r="A1252" t="s">
        <v>764</v>
      </c>
      <c r="B1252" t="s">
        <v>565</v>
      </c>
      <c r="C1252" t="s">
        <v>563</v>
      </c>
      <c r="D1252" t="s">
        <v>765</v>
      </c>
      <c r="E1252" t="s">
        <v>77</v>
      </c>
      <c r="F1252" t="s">
        <v>31</v>
      </c>
      <c r="G1252">
        <v>23</v>
      </c>
      <c r="H1252">
        <v>52</v>
      </c>
      <c r="I1252" t="b">
        <v>0</v>
      </c>
      <c r="J1252" t="s">
        <v>33</v>
      </c>
      <c r="K1252" t="s">
        <v>33</v>
      </c>
      <c r="L1252">
        <v>20</v>
      </c>
      <c r="M1252" s="4">
        <f>N1252</f>
        <v>455.55555555555554</v>
      </c>
      <c r="N1252" s="3">
        <f t="shared" si="642"/>
        <v>455.55555555555554</v>
      </c>
      <c r="O1252">
        <v>3</v>
      </c>
      <c r="P1252">
        <v>5.4399999999999997E-2</v>
      </c>
      <c r="Q1252" s="8">
        <f>IFERROR(X1252/Y1252, "NA")</f>
        <v>5.3999999999999999E-2</v>
      </c>
      <c r="R1252" t="s">
        <v>183</v>
      </c>
      <c r="S1252" t="s">
        <v>33</v>
      </c>
      <c r="T1252" s="11">
        <v>1</v>
      </c>
      <c r="U1252" t="s">
        <v>33</v>
      </c>
      <c r="V1252" t="s">
        <v>33</v>
      </c>
      <c r="W1252">
        <v>4.4999999999999997E-3</v>
      </c>
      <c r="X1252">
        <f>W1252</f>
        <v>4.4999999999999997E-3</v>
      </c>
      <c r="Y1252" s="6">
        <f>5/60</f>
        <v>8.3333333333333329E-2</v>
      </c>
      <c r="Z1252" s="6">
        <f>Y1252</f>
        <v>8.3333333333333329E-2</v>
      </c>
      <c r="AA1252" t="s">
        <v>33</v>
      </c>
      <c r="AB1252" s="4">
        <f>IFERROR(((X1252*M1252)/Y1252), "NA")</f>
        <v>24.599999999999998</v>
      </c>
      <c r="AC1252" s="4">
        <f t="shared" si="637"/>
        <v>24.78222222222222</v>
      </c>
      <c r="AD1252" s="4">
        <f>AB1252*T1252*AI1252</f>
        <v>24.599999999999998</v>
      </c>
      <c r="AE1252" s="3">
        <f t="shared" si="638"/>
        <v>88.56</v>
      </c>
      <c r="AF1252">
        <v>73.8</v>
      </c>
      <c r="AG1252" s="4">
        <f t="shared" si="643"/>
        <v>74.34666666666665</v>
      </c>
      <c r="AH1252" s="4">
        <f t="shared" si="644"/>
        <v>74.34666666666665</v>
      </c>
      <c r="AI1252">
        <v>1</v>
      </c>
      <c r="AJ1252" s="11" t="s">
        <v>31</v>
      </c>
      <c r="AK1252">
        <v>3000</v>
      </c>
      <c r="AL1252" t="s">
        <v>169</v>
      </c>
      <c r="AM1252" t="s">
        <v>103</v>
      </c>
      <c r="AN1252" t="s">
        <v>130</v>
      </c>
      <c r="AO1252" t="s">
        <v>795</v>
      </c>
      <c r="AP1252">
        <v>7.3</v>
      </c>
      <c r="AQ1252" t="s">
        <v>33</v>
      </c>
      <c r="AR1252" t="s">
        <v>33</v>
      </c>
      <c r="AS1252">
        <v>7</v>
      </c>
      <c r="AT1252" s="3">
        <f t="shared" si="645"/>
        <v>6.1859999999999999</v>
      </c>
      <c r="AU1252" s="6">
        <v>0.81399999999999995</v>
      </c>
      <c r="AV1252" t="b">
        <v>1</v>
      </c>
      <c r="AW1252" t="s">
        <v>29</v>
      </c>
      <c r="AX1252" t="s">
        <v>30</v>
      </c>
      <c r="AY1252" t="s">
        <v>766</v>
      </c>
      <c r="AZ1252" t="s">
        <v>33</v>
      </c>
      <c r="BA1252" s="18" t="s">
        <v>798</v>
      </c>
      <c r="BB1252" s="3" t="b">
        <v>0</v>
      </c>
      <c r="BC1252" t="s">
        <v>81</v>
      </c>
      <c r="BD1252">
        <v>16</v>
      </c>
      <c r="BE1252" t="s">
        <v>80</v>
      </c>
      <c r="BF1252">
        <v>24</v>
      </c>
      <c r="BG1252" t="s">
        <v>569</v>
      </c>
      <c r="BH1252" t="s">
        <v>31</v>
      </c>
      <c r="BI1252" t="s">
        <v>31</v>
      </c>
      <c r="BJ1252" s="3">
        <f t="shared" si="620"/>
        <v>0.81399999999999995</v>
      </c>
      <c r="BK1252" s="3">
        <f t="shared" si="619"/>
        <v>-8.9375595110798803E-2</v>
      </c>
      <c r="BL1252">
        <v>2</v>
      </c>
      <c r="BM1252" s="3">
        <f t="shared" si="639"/>
        <v>2.0366132029814654</v>
      </c>
      <c r="BN1252" t="s">
        <v>33</v>
      </c>
      <c r="BO1252" s="3">
        <f t="shared" si="632"/>
        <v>108.79606879606881</v>
      </c>
      <c r="BP1252" t="s">
        <v>33</v>
      </c>
      <c r="BQ1252" t="s">
        <v>33</v>
      </c>
      <c r="BR1252" t="s">
        <v>33</v>
      </c>
      <c r="BS1252" t="s">
        <v>33</v>
      </c>
      <c r="BT1252" t="s">
        <v>31</v>
      </c>
      <c r="BU1252" t="s">
        <v>767</v>
      </c>
      <c r="BV1252">
        <v>2021</v>
      </c>
      <c r="BW1252" t="s">
        <v>768</v>
      </c>
      <c r="BX1252" t="s">
        <v>78</v>
      </c>
      <c r="BY1252" t="s">
        <v>769</v>
      </c>
      <c r="CA1252" t="str">
        <f t="shared" si="633"/>
        <v>low acid</v>
      </c>
    </row>
    <row r="1253" spans="1:79">
      <c r="A1253" t="s">
        <v>324</v>
      </c>
      <c r="B1253" t="s">
        <v>565</v>
      </c>
      <c r="C1253" t="s">
        <v>563</v>
      </c>
      <c r="D1253" t="s">
        <v>304</v>
      </c>
      <c r="E1253" t="s">
        <v>77</v>
      </c>
      <c r="F1253" t="s">
        <v>32</v>
      </c>
      <c r="G1253">
        <v>30</v>
      </c>
      <c r="H1253">
        <v>30.5</v>
      </c>
      <c r="I1253" t="b">
        <v>1</v>
      </c>
      <c r="J1253">
        <v>12600</v>
      </c>
      <c r="K1253">
        <v>50.4</v>
      </c>
      <c r="L1253">
        <v>25</v>
      </c>
      <c r="M1253" s="4">
        <v>159</v>
      </c>
      <c r="N1253" s="3">
        <f t="shared" si="642"/>
        <v>162.27562825055989</v>
      </c>
      <c r="O1253">
        <v>2</v>
      </c>
      <c r="P1253">
        <v>2.4E-2</v>
      </c>
      <c r="Q1253" s="8">
        <f t="shared" ref="Q1253:Q1263" si="646">IFERROR(X1253/Z1253, "NA")</f>
        <v>2.4528301886792451E-2</v>
      </c>
      <c r="R1253" t="s">
        <v>183</v>
      </c>
      <c r="S1253" t="s">
        <v>612</v>
      </c>
      <c r="T1253" s="11">
        <v>1</v>
      </c>
      <c r="U1253">
        <v>3.4</v>
      </c>
      <c r="V1253">
        <v>3</v>
      </c>
      <c r="W1253">
        <v>2.4E-2</v>
      </c>
      <c r="X1253" s="8">
        <f>IFERROR(((PI())*(((V1253*10^-1)/2)^2)*(U1253*10^-1)), "NA")</f>
        <v>2.4033183799961926E-2</v>
      </c>
      <c r="Y1253" s="6">
        <f>1</f>
        <v>1</v>
      </c>
      <c r="Z1253" s="3">
        <f>IFERROR(X1253*M1253*O1253*T1253*AI1253/AF1253, "NA")</f>
        <v>0.97981441645998624</v>
      </c>
      <c r="AA1253">
        <v>3.9</v>
      </c>
      <c r="AB1253" s="6">
        <f>IFERROR(((X1253*M1253)/Z1253), "NA")</f>
        <v>3.9</v>
      </c>
      <c r="AC1253">
        <f t="shared" si="637"/>
        <v>3.8160000000000003</v>
      </c>
      <c r="AD1253" s="4">
        <f>IFERROR(AB1253*T1253*AI1253, "NA")</f>
        <v>3.9</v>
      </c>
      <c r="AE1253" s="3">
        <f t="shared" si="638"/>
        <v>4.875</v>
      </c>
      <c r="AF1253">
        <v>7.8</v>
      </c>
      <c r="AG1253">
        <f t="shared" si="643"/>
        <v>7.6320000000000006</v>
      </c>
      <c r="AH1253">
        <f t="shared" si="644"/>
        <v>7.6320000000000006</v>
      </c>
      <c r="AI1253" s="11">
        <v>1</v>
      </c>
      <c r="AJ1253" t="s">
        <v>31</v>
      </c>
      <c r="AK1253">
        <v>1000</v>
      </c>
      <c r="AL1253" t="s">
        <v>169</v>
      </c>
      <c r="AM1253" t="s">
        <v>103</v>
      </c>
      <c r="AN1253" t="s">
        <v>305</v>
      </c>
      <c r="AO1253" t="s">
        <v>790</v>
      </c>
      <c r="AP1253">
        <v>4.5</v>
      </c>
      <c r="AQ1253" t="s">
        <v>33</v>
      </c>
      <c r="AR1253" t="s">
        <v>33</v>
      </c>
      <c r="AS1253" s="6">
        <f>LOG(3*10^7)</f>
        <v>7.4771212547196626</v>
      </c>
      <c r="AT1253" s="3">
        <f t="shared" si="645"/>
        <v>6.1871212547196626</v>
      </c>
      <c r="AU1253" s="6">
        <v>1.29</v>
      </c>
      <c r="AV1253" t="b">
        <v>1</v>
      </c>
      <c r="AW1253" t="s">
        <v>123</v>
      </c>
      <c r="AX1253" t="s">
        <v>88</v>
      </c>
      <c r="AY1253" t="s">
        <v>306</v>
      </c>
      <c r="AZ1253" t="s">
        <v>33</v>
      </c>
      <c r="BA1253" s="18" t="s">
        <v>579</v>
      </c>
      <c r="BB1253" t="b">
        <v>1</v>
      </c>
      <c r="BC1253" t="s">
        <v>81</v>
      </c>
      <c r="BD1253">
        <v>48</v>
      </c>
      <c r="BE1253" t="s">
        <v>80</v>
      </c>
      <c r="BF1253" s="11">
        <v>120</v>
      </c>
      <c r="BG1253" t="s">
        <v>395</v>
      </c>
      <c r="BH1253" t="s">
        <v>31</v>
      </c>
      <c r="BI1253" t="s">
        <v>31</v>
      </c>
      <c r="BJ1253" s="3">
        <f t="shared" si="620"/>
        <v>1.29</v>
      </c>
      <c r="BK1253" s="3">
        <f t="shared" si="619"/>
        <v>0.11058971029924898</v>
      </c>
      <c r="BL1253">
        <v>2</v>
      </c>
      <c r="BM1253" s="3">
        <f t="shared" si="639"/>
        <v>0.57738490973530665</v>
      </c>
      <c r="BN1253" t="s">
        <v>33</v>
      </c>
      <c r="BO1253" s="3">
        <f t="shared" si="632"/>
        <v>3.7790697674418605</v>
      </c>
      <c r="BP1253" t="s">
        <v>33</v>
      </c>
      <c r="BQ1253" t="s">
        <v>33</v>
      </c>
      <c r="BR1253" t="s">
        <v>33</v>
      </c>
      <c r="BS1253" t="s">
        <v>33</v>
      </c>
      <c r="BT1253" t="s">
        <v>32</v>
      </c>
      <c r="BU1253" t="s">
        <v>323</v>
      </c>
      <c r="BV1253">
        <v>2003</v>
      </c>
      <c r="BW1253" s="2" t="s">
        <v>322</v>
      </c>
      <c r="BX1253" t="s">
        <v>78</v>
      </c>
      <c r="BY1253" t="s">
        <v>33</v>
      </c>
      <c r="BZ1253" t="s">
        <v>33</v>
      </c>
      <c r="CA1253" t="str">
        <f t="shared" si="633"/>
        <v>high acid</v>
      </c>
    </row>
    <row r="1254" spans="1:79">
      <c r="A1254" t="s">
        <v>431</v>
      </c>
      <c r="B1254" t="s">
        <v>565</v>
      </c>
      <c r="C1254" t="s">
        <v>563</v>
      </c>
      <c r="D1254" t="s">
        <v>118</v>
      </c>
      <c r="E1254" t="s">
        <v>77</v>
      </c>
      <c r="F1254" t="s">
        <v>32</v>
      </c>
      <c r="G1254">
        <v>20</v>
      </c>
      <c r="H1254">
        <v>25</v>
      </c>
      <c r="I1254" t="b">
        <v>0</v>
      </c>
      <c r="J1254" t="s">
        <v>33</v>
      </c>
      <c r="K1254" t="s">
        <v>33</v>
      </c>
      <c r="L1254">
        <v>27.4</v>
      </c>
      <c r="M1254" s="4">
        <v>667</v>
      </c>
      <c r="N1254" s="3" t="str">
        <f t="shared" si="642"/>
        <v>NA</v>
      </c>
      <c r="O1254">
        <v>2</v>
      </c>
      <c r="P1254" t="s">
        <v>33</v>
      </c>
      <c r="Q1254" s="8">
        <f t="shared" si="646"/>
        <v>4.9975012493753126E-3</v>
      </c>
      <c r="R1254" t="s">
        <v>183</v>
      </c>
      <c r="S1254" t="s">
        <v>613</v>
      </c>
      <c r="T1254" s="11">
        <v>6</v>
      </c>
      <c r="U1254">
        <v>2.92</v>
      </c>
      <c r="V1254">
        <v>2.2999999999999998</v>
      </c>
      <c r="W1254" t="s">
        <v>33</v>
      </c>
      <c r="X1254" s="9">
        <f>IFERROR(((PI())*(((V1254*10^-1)/2)^2)*(U1254*10^-1)), "NA")</f>
        <v>1.2131888350367701E-2</v>
      </c>
      <c r="Y1254" s="6" t="s">
        <v>33</v>
      </c>
      <c r="Z1254" s="3">
        <f>IFERROR(X1254*M1254*O1254*T1254*AI1254/AF1254, "NA")</f>
        <v>2.4275908589085766</v>
      </c>
      <c r="AA1254" t="s">
        <v>33</v>
      </c>
      <c r="AB1254" s="6" t="str">
        <f>IFERROR(((X1254*M1254)/Y1254), "NA")</f>
        <v>NA</v>
      </c>
      <c r="AC1254" t="str">
        <f t="shared" si="637"/>
        <v>NA</v>
      </c>
      <c r="AD1254" s="4" t="str">
        <f>IFERROR(AB1254*T1254*AI1254, "NA")</f>
        <v>NA</v>
      </c>
      <c r="AE1254" s="3">
        <f t="shared" si="638"/>
        <v>30.030399999999997</v>
      </c>
      <c r="AF1254">
        <v>40</v>
      </c>
      <c r="AG1254" t="str">
        <f t="shared" si="643"/>
        <v>NA</v>
      </c>
      <c r="AH1254" t="str">
        <f t="shared" si="644"/>
        <v>NA</v>
      </c>
      <c r="AI1254" s="11">
        <v>1</v>
      </c>
      <c r="AJ1254" t="s">
        <v>31</v>
      </c>
      <c r="AK1254">
        <v>1000</v>
      </c>
      <c r="AL1254" t="s">
        <v>430</v>
      </c>
      <c r="AM1254" t="s">
        <v>530</v>
      </c>
      <c r="AN1254" t="s">
        <v>186</v>
      </c>
      <c r="AO1254" t="s">
        <v>796</v>
      </c>
      <c r="AP1254" s="4">
        <v>6</v>
      </c>
      <c r="AQ1254" t="s">
        <v>33</v>
      </c>
      <c r="AR1254" t="s">
        <v>33</v>
      </c>
      <c r="AS1254" s="3">
        <f>LOG((10^6+10^7)/2)</f>
        <v>6.7403626894942441</v>
      </c>
      <c r="AT1254" s="3">
        <f t="shared" si="645"/>
        <v>6.189362689494244</v>
      </c>
      <c r="AU1254" s="6">
        <v>0.55100000000000005</v>
      </c>
      <c r="AV1254" t="b">
        <v>1</v>
      </c>
      <c r="AW1254" t="s">
        <v>29</v>
      </c>
      <c r="AX1254" t="s">
        <v>30</v>
      </c>
      <c r="AY1254" t="s">
        <v>216</v>
      </c>
      <c r="AZ1254" t="s">
        <v>33</v>
      </c>
      <c r="BA1254" s="18" t="s">
        <v>798</v>
      </c>
      <c r="BB1254" s="3" t="b">
        <v>0</v>
      </c>
      <c r="BC1254" t="s">
        <v>81</v>
      </c>
      <c r="BD1254">
        <v>15</v>
      </c>
      <c r="BE1254" t="s">
        <v>80</v>
      </c>
      <c r="BF1254" s="11">
        <v>240</v>
      </c>
      <c r="BG1254" t="s">
        <v>139</v>
      </c>
      <c r="BH1254" t="s">
        <v>31</v>
      </c>
      <c r="BI1254" t="s">
        <v>31</v>
      </c>
      <c r="BJ1254" s="3">
        <f t="shared" si="620"/>
        <v>0.55100000000000005</v>
      </c>
      <c r="BK1254" s="3">
        <f t="shared" si="619"/>
        <v>-0.25884840114821489</v>
      </c>
      <c r="BL1254">
        <v>2</v>
      </c>
      <c r="BM1254" s="3">
        <f t="shared" si="639"/>
        <v>1.7364095181169532</v>
      </c>
      <c r="BN1254" t="s">
        <v>33</v>
      </c>
      <c r="BO1254" s="3">
        <f t="shared" si="632"/>
        <v>54.501633393829394</v>
      </c>
      <c r="BP1254" t="s">
        <v>33</v>
      </c>
      <c r="BQ1254" t="s">
        <v>33</v>
      </c>
      <c r="BR1254" t="s">
        <v>33</v>
      </c>
      <c r="BS1254" t="s">
        <v>33</v>
      </c>
      <c r="BT1254" t="s">
        <v>32</v>
      </c>
      <c r="BU1254" t="s">
        <v>344</v>
      </c>
      <c r="BV1254">
        <v>2008</v>
      </c>
      <c r="BW1254" t="s">
        <v>432</v>
      </c>
      <c r="BX1254" t="s">
        <v>78</v>
      </c>
      <c r="BY1254" t="s">
        <v>33</v>
      </c>
      <c r="BZ1254" t="s">
        <v>33</v>
      </c>
      <c r="CA1254" t="str">
        <f t="shared" si="633"/>
        <v>low acid</v>
      </c>
    </row>
    <row r="1255" spans="1:79">
      <c r="A1255" t="s">
        <v>589</v>
      </c>
      <c r="B1255" t="s">
        <v>566</v>
      </c>
      <c r="C1255" t="s">
        <v>563</v>
      </c>
      <c r="D1255" t="s">
        <v>33</v>
      </c>
      <c r="E1255" t="s">
        <v>77</v>
      </c>
      <c r="F1255" t="s">
        <v>33</v>
      </c>
      <c r="G1255" t="s">
        <v>33</v>
      </c>
      <c r="H1255">
        <v>35</v>
      </c>
      <c r="I1255" t="b">
        <v>0</v>
      </c>
      <c r="J1255" t="s">
        <v>33</v>
      </c>
      <c r="K1255" t="s">
        <v>33</v>
      </c>
      <c r="L1255">
        <v>12</v>
      </c>
      <c r="M1255" s="4">
        <v>1</v>
      </c>
      <c r="N1255" t="e">
        <f>(#REF!*Y1255)/(T1255*X1255*O1255)</f>
        <v>#REF!</v>
      </c>
      <c r="O1255">
        <v>2</v>
      </c>
      <c r="P1255" t="s">
        <v>33</v>
      </c>
      <c r="Q1255" s="1">
        <f t="shared" si="646"/>
        <v>95.65</v>
      </c>
      <c r="R1255" t="s">
        <v>183</v>
      </c>
      <c r="S1255" t="s">
        <v>613</v>
      </c>
      <c r="T1255">
        <v>1</v>
      </c>
      <c r="U1255">
        <v>2.5</v>
      </c>
      <c r="V1255" t="s">
        <v>33</v>
      </c>
      <c r="W1255">
        <v>0.50249999999999995</v>
      </c>
      <c r="X1255">
        <f>W1255</f>
        <v>0.50249999999999995</v>
      </c>
      <c r="Y1255" t="s">
        <v>33</v>
      </c>
      <c r="Z1255" s="3">
        <f>IFERROR(X1255*M1255*O1255*T1255*AI1255/AF1255, "NA")</f>
        <v>5.2535284892838464E-3</v>
      </c>
      <c r="AA1255" t="s">
        <v>33</v>
      </c>
      <c r="AB1255">
        <f>IFERROR(((X1255*M1255)/Z1255), "NA")</f>
        <v>95.65</v>
      </c>
      <c r="AC1255" s="1" t="str">
        <f t="shared" si="637"/>
        <v>NA</v>
      </c>
      <c r="AE1255" s="3">
        <f t="shared" si="638"/>
        <v>55.0944</v>
      </c>
      <c r="AF1255">
        <v>191.3</v>
      </c>
      <c r="AG1255" s="1" t="str">
        <f>IFERROR((N1255*P1255*Q1255), "NA")</f>
        <v>NA</v>
      </c>
      <c r="AH1255" s="1" t="str">
        <f>IFERROR((AG1255*U1255*AI1255), "NA")</f>
        <v>NA</v>
      </c>
      <c r="AI1255" s="1">
        <v>1</v>
      </c>
      <c r="AJ1255" s="11" t="s">
        <v>31</v>
      </c>
      <c r="AK1255">
        <v>2000</v>
      </c>
      <c r="AL1255" t="s">
        <v>616</v>
      </c>
      <c r="AM1255" s="3" t="s">
        <v>103</v>
      </c>
      <c r="AN1255" t="s">
        <v>130</v>
      </c>
      <c r="AO1255" t="s">
        <v>795</v>
      </c>
      <c r="AP1255">
        <v>7</v>
      </c>
      <c r="AQ1255" t="s">
        <v>33</v>
      </c>
      <c r="AR1255" t="s">
        <v>33</v>
      </c>
      <c r="AS1255">
        <v>9</v>
      </c>
      <c r="AT1255">
        <f>AS1255-AU1255</f>
        <v>6.1899999999999995</v>
      </c>
      <c r="AU1255" s="6">
        <v>2.81</v>
      </c>
      <c r="AV1255" t="b">
        <v>1</v>
      </c>
      <c r="AW1255" t="s">
        <v>617</v>
      </c>
      <c r="AX1255" t="s">
        <v>33</v>
      </c>
      <c r="AY1255" t="s">
        <v>629</v>
      </c>
      <c r="AZ1255" t="s">
        <v>630</v>
      </c>
      <c r="BA1255" s="18" t="s">
        <v>802</v>
      </c>
      <c r="BB1255" s="3" t="b">
        <v>0</v>
      </c>
      <c r="BC1255" t="s">
        <v>81</v>
      </c>
      <c r="BD1255">
        <v>24</v>
      </c>
      <c r="BE1255" t="s">
        <v>80</v>
      </c>
      <c r="BF1255">
        <v>24</v>
      </c>
      <c r="BG1255" t="s">
        <v>644</v>
      </c>
      <c r="BH1255" t="s">
        <v>31</v>
      </c>
      <c r="BI1255" t="s">
        <v>31</v>
      </c>
      <c r="BJ1255">
        <f t="shared" si="620"/>
        <v>2.81</v>
      </c>
      <c r="BK1255" s="3">
        <f t="shared" si="619"/>
        <v>0.44870631990507992</v>
      </c>
      <c r="BL1255">
        <v>2</v>
      </c>
      <c r="BM1255" s="3">
        <f t="shared" si="639"/>
        <v>1.2924011378814468</v>
      </c>
      <c r="BN1255" t="s">
        <v>33</v>
      </c>
      <c r="BO1255" s="3">
        <f t="shared" si="632"/>
        <v>19.606548042704627</v>
      </c>
      <c r="BP1255" t="s">
        <v>33</v>
      </c>
      <c r="BQ1255" t="s">
        <v>33</v>
      </c>
      <c r="BR1255" t="s">
        <v>33</v>
      </c>
      <c r="BS1255" t="s">
        <v>33</v>
      </c>
      <c r="BT1255" t="s">
        <v>31</v>
      </c>
      <c r="BU1255" s="15" t="s">
        <v>655</v>
      </c>
      <c r="BV1255">
        <v>2003</v>
      </c>
      <c r="BW1255" t="s">
        <v>656</v>
      </c>
      <c r="BX1255" t="s">
        <v>78</v>
      </c>
      <c r="BY1255" s="13" t="s">
        <v>677</v>
      </c>
      <c r="CA1255" t="str">
        <f t="shared" si="633"/>
        <v>low acid</v>
      </c>
    </row>
    <row r="1256" spans="1:79">
      <c r="A1256" t="s">
        <v>597</v>
      </c>
      <c r="B1256" t="s">
        <v>565</v>
      </c>
      <c r="C1256" t="s">
        <v>563</v>
      </c>
      <c r="D1256" t="s">
        <v>33</v>
      </c>
      <c r="E1256" t="s">
        <v>77</v>
      </c>
      <c r="F1256" t="s">
        <v>33</v>
      </c>
      <c r="G1256">
        <v>20</v>
      </c>
      <c r="H1256">
        <v>35</v>
      </c>
      <c r="I1256" t="b">
        <v>0</v>
      </c>
      <c r="J1256" t="s">
        <v>33</v>
      </c>
      <c r="K1256" t="s">
        <v>33</v>
      </c>
      <c r="L1256">
        <v>19</v>
      </c>
      <c r="M1256" s="4">
        <v>1</v>
      </c>
      <c r="N1256" t="e">
        <f>(#REF!*Y1256)/(T1256*X1256*O1256)</f>
        <v>#REF!</v>
      </c>
      <c r="O1256">
        <v>2</v>
      </c>
      <c r="P1256" t="s">
        <v>33</v>
      </c>
      <c r="Q1256" s="1">
        <f t="shared" si="646"/>
        <v>297.19</v>
      </c>
      <c r="R1256" t="s">
        <v>183</v>
      </c>
      <c r="S1256" t="s">
        <v>33</v>
      </c>
      <c r="T1256">
        <v>1</v>
      </c>
      <c r="U1256">
        <v>2.5</v>
      </c>
      <c r="V1256" t="s">
        <v>33</v>
      </c>
      <c r="W1256">
        <v>0.50249999999999995</v>
      </c>
      <c r="X1256">
        <f>W1256</f>
        <v>0.50249999999999995</v>
      </c>
      <c r="Y1256" t="s">
        <v>33</v>
      </c>
      <c r="Z1256" s="3">
        <f>IFERROR(X1256*M1256*O1256*T1256*AI1256/AF1256, "NA")</f>
        <v>1.6908375113563712E-3</v>
      </c>
      <c r="AA1256" t="s">
        <v>33</v>
      </c>
      <c r="AB1256">
        <f>IFERROR(((X1256*M1256)/Z1256), "NA")</f>
        <v>297.19</v>
      </c>
      <c r="AC1256" s="1" t="str">
        <f t="shared" si="637"/>
        <v>NA</v>
      </c>
      <c r="AE1256" s="3">
        <f t="shared" si="638"/>
        <v>429.14236</v>
      </c>
      <c r="AF1256">
        <v>594.38</v>
      </c>
      <c r="AG1256" s="1" t="str">
        <f>IFERROR((N1256*P1256*Q1256), "NA")</f>
        <v>NA</v>
      </c>
      <c r="AH1256" s="1" t="str">
        <f>IFERROR((AG1256*U1256*AI1256), "NA")</f>
        <v>NA</v>
      </c>
      <c r="AI1256" s="1">
        <v>1</v>
      </c>
      <c r="AJ1256" s="11" t="s">
        <v>31</v>
      </c>
      <c r="AK1256">
        <v>2000</v>
      </c>
      <c r="AL1256" t="s">
        <v>784</v>
      </c>
      <c r="AM1256" s="3" t="s">
        <v>103</v>
      </c>
      <c r="AN1256" t="s">
        <v>130</v>
      </c>
      <c r="AO1256" t="s">
        <v>795</v>
      </c>
      <c r="AP1256">
        <v>7</v>
      </c>
      <c r="AQ1256" t="s">
        <v>33</v>
      </c>
      <c r="AR1256" t="s">
        <v>33</v>
      </c>
      <c r="AS1256">
        <v>9</v>
      </c>
      <c r="AT1256">
        <f>AS1256-AU1256</f>
        <v>6.1899999999999995</v>
      </c>
      <c r="AU1256" s="6">
        <v>2.81</v>
      </c>
      <c r="AV1256" t="b">
        <v>1</v>
      </c>
      <c r="AW1256" t="s">
        <v>617</v>
      </c>
      <c r="AX1256" t="s">
        <v>635</v>
      </c>
      <c r="AY1256" t="s">
        <v>636</v>
      </c>
      <c r="AZ1256" t="s">
        <v>33</v>
      </c>
      <c r="BA1256" s="18" t="s">
        <v>802</v>
      </c>
      <c r="BB1256" s="3" t="b">
        <v>0</v>
      </c>
      <c r="BC1256" t="s">
        <v>81</v>
      </c>
      <c r="BD1256">
        <v>24</v>
      </c>
      <c r="BE1256" t="s">
        <v>80</v>
      </c>
      <c r="BF1256">
        <v>24</v>
      </c>
      <c r="BG1256" t="s">
        <v>644</v>
      </c>
      <c r="BH1256" t="s">
        <v>31</v>
      </c>
      <c r="BI1256" t="s">
        <v>31</v>
      </c>
      <c r="BJ1256">
        <f t="shared" si="620"/>
        <v>2.81</v>
      </c>
      <c r="BK1256" s="3">
        <f t="shared" si="619"/>
        <v>0.44870631990507992</v>
      </c>
      <c r="BL1256">
        <v>2</v>
      </c>
      <c r="BM1256" s="3">
        <f t="shared" si="639"/>
        <v>2.183895065301718</v>
      </c>
      <c r="BN1256" t="s">
        <v>33</v>
      </c>
      <c r="BO1256" s="3">
        <f t="shared" si="632"/>
        <v>152.71970106761566</v>
      </c>
      <c r="BP1256" t="s">
        <v>33</v>
      </c>
      <c r="BQ1256" t="s">
        <v>33</v>
      </c>
      <c r="BR1256" t="s">
        <v>33</v>
      </c>
      <c r="BS1256" t="s">
        <v>33</v>
      </c>
      <c r="BT1256" t="s">
        <v>31</v>
      </c>
      <c r="BU1256" t="s">
        <v>664</v>
      </c>
      <c r="BV1256">
        <v>2000</v>
      </c>
      <c r="BW1256" t="s">
        <v>665</v>
      </c>
      <c r="BX1256" t="s">
        <v>78</v>
      </c>
      <c r="BY1256" s="13" t="s">
        <v>685</v>
      </c>
      <c r="CA1256" t="str">
        <f t="shared" si="633"/>
        <v>low acid</v>
      </c>
    </row>
    <row r="1257" spans="1:79">
      <c r="A1257" t="s">
        <v>594</v>
      </c>
      <c r="B1257" t="s">
        <v>566</v>
      </c>
      <c r="C1257" t="s">
        <v>563</v>
      </c>
      <c r="D1257" t="s">
        <v>33</v>
      </c>
      <c r="E1257" t="s">
        <v>77</v>
      </c>
      <c r="F1257" t="s">
        <v>32</v>
      </c>
      <c r="G1257" t="s">
        <v>33</v>
      </c>
      <c r="H1257">
        <v>20</v>
      </c>
      <c r="I1257" t="b">
        <v>1</v>
      </c>
      <c r="J1257" t="s">
        <v>33</v>
      </c>
      <c r="K1257" t="s">
        <v>33</v>
      </c>
      <c r="L1257">
        <v>30</v>
      </c>
      <c r="M1257" s="4">
        <v>2</v>
      </c>
      <c r="N1257" t="e">
        <f>(#REF!*Y1257)/(T1257*X1257*O1257)</f>
        <v>#REF!</v>
      </c>
      <c r="O1257">
        <v>2</v>
      </c>
      <c r="P1257" t="s">
        <v>33</v>
      </c>
      <c r="Q1257" s="1">
        <f t="shared" si="646"/>
        <v>7.1</v>
      </c>
      <c r="R1257" t="s">
        <v>183</v>
      </c>
      <c r="S1257" t="s">
        <v>613</v>
      </c>
      <c r="T1257">
        <v>1</v>
      </c>
      <c r="U1257">
        <v>5</v>
      </c>
      <c r="V1257" t="s">
        <v>33</v>
      </c>
      <c r="W1257">
        <v>0.71</v>
      </c>
      <c r="X1257">
        <f>W1257</f>
        <v>0.71</v>
      </c>
      <c r="Y1257">
        <v>0.1</v>
      </c>
      <c r="Z1257" s="3">
        <f>Y1257</f>
        <v>0.1</v>
      </c>
      <c r="AA1257" s="3">
        <v>14.8409893992932</v>
      </c>
      <c r="AB1257">
        <f>IFERROR(((X1257*M1257)/Y1257), "NA")</f>
        <v>14.2</v>
      </c>
      <c r="AC1257" s="1" t="str">
        <f t="shared" si="637"/>
        <v>NA</v>
      </c>
      <c r="AE1257" s="3">
        <f t="shared" si="638"/>
        <v>490.75199999999995</v>
      </c>
      <c r="AF1257" t="s">
        <v>33</v>
      </c>
      <c r="AG1257" s="1">
        <f>IFERROR((M1257*O1257*Q1257), "NA")</f>
        <v>28.4</v>
      </c>
      <c r="AH1257" s="1">
        <f>IFERROR((AG1257*U1257*AI1257), "NA")</f>
        <v>426</v>
      </c>
      <c r="AI1257" s="1">
        <v>3</v>
      </c>
      <c r="AJ1257" s="11" t="s">
        <v>31</v>
      </c>
      <c r="AK1257">
        <f>AVERAGE(5100, 7700)</f>
        <v>6400</v>
      </c>
      <c r="AL1257" t="s">
        <v>561</v>
      </c>
      <c r="AM1257" s="3" t="s">
        <v>786</v>
      </c>
      <c r="AN1257" t="s">
        <v>186</v>
      </c>
      <c r="AO1257" t="s">
        <v>793</v>
      </c>
      <c r="AP1257" t="s">
        <v>33</v>
      </c>
      <c r="AQ1257" t="s">
        <v>33</v>
      </c>
      <c r="AR1257" t="s">
        <v>33</v>
      </c>
      <c r="AS1257">
        <v>8</v>
      </c>
      <c r="AT1257">
        <f>AS1257-AU1257</f>
        <v>6.2</v>
      </c>
      <c r="AU1257" s="6">
        <v>1.8</v>
      </c>
      <c r="AV1257" t="b">
        <v>1</v>
      </c>
      <c r="AW1257" t="s">
        <v>617</v>
      </c>
      <c r="AX1257" t="s">
        <v>624</v>
      </c>
      <c r="AY1257" t="s">
        <v>622</v>
      </c>
      <c r="AZ1257" t="s">
        <v>33</v>
      </c>
      <c r="BA1257" s="18" t="s">
        <v>802</v>
      </c>
      <c r="BB1257" s="3" t="b">
        <v>0</v>
      </c>
      <c r="BC1257" t="s">
        <v>81</v>
      </c>
      <c r="BD1257">
        <v>18</v>
      </c>
      <c r="BE1257" t="s">
        <v>80</v>
      </c>
      <c r="BF1257">
        <v>24</v>
      </c>
      <c r="BG1257" t="s">
        <v>696</v>
      </c>
      <c r="BH1257" t="s">
        <v>32</v>
      </c>
      <c r="BI1257" t="s">
        <v>31</v>
      </c>
      <c r="BJ1257">
        <f t="shared" si="620"/>
        <v>1.8</v>
      </c>
      <c r="BK1257" s="3">
        <f t="shared" si="619"/>
        <v>0.25527250510330607</v>
      </c>
      <c r="BL1257">
        <v>2</v>
      </c>
      <c r="BM1257" s="3">
        <f t="shared" si="639"/>
        <v>2.435589573086606</v>
      </c>
      <c r="BN1257" t="s">
        <v>33</v>
      </c>
      <c r="BO1257" s="3">
        <f t="shared" si="632"/>
        <v>272.64</v>
      </c>
      <c r="BP1257" t="s">
        <v>33</v>
      </c>
      <c r="BQ1257" t="s">
        <v>33</v>
      </c>
      <c r="BR1257" t="s">
        <v>33</v>
      </c>
      <c r="BS1257" t="s">
        <v>33</v>
      </c>
      <c r="BT1257" t="s">
        <v>31</v>
      </c>
      <c r="BU1257" t="s">
        <v>338</v>
      </c>
      <c r="BV1257">
        <v>2006</v>
      </c>
      <c r="BW1257" t="s">
        <v>339</v>
      </c>
      <c r="BX1257" t="s">
        <v>78</v>
      </c>
      <c r="BY1257" s="13" t="s">
        <v>682</v>
      </c>
      <c r="CA1257" t="str">
        <f t="shared" si="633"/>
        <v>low acid</v>
      </c>
    </row>
    <row r="1258" spans="1:79">
      <c r="A1258" t="s">
        <v>594</v>
      </c>
      <c r="B1258" t="s">
        <v>566</v>
      </c>
      <c r="C1258" t="s">
        <v>563</v>
      </c>
      <c r="D1258" t="s">
        <v>33</v>
      </c>
      <c r="E1258" t="s">
        <v>77</v>
      </c>
      <c r="F1258" t="s">
        <v>32</v>
      </c>
      <c r="G1258" t="s">
        <v>33</v>
      </c>
      <c r="H1258">
        <v>10</v>
      </c>
      <c r="I1258" t="b">
        <v>1</v>
      </c>
      <c r="J1258" t="s">
        <v>33</v>
      </c>
      <c r="K1258" t="s">
        <v>33</v>
      </c>
      <c r="L1258">
        <v>30</v>
      </c>
      <c r="M1258" s="4">
        <v>2</v>
      </c>
      <c r="N1258" t="e">
        <f>(#REF!*Y1258)/(T1258*X1258*O1258)</f>
        <v>#REF!</v>
      </c>
      <c r="O1258">
        <v>2</v>
      </c>
      <c r="P1258" t="s">
        <v>33</v>
      </c>
      <c r="Q1258" s="1">
        <f t="shared" si="646"/>
        <v>7.1</v>
      </c>
      <c r="R1258" t="s">
        <v>183</v>
      </c>
      <c r="S1258" t="s">
        <v>613</v>
      </c>
      <c r="T1258">
        <v>1</v>
      </c>
      <c r="U1258">
        <v>5</v>
      </c>
      <c r="V1258" t="s">
        <v>33</v>
      </c>
      <c r="W1258">
        <v>0.71</v>
      </c>
      <c r="X1258">
        <f>W1258</f>
        <v>0.71</v>
      </c>
      <c r="Y1258">
        <v>0.1</v>
      </c>
      <c r="Z1258" s="3">
        <f>Y1258</f>
        <v>0.1</v>
      </c>
      <c r="AA1258" s="3">
        <v>14.8409893992932</v>
      </c>
      <c r="AB1258">
        <f>IFERROR(((X1258*M1258)/Y1258), "NA")</f>
        <v>14.2</v>
      </c>
      <c r="AC1258" s="1" t="str">
        <f t="shared" si="637"/>
        <v>NA</v>
      </c>
      <c r="AE1258" s="3">
        <f t="shared" si="638"/>
        <v>521.42399999999998</v>
      </c>
      <c r="AF1258" t="s">
        <v>33</v>
      </c>
      <c r="AG1258" s="1">
        <f>IFERROR((M1258*O1258*Q1258), "NA")</f>
        <v>28.4</v>
      </c>
      <c r="AH1258" s="1">
        <f>IFERROR((AG1258*U1258*AI1258), "NA")</f>
        <v>568</v>
      </c>
      <c r="AI1258" s="1">
        <v>4</v>
      </c>
      <c r="AJ1258" s="11" t="s">
        <v>31</v>
      </c>
      <c r="AK1258">
        <f>5100</f>
        <v>5100</v>
      </c>
      <c r="AL1258" t="s">
        <v>561</v>
      </c>
      <c r="AM1258" s="3" t="s">
        <v>786</v>
      </c>
      <c r="AN1258" t="s">
        <v>186</v>
      </c>
      <c r="AO1258" t="s">
        <v>793</v>
      </c>
      <c r="AP1258" t="s">
        <v>33</v>
      </c>
      <c r="AQ1258" t="s">
        <v>33</v>
      </c>
      <c r="AR1258" t="s">
        <v>33</v>
      </c>
      <c r="AS1258">
        <v>8</v>
      </c>
      <c r="AT1258">
        <f>AS1258-AU1258</f>
        <v>6.21</v>
      </c>
      <c r="AU1258" s="6">
        <v>1.79</v>
      </c>
      <c r="AV1258" t="b">
        <v>1</v>
      </c>
      <c r="AW1258" t="s">
        <v>617</v>
      </c>
      <c r="AX1258" t="s">
        <v>624</v>
      </c>
      <c r="AY1258" t="s">
        <v>622</v>
      </c>
      <c r="AZ1258" t="s">
        <v>33</v>
      </c>
      <c r="BA1258" s="18" t="s">
        <v>802</v>
      </c>
      <c r="BB1258" s="3" t="b">
        <v>0</v>
      </c>
      <c r="BC1258" t="s">
        <v>81</v>
      </c>
      <c r="BD1258">
        <v>18</v>
      </c>
      <c r="BE1258" t="s">
        <v>80</v>
      </c>
      <c r="BF1258">
        <v>24</v>
      </c>
      <c r="BG1258" t="s">
        <v>696</v>
      </c>
      <c r="BH1258" t="s">
        <v>32</v>
      </c>
      <c r="BI1258" t="s">
        <v>31</v>
      </c>
      <c r="BJ1258">
        <f t="shared" si="620"/>
        <v>1.79</v>
      </c>
      <c r="BK1258" s="3">
        <f t="shared" si="619"/>
        <v>0.2528530309798932</v>
      </c>
      <c r="BL1258">
        <v>2</v>
      </c>
      <c r="BM1258" s="3">
        <f t="shared" si="639"/>
        <v>2.4643379859323682</v>
      </c>
      <c r="BN1258" t="s">
        <v>33</v>
      </c>
      <c r="BO1258" s="3">
        <f t="shared" si="632"/>
        <v>291.29832402234638</v>
      </c>
      <c r="BP1258" t="s">
        <v>33</v>
      </c>
      <c r="BQ1258" t="s">
        <v>33</v>
      </c>
      <c r="BR1258" t="s">
        <v>33</v>
      </c>
      <c r="BS1258" t="s">
        <v>33</v>
      </c>
      <c r="BT1258" t="s">
        <v>31</v>
      </c>
      <c r="BU1258" t="s">
        <v>338</v>
      </c>
      <c r="BV1258">
        <v>2006</v>
      </c>
      <c r="BW1258" t="s">
        <v>339</v>
      </c>
      <c r="BX1258" t="s">
        <v>78</v>
      </c>
      <c r="BY1258" s="13" t="s">
        <v>682</v>
      </c>
      <c r="CA1258" t="str">
        <f t="shared" si="633"/>
        <v>low acid</v>
      </c>
    </row>
    <row r="1259" spans="1:79">
      <c r="A1259" t="s">
        <v>152</v>
      </c>
      <c r="B1259" t="s">
        <v>565</v>
      </c>
      <c r="C1259" t="s">
        <v>563</v>
      </c>
      <c r="D1259" t="s">
        <v>118</v>
      </c>
      <c r="E1259" t="s">
        <v>77</v>
      </c>
      <c r="F1259" t="s">
        <v>32</v>
      </c>
      <c r="G1259">
        <v>20</v>
      </c>
      <c r="H1259" t="s">
        <v>33</v>
      </c>
      <c r="I1259" t="b">
        <v>0</v>
      </c>
      <c r="J1259" t="s">
        <v>33</v>
      </c>
      <c r="K1259" t="s">
        <v>33</v>
      </c>
      <c r="L1259">
        <v>17</v>
      </c>
      <c r="M1259" s="4">
        <v>500</v>
      </c>
      <c r="N1259" s="3">
        <f>IFERROR(AF1259/((T1259*X1259/Y1259)*O1259*AI1259),"NA")</f>
        <v>403.45211511753826</v>
      </c>
      <c r="O1259">
        <v>3</v>
      </c>
      <c r="P1259" t="s">
        <v>33</v>
      </c>
      <c r="Q1259" s="8">
        <f t="shared" si="646"/>
        <v>1.1666666666666667E-2</v>
      </c>
      <c r="R1259" t="s">
        <v>183</v>
      </c>
      <c r="S1259" t="s">
        <v>613</v>
      </c>
      <c r="T1259" s="11">
        <v>6</v>
      </c>
      <c r="U1259">
        <v>2.9</v>
      </c>
      <c r="V1259">
        <v>2.2999999999999998</v>
      </c>
      <c r="W1259" t="s">
        <v>33</v>
      </c>
      <c r="X1259" s="8">
        <f>IFERROR(((PI())*(((V1259*10^-1)/2)^2)*(U1259*10^-1)), "NA")</f>
        <v>1.204879322468025E-2</v>
      </c>
      <c r="Y1259" s="6">
        <f>50/60</f>
        <v>0.83333333333333337</v>
      </c>
      <c r="Z1259" s="3">
        <f t="shared" ref="Z1259:Z1264" si="647">IFERROR(X1259*M1259*O1259*T1259*AI1259/AF1259, "NA")</f>
        <v>1.0327537049725928</v>
      </c>
      <c r="AA1259" t="s">
        <v>33</v>
      </c>
      <c r="AB1259" s="6">
        <f>IFERROR(((X1259*M1259)/Z1259), "NA")</f>
        <v>5.8333333333333339</v>
      </c>
      <c r="AC1259" t="str">
        <f t="shared" si="637"/>
        <v>NA</v>
      </c>
      <c r="AD1259" s="4">
        <f>IFERROR(AB1259*T1259*AI1259, "NA")</f>
        <v>35</v>
      </c>
      <c r="AE1259" s="3">
        <f t="shared" si="638"/>
        <v>35.200199999999995</v>
      </c>
      <c r="AF1259">
        <v>105</v>
      </c>
      <c r="AG1259" t="str">
        <f>IFERROR((M1259*O1259*P1259), "NA")</f>
        <v>NA</v>
      </c>
      <c r="AH1259" t="str">
        <f>IFERROR((AG1259*T1259*AI1259), "NA")</f>
        <v>NA</v>
      </c>
      <c r="AI1259" s="11">
        <v>1</v>
      </c>
      <c r="AJ1259" t="s">
        <v>31</v>
      </c>
      <c r="AK1259">
        <v>1160</v>
      </c>
      <c r="AL1259" t="s">
        <v>138</v>
      </c>
      <c r="AM1259" t="s">
        <v>86</v>
      </c>
      <c r="AN1259" t="s">
        <v>205</v>
      </c>
      <c r="AO1259" t="s">
        <v>789</v>
      </c>
      <c r="AP1259">
        <v>3.85</v>
      </c>
      <c r="AQ1259" t="s">
        <v>33</v>
      </c>
      <c r="AR1259" t="s">
        <v>33</v>
      </c>
      <c r="AS1259" s="3">
        <v>7.7720000000000002</v>
      </c>
      <c r="AT1259" s="3">
        <f>IFERROR(AS1259-AU1259,"NA")</f>
        <v>6.2119999999999997</v>
      </c>
      <c r="AU1259" s="6">
        <v>1.56</v>
      </c>
      <c r="AV1259" t="b">
        <v>1</v>
      </c>
      <c r="AW1259" t="s">
        <v>29</v>
      </c>
      <c r="AX1259" t="s">
        <v>30</v>
      </c>
      <c r="AY1259" t="s">
        <v>33</v>
      </c>
      <c r="AZ1259" t="s">
        <v>134</v>
      </c>
      <c r="BA1259" s="18" t="s">
        <v>798</v>
      </c>
      <c r="BB1259" t="b">
        <v>0</v>
      </c>
      <c r="BC1259" t="s">
        <v>81</v>
      </c>
      <c r="BD1259">
        <f>(48+24)/2</f>
        <v>36</v>
      </c>
      <c r="BE1259" t="s">
        <v>80</v>
      </c>
      <c r="BF1259" s="11">
        <f>(48+24)/2</f>
        <v>36</v>
      </c>
      <c r="BG1259" t="s">
        <v>139</v>
      </c>
      <c r="BH1259" t="s">
        <v>31</v>
      </c>
      <c r="BI1259" t="s">
        <v>31</v>
      </c>
      <c r="BJ1259" s="3">
        <f t="shared" si="620"/>
        <v>1.56</v>
      </c>
      <c r="BK1259" s="3">
        <f t="shared" si="619"/>
        <v>0.19312459835446161</v>
      </c>
      <c r="BL1259">
        <v>2</v>
      </c>
      <c r="BM1259" s="3">
        <f t="shared" si="639"/>
        <v>1.3534205326989428</v>
      </c>
      <c r="BN1259" t="s">
        <v>33</v>
      </c>
      <c r="BO1259" s="3">
        <f t="shared" si="632"/>
        <v>22.564230769230765</v>
      </c>
      <c r="BP1259" t="s">
        <v>33</v>
      </c>
      <c r="BQ1259" t="s">
        <v>33</v>
      </c>
      <c r="BR1259" t="s">
        <v>33</v>
      </c>
      <c r="BS1259" t="s">
        <v>33</v>
      </c>
      <c r="BT1259" t="s">
        <v>31</v>
      </c>
      <c r="BU1259" t="s">
        <v>135</v>
      </c>
      <c r="BV1259">
        <v>2011</v>
      </c>
      <c r="BW1259" s="7" t="s">
        <v>136</v>
      </c>
      <c r="BX1259" t="s">
        <v>78</v>
      </c>
      <c r="BY1259" t="s">
        <v>33</v>
      </c>
      <c r="BZ1259" t="s">
        <v>33</v>
      </c>
      <c r="CA1259" t="str">
        <f t="shared" si="633"/>
        <v>high acid</v>
      </c>
    </row>
    <row r="1260" spans="1:79">
      <c r="A1260" t="s">
        <v>597</v>
      </c>
      <c r="B1260" t="s">
        <v>565</v>
      </c>
      <c r="C1260" t="s">
        <v>563</v>
      </c>
      <c r="D1260" t="s">
        <v>33</v>
      </c>
      <c r="E1260" t="s">
        <v>77</v>
      </c>
      <c r="F1260" t="s">
        <v>33</v>
      </c>
      <c r="G1260">
        <v>20</v>
      </c>
      <c r="H1260">
        <v>35</v>
      </c>
      <c r="I1260" t="b">
        <v>0</v>
      </c>
      <c r="J1260" t="s">
        <v>33</v>
      </c>
      <c r="K1260" t="s">
        <v>33</v>
      </c>
      <c r="L1260">
        <v>22</v>
      </c>
      <c r="M1260" s="4">
        <v>1</v>
      </c>
      <c r="N1260" t="e">
        <f>(#REF!*Y1260)/(T1260*X1260*O1260)</f>
        <v>#REF!</v>
      </c>
      <c r="O1260">
        <v>2</v>
      </c>
      <c r="P1260" t="s">
        <v>33</v>
      </c>
      <c r="Q1260" s="1">
        <f t="shared" si="646"/>
        <v>96.385000000000005</v>
      </c>
      <c r="R1260" t="s">
        <v>183</v>
      </c>
      <c r="S1260" t="s">
        <v>33</v>
      </c>
      <c r="T1260">
        <v>1</v>
      </c>
      <c r="U1260">
        <v>2.5</v>
      </c>
      <c r="V1260" t="s">
        <v>33</v>
      </c>
      <c r="W1260">
        <v>0.50249999999999995</v>
      </c>
      <c r="X1260">
        <f>W1260</f>
        <v>0.50249999999999995</v>
      </c>
      <c r="Y1260" t="s">
        <v>33</v>
      </c>
      <c r="Z1260" s="3">
        <f t="shared" si="647"/>
        <v>5.2134668257508938E-3</v>
      </c>
      <c r="AA1260" t="s">
        <v>33</v>
      </c>
      <c r="AB1260">
        <f>IFERROR(((X1260*M1260)/Z1260), "NA")</f>
        <v>96.385000000000005</v>
      </c>
      <c r="AC1260" s="1" t="str">
        <f t="shared" si="637"/>
        <v>NA</v>
      </c>
      <c r="AE1260" s="3">
        <f t="shared" si="638"/>
        <v>186.60136</v>
      </c>
      <c r="AF1260">
        <v>192.77</v>
      </c>
      <c r="AG1260" s="1" t="str">
        <f>IFERROR((N1260*P1260*Q1260), "NA")</f>
        <v>NA</v>
      </c>
      <c r="AH1260" s="1" t="str">
        <f>IFERROR((AG1260*U1260*AI1260), "NA")</f>
        <v>NA</v>
      </c>
      <c r="AI1260" s="1">
        <v>1</v>
      </c>
      <c r="AJ1260" s="11" t="s">
        <v>31</v>
      </c>
      <c r="AK1260">
        <v>2000</v>
      </c>
      <c r="AL1260" t="s">
        <v>784</v>
      </c>
      <c r="AM1260" s="3" t="s">
        <v>103</v>
      </c>
      <c r="AN1260" t="s">
        <v>130</v>
      </c>
      <c r="AO1260" t="s">
        <v>795</v>
      </c>
      <c r="AP1260">
        <v>7</v>
      </c>
      <c r="AQ1260" t="s">
        <v>33</v>
      </c>
      <c r="AR1260" t="s">
        <v>33</v>
      </c>
      <c r="AS1260">
        <v>9</v>
      </c>
      <c r="AT1260">
        <f>AS1260-AU1260</f>
        <v>6.2200000000000006</v>
      </c>
      <c r="AU1260" s="6">
        <v>2.78</v>
      </c>
      <c r="AV1260" t="b">
        <v>1</v>
      </c>
      <c r="AW1260" t="s">
        <v>617</v>
      </c>
      <c r="AX1260" t="s">
        <v>635</v>
      </c>
      <c r="AY1260" t="s">
        <v>636</v>
      </c>
      <c r="AZ1260" t="s">
        <v>33</v>
      </c>
      <c r="BA1260" s="18" t="s">
        <v>802</v>
      </c>
      <c r="BB1260" s="3" t="b">
        <v>0</v>
      </c>
      <c r="BC1260" t="s">
        <v>81</v>
      </c>
      <c r="BD1260">
        <v>24</v>
      </c>
      <c r="BE1260" t="s">
        <v>80</v>
      </c>
      <c r="BF1260">
        <v>24</v>
      </c>
      <c r="BG1260" t="s">
        <v>644</v>
      </c>
      <c r="BH1260" t="s">
        <v>31</v>
      </c>
      <c r="BI1260" t="s">
        <v>31</v>
      </c>
      <c r="BJ1260">
        <f t="shared" si="620"/>
        <v>2.78</v>
      </c>
      <c r="BK1260" s="3">
        <f t="shared" ref="BK1260:BK1323" si="648">LOG10(BJ1260)</f>
        <v>0.44404479591807622</v>
      </c>
      <c r="BL1260">
        <v>2</v>
      </c>
      <c r="BM1260" s="3">
        <f t="shared" si="639"/>
        <v>1.826870008756837</v>
      </c>
      <c r="BN1260" t="s">
        <v>33</v>
      </c>
      <c r="BO1260" s="3">
        <f t="shared" si="632"/>
        <v>67.122791366906483</v>
      </c>
      <c r="BP1260" t="s">
        <v>33</v>
      </c>
      <c r="BQ1260" t="s">
        <v>33</v>
      </c>
      <c r="BR1260" t="s">
        <v>33</v>
      </c>
      <c r="BS1260" t="s">
        <v>33</v>
      </c>
      <c r="BT1260" t="s">
        <v>31</v>
      </c>
      <c r="BU1260" t="s">
        <v>664</v>
      </c>
      <c r="BV1260">
        <v>2000</v>
      </c>
      <c r="BW1260" t="s">
        <v>665</v>
      </c>
      <c r="BX1260" t="s">
        <v>78</v>
      </c>
      <c r="BY1260" s="13" t="s">
        <v>685</v>
      </c>
      <c r="CA1260" t="str">
        <f t="shared" si="633"/>
        <v>low acid</v>
      </c>
    </row>
    <row r="1261" spans="1:79">
      <c r="A1261" t="s">
        <v>391</v>
      </c>
      <c r="B1261" t="s">
        <v>565</v>
      </c>
      <c r="C1261" t="s">
        <v>563</v>
      </c>
      <c r="D1261" t="s">
        <v>118</v>
      </c>
      <c r="E1261" t="s">
        <v>77</v>
      </c>
      <c r="F1261" t="s">
        <v>32</v>
      </c>
      <c r="G1261">
        <v>25</v>
      </c>
      <c r="H1261">
        <v>36</v>
      </c>
      <c r="I1261" t="b">
        <v>0</v>
      </c>
      <c r="J1261" t="s">
        <v>33</v>
      </c>
      <c r="K1261" t="s">
        <v>33</v>
      </c>
      <c r="L1261">
        <v>15</v>
      </c>
      <c r="M1261" s="4">
        <v>200</v>
      </c>
      <c r="N1261" s="3" t="str">
        <f t="shared" ref="N1261:N1269" si="649">IFERROR(AF1261/((T1261*X1261/Y1261)*O1261*AI1261),"NA")</f>
        <v>NA</v>
      </c>
      <c r="O1261">
        <v>4</v>
      </c>
      <c r="P1261" t="s">
        <v>33</v>
      </c>
      <c r="Q1261" s="8">
        <f t="shared" si="646"/>
        <v>0.15625</v>
      </c>
      <c r="R1261" t="s">
        <v>183</v>
      </c>
      <c r="S1261" t="s">
        <v>613</v>
      </c>
      <c r="T1261" s="11">
        <v>8</v>
      </c>
      <c r="U1261">
        <v>2.9</v>
      </c>
      <c r="V1261">
        <v>2.2999999999999998</v>
      </c>
      <c r="W1261">
        <v>1.2E-2</v>
      </c>
      <c r="X1261" s="8">
        <f>IFERROR(((PI())*(((V1261*10^-1)/2)^2)*(U1261*10^-1)), "NA")</f>
        <v>1.204879322468025E-2</v>
      </c>
      <c r="Y1261" t="s">
        <v>33</v>
      </c>
      <c r="Z1261" s="3">
        <f t="shared" si="647"/>
        <v>7.71122766379536E-2</v>
      </c>
      <c r="AA1261" t="s">
        <v>33</v>
      </c>
      <c r="AB1261" s="6">
        <f>IFERROR(((X1261*M1261)/Z1261), "NA")</f>
        <v>31.25</v>
      </c>
      <c r="AC1261" t="str">
        <f t="shared" si="637"/>
        <v>NA</v>
      </c>
      <c r="AD1261" s="4">
        <f>AB1261*T1261*AI1261</f>
        <v>250</v>
      </c>
      <c r="AE1261" s="3">
        <f t="shared" si="638"/>
        <v>953.99999999999989</v>
      </c>
      <c r="AF1261">
        <v>1000</v>
      </c>
      <c r="AG1261" t="str">
        <f>IFERROR((M1261*O1261*P1261), "NA")</f>
        <v>NA</v>
      </c>
      <c r="AH1261" t="str">
        <f t="shared" ref="AH1261:AH1269" si="650">IFERROR((AG1261*T1261*AI1261), "NA")</f>
        <v>NA</v>
      </c>
      <c r="AI1261">
        <v>1</v>
      </c>
      <c r="AJ1261" t="s">
        <v>31</v>
      </c>
      <c r="AK1261">
        <v>4240</v>
      </c>
      <c r="AL1261" t="s">
        <v>238</v>
      </c>
      <c r="AM1261" t="s">
        <v>86</v>
      </c>
      <c r="AN1261" t="s">
        <v>205</v>
      </c>
      <c r="AO1261" t="s">
        <v>789</v>
      </c>
      <c r="AP1261">
        <v>3.56</v>
      </c>
      <c r="AQ1261" t="s">
        <v>33</v>
      </c>
      <c r="AR1261" t="s">
        <v>33</v>
      </c>
      <c r="AS1261" s="6">
        <f>LOG(10^8)</f>
        <v>8</v>
      </c>
      <c r="AT1261" s="3">
        <f t="shared" ref="AT1261:AT1269" si="651">IFERROR(AS1261-AU1261,"NA")</f>
        <v>6.2240000000000002</v>
      </c>
      <c r="AU1261" s="6">
        <v>1.776</v>
      </c>
      <c r="AV1261" t="b">
        <v>1</v>
      </c>
      <c r="AW1261" t="s">
        <v>123</v>
      </c>
      <c r="AX1261" t="s">
        <v>393</v>
      </c>
      <c r="AY1261" t="s">
        <v>394</v>
      </c>
      <c r="AZ1261" t="s">
        <v>33</v>
      </c>
      <c r="BA1261" s="18" t="s">
        <v>579</v>
      </c>
      <c r="BB1261" t="b">
        <v>1</v>
      </c>
      <c r="BC1261" t="s">
        <v>81</v>
      </c>
      <c r="BD1261">
        <v>72</v>
      </c>
      <c r="BE1261" t="s">
        <v>80</v>
      </c>
      <c r="BF1261" s="11">
        <v>72</v>
      </c>
      <c r="BG1261" t="s">
        <v>395</v>
      </c>
      <c r="BH1261" t="s">
        <v>31</v>
      </c>
      <c r="BI1261" t="s">
        <v>31</v>
      </c>
      <c r="BJ1261" s="3">
        <f t="shared" ref="BJ1261:BJ1324" si="652">AU1261</f>
        <v>1.776</v>
      </c>
      <c r="BK1261" s="3">
        <f t="shared" si="648"/>
        <v>0.24944296144258221</v>
      </c>
      <c r="BL1261">
        <v>2</v>
      </c>
      <c r="BM1261" s="3">
        <f t="shared" si="639"/>
        <v>2.730105413261513</v>
      </c>
      <c r="BN1261" t="s">
        <v>33</v>
      </c>
      <c r="BO1261" s="3">
        <f t="shared" si="632"/>
        <v>537.16216216216208</v>
      </c>
      <c r="BP1261" t="s">
        <v>33</v>
      </c>
      <c r="BQ1261" t="s">
        <v>33</v>
      </c>
      <c r="BR1261" t="s">
        <v>33</v>
      </c>
      <c r="BS1261" t="s">
        <v>33</v>
      </c>
      <c r="BT1261" t="s">
        <v>31</v>
      </c>
      <c r="BU1261" t="s">
        <v>240</v>
      </c>
      <c r="BV1261">
        <v>2005</v>
      </c>
      <c r="BW1261" t="s">
        <v>396</v>
      </c>
      <c r="BX1261" t="s">
        <v>78</v>
      </c>
      <c r="BY1261" t="s">
        <v>33</v>
      </c>
      <c r="BZ1261" t="s">
        <v>33</v>
      </c>
      <c r="CA1261" t="str">
        <f t="shared" si="633"/>
        <v>high acid</v>
      </c>
    </row>
    <row r="1262" spans="1:79">
      <c r="A1262" t="s">
        <v>429</v>
      </c>
      <c r="B1262" t="s">
        <v>565</v>
      </c>
      <c r="C1262" t="s">
        <v>563</v>
      </c>
      <c r="D1262" t="s">
        <v>118</v>
      </c>
      <c r="E1262" t="s">
        <v>77</v>
      </c>
      <c r="F1262" t="s">
        <v>32</v>
      </c>
      <c r="G1262">
        <v>4</v>
      </c>
      <c r="H1262">
        <v>40</v>
      </c>
      <c r="I1262" t="b">
        <v>0</v>
      </c>
      <c r="J1262" t="s">
        <v>33</v>
      </c>
      <c r="K1262" t="s">
        <v>33</v>
      </c>
      <c r="L1262">
        <v>35</v>
      </c>
      <c r="M1262" s="4">
        <v>200</v>
      </c>
      <c r="N1262" s="3">
        <f t="shared" si="649"/>
        <v>230.05415964166485</v>
      </c>
      <c r="O1262">
        <v>4</v>
      </c>
      <c r="P1262" t="s">
        <v>33</v>
      </c>
      <c r="Q1262" s="8">
        <f t="shared" si="646"/>
        <v>1.3859375000000002E-2</v>
      </c>
      <c r="R1262" t="s">
        <v>183</v>
      </c>
      <c r="S1262" t="s">
        <v>613</v>
      </c>
      <c r="T1262" s="11">
        <v>8</v>
      </c>
      <c r="U1262">
        <v>2.9</v>
      </c>
      <c r="V1262">
        <v>2.2999999999999998</v>
      </c>
      <c r="W1262" t="s">
        <v>33</v>
      </c>
      <c r="X1262" s="9">
        <f>IFERROR(((PI())*(((V1262*10^-1)/2)^2)*(U1262*10^-1)), "NA")</f>
        <v>1.204879322468025E-2</v>
      </c>
      <c r="Y1262" s="6">
        <f>60/60</f>
        <v>1</v>
      </c>
      <c r="Z1262" s="3">
        <f t="shared" si="647"/>
        <v>0.86936050324637648</v>
      </c>
      <c r="AA1262" t="s">
        <v>33</v>
      </c>
      <c r="AB1262" s="6">
        <f>IFERROR(((X1262*M1262)/Y1262), "NA")</f>
        <v>2.40975864493605</v>
      </c>
      <c r="AC1262" t="str">
        <f t="shared" si="637"/>
        <v>NA</v>
      </c>
      <c r="AD1262" s="4">
        <f>IFERROR(AB1262*T1262*AI1262, "NA")</f>
        <v>19.2780691594884</v>
      </c>
      <c r="AE1262" s="3">
        <f t="shared" si="638"/>
        <v>167.33255</v>
      </c>
      <c r="AF1262">
        <v>88.7</v>
      </c>
      <c r="AG1262" t="str">
        <f>IFERROR((M1262*O1262*P1262), "NA")</f>
        <v>NA</v>
      </c>
      <c r="AH1262" t="str">
        <f t="shared" si="650"/>
        <v>NA</v>
      </c>
      <c r="AI1262" s="11">
        <v>1</v>
      </c>
      <c r="AJ1262" t="s">
        <v>31</v>
      </c>
      <c r="AK1262">
        <v>1540</v>
      </c>
      <c r="AL1262" t="s">
        <v>424</v>
      </c>
      <c r="AM1262" t="s">
        <v>86</v>
      </c>
      <c r="AN1262" t="s">
        <v>205</v>
      </c>
      <c r="AO1262" t="s">
        <v>789</v>
      </c>
      <c r="AP1262" s="4">
        <v>3.67</v>
      </c>
      <c r="AQ1262" t="s">
        <v>33</v>
      </c>
      <c r="AR1262" t="s">
        <v>33</v>
      </c>
      <c r="AS1262" s="3">
        <v>7.54</v>
      </c>
      <c r="AT1262" s="3">
        <f t="shared" si="651"/>
        <v>6.2290000000000001</v>
      </c>
      <c r="AU1262" s="6">
        <v>1.3109999999999999</v>
      </c>
      <c r="AV1262" t="b">
        <v>1</v>
      </c>
      <c r="AW1262" t="s">
        <v>92</v>
      </c>
      <c r="AX1262" t="s">
        <v>119</v>
      </c>
      <c r="AY1262" t="s">
        <v>425</v>
      </c>
      <c r="AZ1262" t="s">
        <v>33</v>
      </c>
      <c r="BA1262" s="18" t="s">
        <v>801</v>
      </c>
      <c r="BB1262" t="b">
        <v>0</v>
      </c>
      <c r="BC1262" t="s">
        <v>81</v>
      </c>
      <c r="BD1262">
        <v>15</v>
      </c>
      <c r="BE1262" t="s">
        <v>80</v>
      </c>
      <c r="BF1262" s="11">
        <v>36</v>
      </c>
      <c r="BG1262" t="s">
        <v>573</v>
      </c>
      <c r="BH1262" t="s">
        <v>31</v>
      </c>
      <c r="BI1262" t="s">
        <v>31</v>
      </c>
      <c r="BJ1262" s="3">
        <f t="shared" si="652"/>
        <v>1.3109999999999999</v>
      </c>
      <c r="BK1262" s="3">
        <f t="shared" si="648"/>
        <v>0.11760269169008426</v>
      </c>
      <c r="BL1262">
        <v>2</v>
      </c>
      <c r="BM1262" s="3">
        <f t="shared" si="639"/>
        <v>2.1059777376786566</v>
      </c>
      <c r="BN1262" t="s">
        <v>33</v>
      </c>
      <c r="BO1262" s="3">
        <f t="shared" si="632"/>
        <v>127.63733790999238</v>
      </c>
      <c r="BP1262" t="s">
        <v>33</v>
      </c>
      <c r="BQ1262" t="s">
        <v>33</v>
      </c>
      <c r="BR1262" t="s">
        <v>33</v>
      </c>
      <c r="BS1262" t="s">
        <v>33</v>
      </c>
      <c r="BT1262" t="s">
        <v>31</v>
      </c>
      <c r="BU1262" t="s">
        <v>426</v>
      </c>
      <c r="BV1262">
        <v>2017</v>
      </c>
      <c r="BW1262" t="s">
        <v>427</v>
      </c>
      <c r="BX1262" t="s">
        <v>78</v>
      </c>
      <c r="BY1262" t="s">
        <v>428</v>
      </c>
      <c r="BZ1262" t="s">
        <v>33</v>
      </c>
      <c r="CA1262" t="str">
        <f t="shared" si="633"/>
        <v>high acid</v>
      </c>
    </row>
    <row r="1263" spans="1:79">
      <c r="A1263" t="s">
        <v>79</v>
      </c>
      <c r="B1263" t="s">
        <v>565</v>
      </c>
      <c r="C1263" t="s">
        <v>563</v>
      </c>
      <c r="D1263" t="s">
        <v>76</v>
      </c>
      <c r="E1263" t="s">
        <v>77</v>
      </c>
      <c r="F1263" t="s">
        <v>32</v>
      </c>
      <c r="G1263">
        <v>4</v>
      </c>
      <c r="H1263">
        <f>30</f>
        <v>30</v>
      </c>
      <c r="I1263" t="b">
        <v>0</v>
      </c>
      <c r="J1263" t="s">
        <v>33</v>
      </c>
      <c r="K1263" t="s">
        <v>33</v>
      </c>
      <c r="L1263">
        <v>20</v>
      </c>
      <c r="M1263" s="4">
        <v>1000</v>
      </c>
      <c r="N1263" s="3">
        <f t="shared" si="649"/>
        <v>1151.794348616987</v>
      </c>
      <c r="O1263">
        <v>8</v>
      </c>
      <c r="P1263" t="s">
        <v>33</v>
      </c>
      <c r="Q1263">
        <f t="shared" si="646"/>
        <v>1.2499999999999998E-3</v>
      </c>
      <c r="R1263" t="s">
        <v>183</v>
      </c>
      <c r="S1263" t="s">
        <v>612</v>
      </c>
      <c r="T1263" s="11">
        <v>1</v>
      </c>
      <c r="U1263">
        <f>4.7</f>
        <v>4.7</v>
      </c>
      <c r="V1263">
        <v>3.5</v>
      </c>
      <c r="W1263" t="s">
        <v>33</v>
      </c>
      <c r="X1263" s="8">
        <f>IFERROR(((PI())*(((V1263*10^-1)/2)^2)*(U1263*10^-1)), "NA")</f>
        <v>4.5219299257608099E-2</v>
      </c>
      <c r="Y1263" s="6">
        <f>2.5*1000/60</f>
        <v>41.666666666666664</v>
      </c>
      <c r="Z1263" s="3">
        <f t="shared" si="647"/>
        <v>36.175439406086483</v>
      </c>
      <c r="AA1263" t="s">
        <v>33</v>
      </c>
      <c r="AB1263" s="6">
        <f>IFERROR(((X1263*M1263)/Z1263), "NA")</f>
        <v>1.25</v>
      </c>
      <c r="AC1263" t="str">
        <f t="shared" si="637"/>
        <v>NA</v>
      </c>
      <c r="AD1263" s="4">
        <f>IFERROR(AB1263*T1263*AI1263, "NA")</f>
        <v>1.25</v>
      </c>
      <c r="AE1263">
        <f t="shared" si="638"/>
        <v>21.999999999999996</v>
      </c>
      <c r="AF1263">
        <v>10</v>
      </c>
      <c r="AG1263" t="str">
        <f>IFERROR((M1263*O1263*P1263), "NA")</f>
        <v>NA</v>
      </c>
      <c r="AH1263" t="str">
        <f t="shared" si="650"/>
        <v>NA</v>
      </c>
      <c r="AI1263" s="11">
        <v>1</v>
      </c>
      <c r="AJ1263" t="s">
        <v>31</v>
      </c>
      <c r="AK1263">
        <v>5500</v>
      </c>
      <c r="AL1263" t="s">
        <v>540</v>
      </c>
      <c r="AM1263" t="s">
        <v>157</v>
      </c>
      <c r="AN1263" t="s">
        <v>186</v>
      </c>
      <c r="AO1263" t="s">
        <v>792</v>
      </c>
      <c r="AP1263" s="3">
        <f>(6.53+6.6)/2</f>
        <v>6.5649999999999995</v>
      </c>
      <c r="AQ1263" t="s">
        <v>33</v>
      </c>
      <c r="AR1263" t="s">
        <v>33</v>
      </c>
      <c r="AS1263">
        <v>8</v>
      </c>
      <c r="AT1263" s="3">
        <f t="shared" si="651"/>
        <v>6.23</v>
      </c>
      <c r="AU1263" s="6">
        <v>1.77</v>
      </c>
      <c r="AV1263" t="b">
        <v>1</v>
      </c>
      <c r="AW1263" t="s">
        <v>29</v>
      </c>
      <c r="AX1263" t="s">
        <v>30</v>
      </c>
      <c r="AY1263" t="s">
        <v>216</v>
      </c>
      <c r="AZ1263" t="s">
        <v>33</v>
      </c>
      <c r="BA1263" s="18" t="s">
        <v>798</v>
      </c>
      <c r="BB1263" t="b">
        <v>0</v>
      </c>
      <c r="BC1263" t="s">
        <v>81</v>
      </c>
      <c r="BD1263">
        <v>24</v>
      </c>
      <c r="BE1263" t="s">
        <v>80</v>
      </c>
      <c r="BF1263" s="11">
        <v>24</v>
      </c>
      <c r="BG1263" t="s">
        <v>572</v>
      </c>
      <c r="BH1263" t="s">
        <v>31</v>
      </c>
      <c r="BI1263" t="s">
        <v>31</v>
      </c>
      <c r="BJ1263" s="3">
        <f t="shared" si="652"/>
        <v>1.77</v>
      </c>
      <c r="BK1263" s="3">
        <f t="shared" si="648"/>
        <v>0.24797326636180664</v>
      </c>
      <c r="BL1263">
        <v>2</v>
      </c>
      <c r="BM1263" s="3">
        <f t="shared" si="639"/>
        <v>1.0944494144603996</v>
      </c>
      <c r="BN1263" t="s">
        <v>33</v>
      </c>
      <c r="BO1263" s="3">
        <f t="shared" si="632"/>
        <v>12.429378531073445</v>
      </c>
      <c r="BP1263" t="s">
        <v>33</v>
      </c>
      <c r="BQ1263" t="s">
        <v>33</v>
      </c>
      <c r="BR1263" t="s">
        <v>33</v>
      </c>
      <c r="BS1263" t="s">
        <v>33</v>
      </c>
      <c r="BT1263" t="s">
        <v>32</v>
      </c>
      <c r="BU1263" t="s">
        <v>117</v>
      </c>
      <c r="BV1263">
        <v>2021</v>
      </c>
      <c r="BW1263" s="2" t="s">
        <v>82</v>
      </c>
      <c r="BX1263" t="s">
        <v>78</v>
      </c>
      <c r="BY1263" t="s">
        <v>90</v>
      </c>
      <c r="CA1263" t="str">
        <f t="shared" si="633"/>
        <v>low acid</v>
      </c>
    </row>
    <row r="1264" spans="1:79">
      <c r="A1264" t="s">
        <v>733</v>
      </c>
      <c r="B1264" t="s">
        <v>566</v>
      </c>
      <c r="C1264" t="s">
        <v>563</v>
      </c>
      <c r="D1264" t="s">
        <v>699</v>
      </c>
      <c r="E1264" t="s">
        <v>77</v>
      </c>
      <c r="F1264" t="s">
        <v>32</v>
      </c>
      <c r="G1264">
        <v>20</v>
      </c>
      <c r="H1264">
        <v>41</v>
      </c>
      <c r="I1264" t="b">
        <v>1</v>
      </c>
      <c r="J1264" t="s">
        <v>33</v>
      </c>
      <c r="K1264" t="s">
        <v>33</v>
      </c>
      <c r="L1264">
        <v>20</v>
      </c>
      <c r="M1264" s="4">
        <v>30</v>
      </c>
      <c r="N1264" s="3">
        <f t="shared" si="649"/>
        <v>29.861111111111104</v>
      </c>
      <c r="O1264">
        <v>5</v>
      </c>
      <c r="P1264">
        <v>0.43</v>
      </c>
      <c r="Q1264" s="8">
        <f>IFERROR(X1264/Y1264, "NA")</f>
        <v>0.43200000000000011</v>
      </c>
      <c r="R1264" t="s">
        <v>183</v>
      </c>
      <c r="S1264" t="s">
        <v>612</v>
      </c>
      <c r="T1264" s="11">
        <v>1</v>
      </c>
      <c r="U1264">
        <v>4</v>
      </c>
      <c r="V1264" t="s">
        <v>33</v>
      </c>
      <c r="W1264">
        <f>0.4*3*0.5</f>
        <v>0.60000000000000009</v>
      </c>
      <c r="X1264" s="9">
        <f>W1264</f>
        <v>0.60000000000000009</v>
      </c>
      <c r="Y1264" s="6">
        <f>5000/3600</f>
        <v>1.3888888888888888</v>
      </c>
      <c r="Z1264" s="3">
        <f t="shared" si="647"/>
        <v>1.3953488372093026</v>
      </c>
      <c r="AA1264" t="s">
        <v>33</v>
      </c>
      <c r="AB1264" s="4">
        <f>IFERROR(((X1264*M1264)/Y1264), "NA")</f>
        <v>12.960000000000003</v>
      </c>
      <c r="AC1264" s="4">
        <f t="shared" si="637"/>
        <v>12.9</v>
      </c>
      <c r="AD1264" s="4">
        <f>AB1264*T1264*AI1264</f>
        <v>12.960000000000003</v>
      </c>
      <c r="AE1264" s="3">
        <f t="shared" si="638"/>
        <v>51.840000000000011</v>
      </c>
      <c r="AF1264">
        <v>64.5</v>
      </c>
      <c r="AG1264" s="4">
        <f>IFERROR((M1264*O1264*P1264), "NA")</f>
        <v>64.5</v>
      </c>
      <c r="AH1264" s="4">
        <f t="shared" si="650"/>
        <v>64.5</v>
      </c>
      <c r="AI1264">
        <v>1</v>
      </c>
      <c r="AJ1264" s="11" t="s">
        <v>31</v>
      </c>
      <c r="AK1264">
        <v>2000</v>
      </c>
      <c r="AL1264" t="s">
        <v>784</v>
      </c>
      <c r="AM1264" t="s">
        <v>103</v>
      </c>
      <c r="AN1264" t="s">
        <v>130</v>
      </c>
      <c r="AO1264" t="s">
        <v>795</v>
      </c>
      <c r="AP1264">
        <v>7</v>
      </c>
      <c r="AQ1264" t="s">
        <v>33</v>
      </c>
      <c r="AR1264" t="s">
        <v>33</v>
      </c>
      <c r="AS1264" s="6">
        <f>LOG(AVERAGE(10^8, 10^9))</f>
        <v>8.7403626894942441</v>
      </c>
      <c r="AT1264" s="3">
        <f t="shared" si="651"/>
        <v>6.2333626894942444</v>
      </c>
      <c r="AU1264" s="6">
        <v>2.5070000000000001</v>
      </c>
      <c r="AV1264" t="b">
        <v>1</v>
      </c>
      <c r="AW1264" t="s">
        <v>172</v>
      </c>
      <c r="AX1264" t="s">
        <v>173</v>
      </c>
      <c r="AY1264">
        <v>28.031500000000001</v>
      </c>
      <c r="AZ1264" t="s">
        <v>33</v>
      </c>
      <c r="BA1264" s="18" t="s">
        <v>799</v>
      </c>
      <c r="BB1264" s="3" t="b">
        <v>0</v>
      </c>
      <c r="BC1264" t="s">
        <v>81</v>
      </c>
      <c r="BD1264">
        <v>24</v>
      </c>
      <c r="BE1264" t="s">
        <v>80</v>
      </c>
      <c r="BF1264">
        <v>48</v>
      </c>
      <c r="BG1264" t="s">
        <v>734</v>
      </c>
      <c r="BH1264" t="s">
        <v>31</v>
      </c>
      <c r="BI1264" t="s">
        <v>31</v>
      </c>
      <c r="BJ1264" s="3">
        <f t="shared" si="652"/>
        <v>2.5070000000000001</v>
      </c>
      <c r="BK1264" s="3">
        <f t="shared" si="648"/>
        <v>0.39915433395821653</v>
      </c>
      <c r="BL1264">
        <v>2</v>
      </c>
      <c r="BM1264" s="3">
        <f t="shared" si="639"/>
        <v>1.3155106589043204</v>
      </c>
      <c r="BN1264" t="s">
        <v>33</v>
      </c>
      <c r="BO1264" s="3">
        <f t="shared" si="632"/>
        <v>20.678101316314322</v>
      </c>
      <c r="BP1264" t="s">
        <v>33</v>
      </c>
      <c r="BQ1264" t="s">
        <v>33</v>
      </c>
      <c r="BR1264" t="s">
        <v>33</v>
      </c>
      <c r="BS1264" t="s">
        <v>33</v>
      </c>
      <c r="BT1264" t="s">
        <v>32</v>
      </c>
      <c r="BU1264" t="s">
        <v>709</v>
      </c>
      <c r="BV1264">
        <v>2024</v>
      </c>
      <c r="BW1264" t="s">
        <v>710</v>
      </c>
      <c r="BX1264" t="s">
        <v>78</v>
      </c>
      <c r="BY1264" t="s">
        <v>711</v>
      </c>
      <c r="CA1264" t="str">
        <f t="shared" si="633"/>
        <v>low acid</v>
      </c>
    </row>
    <row r="1265" spans="1:79">
      <c r="A1265" t="s">
        <v>449</v>
      </c>
      <c r="B1265" t="s">
        <v>565</v>
      </c>
      <c r="C1265" t="s">
        <v>563</v>
      </c>
      <c r="D1265" t="s">
        <v>182</v>
      </c>
      <c r="E1265" t="s">
        <v>77</v>
      </c>
      <c r="F1265" t="s">
        <v>32</v>
      </c>
      <c r="G1265">
        <v>18</v>
      </c>
      <c r="H1265">
        <v>39</v>
      </c>
      <c r="I1265" t="b">
        <v>1</v>
      </c>
      <c r="J1265" t="s">
        <v>33</v>
      </c>
      <c r="K1265" t="s">
        <v>33</v>
      </c>
      <c r="L1265">
        <v>27</v>
      </c>
      <c r="M1265" s="4" t="s">
        <v>33</v>
      </c>
      <c r="N1265" s="3">
        <f t="shared" si="649"/>
        <v>329.67224855987649</v>
      </c>
      <c r="O1265">
        <v>8</v>
      </c>
      <c r="P1265">
        <f>0.047/2</f>
        <v>2.35E-2</v>
      </c>
      <c r="Q1265" s="8">
        <f t="shared" ref="Q1265:Q1272" si="653">IFERROR(X1265/Z1265, "NA")</f>
        <v>2.3318614270936313E-2</v>
      </c>
      <c r="R1265" t="s">
        <v>183</v>
      </c>
      <c r="S1265" t="s">
        <v>613</v>
      </c>
      <c r="T1265" s="11">
        <v>2</v>
      </c>
      <c r="U1265">
        <v>5.6</v>
      </c>
      <c r="V1265">
        <v>4.5</v>
      </c>
      <c r="W1265" t="s">
        <v>33</v>
      </c>
      <c r="X1265" s="9">
        <f>IFERROR(((PI())*(((V1265*10^-1)/2)^2)*(U1265*10^-1)), "NA")</f>
        <v>8.9064151729270638E-2</v>
      </c>
      <c r="Y1265" s="6">
        <f>13750/3600</f>
        <v>3.8194444444444446</v>
      </c>
      <c r="Z1265" s="3">
        <f>IFERROR(X1265*N1265*O1265*T1265*AI1265/AF1265, "NA")</f>
        <v>3.8194444444444442</v>
      </c>
      <c r="AA1265" t="s">
        <v>33</v>
      </c>
      <c r="AB1265" s="4">
        <f>IFERROR(((X1265*N1265)/Y1265), "NA")</f>
        <v>7.6874999999999991</v>
      </c>
      <c r="AC1265" s="4">
        <f>IFERROR(N1265*P1265,"NA")</f>
        <v>7.7472978411570974</v>
      </c>
      <c r="AD1265" s="4">
        <f>AB1265*T1265*AI1265</f>
        <v>15.374999999999998</v>
      </c>
      <c r="AE1265" s="3">
        <f>IFERROR(((L1265^2)*N1265*O1265*AK1265*10^-6*Q1265*T1265*AI1265), "NA")</f>
        <v>206.23409999999998</v>
      </c>
      <c r="AF1265">
        <v>123</v>
      </c>
      <c r="AG1265" s="4">
        <f>IFERROR((N1265*O1265*P1265), "NA")</f>
        <v>61.978382729256779</v>
      </c>
      <c r="AH1265" s="4">
        <f t="shared" si="650"/>
        <v>123.95676545851356</v>
      </c>
      <c r="AI1265" s="11">
        <v>1</v>
      </c>
      <c r="AJ1265" t="s">
        <v>31</v>
      </c>
      <c r="AK1265">
        <v>2300</v>
      </c>
      <c r="AL1265" t="s">
        <v>805</v>
      </c>
      <c r="AM1265" t="s">
        <v>515</v>
      </c>
      <c r="AN1265" t="s">
        <v>205</v>
      </c>
      <c r="AO1265" t="s">
        <v>788</v>
      </c>
      <c r="AP1265">
        <v>3.68</v>
      </c>
      <c r="AQ1265" t="s">
        <v>33</v>
      </c>
      <c r="AR1265" t="s">
        <v>33</v>
      </c>
      <c r="AS1265">
        <f>LOG(10^8)</f>
        <v>8</v>
      </c>
      <c r="AT1265" s="3">
        <f t="shared" si="651"/>
        <v>6.24</v>
      </c>
      <c r="AU1265" s="6">
        <v>1.76</v>
      </c>
      <c r="AV1265" t="b">
        <v>1</v>
      </c>
      <c r="AW1265" t="s">
        <v>123</v>
      </c>
      <c r="AX1265" t="s">
        <v>393</v>
      </c>
      <c r="AY1265" t="s">
        <v>521</v>
      </c>
      <c r="AZ1265" t="s">
        <v>33</v>
      </c>
      <c r="BA1265" s="18" t="s">
        <v>579</v>
      </c>
      <c r="BB1265" t="b">
        <v>1</v>
      </c>
      <c r="BC1265" t="s">
        <v>81</v>
      </c>
      <c r="BD1265" t="s">
        <v>33</v>
      </c>
      <c r="BE1265" t="s">
        <v>80</v>
      </c>
      <c r="BF1265" t="s">
        <v>33</v>
      </c>
      <c r="BG1265" t="s">
        <v>395</v>
      </c>
      <c r="BH1265" t="s">
        <v>31</v>
      </c>
      <c r="BI1265" t="s">
        <v>31</v>
      </c>
      <c r="BJ1265" s="3">
        <f t="shared" si="652"/>
        <v>1.76</v>
      </c>
      <c r="BK1265" s="3">
        <f t="shared" si="648"/>
        <v>0.24551266781414982</v>
      </c>
      <c r="BL1265">
        <v>2</v>
      </c>
      <c r="BM1265" s="3">
        <f t="shared" si="639"/>
        <v>2.0688478079608155</v>
      </c>
      <c r="BN1265" t="s">
        <v>33</v>
      </c>
      <c r="BO1265" s="3">
        <f t="shared" si="632"/>
        <v>117.1784659090909</v>
      </c>
      <c r="BP1265" t="s">
        <v>33</v>
      </c>
      <c r="BQ1265" t="s">
        <v>33</v>
      </c>
      <c r="BR1265" t="s">
        <v>33</v>
      </c>
      <c r="BS1265" t="s">
        <v>33</v>
      </c>
      <c r="BT1265" t="s">
        <v>32</v>
      </c>
      <c r="BU1265" t="s">
        <v>484</v>
      </c>
      <c r="BV1265">
        <v>2015</v>
      </c>
      <c r="BW1265" t="s">
        <v>485</v>
      </c>
      <c r="BX1265" t="s">
        <v>78</v>
      </c>
      <c r="BY1265" t="s">
        <v>486</v>
      </c>
      <c r="CA1265" t="str">
        <f t="shared" si="633"/>
        <v>high acid</v>
      </c>
    </row>
    <row r="1266" spans="1:79">
      <c r="A1266" t="s">
        <v>397</v>
      </c>
      <c r="B1266" t="s">
        <v>565</v>
      </c>
      <c r="C1266" t="s">
        <v>563</v>
      </c>
      <c r="D1266" t="s">
        <v>118</v>
      </c>
      <c r="E1266" t="s">
        <v>77</v>
      </c>
      <c r="F1266" t="s">
        <v>32</v>
      </c>
      <c r="G1266">
        <v>25</v>
      </c>
      <c r="H1266">
        <v>36</v>
      </c>
      <c r="I1266" t="b">
        <v>0</v>
      </c>
      <c r="J1266" t="s">
        <v>33</v>
      </c>
      <c r="K1266" t="s">
        <v>33</v>
      </c>
      <c r="L1266">
        <v>30</v>
      </c>
      <c r="M1266" s="4">
        <v>250</v>
      </c>
      <c r="N1266" s="3" t="str">
        <f t="shared" si="649"/>
        <v>NA</v>
      </c>
      <c r="O1266">
        <v>4</v>
      </c>
      <c r="P1266" t="s">
        <v>33</v>
      </c>
      <c r="Q1266" s="8">
        <f t="shared" si="653"/>
        <v>3.7499999999999999E-2</v>
      </c>
      <c r="R1266" t="s">
        <v>183</v>
      </c>
      <c r="S1266" t="s">
        <v>613</v>
      </c>
      <c r="T1266" s="11">
        <v>8</v>
      </c>
      <c r="U1266">
        <v>2.9</v>
      </c>
      <c r="V1266">
        <v>2.2999999999999998</v>
      </c>
      <c r="W1266">
        <v>1.2E-2</v>
      </c>
      <c r="X1266" s="8">
        <f>IFERROR(((PI())*(((V1266*10^-1)/2)^2)*(U1266*10^-1)), "NA")</f>
        <v>1.204879322468025E-2</v>
      </c>
      <c r="Y1266" t="s">
        <v>33</v>
      </c>
      <c r="Z1266" s="3">
        <f t="shared" ref="Z1266:Z1271" si="654">IFERROR(X1266*M1266*O1266*T1266*AI1266/AF1266, "NA")</f>
        <v>0.32130115265814002</v>
      </c>
      <c r="AA1266" t="s">
        <v>33</v>
      </c>
      <c r="AB1266" s="6">
        <f>IFERROR(((X1266*M1266)/Z1266), "NA")</f>
        <v>9.375</v>
      </c>
      <c r="AC1266" t="str">
        <f t="shared" ref="AC1266:AC1301" si="655">IFERROR(M1266*P1266,"NA")</f>
        <v>NA</v>
      </c>
      <c r="AD1266" s="4">
        <f>AB1266*T1266*AI1266</f>
        <v>75</v>
      </c>
      <c r="AE1266" s="3">
        <f t="shared" ref="AE1266:AE1301" si="656">IFERROR(((L1266^2)*M1266*O1266*AK1266*10^-6*Q1266*T1266*AI1266), "NA")</f>
        <v>1144.8</v>
      </c>
      <c r="AF1266">
        <v>300</v>
      </c>
      <c r="AG1266" t="str">
        <f>IFERROR((M1266*O1266*P1266), "NA")</f>
        <v>NA</v>
      </c>
      <c r="AH1266" t="str">
        <f t="shared" si="650"/>
        <v>NA</v>
      </c>
      <c r="AI1266">
        <v>1</v>
      </c>
      <c r="AJ1266" t="s">
        <v>31</v>
      </c>
      <c r="AK1266">
        <v>4240</v>
      </c>
      <c r="AL1266" t="s">
        <v>238</v>
      </c>
      <c r="AM1266" t="s">
        <v>86</v>
      </c>
      <c r="AN1266" t="s">
        <v>205</v>
      </c>
      <c r="AO1266" t="s">
        <v>789</v>
      </c>
      <c r="AP1266">
        <v>3.56</v>
      </c>
      <c r="AQ1266" t="s">
        <v>33</v>
      </c>
      <c r="AR1266" t="s">
        <v>33</v>
      </c>
      <c r="AS1266" s="6">
        <f>LOG(10^8)</f>
        <v>8</v>
      </c>
      <c r="AT1266" s="3">
        <f t="shared" si="651"/>
        <v>6.25</v>
      </c>
      <c r="AU1266" s="6">
        <v>1.75</v>
      </c>
      <c r="AV1266" t="b">
        <v>1</v>
      </c>
      <c r="AW1266" t="s">
        <v>123</v>
      </c>
      <c r="AX1266" t="s">
        <v>393</v>
      </c>
      <c r="AY1266" t="s">
        <v>394</v>
      </c>
      <c r="AZ1266" t="s">
        <v>33</v>
      </c>
      <c r="BA1266" s="18" t="s">
        <v>579</v>
      </c>
      <c r="BB1266" t="b">
        <v>1</v>
      </c>
      <c r="BC1266" t="s">
        <v>81</v>
      </c>
      <c r="BD1266">
        <v>72</v>
      </c>
      <c r="BE1266" t="s">
        <v>80</v>
      </c>
      <c r="BF1266" s="11">
        <v>72</v>
      </c>
      <c r="BG1266" t="s">
        <v>395</v>
      </c>
      <c r="BH1266" t="s">
        <v>31</v>
      </c>
      <c r="BI1266" t="s">
        <v>31</v>
      </c>
      <c r="BJ1266" s="3">
        <f t="shared" si="652"/>
        <v>1.75</v>
      </c>
      <c r="BK1266" s="3">
        <f t="shared" si="648"/>
        <v>0.24303804868629444</v>
      </c>
      <c r="BL1266">
        <v>2</v>
      </c>
      <c r="BM1266" s="3">
        <f t="shared" si="639"/>
        <v>2.8156915720654254</v>
      </c>
      <c r="BN1266" t="s">
        <v>33</v>
      </c>
      <c r="BO1266" s="3">
        <f t="shared" si="632"/>
        <v>654.17142857142858</v>
      </c>
      <c r="BP1266" t="s">
        <v>33</v>
      </c>
      <c r="BQ1266" t="s">
        <v>33</v>
      </c>
      <c r="BR1266" t="s">
        <v>33</v>
      </c>
      <c r="BS1266" t="s">
        <v>33</v>
      </c>
      <c r="BT1266" t="s">
        <v>31</v>
      </c>
      <c r="BU1266" t="s">
        <v>240</v>
      </c>
      <c r="BV1266">
        <v>2005</v>
      </c>
      <c r="BW1266" t="s">
        <v>396</v>
      </c>
      <c r="BX1266" t="s">
        <v>78</v>
      </c>
      <c r="BY1266" t="s">
        <v>33</v>
      </c>
      <c r="BZ1266" t="s">
        <v>33</v>
      </c>
      <c r="CA1266" t="str">
        <f t="shared" si="633"/>
        <v>high acid</v>
      </c>
    </row>
    <row r="1267" spans="1:79">
      <c r="A1267" t="s">
        <v>106</v>
      </c>
      <c r="B1267" t="s">
        <v>565</v>
      </c>
      <c r="C1267" t="s">
        <v>563</v>
      </c>
      <c r="D1267" t="s">
        <v>118</v>
      </c>
      <c r="E1267" t="s">
        <v>77</v>
      </c>
      <c r="F1267" t="s">
        <v>32</v>
      </c>
      <c r="G1267">
        <v>23</v>
      </c>
      <c r="H1267">
        <v>40</v>
      </c>
      <c r="I1267" t="b">
        <v>0</v>
      </c>
      <c r="J1267" t="s">
        <v>33</v>
      </c>
      <c r="K1267" t="s">
        <v>33</v>
      </c>
      <c r="L1267">
        <v>25</v>
      </c>
      <c r="M1267" s="4">
        <v>667</v>
      </c>
      <c r="N1267" s="3">
        <f t="shared" si="649"/>
        <v>663.96690945057719</v>
      </c>
      <c r="O1267">
        <v>3</v>
      </c>
      <c r="P1267" t="s">
        <v>33</v>
      </c>
      <c r="Q1267" s="8">
        <f t="shared" si="653"/>
        <v>5.9970014992503755E-3</v>
      </c>
      <c r="R1267" t="s">
        <v>183</v>
      </c>
      <c r="S1267" t="s">
        <v>613</v>
      </c>
      <c r="T1267" s="11">
        <v>4</v>
      </c>
      <c r="U1267">
        <v>2.9</v>
      </c>
      <c r="V1267">
        <v>2.2999999999999998</v>
      </c>
      <c r="W1267" t="s">
        <v>33</v>
      </c>
      <c r="X1267">
        <f>IFERROR(((PI())*(((V1267*10^-1)/2)^2)*(U1267*10^-1)), "NA")</f>
        <v>1.204879322468025E-2</v>
      </c>
      <c r="Y1267">
        <v>2</v>
      </c>
      <c r="Z1267" s="9">
        <f t="shared" si="654"/>
        <v>2.0091362702154316</v>
      </c>
      <c r="AA1267" t="s">
        <v>33</v>
      </c>
      <c r="AB1267" s="6">
        <f>IFERROR(((X1267*M1267)/Z1267), "NA")</f>
        <v>4</v>
      </c>
      <c r="AC1267" t="str">
        <f t="shared" si="655"/>
        <v>NA</v>
      </c>
      <c r="AD1267" s="4">
        <f>IFERROR(AB1267*T1267*AI1267, "NA")</f>
        <v>16</v>
      </c>
      <c r="AE1267">
        <f t="shared" si="656"/>
        <v>138.00000000000003</v>
      </c>
      <c r="AF1267">
        <v>48</v>
      </c>
      <c r="AG1267" t="str">
        <f>IFERROR((M1267*O1267*P1267), "NA")</f>
        <v>NA</v>
      </c>
      <c r="AH1267" t="str">
        <f t="shared" si="650"/>
        <v>NA</v>
      </c>
      <c r="AI1267" s="11">
        <v>1</v>
      </c>
      <c r="AJ1267" t="s">
        <v>31</v>
      </c>
      <c r="AK1267">
        <v>4600</v>
      </c>
      <c r="AL1267" t="s">
        <v>204</v>
      </c>
      <c r="AM1267" t="s">
        <v>785</v>
      </c>
      <c r="AN1267" t="s">
        <v>205</v>
      </c>
      <c r="AO1267" t="s">
        <v>791</v>
      </c>
      <c r="AP1267">
        <v>4.2</v>
      </c>
      <c r="AQ1267" t="s">
        <v>33</v>
      </c>
      <c r="AR1267" t="s">
        <v>33</v>
      </c>
      <c r="AS1267" s="3">
        <v>8</v>
      </c>
      <c r="AT1267" s="3">
        <f t="shared" si="651"/>
        <v>5.96</v>
      </c>
      <c r="AU1267" s="6">
        <v>2.04</v>
      </c>
      <c r="AV1267" t="b">
        <v>1</v>
      </c>
      <c r="AW1267" t="s">
        <v>92</v>
      </c>
      <c r="AX1267" t="s">
        <v>93</v>
      </c>
      <c r="AY1267" t="s">
        <v>96</v>
      </c>
      <c r="AZ1267" t="s">
        <v>33</v>
      </c>
      <c r="BA1267" s="18" t="s">
        <v>801</v>
      </c>
      <c r="BB1267" t="b">
        <v>0</v>
      </c>
      <c r="BC1267" t="s">
        <v>81</v>
      </c>
      <c r="BD1267">
        <v>18</v>
      </c>
      <c r="BE1267" t="s">
        <v>80</v>
      </c>
      <c r="BF1267" t="s">
        <v>33</v>
      </c>
      <c r="BG1267" t="s">
        <v>568</v>
      </c>
      <c r="BH1267" t="s">
        <v>31</v>
      </c>
      <c r="BI1267" t="s">
        <v>31</v>
      </c>
      <c r="BJ1267">
        <f t="shared" si="652"/>
        <v>2.04</v>
      </c>
      <c r="BK1267" s="3">
        <f t="shared" si="648"/>
        <v>0.30963016742589877</v>
      </c>
      <c r="BL1267">
        <v>2</v>
      </c>
      <c r="BM1267" s="3">
        <f>LOG(BO1267)</f>
        <v>1.8302489189753377</v>
      </c>
      <c r="BN1267" t="s">
        <v>33</v>
      </c>
      <c r="BO1267" s="3">
        <f t="shared" si="632"/>
        <v>67.64705882352942</v>
      </c>
      <c r="BP1267" t="s">
        <v>33</v>
      </c>
      <c r="BQ1267" t="s">
        <v>33</v>
      </c>
      <c r="BR1267" t="s">
        <v>33</v>
      </c>
      <c r="BS1267" t="s">
        <v>33</v>
      </c>
      <c r="BT1267" t="s">
        <v>32</v>
      </c>
      <c r="BU1267" t="s">
        <v>116</v>
      </c>
      <c r="BV1267">
        <v>2011</v>
      </c>
      <c r="BW1267" t="s">
        <v>91</v>
      </c>
      <c r="BX1267" t="s">
        <v>78</v>
      </c>
      <c r="BY1267" t="s">
        <v>33</v>
      </c>
      <c r="BZ1267" t="s">
        <v>113</v>
      </c>
      <c r="CA1267" t="str">
        <f t="shared" si="633"/>
        <v>high acid</v>
      </c>
    </row>
    <row r="1268" spans="1:79">
      <c r="A1268" t="s">
        <v>343</v>
      </c>
      <c r="B1268" t="s">
        <v>566</v>
      </c>
      <c r="C1268" t="s">
        <v>563</v>
      </c>
      <c r="D1268" t="s">
        <v>33</v>
      </c>
      <c r="E1268" t="s">
        <v>77</v>
      </c>
      <c r="F1268" t="s">
        <v>32</v>
      </c>
      <c r="G1268">
        <v>30</v>
      </c>
      <c r="H1268">
        <v>33</v>
      </c>
      <c r="I1268" t="b">
        <v>0</v>
      </c>
      <c r="J1268" t="s">
        <v>33</v>
      </c>
      <c r="K1268" t="s">
        <v>33</v>
      </c>
      <c r="L1268">
        <v>30</v>
      </c>
      <c r="M1268" s="4">
        <v>2</v>
      </c>
      <c r="N1268" s="3">
        <f t="shared" si="649"/>
        <v>2.1126760563380285</v>
      </c>
      <c r="O1268">
        <v>2</v>
      </c>
      <c r="P1268" t="s">
        <v>33</v>
      </c>
      <c r="Q1268" s="8">
        <f t="shared" si="653"/>
        <v>7.5</v>
      </c>
      <c r="R1268" t="s">
        <v>183</v>
      </c>
      <c r="S1268" t="s">
        <v>613</v>
      </c>
      <c r="T1268" s="11">
        <v>1</v>
      </c>
      <c r="U1268">
        <v>5</v>
      </c>
      <c r="V1268" t="s">
        <v>33</v>
      </c>
      <c r="W1268">
        <v>0.71</v>
      </c>
      <c r="X1268" s="8">
        <f>W1268</f>
        <v>0.71</v>
      </c>
      <c r="Y1268">
        <f>6/60</f>
        <v>0.1</v>
      </c>
      <c r="Z1268" s="3">
        <f t="shared" si="654"/>
        <v>9.4666666666666663E-2</v>
      </c>
      <c r="AA1268">
        <v>15</v>
      </c>
      <c r="AB1268" s="6">
        <f>IFERROR(((X1268*M1268)/Z1268), "NA")</f>
        <v>15</v>
      </c>
      <c r="AC1268" t="str">
        <f t="shared" si="655"/>
        <v>NA</v>
      </c>
      <c r="AD1268" s="4">
        <f>AB1268*T1268*AI1268</f>
        <v>60</v>
      </c>
      <c r="AE1268" s="3">
        <f t="shared" si="656"/>
        <v>756</v>
      </c>
      <c r="AF1268">
        <v>120</v>
      </c>
      <c r="AG1268" t="str">
        <f>IFERROR((M1268*O1268*P1268), "NA")</f>
        <v>NA</v>
      </c>
      <c r="AH1268" t="str">
        <f t="shared" si="650"/>
        <v>NA</v>
      </c>
      <c r="AI1268">
        <v>4</v>
      </c>
      <c r="AJ1268" s="11" t="s">
        <v>32</v>
      </c>
      <c r="AK1268">
        <v>7000</v>
      </c>
      <c r="AL1268" t="s">
        <v>562</v>
      </c>
      <c r="AM1268" s="3" t="s">
        <v>786</v>
      </c>
      <c r="AN1268" t="s">
        <v>186</v>
      </c>
      <c r="AO1268" t="s">
        <v>793</v>
      </c>
      <c r="AP1268" t="s">
        <v>33</v>
      </c>
      <c r="AQ1268" t="s">
        <v>33</v>
      </c>
      <c r="AR1268" t="s">
        <v>33</v>
      </c>
      <c r="AS1268" s="6">
        <f>LOG(10^8)</f>
        <v>8</v>
      </c>
      <c r="AT1268" s="3">
        <f t="shared" si="651"/>
        <v>6.2509999999999994</v>
      </c>
      <c r="AU1268" s="6">
        <v>1.7490000000000001</v>
      </c>
      <c r="AV1268" t="b">
        <v>1</v>
      </c>
      <c r="AW1268" t="s">
        <v>29</v>
      </c>
      <c r="AX1268" t="s">
        <v>30</v>
      </c>
      <c r="AY1268" t="s">
        <v>33</v>
      </c>
      <c r="AZ1268" t="s">
        <v>134</v>
      </c>
      <c r="BA1268" s="18" t="s">
        <v>798</v>
      </c>
      <c r="BB1268" t="b">
        <v>0</v>
      </c>
      <c r="BC1268" t="s">
        <v>81</v>
      </c>
      <c r="BD1268">
        <v>18</v>
      </c>
      <c r="BE1268" t="s">
        <v>80</v>
      </c>
      <c r="BF1268" s="11">
        <v>21</v>
      </c>
      <c r="BG1268" t="s">
        <v>694</v>
      </c>
      <c r="BH1268" t="s">
        <v>31</v>
      </c>
      <c r="BI1268" t="s">
        <v>31</v>
      </c>
      <c r="BJ1268" s="3">
        <f t="shared" si="652"/>
        <v>1.7490000000000001</v>
      </c>
      <c r="BK1268" s="3">
        <f t="shared" si="648"/>
        <v>0.24278980947867654</v>
      </c>
      <c r="BL1268">
        <v>2</v>
      </c>
      <c r="BM1268" s="3">
        <f t="shared" ref="BM1268:BM1276" si="657">IFERROR(LOG(BO1268),"NA")</f>
        <v>2.6357319860225301</v>
      </c>
      <c r="BN1268" t="s">
        <v>33</v>
      </c>
      <c r="BO1268" s="3">
        <f t="shared" si="632"/>
        <v>432.2469982847341</v>
      </c>
      <c r="BP1268" t="s">
        <v>33</v>
      </c>
      <c r="BQ1268" t="s">
        <v>33</v>
      </c>
      <c r="BR1268" t="s">
        <v>33</v>
      </c>
      <c r="BS1268" t="s">
        <v>33</v>
      </c>
      <c r="BT1268" t="s">
        <v>31</v>
      </c>
      <c r="BU1268" t="s">
        <v>338</v>
      </c>
      <c r="BV1268">
        <v>2005</v>
      </c>
      <c r="BW1268" s="2" t="s">
        <v>342</v>
      </c>
      <c r="BX1268" t="s">
        <v>78</v>
      </c>
      <c r="BY1268" t="s">
        <v>340</v>
      </c>
      <c r="BZ1268" t="s">
        <v>33</v>
      </c>
      <c r="CA1268" t="str">
        <f t="shared" si="633"/>
        <v>low acid</v>
      </c>
    </row>
    <row r="1269" spans="1:79">
      <c r="A1269" t="s">
        <v>429</v>
      </c>
      <c r="B1269" t="s">
        <v>565</v>
      </c>
      <c r="C1269" t="s">
        <v>563</v>
      </c>
      <c r="D1269" t="s">
        <v>118</v>
      </c>
      <c r="E1269" t="s">
        <v>77</v>
      </c>
      <c r="F1269" t="s">
        <v>32</v>
      </c>
      <c r="G1269">
        <v>4</v>
      </c>
      <c r="H1269">
        <v>40</v>
      </c>
      <c r="I1269" t="b">
        <v>0</v>
      </c>
      <c r="J1269" t="s">
        <v>33</v>
      </c>
      <c r="K1269" t="s">
        <v>33</v>
      </c>
      <c r="L1269">
        <v>35</v>
      </c>
      <c r="M1269" s="4">
        <v>200</v>
      </c>
      <c r="N1269" s="3">
        <f t="shared" si="649"/>
        <v>171.17896884272693</v>
      </c>
      <c r="O1269">
        <v>4</v>
      </c>
      <c r="P1269" t="s">
        <v>33</v>
      </c>
      <c r="Q1269" s="8">
        <f t="shared" si="653"/>
        <v>1.03125E-2</v>
      </c>
      <c r="R1269" t="s">
        <v>183</v>
      </c>
      <c r="S1269" t="s">
        <v>613</v>
      </c>
      <c r="T1269" s="11">
        <v>8</v>
      </c>
      <c r="U1269">
        <v>2.9</v>
      </c>
      <c r="V1269">
        <v>2.2999999999999998</v>
      </c>
      <c r="W1269" t="s">
        <v>33</v>
      </c>
      <c r="X1269" s="9">
        <f>IFERROR(((PI())*(((V1269*10^-1)/2)^2)*(U1269*10^-1)), "NA")</f>
        <v>1.204879322468025E-2</v>
      </c>
      <c r="Y1269" s="6">
        <f>60/60</f>
        <v>1</v>
      </c>
      <c r="Z1269" s="3">
        <f t="shared" si="654"/>
        <v>1.1683678278477818</v>
      </c>
      <c r="AA1269" t="s">
        <v>33</v>
      </c>
      <c r="AB1269" s="6">
        <f>IFERROR(((X1269*M1269)/Y1269), "NA")</f>
        <v>2.40975864493605</v>
      </c>
      <c r="AC1269" t="str">
        <f t="shared" si="655"/>
        <v>NA</v>
      </c>
      <c r="AD1269" s="4">
        <f>IFERROR(AB1269*T1269*AI1269, "NA")</f>
        <v>19.2780691594884</v>
      </c>
      <c r="AE1269" s="3">
        <f t="shared" si="656"/>
        <v>124.50899999999999</v>
      </c>
      <c r="AF1269">
        <v>66</v>
      </c>
      <c r="AG1269" t="str">
        <f>IFERROR((M1269*O1269*P1269), "NA")</f>
        <v>NA</v>
      </c>
      <c r="AH1269" t="str">
        <f t="shared" si="650"/>
        <v>NA</v>
      </c>
      <c r="AI1269" s="11">
        <v>1</v>
      </c>
      <c r="AJ1269" t="s">
        <v>31</v>
      </c>
      <c r="AK1269">
        <v>1540</v>
      </c>
      <c r="AL1269" t="s">
        <v>424</v>
      </c>
      <c r="AM1269" t="s">
        <v>86</v>
      </c>
      <c r="AN1269" t="s">
        <v>205</v>
      </c>
      <c r="AO1269" t="s">
        <v>789</v>
      </c>
      <c r="AP1269" s="4">
        <v>3.67</v>
      </c>
      <c r="AQ1269" t="s">
        <v>33</v>
      </c>
      <c r="AR1269" t="s">
        <v>33</v>
      </c>
      <c r="AS1269" s="3">
        <v>7.54</v>
      </c>
      <c r="AT1269" s="3">
        <f t="shared" si="651"/>
        <v>6.2549999999999999</v>
      </c>
      <c r="AU1269" s="6">
        <v>1.2849999999999999</v>
      </c>
      <c r="AV1269" t="b">
        <v>1</v>
      </c>
      <c r="AW1269" t="s">
        <v>92</v>
      </c>
      <c r="AX1269" t="s">
        <v>119</v>
      </c>
      <c r="AY1269" t="s">
        <v>425</v>
      </c>
      <c r="AZ1269" t="s">
        <v>33</v>
      </c>
      <c r="BA1269" s="18" t="s">
        <v>801</v>
      </c>
      <c r="BB1269" t="b">
        <v>0</v>
      </c>
      <c r="BC1269" t="s">
        <v>81</v>
      </c>
      <c r="BD1269">
        <v>15</v>
      </c>
      <c r="BE1269" t="s">
        <v>80</v>
      </c>
      <c r="BF1269" s="11">
        <v>36</v>
      </c>
      <c r="BG1269" t="s">
        <v>573</v>
      </c>
      <c r="BH1269" t="s">
        <v>31</v>
      </c>
      <c r="BI1269" t="s">
        <v>31</v>
      </c>
      <c r="BJ1269" s="3">
        <f t="shared" si="652"/>
        <v>1.2849999999999999</v>
      </c>
      <c r="BK1269" s="3">
        <f t="shared" si="648"/>
        <v>0.10890312766731332</v>
      </c>
      <c r="BL1269">
        <v>2</v>
      </c>
      <c r="BM1269" s="3">
        <f t="shared" si="657"/>
        <v>1.9862976174115696</v>
      </c>
      <c r="BN1269" t="s">
        <v>33</v>
      </c>
      <c r="BO1269" s="3">
        <f t="shared" si="632"/>
        <v>96.894163424124514</v>
      </c>
      <c r="BP1269" t="s">
        <v>33</v>
      </c>
      <c r="BQ1269" t="s">
        <v>33</v>
      </c>
      <c r="BR1269" t="s">
        <v>33</v>
      </c>
      <c r="BS1269" t="s">
        <v>33</v>
      </c>
      <c r="BT1269" t="s">
        <v>31</v>
      </c>
      <c r="BU1269" t="s">
        <v>426</v>
      </c>
      <c r="BV1269">
        <v>2017</v>
      </c>
      <c r="BW1269" t="s">
        <v>427</v>
      </c>
      <c r="BX1269" t="s">
        <v>78</v>
      </c>
      <c r="BY1269" t="s">
        <v>428</v>
      </c>
      <c r="BZ1269" t="s">
        <v>33</v>
      </c>
      <c r="CA1269" t="str">
        <f t="shared" si="633"/>
        <v>high acid</v>
      </c>
    </row>
    <row r="1270" spans="1:79">
      <c r="A1270" t="s">
        <v>599</v>
      </c>
      <c r="B1270" t="s">
        <v>565</v>
      </c>
      <c r="C1270" t="s">
        <v>563</v>
      </c>
      <c r="D1270" t="s">
        <v>118</v>
      </c>
      <c r="E1270" t="s">
        <v>77</v>
      </c>
      <c r="F1270" t="s">
        <v>32</v>
      </c>
      <c r="G1270" t="s">
        <v>33</v>
      </c>
      <c r="H1270" t="s">
        <v>33</v>
      </c>
      <c r="I1270" t="b">
        <v>0</v>
      </c>
      <c r="J1270" t="s">
        <v>33</v>
      </c>
      <c r="K1270" t="s">
        <v>33</v>
      </c>
      <c r="L1270">
        <v>17</v>
      </c>
      <c r="M1270" s="4">
        <v>500</v>
      </c>
      <c r="N1270" t="e">
        <f>(#REF!*Y1270)/(T1270*X1270*O1270)</f>
        <v>#REF!</v>
      </c>
      <c r="O1270">
        <v>3</v>
      </c>
      <c r="P1270" t="s">
        <v>33</v>
      </c>
      <c r="Q1270" s="1">
        <f t="shared" si="653"/>
        <v>1.4555555555555554E-2</v>
      </c>
      <c r="R1270" t="s">
        <v>183</v>
      </c>
      <c r="S1270" t="s">
        <v>613</v>
      </c>
      <c r="T1270">
        <v>6</v>
      </c>
      <c r="U1270">
        <v>2.2999999999999998</v>
      </c>
      <c r="V1270">
        <v>2.9</v>
      </c>
      <c r="W1270">
        <v>0.36420000000000002</v>
      </c>
      <c r="X1270">
        <f>IFERROR(((PI())*(((V1270*10^-1)/2)^2)*(U1270*10^-1)), "NA")</f>
        <v>1.519195667459684E-2</v>
      </c>
      <c r="Y1270">
        <v>0.83333299999999999</v>
      </c>
      <c r="Z1270" s="3">
        <f t="shared" si="654"/>
        <v>1.0437222142852791</v>
      </c>
      <c r="AA1270" t="s">
        <v>33</v>
      </c>
      <c r="AB1270">
        <f>IFERROR(((X1270*M1270)/Z1270), "NA")</f>
        <v>7.2777777777777777</v>
      </c>
      <c r="AC1270" s="1" t="str">
        <f t="shared" si="655"/>
        <v>NA</v>
      </c>
      <c r="AE1270" s="3">
        <f t="shared" si="656"/>
        <v>137.80675999999997</v>
      </c>
      <c r="AF1270">
        <v>131</v>
      </c>
      <c r="AG1270" s="1" t="str">
        <f>IFERROR((N1270*P1270*Q1270), "NA")</f>
        <v>NA</v>
      </c>
      <c r="AH1270" s="1" t="str">
        <f>IFERROR((AG1270*U1270*AI1270), "NA")</f>
        <v>NA</v>
      </c>
      <c r="AI1270" s="1">
        <v>1</v>
      </c>
      <c r="AJ1270" s="11" t="s">
        <v>31</v>
      </c>
      <c r="AK1270">
        <f>3.64*10^3</f>
        <v>3640</v>
      </c>
      <c r="AL1270" t="s">
        <v>145</v>
      </c>
      <c r="AM1270" t="s">
        <v>86</v>
      </c>
      <c r="AN1270" t="s">
        <v>205</v>
      </c>
      <c r="AO1270" t="s">
        <v>789</v>
      </c>
      <c r="AP1270">
        <v>3.19</v>
      </c>
      <c r="AQ1270" t="s">
        <v>33</v>
      </c>
      <c r="AR1270" t="s">
        <v>33</v>
      </c>
      <c r="AS1270">
        <v>7.13</v>
      </c>
      <c r="AT1270">
        <v>6.26</v>
      </c>
      <c r="AU1270" s="6">
        <f>AS1270-AT1270</f>
        <v>0.87000000000000011</v>
      </c>
      <c r="AV1270" t="b">
        <v>1</v>
      </c>
      <c r="AW1270" t="s">
        <v>632</v>
      </c>
      <c r="AX1270" t="s">
        <v>639</v>
      </c>
      <c r="AY1270" t="s">
        <v>33</v>
      </c>
      <c r="AZ1270" t="s">
        <v>33</v>
      </c>
      <c r="BA1270" s="18" t="s">
        <v>803</v>
      </c>
      <c r="BB1270" s="3" t="b">
        <v>0</v>
      </c>
      <c r="BC1270" t="s">
        <v>81</v>
      </c>
      <c r="BD1270">
        <f>AVERAGE(24, 48)</f>
        <v>36</v>
      </c>
      <c r="BE1270" t="s">
        <v>80</v>
      </c>
      <c r="BF1270">
        <v>48</v>
      </c>
      <c r="BG1270" t="s">
        <v>647</v>
      </c>
      <c r="BH1270" t="s">
        <v>31</v>
      </c>
      <c r="BI1270" t="s">
        <v>31</v>
      </c>
      <c r="BJ1270" s="3">
        <f t="shared" si="652"/>
        <v>0.87000000000000011</v>
      </c>
      <c r="BK1270" s="3">
        <f t="shared" si="648"/>
        <v>-6.0480747381381421E-2</v>
      </c>
      <c r="BL1270">
        <v>2</v>
      </c>
      <c r="BM1270" s="3">
        <f t="shared" si="657"/>
        <v>2.1997512694427495</v>
      </c>
      <c r="BN1270" t="s">
        <v>33</v>
      </c>
      <c r="BO1270" s="3">
        <f t="shared" si="632"/>
        <v>158.39857471264364</v>
      </c>
      <c r="BP1270" t="s">
        <v>33</v>
      </c>
      <c r="BQ1270" t="s">
        <v>33</v>
      </c>
      <c r="BR1270" t="s">
        <v>33</v>
      </c>
      <c r="BS1270" t="s">
        <v>33</v>
      </c>
      <c r="BT1270" t="s">
        <v>31</v>
      </c>
      <c r="BU1270" s="13" t="s">
        <v>135</v>
      </c>
      <c r="BV1270" s="14">
        <v>2010</v>
      </c>
      <c r="BW1270" s="13" t="s">
        <v>140</v>
      </c>
      <c r="BX1270" t="s">
        <v>78</v>
      </c>
      <c r="BY1270" s="13" t="s">
        <v>687</v>
      </c>
      <c r="CA1270" t="str">
        <f t="shared" si="633"/>
        <v>high acid</v>
      </c>
    </row>
    <row r="1271" spans="1:79">
      <c r="A1271" t="s">
        <v>599</v>
      </c>
      <c r="B1271" t="s">
        <v>565</v>
      </c>
      <c r="C1271" t="s">
        <v>563</v>
      </c>
      <c r="D1271" t="s">
        <v>118</v>
      </c>
      <c r="E1271" t="s">
        <v>77</v>
      </c>
      <c r="F1271" t="s">
        <v>32</v>
      </c>
      <c r="G1271" t="s">
        <v>33</v>
      </c>
      <c r="H1271" t="s">
        <v>33</v>
      </c>
      <c r="I1271" t="b">
        <v>0</v>
      </c>
      <c r="J1271" t="s">
        <v>33</v>
      </c>
      <c r="K1271" t="s">
        <v>33</v>
      </c>
      <c r="L1271">
        <v>17</v>
      </c>
      <c r="M1271" s="4">
        <v>500</v>
      </c>
      <c r="N1271" t="e">
        <f>(#REF!*Y1271)/(T1271*X1271*O1271)</f>
        <v>#REF!</v>
      </c>
      <c r="O1271">
        <v>3</v>
      </c>
      <c r="P1271" t="s">
        <v>33</v>
      </c>
      <c r="Q1271" s="1">
        <f t="shared" si="653"/>
        <v>1.4555555555555554E-2</v>
      </c>
      <c r="R1271" t="s">
        <v>183</v>
      </c>
      <c r="S1271" t="s">
        <v>613</v>
      </c>
      <c r="T1271">
        <v>6</v>
      </c>
      <c r="U1271">
        <v>2.2999999999999998</v>
      </c>
      <c r="V1271">
        <v>2.9</v>
      </c>
      <c r="W1271">
        <v>0.36420000000000002</v>
      </c>
      <c r="X1271">
        <f>IFERROR(((PI())*(((V1271*10^-1)/2)^2)*(U1271*10^-1)), "NA")</f>
        <v>1.519195667459684E-2</v>
      </c>
      <c r="Y1271">
        <v>0.83333299999999999</v>
      </c>
      <c r="Z1271" s="3">
        <f t="shared" si="654"/>
        <v>1.0437222142852791</v>
      </c>
      <c r="AA1271" t="s">
        <v>33</v>
      </c>
      <c r="AB1271">
        <f>IFERROR(((X1271*M1271)/Z1271), "NA")</f>
        <v>7.2777777777777777</v>
      </c>
      <c r="AC1271" s="1" t="str">
        <f t="shared" si="655"/>
        <v>NA</v>
      </c>
      <c r="AE1271" s="3">
        <f t="shared" si="656"/>
        <v>137.80675999999997</v>
      </c>
      <c r="AF1271">
        <v>131</v>
      </c>
      <c r="AG1271" s="1" t="str">
        <f>IFERROR((N1271*P1271*Q1271), "NA")</f>
        <v>NA</v>
      </c>
      <c r="AH1271" s="1" t="str">
        <f>IFERROR((AG1271*U1271*AI1271), "NA")</f>
        <v>NA</v>
      </c>
      <c r="AI1271" s="1">
        <v>1</v>
      </c>
      <c r="AJ1271" s="11" t="s">
        <v>31</v>
      </c>
      <c r="AK1271">
        <f>3.64*10^3</f>
        <v>3640</v>
      </c>
      <c r="AL1271" t="s">
        <v>145</v>
      </c>
      <c r="AM1271" t="s">
        <v>86</v>
      </c>
      <c r="AN1271" t="s">
        <v>205</v>
      </c>
      <c r="AO1271" t="s">
        <v>789</v>
      </c>
      <c r="AP1271">
        <v>3.19</v>
      </c>
      <c r="AQ1271" t="s">
        <v>33</v>
      </c>
      <c r="AR1271" t="s">
        <v>33</v>
      </c>
      <c r="AS1271">
        <v>7.15</v>
      </c>
      <c r="AT1271">
        <v>6.26</v>
      </c>
      <c r="AU1271" s="6">
        <f>AS1271-AT1271</f>
        <v>0.89000000000000057</v>
      </c>
      <c r="AV1271" t="b">
        <v>1</v>
      </c>
      <c r="AW1271" t="s">
        <v>626</v>
      </c>
      <c r="AX1271" t="s">
        <v>627</v>
      </c>
      <c r="AY1271">
        <v>95047</v>
      </c>
      <c r="AZ1271" t="s">
        <v>33</v>
      </c>
      <c r="BA1271" s="18" t="s">
        <v>800</v>
      </c>
      <c r="BB1271" s="3" t="b">
        <v>0</v>
      </c>
      <c r="BC1271" t="s">
        <v>81</v>
      </c>
      <c r="BD1271">
        <f>AVERAGE(24,48)</f>
        <v>36</v>
      </c>
      <c r="BE1271" t="s">
        <v>80</v>
      </c>
      <c r="BF1271">
        <v>48</v>
      </c>
      <c r="BG1271" t="s">
        <v>647</v>
      </c>
      <c r="BH1271" t="s">
        <v>31</v>
      </c>
      <c r="BI1271" t="s">
        <v>31</v>
      </c>
      <c r="BJ1271" s="3">
        <f t="shared" si="652"/>
        <v>0.89000000000000057</v>
      </c>
      <c r="BK1271" s="3">
        <f t="shared" si="648"/>
        <v>-5.0609993355086938E-2</v>
      </c>
      <c r="BL1271">
        <v>2</v>
      </c>
      <c r="BM1271" s="3">
        <f t="shared" si="657"/>
        <v>2.1898805154164549</v>
      </c>
      <c r="BN1271" t="s">
        <v>33</v>
      </c>
      <c r="BO1271" s="3">
        <f t="shared" si="632"/>
        <v>154.83905617977516</v>
      </c>
      <c r="BP1271" t="s">
        <v>33</v>
      </c>
      <c r="BQ1271" t="s">
        <v>33</v>
      </c>
      <c r="BR1271" t="s">
        <v>33</v>
      </c>
      <c r="BS1271" t="s">
        <v>33</v>
      </c>
      <c r="BT1271" t="s">
        <v>31</v>
      </c>
      <c r="BU1271" s="13" t="s">
        <v>135</v>
      </c>
      <c r="BV1271" s="14">
        <v>2010</v>
      </c>
      <c r="BW1271" s="13" t="s">
        <v>140</v>
      </c>
      <c r="BX1271" t="s">
        <v>78</v>
      </c>
      <c r="BY1271" s="13" t="s">
        <v>687</v>
      </c>
      <c r="CA1271" t="str">
        <f t="shared" si="633"/>
        <v>high acid</v>
      </c>
    </row>
    <row r="1272" spans="1:79">
      <c r="A1272" t="s">
        <v>594</v>
      </c>
      <c r="B1272" t="s">
        <v>566</v>
      </c>
      <c r="C1272" t="s">
        <v>563</v>
      </c>
      <c r="D1272" t="s">
        <v>33</v>
      </c>
      <c r="E1272" t="s">
        <v>77</v>
      </c>
      <c r="F1272" t="s">
        <v>32</v>
      </c>
      <c r="G1272" t="s">
        <v>33</v>
      </c>
      <c r="H1272">
        <v>30</v>
      </c>
      <c r="I1272" t="b">
        <v>1</v>
      </c>
      <c r="J1272" t="s">
        <v>33</v>
      </c>
      <c r="K1272" t="s">
        <v>33</v>
      </c>
      <c r="L1272">
        <v>30</v>
      </c>
      <c r="M1272" s="4">
        <v>2</v>
      </c>
      <c r="N1272" t="e">
        <f>(#REF!*Y1272)/(T1272*X1272*O1272)</f>
        <v>#REF!</v>
      </c>
      <c r="O1272">
        <v>2</v>
      </c>
      <c r="P1272" t="s">
        <v>33</v>
      </c>
      <c r="Q1272" s="1">
        <f t="shared" si="653"/>
        <v>7.1</v>
      </c>
      <c r="R1272" t="s">
        <v>183</v>
      </c>
      <c r="S1272" t="s">
        <v>613</v>
      </c>
      <c r="T1272">
        <v>1</v>
      </c>
      <c r="U1272">
        <v>5</v>
      </c>
      <c r="V1272" t="s">
        <v>33</v>
      </c>
      <c r="W1272">
        <v>0.71</v>
      </c>
      <c r="X1272">
        <f>W1272</f>
        <v>0.71</v>
      </c>
      <c r="Y1272">
        <v>0.1</v>
      </c>
      <c r="Z1272" s="3">
        <f>Y1272</f>
        <v>0.1</v>
      </c>
      <c r="AA1272" s="3">
        <v>14.8409893992932</v>
      </c>
      <c r="AB1272">
        <f>IFERROR(((X1272*M1272)/Y1272), "NA")</f>
        <v>14.2</v>
      </c>
      <c r="AC1272" s="1" t="str">
        <f t="shared" si="655"/>
        <v>NA</v>
      </c>
      <c r="AE1272" s="3">
        <f t="shared" si="656"/>
        <v>590.43599999999992</v>
      </c>
      <c r="AF1272" t="s">
        <v>33</v>
      </c>
      <c r="AG1272" s="1">
        <f>IFERROR((M1272*O1272*Q1272), "NA")</f>
        <v>28.4</v>
      </c>
      <c r="AH1272" s="1">
        <f>IFERROR((AG1272*U1272*AI1272), "NA")</f>
        <v>426</v>
      </c>
      <c r="AI1272" s="1">
        <v>3</v>
      </c>
      <c r="AJ1272" s="11" t="s">
        <v>31</v>
      </c>
      <c r="AK1272">
        <f>7700</f>
        <v>7700</v>
      </c>
      <c r="AL1272" t="s">
        <v>561</v>
      </c>
      <c r="AM1272" s="3" t="s">
        <v>786</v>
      </c>
      <c r="AN1272" t="s">
        <v>186</v>
      </c>
      <c r="AO1272" t="s">
        <v>793</v>
      </c>
      <c r="AP1272" t="s">
        <v>33</v>
      </c>
      <c r="AQ1272" t="s">
        <v>33</v>
      </c>
      <c r="AR1272" t="s">
        <v>33</v>
      </c>
      <c r="AS1272">
        <v>8</v>
      </c>
      <c r="AT1272">
        <f>AS1272-AU1272</f>
        <v>6.26</v>
      </c>
      <c r="AU1272" s="6">
        <v>1.74</v>
      </c>
      <c r="AV1272" t="b">
        <v>1</v>
      </c>
      <c r="AW1272" t="s">
        <v>617</v>
      </c>
      <c r="AX1272" t="s">
        <v>624</v>
      </c>
      <c r="AY1272" t="s">
        <v>622</v>
      </c>
      <c r="AZ1272" t="s">
        <v>33</v>
      </c>
      <c r="BA1272" s="18" t="s">
        <v>802</v>
      </c>
      <c r="BB1272" s="3" t="b">
        <v>0</v>
      </c>
      <c r="BC1272" t="s">
        <v>81</v>
      </c>
      <c r="BD1272">
        <v>18</v>
      </c>
      <c r="BE1272" t="s">
        <v>80</v>
      </c>
      <c r="BF1272">
        <v>24</v>
      </c>
      <c r="BG1272" t="s">
        <v>696</v>
      </c>
      <c r="BH1272" t="s">
        <v>32</v>
      </c>
      <c r="BI1272" t="s">
        <v>31</v>
      </c>
      <c r="BJ1272">
        <f t="shared" si="652"/>
        <v>1.74</v>
      </c>
      <c r="BK1272" s="3">
        <f t="shared" si="648"/>
        <v>0.24054924828259971</v>
      </c>
      <c r="BL1272">
        <v>2</v>
      </c>
      <c r="BM1272" s="3">
        <f t="shared" si="657"/>
        <v>2.5306235810959072</v>
      </c>
      <c r="BN1272" t="s">
        <v>33</v>
      </c>
      <c r="BO1272" s="3">
        <f t="shared" si="632"/>
        <v>339.33103448275858</v>
      </c>
      <c r="BP1272" t="s">
        <v>33</v>
      </c>
      <c r="BQ1272" t="s">
        <v>33</v>
      </c>
      <c r="BR1272" t="s">
        <v>33</v>
      </c>
      <c r="BS1272" t="s">
        <v>33</v>
      </c>
      <c r="BT1272" t="s">
        <v>31</v>
      </c>
      <c r="BU1272" t="s">
        <v>338</v>
      </c>
      <c r="BV1272">
        <v>2006</v>
      </c>
      <c r="BW1272" t="s">
        <v>339</v>
      </c>
      <c r="BX1272" t="s">
        <v>78</v>
      </c>
      <c r="BY1272" s="13" t="s">
        <v>682</v>
      </c>
      <c r="CA1272" t="str">
        <f t="shared" si="633"/>
        <v>low acid</v>
      </c>
    </row>
    <row r="1273" spans="1:79">
      <c r="A1273" t="s">
        <v>722</v>
      </c>
      <c r="B1273" t="s">
        <v>566</v>
      </c>
      <c r="C1273" t="s">
        <v>563</v>
      </c>
      <c r="D1273" t="s">
        <v>699</v>
      </c>
      <c r="E1273" t="s">
        <v>77</v>
      </c>
      <c r="F1273" t="s">
        <v>32</v>
      </c>
      <c r="G1273">
        <v>20</v>
      </c>
      <c r="H1273">
        <v>41</v>
      </c>
      <c r="I1273" t="b">
        <v>1</v>
      </c>
      <c r="J1273" t="s">
        <v>33</v>
      </c>
      <c r="K1273" t="s">
        <v>33</v>
      </c>
      <c r="L1273">
        <v>20</v>
      </c>
      <c r="M1273" s="4">
        <v>30</v>
      </c>
      <c r="N1273" s="3">
        <f>IFERROR(AF1273/((T1273*X1273/Y1273)*O1273*AI1273),"NA")</f>
        <v>29.861111111111104</v>
      </c>
      <c r="O1273">
        <v>5</v>
      </c>
      <c r="P1273">
        <v>0.43</v>
      </c>
      <c r="Q1273" s="8">
        <f>IFERROR(X1273/Y1273, "NA")</f>
        <v>0.43200000000000011</v>
      </c>
      <c r="R1273" t="s">
        <v>183</v>
      </c>
      <c r="S1273" t="s">
        <v>612</v>
      </c>
      <c r="T1273" s="11">
        <v>1</v>
      </c>
      <c r="U1273">
        <v>4</v>
      </c>
      <c r="V1273" t="s">
        <v>33</v>
      </c>
      <c r="W1273">
        <f>0.4*3*0.5</f>
        <v>0.60000000000000009</v>
      </c>
      <c r="X1273" s="9">
        <f>W1273</f>
        <v>0.60000000000000009</v>
      </c>
      <c r="Y1273" s="6">
        <f>5000/3600</f>
        <v>1.3888888888888888</v>
      </c>
      <c r="Z1273" s="3">
        <f>IFERROR(X1273*M1273*O1273*T1273*AI1273/AF1273, "NA")</f>
        <v>1.3953488372093026</v>
      </c>
      <c r="AA1273" t="s">
        <v>33</v>
      </c>
      <c r="AB1273" s="4">
        <f>IFERROR(((X1273*M1273)/Y1273), "NA")</f>
        <v>12.960000000000003</v>
      </c>
      <c r="AC1273" s="4">
        <f t="shared" si="655"/>
        <v>12.9</v>
      </c>
      <c r="AD1273" s="4">
        <f>AB1273*T1273*AI1273</f>
        <v>12.960000000000003</v>
      </c>
      <c r="AE1273" s="3">
        <f t="shared" si="656"/>
        <v>51.840000000000011</v>
      </c>
      <c r="AF1273">
        <v>64.5</v>
      </c>
      <c r="AG1273" s="4">
        <f>IFERROR((M1273*O1273*P1273), "NA")</f>
        <v>64.5</v>
      </c>
      <c r="AH1273" s="4">
        <f>IFERROR((AG1273*T1273*AI1273), "NA")</f>
        <v>64.5</v>
      </c>
      <c r="AI1273">
        <v>1</v>
      </c>
      <c r="AJ1273" s="11" t="s">
        <v>31</v>
      </c>
      <c r="AK1273">
        <v>2000</v>
      </c>
      <c r="AL1273" t="s">
        <v>784</v>
      </c>
      <c r="AM1273" t="s">
        <v>103</v>
      </c>
      <c r="AN1273" t="s">
        <v>130</v>
      </c>
      <c r="AO1273" t="s">
        <v>795</v>
      </c>
      <c r="AP1273">
        <v>7</v>
      </c>
      <c r="AQ1273" t="s">
        <v>33</v>
      </c>
      <c r="AR1273" t="s">
        <v>33</v>
      </c>
      <c r="AS1273" s="6">
        <f>LOG(AVERAGE(10^8, 10^9))</f>
        <v>8.7403626894942441</v>
      </c>
      <c r="AT1273" s="3">
        <f>IFERROR(AS1273-AU1273,"NA")</f>
        <v>6.2643626894942441</v>
      </c>
      <c r="AU1273" s="6">
        <v>2.476</v>
      </c>
      <c r="AV1273" t="b">
        <v>1</v>
      </c>
      <c r="AW1273" t="s">
        <v>123</v>
      </c>
      <c r="AX1273" t="s">
        <v>88</v>
      </c>
      <c r="AY1273" t="s">
        <v>723</v>
      </c>
      <c r="AZ1273" t="s">
        <v>33</v>
      </c>
      <c r="BA1273" s="18" t="s">
        <v>579</v>
      </c>
      <c r="BB1273" s="3" t="b">
        <v>1</v>
      </c>
      <c r="BC1273" t="s">
        <v>81</v>
      </c>
      <c r="BD1273">
        <v>24</v>
      </c>
      <c r="BE1273" t="s">
        <v>80</v>
      </c>
      <c r="BF1273">
        <v>48</v>
      </c>
      <c r="BG1273" t="s">
        <v>395</v>
      </c>
      <c r="BH1273" t="s">
        <v>31</v>
      </c>
      <c r="BI1273" t="s">
        <v>31</v>
      </c>
      <c r="BJ1273" s="3">
        <f t="shared" si="652"/>
        <v>2.476</v>
      </c>
      <c r="BK1273" s="3">
        <f t="shared" si="648"/>
        <v>0.39375064034808038</v>
      </c>
      <c r="BL1273">
        <v>2</v>
      </c>
      <c r="BM1273" s="3">
        <f t="shared" si="657"/>
        <v>1.3209143525144567</v>
      </c>
      <c r="BN1273" t="s">
        <v>33</v>
      </c>
      <c r="BO1273" s="3">
        <f t="shared" si="632"/>
        <v>20.936995153473347</v>
      </c>
      <c r="BP1273" t="s">
        <v>33</v>
      </c>
      <c r="BQ1273" t="s">
        <v>33</v>
      </c>
      <c r="BR1273" t="s">
        <v>33</v>
      </c>
      <c r="BS1273" t="s">
        <v>33</v>
      </c>
      <c r="BT1273" t="s">
        <v>32</v>
      </c>
      <c r="BU1273" t="s">
        <v>709</v>
      </c>
      <c r="BV1273">
        <v>2024</v>
      </c>
      <c r="BW1273" t="s">
        <v>710</v>
      </c>
      <c r="BX1273" t="s">
        <v>78</v>
      </c>
      <c r="BY1273" t="s">
        <v>711</v>
      </c>
      <c r="CA1273" t="str">
        <f t="shared" si="633"/>
        <v>low acid</v>
      </c>
    </row>
    <row r="1274" spans="1:79">
      <c r="A1274" t="s">
        <v>764</v>
      </c>
      <c r="B1274" t="s">
        <v>565</v>
      </c>
      <c r="C1274" t="s">
        <v>563</v>
      </c>
      <c r="D1274" t="s">
        <v>765</v>
      </c>
      <c r="E1274" t="s">
        <v>77</v>
      </c>
      <c r="F1274" t="s">
        <v>31</v>
      </c>
      <c r="G1274">
        <v>20</v>
      </c>
      <c r="H1274">
        <v>49</v>
      </c>
      <c r="I1274" t="b">
        <v>0</v>
      </c>
      <c r="J1274" t="s">
        <v>33</v>
      </c>
      <c r="K1274" t="s">
        <v>33</v>
      </c>
      <c r="L1274">
        <v>16</v>
      </c>
      <c r="M1274" s="4">
        <f>N1274</f>
        <v>203.7037037037037</v>
      </c>
      <c r="N1274" s="3">
        <f>IFERROR(AF1274/((T1274*X1274/Y1274)*O1274*AI1274),"NA")</f>
        <v>203.7037037037037</v>
      </c>
      <c r="O1274">
        <v>3</v>
      </c>
      <c r="P1274">
        <v>5.4399999999999997E-2</v>
      </c>
      <c r="Q1274" s="8">
        <f>IFERROR(X1274/Y1274, "NA")</f>
        <v>5.3999999999999999E-2</v>
      </c>
      <c r="R1274" t="s">
        <v>183</v>
      </c>
      <c r="S1274" t="s">
        <v>33</v>
      </c>
      <c r="T1274" s="11">
        <v>1</v>
      </c>
      <c r="U1274" t="s">
        <v>33</v>
      </c>
      <c r="V1274" t="s">
        <v>33</v>
      </c>
      <c r="W1274">
        <v>4.4999999999999997E-3</v>
      </c>
      <c r="X1274">
        <f>W1274</f>
        <v>4.4999999999999997E-3</v>
      </c>
      <c r="Y1274" s="6">
        <f>5/60</f>
        <v>8.3333333333333329E-2</v>
      </c>
      <c r="Z1274" s="6">
        <f>Y1274</f>
        <v>8.3333333333333329E-2</v>
      </c>
      <c r="AA1274" t="s">
        <v>33</v>
      </c>
      <c r="AB1274" s="4">
        <f>IFERROR(((X1274*M1274)/Y1274), "NA")</f>
        <v>10.999999999999998</v>
      </c>
      <c r="AC1274" s="4">
        <f t="shared" si="655"/>
        <v>11.081481481481481</v>
      </c>
      <c r="AD1274" s="4">
        <f>AB1274*T1274*AI1274</f>
        <v>10.999999999999998</v>
      </c>
      <c r="AE1274" s="3">
        <f t="shared" si="656"/>
        <v>84.47999999999999</v>
      </c>
      <c r="AF1274">
        <v>33</v>
      </c>
      <c r="AG1274" s="4">
        <f>IFERROR((M1274*O1274*P1274), "NA")</f>
        <v>33.24444444444444</v>
      </c>
      <c r="AH1274" s="4">
        <f>IFERROR((AG1274*T1274*AI1274), "NA")</f>
        <v>33.24444444444444</v>
      </c>
      <c r="AI1274">
        <v>1</v>
      </c>
      <c r="AJ1274" s="11" t="s">
        <v>31</v>
      </c>
      <c r="AK1274">
        <v>10000</v>
      </c>
      <c r="AL1274" t="s">
        <v>169</v>
      </c>
      <c r="AM1274" t="s">
        <v>103</v>
      </c>
      <c r="AN1274" t="s">
        <v>130</v>
      </c>
      <c r="AO1274" t="s">
        <v>795</v>
      </c>
      <c r="AP1274">
        <v>7.2</v>
      </c>
      <c r="AQ1274" t="s">
        <v>33</v>
      </c>
      <c r="AR1274" t="s">
        <v>33</v>
      </c>
      <c r="AS1274">
        <v>7</v>
      </c>
      <c r="AT1274" s="3">
        <f>IFERROR(AS1274-AU1274,"NA")</f>
        <v>6.2720000000000002</v>
      </c>
      <c r="AU1274" s="6">
        <v>0.72799999999999998</v>
      </c>
      <c r="AV1274" t="b">
        <v>1</v>
      </c>
      <c r="AW1274" t="s">
        <v>29</v>
      </c>
      <c r="AX1274" t="s">
        <v>30</v>
      </c>
      <c r="AY1274" t="s">
        <v>766</v>
      </c>
      <c r="AZ1274" t="s">
        <v>33</v>
      </c>
      <c r="BA1274" s="18" t="s">
        <v>798</v>
      </c>
      <c r="BB1274" s="3" t="b">
        <v>0</v>
      </c>
      <c r="BC1274" t="s">
        <v>81</v>
      </c>
      <c r="BD1274">
        <v>16</v>
      </c>
      <c r="BE1274" t="s">
        <v>80</v>
      </c>
      <c r="BF1274">
        <v>24</v>
      </c>
      <c r="BG1274" t="s">
        <v>569</v>
      </c>
      <c r="BH1274" t="s">
        <v>31</v>
      </c>
      <c r="BI1274" t="s">
        <v>31</v>
      </c>
      <c r="BJ1274" s="3">
        <f t="shared" si="652"/>
        <v>0.72799999999999998</v>
      </c>
      <c r="BK1274" s="3">
        <f t="shared" si="648"/>
        <v>-0.13786862068696282</v>
      </c>
      <c r="BL1274">
        <v>2</v>
      </c>
      <c r="BM1274" s="3">
        <f t="shared" si="657"/>
        <v>2.0646225258766999</v>
      </c>
      <c r="BN1274" t="s">
        <v>33</v>
      </c>
      <c r="BO1274" s="3">
        <f t="shared" si="632"/>
        <v>116.04395604395603</v>
      </c>
      <c r="BP1274" t="s">
        <v>33</v>
      </c>
      <c r="BQ1274" t="s">
        <v>33</v>
      </c>
      <c r="BR1274" t="s">
        <v>33</v>
      </c>
      <c r="BS1274" t="s">
        <v>33</v>
      </c>
      <c r="BT1274" t="s">
        <v>31</v>
      </c>
      <c r="BU1274" t="s">
        <v>767</v>
      </c>
      <c r="BV1274">
        <v>2021</v>
      </c>
      <c r="BW1274" t="s">
        <v>768</v>
      </c>
      <c r="BX1274" t="s">
        <v>78</v>
      </c>
      <c r="BY1274" t="s">
        <v>769</v>
      </c>
      <c r="CA1274" t="str">
        <f t="shared" si="633"/>
        <v>low acid</v>
      </c>
    </row>
    <row r="1275" spans="1:79">
      <c r="A1275" t="s">
        <v>592</v>
      </c>
      <c r="B1275" t="s">
        <v>566</v>
      </c>
      <c r="C1275" t="s">
        <v>563</v>
      </c>
      <c r="D1275" t="s">
        <v>607</v>
      </c>
      <c r="E1275" t="s">
        <v>77</v>
      </c>
      <c r="F1275" t="s">
        <v>32</v>
      </c>
      <c r="G1275" t="s">
        <v>33</v>
      </c>
      <c r="H1275">
        <v>35</v>
      </c>
      <c r="I1275" t="b">
        <v>0</v>
      </c>
      <c r="J1275">
        <v>30000</v>
      </c>
      <c r="K1275">
        <v>200</v>
      </c>
      <c r="L1275">
        <v>25</v>
      </c>
      <c r="M1275" s="4">
        <v>1</v>
      </c>
      <c r="N1275" t="e">
        <f>(#REF!*Y1275)/(T1275*X1275*O1275)</f>
        <v>#REF!</v>
      </c>
      <c r="O1275">
        <v>3</v>
      </c>
      <c r="P1275" t="s">
        <v>33</v>
      </c>
      <c r="Q1275" s="1">
        <f t="shared" ref="Q1275:Q1283" si="658">IFERROR(X1275/Z1275, "NA")</f>
        <v>25.933333333333334</v>
      </c>
      <c r="R1275" t="s">
        <v>183</v>
      </c>
      <c r="S1275" t="s">
        <v>33</v>
      </c>
      <c r="T1275">
        <v>1</v>
      </c>
      <c r="U1275">
        <v>2.5</v>
      </c>
      <c r="V1275" t="s">
        <v>33</v>
      </c>
      <c r="W1275">
        <v>0.50249999999999995</v>
      </c>
      <c r="X1275">
        <f>W1275</f>
        <v>0.50249999999999995</v>
      </c>
      <c r="Y1275" t="s">
        <v>33</v>
      </c>
      <c r="Z1275" s="3">
        <f t="shared" ref="Z1275:Z1283" si="659">IFERROR(X1275*M1275*O1275*T1275*AI1275/AF1275, "NA")</f>
        <v>1.9376606683804625E-2</v>
      </c>
      <c r="AA1275" t="s">
        <v>33</v>
      </c>
      <c r="AB1275">
        <f t="shared" ref="AB1275:AB1283" si="660">IFERROR(((X1275*M1275)/Z1275), "NA")</f>
        <v>25.933333333333334</v>
      </c>
      <c r="AC1275" s="1" t="str">
        <f t="shared" si="655"/>
        <v>NA</v>
      </c>
      <c r="AE1275" s="3">
        <f t="shared" si="656"/>
        <v>48.625</v>
      </c>
      <c r="AF1275">
        <v>77.8</v>
      </c>
      <c r="AG1275" s="1" t="str">
        <f>IFERROR((N1275*P1275*Q1275), "NA")</f>
        <v>NA</v>
      </c>
      <c r="AH1275" s="1" t="str">
        <f>IFERROR((AG1275*U1275*AI1275), "NA")</f>
        <v>NA</v>
      </c>
      <c r="AI1275" s="1">
        <v>1</v>
      </c>
      <c r="AJ1275" s="11" t="s">
        <v>31</v>
      </c>
      <c r="AK1275">
        <v>1000</v>
      </c>
      <c r="AL1275" t="s">
        <v>614</v>
      </c>
      <c r="AM1275" s="3" t="s">
        <v>103</v>
      </c>
      <c r="AN1275" t="s">
        <v>305</v>
      </c>
      <c r="AO1275" t="s">
        <v>790</v>
      </c>
      <c r="AP1275">
        <v>4.5</v>
      </c>
      <c r="AQ1275" t="s">
        <v>33</v>
      </c>
      <c r="AR1275" t="s">
        <v>33</v>
      </c>
      <c r="AS1275">
        <v>8</v>
      </c>
      <c r="AT1275">
        <f>AS1275-AU1275</f>
        <v>6.28</v>
      </c>
      <c r="AU1275" s="6">
        <v>1.72</v>
      </c>
      <c r="AV1275" t="b">
        <v>1</v>
      </c>
      <c r="AW1275" t="s">
        <v>626</v>
      </c>
      <c r="AX1275" t="s">
        <v>627</v>
      </c>
      <c r="AY1275" t="s">
        <v>633</v>
      </c>
      <c r="AZ1275" t="s">
        <v>33</v>
      </c>
      <c r="BA1275" s="18" t="s">
        <v>800</v>
      </c>
      <c r="BB1275" s="3" t="b">
        <v>0</v>
      </c>
      <c r="BC1275" t="s">
        <v>81</v>
      </c>
      <c r="BD1275">
        <v>24</v>
      </c>
      <c r="BE1275" t="s">
        <v>80</v>
      </c>
      <c r="BF1275">
        <v>48</v>
      </c>
      <c r="BG1275" t="s">
        <v>569</v>
      </c>
      <c r="BH1275" t="s">
        <v>31</v>
      </c>
      <c r="BI1275" t="s">
        <v>31</v>
      </c>
      <c r="BJ1275">
        <f t="shared" si="652"/>
        <v>1.72</v>
      </c>
      <c r="BK1275" s="3">
        <f t="shared" si="648"/>
        <v>0.2355284469075489</v>
      </c>
      <c r="BL1275">
        <v>2</v>
      </c>
      <c r="BM1275" s="3">
        <f t="shared" si="657"/>
        <v>1.4513311674262153</v>
      </c>
      <c r="BN1275" t="s">
        <v>33</v>
      </c>
      <c r="BO1275" s="3">
        <f t="shared" si="632"/>
        <v>28.270348837209301</v>
      </c>
      <c r="BP1275" t="s">
        <v>33</v>
      </c>
      <c r="BQ1275" t="s">
        <v>33</v>
      </c>
      <c r="BR1275" t="s">
        <v>33</v>
      </c>
      <c r="BS1275" t="s">
        <v>33</v>
      </c>
      <c r="BT1275" t="s">
        <v>31</v>
      </c>
      <c r="BU1275" s="15" t="s">
        <v>255</v>
      </c>
      <c r="BV1275">
        <v>2010</v>
      </c>
      <c r="BW1275" t="s">
        <v>659</v>
      </c>
      <c r="BX1275" t="s">
        <v>78</v>
      </c>
      <c r="BY1275" s="13" t="s">
        <v>680</v>
      </c>
      <c r="CA1275" t="str">
        <f t="shared" si="633"/>
        <v>high acid</v>
      </c>
    </row>
    <row r="1276" spans="1:79">
      <c r="A1276" t="s">
        <v>537</v>
      </c>
      <c r="B1276" t="s">
        <v>565</v>
      </c>
      <c r="C1276" t="s">
        <v>563</v>
      </c>
      <c r="D1276" t="s">
        <v>118</v>
      </c>
      <c r="E1276" t="s">
        <v>77</v>
      </c>
      <c r="F1276" t="s">
        <v>32</v>
      </c>
      <c r="G1276">
        <v>5</v>
      </c>
      <c r="H1276">
        <v>50</v>
      </c>
      <c r="I1276" t="b">
        <v>0</v>
      </c>
      <c r="J1276" t="s">
        <v>33</v>
      </c>
      <c r="K1276" t="s">
        <v>33</v>
      </c>
      <c r="L1276">
        <v>25</v>
      </c>
      <c r="M1276" s="4">
        <v>1250</v>
      </c>
      <c r="N1276" s="3">
        <f>IFERROR(AF1276/((T1276*X1276/Y1276)*O1276*AI1276),"NA")</f>
        <v>1251.8542771932757</v>
      </c>
      <c r="O1276">
        <v>2</v>
      </c>
      <c r="P1276" t="s">
        <v>33</v>
      </c>
      <c r="Q1276" s="8">
        <f t="shared" si="658"/>
        <v>1.2066666666666668E-2</v>
      </c>
      <c r="R1276" t="s">
        <v>183</v>
      </c>
      <c r="S1276" t="s">
        <v>613</v>
      </c>
      <c r="T1276" s="11">
        <v>6</v>
      </c>
      <c r="U1276">
        <v>2.9</v>
      </c>
      <c r="V1276">
        <v>2.2999999999999998</v>
      </c>
      <c r="W1276" t="s">
        <v>33</v>
      </c>
      <c r="X1276" s="8">
        <f>IFERROR(((PI())*(((V1276*10^-1)/2)^2)*(U1276*10^-1)), "NA")</f>
        <v>1.204879322468025E-2</v>
      </c>
      <c r="Y1276" s="6">
        <f>60/60</f>
        <v>1</v>
      </c>
      <c r="Z1276" s="3">
        <f t="shared" si="659"/>
        <v>0.99851877552598745</v>
      </c>
      <c r="AA1276" t="s">
        <v>33</v>
      </c>
      <c r="AB1276" s="6">
        <f t="shared" si="660"/>
        <v>15.083333333333336</v>
      </c>
      <c r="AC1276" t="str">
        <f t="shared" si="655"/>
        <v>NA</v>
      </c>
      <c r="AD1276" s="4">
        <f>IFERROR(AB1276*T1276*AI1276, "NA")</f>
        <v>90.500000000000014</v>
      </c>
      <c r="AE1276" s="3">
        <f t="shared" si="656"/>
        <v>181.90500000000003</v>
      </c>
      <c r="AF1276">
        <v>181</v>
      </c>
      <c r="AG1276" t="str">
        <f>IFERROR((M1276*O1276*P1276), "NA")</f>
        <v>NA</v>
      </c>
      <c r="AH1276" t="str">
        <f>IFERROR((AG1276*T1276*AI1276), "NA")</f>
        <v>NA</v>
      </c>
      <c r="AI1276" s="11">
        <v>1</v>
      </c>
      <c r="AJ1276" t="s">
        <v>31</v>
      </c>
      <c r="AK1276">
        <v>1608</v>
      </c>
      <c r="AL1276" t="s">
        <v>149</v>
      </c>
      <c r="AM1276" t="s">
        <v>86</v>
      </c>
      <c r="AN1276" t="s">
        <v>205</v>
      </c>
      <c r="AO1276" t="s">
        <v>789</v>
      </c>
      <c r="AP1276">
        <v>3.41</v>
      </c>
      <c r="AQ1276" t="s">
        <v>33</v>
      </c>
      <c r="AR1276" t="s">
        <v>33</v>
      </c>
      <c r="AS1276" s="3">
        <v>9</v>
      </c>
      <c r="AT1276" s="3">
        <f>IFERROR(AS1276-AU1276,"NA")</f>
        <v>6.29</v>
      </c>
      <c r="AU1276" s="6">
        <v>2.71</v>
      </c>
      <c r="AV1276" t="b">
        <v>1</v>
      </c>
      <c r="AW1276" t="s">
        <v>29</v>
      </c>
      <c r="AX1276" t="s">
        <v>30</v>
      </c>
      <c r="AY1276" t="s">
        <v>33</v>
      </c>
      <c r="AZ1276" t="s">
        <v>134</v>
      </c>
      <c r="BA1276" s="18" t="s">
        <v>798</v>
      </c>
      <c r="BB1276" t="b">
        <v>0</v>
      </c>
      <c r="BC1276" t="s">
        <v>81</v>
      </c>
      <c r="BD1276">
        <f>18</f>
        <v>18</v>
      </c>
      <c r="BE1276" t="s">
        <v>80</v>
      </c>
      <c r="BF1276" s="11">
        <v>24</v>
      </c>
      <c r="BG1276" t="s">
        <v>262</v>
      </c>
      <c r="BH1276" t="s">
        <v>31</v>
      </c>
      <c r="BI1276" t="s">
        <v>31</v>
      </c>
      <c r="BJ1276" s="3">
        <f t="shared" si="652"/>
        <v>2.71</v>
      </c>
      <c r="BK1276" s="3">
        <f t="shared" si="648"/>
        <v>0.43296929087440572</v>
      </c>
      <c r="BL1276">
        <v>2</v>
      </c>
      <c r="BM1276" s="3">
        <f t="shared" si="657"/>
        <v>1.8268753457512865</v>
      </c>
      <c r="BN1276" t="s">
        <v>33</v>
      </c>
      <c r="BO1276" s="3">
        <f t="shared" si="632"/>
        <v>67.123616236162377</v>
      </c>
      <c r="BP1276" t="s">
        <v>33</v>
      </c>
      <c r="BQ1276" t="s">
        <v>33</v>
      </c>
      <c r="BR1276" t="s">
        <v>33</v>
      </c>
      <c r="BS1276" t="s">
        <v>33</v>
      </c>
      <c r="BT1276" t="s">
        <v>31</v>
      </c>
      <c r="BU1276" t="s">
        <v>190</v>
      </c>
      <c r="BV1276">
        <v>2021</v>
      </c>
      <c r="BW1276" s="5" t="s">
        <v>191</v>
      </c>
      <c r="BX1276" t="s">
        <v>78</v>
      </c>
      <c r="BY1276" t="s">
        <v>33</v>
      </c>
      <c r="BZ1276" t="s">
        <v>150</v>
      </c>
      <c r="CA1276" t="str">
        <f t="shared" si="633"/>
        <v>high acid</v>
      </c>
    </row>
    <row r="1277" spans="1:79">
      <c r="A1277" t="s">
        <v>142</v>
      </c>
      <c r="B1277" t="s">
        <v>565</v>
      </c>
      <c r="C1277" t="s">
        <v>563</v>
      </c>
      <c r="D1277" t="s">
        <v>118</v>
      </c>
      <c r="E1277" t="s">
        <v>77</v>
      </c>
      <c r="F1277" t="s">
        <v>32</v>
      </c>
      <c r="G1277">
        <v>20</v>
      </c>
      <c r="H1277" t="s">
        <v>33</v>
      </c>
      <c r="I1277" t="b">
        <v>0</v>
      </c>
      <c r="J1277" t="s">
        <v>33</v>
      </c>
      <c r="K1277" t="s">
        <v>33</v>
      </c>
      <c r="L1277">
        <v>17</v>
      </c>
      <c r="M1277" s="4">
        <v>500</v>
      </c>
      <c r="N1277" s="3">
        <f>IFERROR(AF1277/((T1277*X1277/Y1277)*O1277*AI1277),"NA")</f>
        <v>253.59847235959546</v>
      </c>
      <c r="O1277">
        <v>3</v>
      </c>
      <c r="P1277" t="s">
        <v>33</v>
      </c>
      <c r="Q1277" s="8">
        <f t="shared" si="658"/>
        <v>7.3333333333333332E-3</v>
      </c>
      <c r="R1277" t="s">
        <v>183</v>
      </c>
      <c r="S1277" t="s">
        <v>613</v>
      </c>
      <c r="T1277" s="11">
        <v>6</v>
      </c>
      <c r="U1277">
        <v>2.9</v>
      </c>
      <c r="V1277">
        <v>2.2999999999999998</v>
      </c>
      <c r="W1277" t="s">
        <v>33</v>
      </c>
      <c r="X1277">
        <f>IFERROR(((PI())*(((V1277*10^-1)/2)^2)*(U1277*10^-1)), "NA")</f>
        <v>1.204879322468025E-2</v>
      </c>
      <c r="Y1277" s="8">
        <f>50/60</f>
        <v>0.83333333333333337</v>
      </c>
      <c r="Z1277" s="9">
        <f t="shared" si="659"/>
        <v>1.6430172579109432</v>
      </c>
      <c r="AA1277" t="s">
        <v>33</v>
      </c>
      <c r="AB1277" s="6">
        <f t="shared" si="660"/>
        <v>3.666666666666667</v>
      </c>
      <c r="AC1277" t="str">
        <f t="shared" si="655"/>
        <v>NA</v>
      </c>
      <c r="AD1277" s="4">
        <f>IFERROR(AB1277*T1277*AI1277, "NA")</f>
        <v>22</v>
      </c>
      <c r="AE1277" s="3">
        <f t="shared" si="656"/>
        <v>22.316580000000002</v>
      </c>
      <c r="AF1277">
        <v>66</v>
      </c>
      <c r="AG1277" t="str">
        <f>IFERROR((M1277*O1277*P1277), "NA")</f>
        <v>NA</v>
      </c>
      <c r="AH1277" t="str">
        <f>IFERROR((AG1277*T1277*AI1277), "NA")</f>
        <v>NA</v>
      </c>
      <c r="AI1277" s="11">
        <v>1</v>
      </c>
      <c r="AJ1277" t="s">
        <v>31</v>
      </c>
      <c r="AK1277">
        <v>1170</v>
      </c>
      <c r="AL1277" t="s">
        <v>492</v>
      </c>
      <c r="AM1277" t="s">
        <v>103</v>
      </c>
      <c r="AN1277" t="s">
        <v>305</v>
      </c>
      <c r="AO1277" t="s">
        <v>790</v>
      </c>
      <c r="AP1277">
        <v>3.9</v>
      </c>
      <c r="AQ1277" t="s">
        <v>33</v>
      </c>
      <c r="AR1277" t="s">
        <v>33</v>
      </c>
      <c r="AS1277" s="3">
        <v>7.3810000000000002</v>
      </c>
      <c r="AT1277" s="3">
        <f>IFERROR(AS1277-AU1277,"NA")</f>
        <v>6.2910000000000004</v>
      </c>
      <c r="AU1277" s="6">
        <v>1.0900000000000001</v>
      </c>
      <c r="AV1277" t="b">
        <v>1</v>
      </c>
      <c r="AW1277" t="s">
        <v>92</v>
      </c>
      <c r="AX1277" t="s">
        <v>93</v>
      </c>
      <c r="AY1277" t="s">
        <v>137</v>
      </c>
      <c r="AZ1277" t="s">
        <v>33</v>
      </c>
      <c r="BA1277" s="18" t="s">
        <v>801</v>
      </c>
      <c r="BB1277" t="b">
        <v>0</v>
      </c>
      <c r="BC1277" t="s">
        <v>81</v>
      </c>
      <c r="BD1277">
        <f>(48+24)/2</f>
        <v>36</v>
      </c>
      <c r="BE1277" t="s">
        <v>80</v>
      </c>
      <c r="BF1277" s="11">
        <f>(48+24)/2</f>
        <v>36</v>
      </c>
      <c r="BG1277" t="s">
        <v>139</v>
      </c>
      <c r="BH1277" t="s">
        <v>31</v>
      </c>
      <c r="BI1277" t="s">
        <v>31</v>
      </c>
      <c r="BJ1277">
        <f t="shared" si="652"/>
        <v>1.0900000000000001</v>
      </c>
      <c r="BK1277" s="3">
        <f t="shared" si="648"/>
        <v>3.7426497940623665E-2</v>
      </c>
      <c r="BL1277">
        <v>2</v>
      </c>
      <c r="BM1277" s="3">
        <f>LOG(BO1277)</f>
        <v>1.3112011421039544</v>
      </c>
      <c r="BN1277" t="s">
        <v>33</v>
      </c>
      <c r="BO1277" s="3">
        <f t="shared" si="632"/>
        <v>20.473926605504587</v>
      </c>
      <c r="BP1277" t="s">
        <v>33</v>
      </c>
      <c r="BQ1277" t="s">
        <v>33</v>
      </c>
      <c r="BR1277" t="s">
        <v>33</v>
      </c>
      <c r="BS1277" t="s">
        <v>33</v>
      </c>
      <c r="BT1277" t="s">
        <v>31</v>
      </c>
      <c r="BU1277" t="s">
        <v>135</v>
      </c>
      <c r="BV1277">
        <v>2011</v>
      </c>
      <c r="BW1277" s="2" t="s">
        <v>136</v>
      </c>
      <c r="BX1277" t="s">
        <v>78</v>
      </c>
      <c r="BY1277" t="s">
        <v>33</v>
      </c>
      <c r="BZ1277" t="s">
        <v>33</v>
      </c>
      <c r="CA1277" t="str">
        <f t="shared" si="633"/>
        <v>high acid</v>
      </c>
    </row>
    <row r="1278" spans="1:79">
      <c r="A1278" t="s">
        <v>535</v>
      </c>
      <c r="B1278" t="s">
        <v>565</v>
      </c>
      <c r="C1278" t="s">
        <v>564</v>
      </c>
      <c r="D1278" t="s">
        <v>243</v>
      </c>
      <c r="E1278" t="s">
        <v>77</v>
      </c>
      <c r="F1278" t="s">
        <v>32</v>
      </c>
      <c r="G1278">
        <v>40</v>
      </c>
      <c r="H1278">
        <v>43</v>
      </c>
      <c r="I1278" t="b">
        <v>0</v>
      </c>
      <c r="J1278" t="s">
        <v>33</v>
      </c>
      <c r="K1278" t="s">
        <v>33</v>
      </c>
      <c r="L1278">
        <v>12</v>
      </c>
      <c r="M1278" s="4">
        <v>120</v>
      </c>
      <c r="N1278" s="3">
        <f>IFERROR(AF1278/((T1278*X1278/Y1278)*O1278*AI1278),"NA")</f>
        <v>119.89811897400615</v>
      </c>
      <c r="O1278">
        <v>3</v>
      </c>
      <c r="P1278" t="s">
        <v>33</v>
      </c>
      <c r="Q1278" s="9">
        <f t="shared" si="658"/>
        <v>3.8194444444444441E-2</v>
      </c>
      <c r="R1278" t="s">
        <v>183</v>
      </c>
      <c r="S1278" t="s">
        <v>612</v>
      </c>
      <c r="T1278" s="11">
        <v>4</v>
      </c>
      <c r="U1278">
        <v>3</v>
      </c>
      <c r="V1278">
        <v>2.6</v>
      </c>
      <c r="W1278">
        <v>1.5900000000000001E-2</v>
      </c>
      <c r="X1278" s="8">
        <f>IFERROR(((PI())*(((V1278*10^-1)/2)^2)*(U1278*10^-1)), "NA")</f>
        <v>1.5927874753700257E-2</v>
      </c>
      <c r="Y1278" s="6">
        <f>25/60</f>
        <v>0.41666666666666669</v>
      </c>
      <c r="Z1278" s="3">
        <f t="shared" si="659"/>
        <v>0.4170207208241522</v>
      </c>
      <c r="AA1278" t="s">
        <v>33</v>
      </c>
      <c r="AB1278" s="6">
        <f t="shared" si="660"/>
        <v>4.583333333333333</v>
      </c>
      <c r="AC1278" t="str">
        <f t="shared" si="655"/>
        <v>NA</v>
      </c>
      <c r="AD1278" s="4">
        <f>IFERROR(AB1278*T1278*AI1278, "NA")</f>
        <v>18.333333333333332</v>
      </c>
      <c r="AE1278" s="3">
        <f t="shared" si="656"/>
        <v>7.2863999999999987</v>
      </c>
      <c r="AF1278">
        <v>55</v>
      </c>
      <c r="AG1278" t="str">
        <f>IFERROR((M1278*O1278*P1278), "NA")</f>
        <v>NA</v>
      </c>
      <c r="AH1278" t="str">
        <f>IFERROR((AG1278*T1278*AI1278), "NA")</f>
        <v>NA</v>
      </c>
      <c r="AI1278" s="11">
        <v>1</v>
      </c>
      <c r="AJ1278" t="s">
        <v>31</v>
      </c>
      <c r="AK1278">
        <v>920</v>
      </c>
      <c r="AL1278" t="s">
        <v>551</v>
      </c>
      <c r="AM1278" t="s">
        <v>86</v>
      </c>
      <c r="AN1278" t="s">
        <v>186</v>
      </c>
      <c r="AO1278" t="s">
        <v>794</v>
      </c>
      <c r="AP1278">
        <v>5.92</v>
      </c>
      <c r="AQ1278" t="s">
        <v>33</v>
      </c>
      <c r="AR1278" t="s">
        <v>33</v>
      </c>
      <c r="AS1278" s="6">
        <f>LOG(1.1*10^7)</f>
        <v>7.0413926851582254</v>
      </c>
      <c r="AT1278" s="3">
        <f>IFERROR(AS1278-AU1278,"NA")</f>
        <v>6.2963926851582253</v>
      </c>
      <c r="AU1278" s="6">
        <v>0.745</v>
      </c>
      <c r="AV1278" t="b">
        <v>1</v>
      </c>
      <c r="AW1278" t="s">
        <v>172</v>
      </c>
      <c r="AX1278" t="s">
        <v>173</v>
      </c>
      <c r="AY1278" t="s">
        <v>246</v>
      </c>
      <c r="AZ1278" t="s">
        <v>33</v>
      </c>
      <c r="BA1278" s="18" t="s">
        <v>799</v>
      </c>
      <c r="BB1278" t="b">
        <v>0</v>
      </c>
      <c r="BC1278" t="s">
        <v>81</v>
      </c>
      <c r="BD1278">
        <v>72</v>
      </c>
      <c r="BE1278" t="s">
        <v>80</v>
      </c>
      <c r="BF1278" s="11">
        <v>72</v>
      </c>
      <c r="BG1278" t="s">
        <v>522</v>
      </c>
      <c r="BH1278" t="s">
        <v>31</v>
      </c>
      <c r="BI1278" t="s">
        <v>31</v>
      </c>
      <c r="BJ1278" s="3">
        <f t="shared" si="652"/>
        <v>0.745</v>
      </c>
      <c r="BK1278" s="3">
        <f t="shared" si="648"/>
        <v>-0.12784372725170717</v>
      </c>
      <c r="BL1278">
        <v>2</v>
      </c>
      <c r="BM1278" s="3">
        <f t="shared" ref="BM1278:BM1297" si="661">IFERROR(LOG(BO1278),"NA")</f>
        <v>0.9903567361867559</v>
      </c>
      <c r="BN1278" t="s">
        <v>33</v>
      </c>
      <c r="BO1278" s="3">
        <f t="shared" si="632"/>
        <v>9.7804026845637573</v>
      </c>
      <c r="BP1278" t="s">
        <v>33</v>
      </c>
      <c r="BQ1278" t="s">
        <v>33</v>
      </c>
      <c r="BR1278" t="s">
        <v>33</v>
      </c>
      <c r="BS1278" t="s">
        <v>33</v>
      </c>
      <c r="BT1278" t="s">
        <v>32</v>
      </c>
      <c r="BU1278" t="s">
        <v>207</v>
      </c>
      <c r="BV1278">
        <v>2014</v>
      </c>
      <c r="BW1278" s="2" t="s">
        <v>242</v>
      </c>
      <c r="BX1278" t="s">
        <v>78</v>
      </c>
      <c r="BY1278" t="s">
        <v>33</v>
      </c>
      <c r="BZ1278" t="s">
        <v>33</v>
      </c>
      <c r="CA1278" t="str">
        <f t="shared" si="633"/>
        <v>low acid</v>
      </c>
    </row>
    <row r="1279" spans="1:79">
      <c r="A1279" t="s">
        <v>341</v>
      </c>
      <c r="B1279" t="s">
        <v>566</v>
      </c>
      <c r="C1279" t="s">
        <v>563</v>
      </c>
      <c r="D1279" t="s">
        <v>336</v>
      </c>
      <c r="E1279" t="s">
        <v>77</v>
      </c>
      <c r="F1279" t="s">
        <v>32</v>
      </c>
      <c r="G1279">
        <v>20</v>
      </c>
      <c r="H1279">
        <v>23</v>
      </c>
      <c r="I1279" t="b">
        <v>0</v>
      </c>
      <c r="J1279" t="s">
        <v>33</v>
      </c>
      <c r="K1279" t="s">
        <v>33</v>
      </c>
      <c r="L1279">
        <v>30</v>
      </c>
      <c r="M1279" s="4">
        <v>2</v>
      </c>
      <c r="N1279" s="3">
        <f>IFERROR(AF1279/((T1279*X1279/Y1279)*O1279*AI1279),"NA")</f>
        <v>2.1126760563380285</v>
      </c>
      <c r="O1279">
        <v>2</v>
      </c>
      <c r="P1279" t="s">
        <v>33</v>
      </c>
      <c r="Q1279" s="8">
        <f t="shared" si="658"/>
        <v>7.5</v>
      </c>
      <c r="R1279" t="s">
        <v>183</v>
      </c>
      <c r="S1279" t="s">
        <v>613</v>
      </c>
      <c r="T1279" s="11">
        <v>1</v>
      </c>
      <c r="U1279">
        <v>5</v>
      </c>
      <c r="V1279" t="s">
        <v>33</v>
      </c>
      <c r="W1279">
        <v>0.71</v>
      </c>
      <c r="X1279" s="8">
        <f>W1279</f>
        <v>0.71</v>
      </c>
      <c r="Y1279">
        <f>6/60</f>
        <v>0.1</v>
      </c>
      <c r="Z1279" s="3">
        <f t="shared" si="659"/>
        <v>9.4666666666666663E-2</v>
      </c>
      <c r="AA1279">
        <v>15</v>
      </c>
      <c r="AB1279" s="6">
        <f t="shared" si="660"/>
        <v>15</v>
      </c>
      <c r="AC1279" t="str">
        <f t="shared" si="655"/>
        <v>NA</v>
      </c>
      <c r="AD1279" s="4">
        <f>AB1279*T1279*AI1279</f>
        <v>60</v>
      </c>
      <c r="AE1279" s="3">
        <f t="shared" si="656"/>
        <v>691.19999999999993</v>
      </c>
      <c r="AF1279">
        <f>AI1279*AA1279*O1279</f>
        <v>120</v>
      </c>
      <c r="AG1279" t="str">
        <f>IFERROR((M1279*O1279*P1279), "NA")</f>
        <v>NA</v>
      </c>
      <c r="AH1279" t="str">
        <f>IFERROR((AG1279*T1279*AI1279), "NA")</f>
        <v>NA</v>
      </c>
      <c r="AI1279">
        <v>4</v>
      </c>
      <c r="AJ1279" s="11" t="s">
        <v>32</v>
      </c>
      <c r="AK1279">
        <v>6400</v>
      </c>
      <c r="AL1279" t="s">
        <v>561</v>
      </c>
      <c r="AM1279" s="3" t="s">
        <v>786</v>
      </c>
      <c r="AN1279" t="s">
        <v>186</v>
      </c>
      <c r="AO1279" t="s">
        <v>793</v>
      </c>
      <c r="AP1279" t="s">
        <v>33</v>
      </c>
      <c r="AQ1279" t="s">
        <v>33</v>
      </c>
      <c r="AR1279" t="s">
        <v>33</v>
      </c>
      <c r="AS1279" s="6">
        <f>LOG(10^8)</f>
        <v>8</v>
      </c>
      <c r="AT1279" s="3">
        <f>IFERROR(AS1279-AU1279,"NA")</f>
        <v>6.2969999999999997</v>
      </c>
      <c r="AU1279" s="6">
        <v>1.7030000000000001</v>
      </c>
      <c r="AV1279" t="b">
        <v>1</v>
      </c>
      <c r="AW1279" t="s">
        <v>29</v>
      </c>
      <c r="AX1279" t="s">
        <v>30</v>
      </c>
      <c r="AY1279" t="s">
        <v>33</v>
      </c>
      <c r="AZ1279" t="s">
        <v>134</v>
      </c>
      <c r="BA1279" s="18" t="s">
        <v>798</v>
      </c>
      <c r="BB1279" t="b">
        <v>0</v>
      </c>
      <c r="BC1279" t="s">
        <v>81</v>
      </c>
      <c r="BD1279">
        <v>18</v>
      </c>
      <c r="BE1279" t="s">
        <v>80</v>
      </c>
      <c r="BF1279" s="11">
        <v>24</v>
      </c>
      <c r="BG1279" t="s">
        <v>694</v>
      </c>
      <c r="BH1279" t="s">
        <v>31</v>
      </c>
      <c r="BI1279" t="s">
        <v>31</v>
      </c>
      <c r="BJ1279" s="3">
        <f t="shared" si="652"/>
        <v>1.7030000000000001</v>
      </c>
      <c r="BK1279" s="3">
        <f t="shared" si="648"/>
        <v>0.23121464796260105</v>
      </c>
      <c r="BL1279">
        <v>2</v>
      </c>
      <c r="BM1279" s="3">
        <f t="shared" si="661"/>
        <v>2.608389081508236</v>
      </c>
      <c r="BN1279" t="s">
        <v>33</v>
      </c>
      <c r="BO1279" s="3">
        <f t="shared" si="632"/>
        <v>405.87199060481498</v>
      </c>
      <c r="BP1279" t="s">
        <v>33</v>
      </c>
      <c r="BQ1279" t="s">
        <v>33</v>
      </c>
      <c r="BR1279" t="s">
        <v>33</v>
      </c>
      <c r="BS1279" t="s">
        <v>33</v>
      </c>
      <c r="BT1279" t="s">
        <v>31</v>
      </c>
      <c r="BU1279" t="s">
        <v>338</v>
      </c>
      <c r="BV1279">
        <v>2006</v>
      </c>
      <c r="BW1279" t="s">
        <v>339</v>
      </c>
      <c r="BX1279" t="s">
        <v>78</v>
      </c>
      <c r="BY1279" t="s">
        <v>340</v>
      </c>
      <c r="BZ1279" t="s">
        <v>337</v>
      </c>
      <c r="CA1279" t="str">
        <f t="shared" si="633"/>
        <v>low acid</v>
      </c>
    </row>
    <row r="1280" spans="1:79">
      <c r="A1280" t="s">
        <v>325</v>
      </c>
      <c r="B1280" t="s">
        <v>565</v>
      </c>
      <c r="C1280" t="s">
        <v>563</v>
      </c>
      <c r="D1280" t="s">
        <v>304</v>
      </c>
      <c r="E1280" t="s">
        <v>77</v>
      </c>
      <c r="F1280" t="s">
        <v>32</v>
      </c>
      <c r="G1280">
        <v>30</v>
      </c>
      <c r="H1280">
        <v>31.7</v>
      </c>
      <c r="I1280" t="b">
        <v>1</v>
      </c>
      <c r="J1280">
        <v>12600</v>
      </c>
      <c r="K1280">
        <v>50.4</v>
      </c>
      <c r="L1280">
        <v>19.100000000000001</v>
      </c>
      <c r="M1280" s="4">
        <v>231</v>
      </c>
      <c r="N1280" s="3">
        <f>IFERROR(AF1280/((T1280*X1280/Y1280)*O1280*AI1280),"NA")</f>
        <v>233.01115851362445</v>
      </c>
      <c r="O1280">
        <v>5</v>
      </c>
      <c r="P1280">
        <v>2.4E-2</v>
      </c>
      <c r="Q1280" s="8">
        <f t="shared" si="658"/>
        <v>2.4242424242424242E-2</v>
      </c>
      <c r="R1280" t="s">
        <v>183</v>
      </c>
      <c r="S1280" t="s">
        <v>612</v>
      </c>
      <c r="T1280" s="11">
        <v>1</v>
      </c>
      <c r="U1280">
        <v>3.4</v>
      </c>
      <c r="V1280">
        <v>3</v>
      </c>
      <c r="W1280">
        <v>2.4E-2</v>
      </c>
      <c r="X1280" s="8">
        <f>IFERROR(((PI())*(((V1280*10^-1)/2)^2)*(U1280*10^-1)), "NA")</f>
        <v>2.4033183799961926E-2</v>
      </c>
      <c r="Y1280" s="6">
        <f>1</f>
        <v>1</v>
      </c>
      <c r="Z1280" s="3">
        <f t="shared" si="659"/>
        <v>0.99136883174842949</v>
      </c>
      <c r="AA1280">
        <v>5.5</v>
      </c>
      <c r="AB1280" s="6">
        <f t="shared" si="660"/>
        <v>5.6</v>
      </c>
      <c r="AC1280">
        <f t="shared" si="655"/>
        <v>5.5440000000000005</v>
      </c>
      <c r="AD1280" s="4">
        <f>IFERROR(AB1280*T1280*AI1280, "NA")</f>
        <v>5.6</v>
      </c>
      <c r="AE1280" s="3">
        <f t="shared" si="656"/>
        <v>10.214680000000001</v>
      </c>
      <c r="AF1280">
        <v>28</v>
      </c>
      <c r="AG1280">
        <f>IFERROR((M1280*O1280*P1280), "NA")</f>
        <v>27.72</v>
      </c>
      <c r="AH1280">
        <f>IFERROR((AG1280*T1280*AI1280), "NA")</f>
        <v>27.72</v>
      </c>
      <c r="AI1280" s="11">
        <v>1</v>
      </c>
      <c r="AJ1280" t="s">
        <v>31</v>
      </c>
      <c r="AK1280">
        <v>1000</v>
      </c>
      <c r="AL1280" t="s">
        <v>169</v>
      </c>
      <c r="AM1280" t="s">
        <v>103</v>
      </c>
      <c r="AN1280" t="s">
        <v>305</v>
      </c>
      <c r="AO1280" t="s">
        <v>790</v>
      </c>
      <c r="AP1280">
        <v>4.5</v>
      </c>
      <c r="AQ1280" t="s">
        <v>33</v>
      </c>
      <c r="AR1280" t="s">
        <v>33</v>
      </c>
      <c r="AS1280" s="6">
        <f>LOG(3*10^7)</f>
        <v>7.4771212547196626</v>
      </c>
      <c r="AT1280" s="3">
        <f>IFERROR(AS1280-AU1280,"NA")</f>
        <v>6.2971212547196629</v>
      </c>
      <c r="AU1280" s="6">
        <v>1.18</v>
      </c>
      <c r="AV1280" t="b">
        <v>1</v>
      </c>
      <c r="AW1280" t="s">
        <v>123</v>
      </c>
      <c r="AX1280" t="s">
        <v>88</v>
      </c>
      <c r="AY1280" t="s">
        <v>306</v>
      </c>
      <c r="AZ1280" t="s">
        <v>33</v>
      </c>
      <c r="BA1280" s="18" t="s">
        <v>579</v>
      </c>
      <c r="BB1280" t="b">
        <v>1</v>
      </c>
      <c r="BC1280" t="s">
        <v>81</v>
      </c>
      <c r="BD1280">
        <v>48</v>
      </c>
      <c r="BE1280" t="s">
        <v>80</v>
      </c>
      <c r="BF1280" s="11">
        <v>120</v>
      </c>
      <c r="BG1280" t="s">
        <v>395</v>
      </c>
      <c r="BH1280" t="s">
        <v>31</v>
      </c>
      <c r="BI1280" t="s">
        <v>31</v>
      </c>
      <c r="BJ1280" s="3">
        <f t="shared" si="652"/>
        <v>1.18</v>
      </c>
      <c r="BK1280" s="3">
        <f t="shared" si="648"/>
        <v>7.1882007306125359E-2</v>
      </c>
      <c r="BL1280">
        <v>2</v>
      </c>
      <c r="BM1280" s="3">
        <f t="shared" si="661"/>
        <v>0.93734275853154891</v>
      </c>
      <c r="BN1280" t="s">
        <v>33</v>
      </c>
      <c r="BO1280" s="3">
        <f t="shared" si="632"/>
        <v>8.6565084745762721</v>
      </c>
      <c r="BP1280" t="s">
        <v>33</v>
      </c>
      <c r="BQ1280" t="s">
        <v>33</v>
      </c>
      <c r="BR1280" t="s">
        <v>33</v>
      </c>
      <c r="BS1280" t="s">
        <v>33</v>
      </c>
      <c r="BT1280" t="s">
        <v>32</v>
      </c>
      <c r="BU1280" t="s">
        <v>323</v>
      </c>
      <c r="BV1280">
        <v>2003</v>
      </c>
      <c r="BW1280" s="2" t="s">
        <v>322</v>
      </c>
      <c r="BX1280" t="s">
        <v>78</v>
      </c>
      <c r="BY1280" t="s">
        <v>33</v>
      </c>
      <c r="BZ1280" t="s">
        <v>33</v>
      </c>
      <c r="CA1280" t="str">
        <f t="shared" si="633"/>
        <v>high acid</v>
      </c>
    </row>
    <row r="1281" spans="1:79">
      <c r="A1281" t="s">
        <v>589</v>
      </c>
      <c r="B1281" t="s">
        <v>566</v>
      </c>
      <c r="C1281" t="s">
        <v>563</v>
      </c>
      <c r="D1281" t="s">
        <v>33</v>
      </c>
      <c r="E1281" t="s">
        <v>77</v>
      </c>
      <c r="F1281" t="s">
        <v>33</v>
      </c>
      <c r="G1281" t="s">
        <v>33</v>
      </c>
      <c r="H1281">
        <v>35</v>
      </c>
      <c r="I1281" t="b">
        <v>0</v>
      </c>
      <c r="J1281" t="s">
        <v>33</v>
      </c>
      <c r="K1281" t="s">
        <v>33</v>
      </c>
      <c r="L1281">
        <v>15</v>
      </c>
      <c r="M1281" s="4">
        <v>1</v>
      </c>
      <c r="N1281" t="e">
        <f>(#REF!*Y1281)/(T1281*X1281*O1281)</f>
        <v>#REF!</v>
      </c>
      <c r="O1281">
        <v>2</v>
      </c>
      <c r="P1281" t="s">
        <v>33</v>
      </c>
      <c r="Q1281" s="1">
        <f t="shared" si="658"/>
        <v>94.999999999999986</v>
      </c>
      <c r="R1281" t="s">
        <v>183</v>
      </c>
      <c r="S1281" t="s">
        <v>613</v>
      </c>
      <c r="T1281">
        <v>1</v>
      </c>
      <c r="U1281">
        <v>2.5</v>
      </c>
      <c r="V1281" t="s">
        <v>33</v>
      </c>
      <c r="W1281">
        <v>0.50249999999999995</v>
      </c>
      <c r="X1281">
        <f>W1281</f>
        <v>0.50249999999999995</v>
      </c>
      <c r="Y1281" t="s">
        <v>33</v>
      </c>
      <c r="Z1281" s="3">
        <f t="shared" si="659"/>
        <v>5.2894736842105262E-3</v>
      </c>
      <c r="AA1281" t="s">
        <v>33</v>
      </c>
      <c r="AB1281">
        <f t="shared" si="660"/>
        <v>94.999999999999986</v>
      </c>
      <c r="AC1281" s="1" t="str">
        <f t="shared" si="655"/>
        <v>NA</v>
      </c>
      <c r="AE1281" s="3">
        <f t="shared" si="656"/>
        <v>85.499999999999986</v>
      </c>
      <c r="AF1281">
        <v>190</v>
      </c>
      <c r="AG1281" s="1" t="str">
        <f>IFERROR((N1281*P1281*Q1281), "NA")</f>
        <v>NA</v>
      </c>
      <c r="AH1281" s="1" t="str">
        <f>IFERROR((AG1281*U1281*AI1281), "NA")</f>
        <v>NA</v>
      </c>
      <c r="AI1281" s="1">
        <v>1</v>
      </c>
      <c r="AJ1281" s="11" t="s">
        <v>31</v>
      </c>
      <c r="AK1281">
        <v>2000</v>
      </c>
      <c r="AL1281" t="s">
        <v>616</v>
      </c>
      <c r="AM1281" s="3" t="s">
        <v>103</v>
      </c>
      <c r="AN1281" t="s">
        <v>130</v>
      </c>
      <c r="AO1281" t="s">
        <v>795</v>
      </c>
      <c r="AP1281">
        <v>7</v>
      </c>
      <c r="AQ1281" t="s">
        <v>33</v>
      </c>
      <c r="AR1281" t="s">
        <v>33</v>
      </c>
      <c r="AS1281">
        <v>9</v>
      </c>
      <c r="AT1281">
        <f>AS1281-AU1281</f>
        <v>6.3</v>
      </c>
      <c r="AU1281" s="6">
        <v>2.7</v>
      </c>
      <c r="AV1281" t="b">
        <v>1</v>
      </c>
      <c r="AW1281" t="s">
        <v>617</v>
      </c>
      <c r="AX1281" t="s">
        <v>33</v>
      </c>
      <c r="AY1281" t="s">
        <v>628</v>
      </c>
      <c r="AZ1281" t="s">
        <v>619</v>
      </c>
      <c r="BA1281" s="18" t="s">
        <v>802</v>
      </c>
      <c r="BB1281" s="3" t="b">
        <v>0</v>
      </c>
      <c r="BC1281" t="s">
        <v>81</v>
      </c>
      <c r="BD1281">
        <v>24</v>
      </c>
      <c r="BE1281" t="s">
        <v>80</v>
      </c>
      <c r="BF1281">
        <v>24</v>
      </c>
      <c r="BG1281" t="s">
        <v>644</v>
      </c>
      <c r="BH1281" t="s">
        <v>31</v>
      </c>
      <c r="BI1281" t="s">
        <v>31</v>
      </c>
      <c r="BJ1281">
        <f t="shared" si="652"/>
        <v>2.7</v>
      </c>
      <c r="BK1281" s="3">
        <f t="shared" si="648"/>
        <v>0.43136376415898736</v>
      </c>
      <c r="BL1281">
        <v>2</v>
      </c>
      <c r="BM1281" s="3">
        <f t="shared" si="661"/>
        <v>1.5006023505691852</v>
      </c>
      <c r="BN1281" t="s">
        <v>33</v>
      </c>
      <c r="BO1281" s="3">
        <f t="shared" si="632"/>
        <v>31.666666666666661</v>
      </c>
      <c r="BP1281" t="s">
        <v>33</v>
      </c>
      <c r="BQ1281" t="s">
        <v>33</v>
      </c>
      <c r="BR1281" t="s">
        <v>33</v>
      </c>
      <c r="BS1281" t="s">
        <v>33</v>
      </c>
      <c r="BT1281" t="s">
        <v>31</v>
      </c>
      <c r="BU1281" s="15" t="s">
        <v>655</v>
      </c>
      <c r="BV1281">
        <v>2003</v>
      </c>
      <c r="BW1281" t="s">
        <v>656</v>
      </c>
      <c r="BX1281" t="s">
        <v>78</v>
      </c>
      <c r="BY1281" s="13" t="s">
        <v>677</v>
      </c>
      <c r="CA1281" t="str">
        <f t="shared" si="633"/>
        <v>low acid</v>
      </c>
    </row>
    <row r="1282" spans="1:79">
      <c r="A1282" t="s">
        <v>583</v>
      </c>
      <c r="B1282" t="s">
        <v>566</v>
      </c>
      <c r="C1282" t="s">
        <v>563</v>
      </c>
      <c r="D1282" t="s">
        <v>33</v>
      </c>
      <c r="E1282" t="s">
        <v>77</v>
      </c>
      <c r="F1282" t="s">
        <v>32</v>
      </c>
      <c r="G1282" t="s">
        <v>33</v>
      </c>
      <c r="H1282">
        <v>20</v>
      </c>
      <c r="I1282" t="b">
        <v>1</v>
      </c>
      <c r="J1282" t="s">
        <v>33</v>
      </c>
      <c r="K1282" t="s">
        <v>33</v>
      </c>
      <c r="L1282">
        <v>20</v>
      </c>
      <c r="M1282" s="4">
        <v>2</v>
      </c>
      <c r="N1282" t="e">
        <f>(#REF!*Y1282)/(T1282*X1282*O1282)</f>
        <v>#REF!</v>
      </c>
      <c r="O1282">
        <v>2</v>
      </c>
      <c r="P1282" t="s">
        <v>33</v>
      </c>
      <c r="Q1282" s="1">
        <f t="shared" si="658"/>
        <v>45</v>
      </c>
      <c r="R1282" t="s">
        <v>183</v>
      </c>
      <c r="S1282" t="s">
        <v>613</v>
      </c>
      <c r="T1282">
        <v>1</v>
      </c>
      <c r="U1282">
        <v>5</v>
      </c>
      <c r="V1282" t="s">
        <v>33</v>
      </c>
      <c r="W1282">
        <v>0.71</v>
      </c>
      <c r="X1282">
        <f>W1282</f>
        <v>0.71</v>
      </c>
      <c r="Y1282">
        <v>0.1</v>
      </c>
      <c r="Z1282" s="3">
        <f t="shared" si="659"/>
        <v>1.5777777777777776E-2</v>
      </c>
      <c r="AA1282" t="s">
        <v>33</v>
      </c>
      <c r="AB1282">
        <f t="shared" si="660"/>
        <v>90</v>
      </c>
      <c r="AC1282" s="1" t="str">
        <f t="shared" si="655"/>
        <v>NA</v>
      </c>
      <c r="AE1282" s="3">
        <f t="shared" si="656"/>
        <v>338.4</v>
      </c>
      <c r="AF1282">
        <v>180</v>
      </c>
      <c r="AG1282" s="1" t="str">
        <f>IFERROR((N1282*P1282*Q1282), "NA")</f>
        <v>NA</v>
      </c>
      <c r="AH1282" s="1" t="str">
        <f>IFERROR((AG1282*U1282*AI1282), "NA")</f>
        <v>NA</v>
      </c>
      <c r="AI1282" s="1">
        <v>1</v>
      </c>
      <c r="AJ1282" s="11" t="s">
        <v>31</v>
      </c>
      <c r="AK1282">
        <v>4700</v>
      </c>
      <c r="AL1282" t="s">
        <v>562</v>
      </c>
      <c r="AM1282" s="3" t="s">
        <v>786</v>
      </c>
      <c r="AN1282" t="s">
        <v>186</v>
      </c>
      <c r="AO1282" t="s">
        <v>793</v>
      </c>
      <c r="AP1282" t="s">
        <v>33</v>
      </c>
      <c r="AQ1282" t="s">
        <v>33</v>
      </c>
      <c r="AR1282" t="s">
        <v>33</v>
      </c>
      <c r="AS1282">
        <v>8</v>
      </c>
      <c r="AT1282">
        <f>AS1282-AU1282</f>
        <v>6.3100000000000005</v>
      </c>
      <c r="AU1282" s="6">
        <v>1.69</v>
      </c>
      <c r="AV1282" t="b">
        <v>1</v>
      </c>
      <c r="AW1282" t="s">
        <v>617</v>
      </c>
      <c r="AX1282" t="s">
        <v>33</v>
      </c>
      <c r="AY1282" t="s">
        <v>622</v>
      </c>
      <c r="AZ1282" t="s">
        <v>619</v>
      </c>
      <c r="BA1282" s="18" t="s">
        <v>802</v>
      </c>
      <c r="BB1282" s="3" t="b">
        <v>0</v>
      </c>
      <c r="BC1282" t="s">
        <v>81</v>
      </c>
      <c r="BD1282">
        <v>18</v>
      </c>
      <c r="BE1282" t="s">
        <v>80</v>
      </c>
      <c r="BF1282">
        <v>24</v>
      </c>
      <c r="BG1282" t="s">
        <v>696</v>
      </c>
      <c r="BH1282" t="s">
        <v>32</v>
      </c>
      <c r="BI1282" t="s">
        <v>31</v>
      </c>
      <c r="BJ1282">
        <f t="shared" si="652"/>
        <v>1.69</v>
      </c>
      <c r="BK1282" s="3">
        <f t="shared" si="648"/>
        <v>0.22788670461367352</v>
      </c>
      <c r="BL1282">
        <v>2</v>
      </c>
      <c r="BM1282" s="3">
        <f t="shared" si="661"/>
        <v>2.3015436497533122</v>
      </c>
      <c r="BN1282" t="s">
        <v>33</v>
      </c>
      <c r="BO1282" s="3">
        <f t="shared" ref="BO1282:BO1345" si="662">IFERROR((AE1282/BJ1282),"NA")</f>
        <v>200.23668639053253</v>
      </c>
      <c r="BP1282" t="s">
        <v>33</v>
      </c>
      <c r="BQ1282" t="s">
        <v>33</v>
      </c>
      <c r="BR1282" t="s">
        <v>33</v>
      </c>
      <c r="BS1282" t="s">
        <v>33</v>
      </c>
      <c r="BT1282" t="s">
        <v>31</v>
      </c>
      <c r="BU1282" t="s">
        <v>338</v>
      </c>
      <c r="BV1282">
        <v>2005</v>
      </c>
      <c r="BW1282" t="s">
        <v>342</v>
      </c>
      <c r="BX1282" t="s">
        <v>78</v>
      </c>
      <c r="BY1282" s="13" t="s">
        <v>673</v>
      </c>
      <c r="CA1282" t="str">
        <f t="shared" si="633"/>
        <v>low acid</v>
      </c>
    </row>
    <row r="1283" spans="1:79">
      <c r="A1283" t="s">
        <v>583</v>
      </c>
      <c r="B1283" t="s">
        <v>566</v>
      </c>
      <c r="C1283" t="s">
        <v>563</v>
      </c>
      <c r="D1283" t="s">
        <v>33</v>
      </c>
      <c r="E1283" t="s">
        <v>77</v>
      </c>
      <c r="F1283" t="s">
        <v>32</v>
      </c>
      <c r="G1283" t="s">
        <v>33</v>
      </c>
      <c r="H1283">
        <v>30</v>
      </c>
      <c r="I1283" t="b">
        <v>1</v>
      </c>
      <c r="J1283" t="s">
        <v>33</v>
      </c>
      <c r="K1283" t="s">
        <v>33</v>
      </c>
      <c r="L1283">
        <v>20</v>
      </c>
      <c r="M1283" s="4">
        <v>2</v>
      </c>
      <c r="N1283" t="e">
        <f>(#REF!*Y1283)/(T1283*X1283*O1283)</f>
        <v>#REF!</v>
      </c>
      <c r="O1283">
        <v>2</v>
      </c>
      <c r="P1283" t="s">
        <v>33</v>
      </c>
      <c r="Q1283" s="1">
        <f t="shared" si="658"/>
        <v>30</v>
      </c>
      <c r="R1283" t="s">
        <v>183</v>
      </c>
      <c r="S1283" t="s">
        <v>613</v>
      </c>
      <c r="T1283">
        <v>1</v>
      </c>
      <c r="U1283">
        <v>5</v>
      </c>
      <c r="V1283" t="s">
        <v>33</v>
      </c>
      <c r="W1283">
        <v>0.71</v>
      </c>
      <c r="X1283">
        <f>W1283</f>
        <v>0.71</v>
      </c>
      <c r="Y1283">
        <v>0.1</v>
      </c>
      <c r="Z1283" s="3">
        <f t="shared" si="659"/>
        <v>2.3666666666666666E-2</v>
      </c>
      <c r="AA1283" t="s">
        <v>33</v>
      </c>
      <c r="AB1283">
        <f t="shared" si="660"/>
        <v>60</v>
      </c>
      <c r="AC1283" s="1" t="str">
        <f t="shared" si="655"/>
        <v>NA</v>
      </c>
      <c r="AE1283" s="3">
        <f t="shared" si="656"/>
        <v>225.6</v>
      </c>
      <c r="AF1283">
        <v>120</v>
      </c>
      <c r="AG1283" s="1" t="str">
        <f>IFERROR((N1283*P1283*Q1283), "NA")</f>
        <v>NA</v>
      </c>
      <c r="AH1283" s="1" t="str">
        <f>IFERROR((AG1283*U1283*AI1283), "NA")</f>
        <v>NA</v>
      </c>
      <c r="AI1283" s="1">
        <v>1</v>
      </c>
      <c r="AJ1283" s="11" t="s">
        <v>31</v>
      </c>
      <c r="AK1283">
        <v>4700</v>
      </c>
      <c r="AL1283" t="s">
        <v>562</v>
      </c>
      <c r="AM1283" s="3" t="s">
        <v>786</v>
      </c>
      <c r="AN1283" t="s">
        <v>186</v>
      </c>
      <c r="AO1283" t="s">
        <v>793</v>
      </c>
      <c r="AP1283" t="s">
        <v>33</v>
      </c>
      <c r="AQ1283" t="s">
        <v>33</v>
      </c>
      <c r="AR1283" t="s">
        <v>33</v>
      </c>
      <c r="AS1283">
        <v>8</v>
      </c>
      <c r="AT1283">
        <f>AS1283-AU1283</f>
        <v>6.3100000000000005</v>
      </c>
      <c r="AU1283" s="6">
        <v>1.69</v>
      </c>
      <c r="AV1283" t="b">
        <v>1</v>
      </c>
      <c r="AW1283" t="s">
        <v>617</v>
      </c>
      <c r="AX1283" t="s">
        <v>33</v>
      </c>
      <c r="AY1283" t="s">
        <v>622</v>
      </c>
      <c r="AZ1283" t="s">
        <v>619</v>
      </c>
      <c r="BA1283" s="18" t="s">
        <v>802</v>
      </c>
      <c r="BB1283" s="3" t="b">
        <v>0</v>
      </c>
      <c r="BC1283" t="s">
        <v>81</v>
      </c>
      <c r="BD1283">
        <v>18</v>
      </c>
      <c r="BE1283" t="s">
        <v>80</v>
      </c>
      <c r="BF1283">
        <v>24</v>
      </c>
      <c r="BG1283" t="s">
        <v>696</v>
      </c>
      <c r="BH1283" t="s">
        <v>32</v>
      </c>
      <c r="BI1283" t="s">
        <v>31</v>
      </c>
      <c r="BJ1283">
        <f t="shared" si="652"/>
        <v>1.69</v>
      </c>
      <c r="BK1283" s="3">
        <f t="shared" si="648"/>
        <v>0.22788670461367352</v>
      </c>
      <c r="BL1283">
        <v>2</v>
      </c>
      <c r="BM1283" s="3">
        <f t="shared" si="661"/>
        <v>2.1254523906976313</v>
      </c>
      <c r="BN1283" t="s">
        <v>33</v>
      </c>
      <c r="BO1283" s="3">
        <f t="shared" si="662"/>
        <v>133.49112426035504</v>
      </c>
      <c r="BP1283" t="s">
        <v>33</v>
      </c>
      <c r="BQ1283" t="s">
        <v>33</v>
      </c>
      <c r="BR1283" t="s">
        <v>33</v>
      </c>
      <c r="BS1283" t="s">
        <v>33</v>
      </c>
      <c r="BT1283" t="s">
        <v>31</v>
      </c>
      <c r="BU1283" t="s">
        <v>338</v>
      </c>
      <c r="BV1283">
        <v>2005</v>
      </c>
      <c r="BW1283" t="s">
        <v>342</v>
      </c>
      <c r="BX1283" t="s">
        <v>78</v>
      </c>
      <c r="BY1283" s="13" t="s">
        <v>673</v>
      </c>
      <c r="CA1283" t="str">
        <f t="shared" ref="CA1283:CA1346" si="663">IF(OR(AN1283="low acidic liquid medium", AN1283="low acidic food product"), "low acid",
    IF(OR(AN1283="high acidic food product", AN1283="high acidic liquid medium"), "high acid", "NA"))</f>
        <v>low acid</v>
      </c>
    </row>
    <row r="1284" spans="1:79">
      <c r="A1284" t="s">
        <v>764</v>
      </c>
      <c r="B1284" t="s">
        <v>566</v>
      </c>
      <c r="C1284" t="s">
        <v>563</v>
      </c>
      <c r="D1284" t="s">
        <v>765</v>
      </c>
      <c r="E1284" t="s">
        <v>77</v>
      </c>
      <c r="F1284" t="s">
        <v>31</v>
      </c>
      <c r="G1284">
        <v>23</v>
      </c>
      <c r="H1284">
        <v>32</v>
      </c>
      <c r="I1284" t="b">
        <v>0</v>
      </c>
      <c r="J1284" t="s">
        <v>33</v>
      </c>
      <c r="K1284" t="s">
        <v>33</v>
      </c>
      <c r="L1284">
        <v>20</v>
      </c>
      <c r="M1284" s="4">
        <f>N1284</f>
        <v>30.918209876543216</v>
      </c>
      <c r="N1284" s="3">
        <f>IFERROR(AF1284/((T1284*X1284/Y1284)*O1284*AI1284),"NA")</f>
        <v>30.918209876543216</v>
      </c>
      <c r="O1284">
        <v>3</v>
      </c>
      <c r="P1284">
        <v>4.3</v>
      </c>
      <c r="Q1284" s="8">
        <f>IFERROR(X1284/Y1284, "NA")</f>
        <v>4.3199999999999994</v>
      </c>
      <c r="R1284" t="s">
        <v>183</v>
      </c>
      <c r="S1284" t="s">
        <v>33</v>
      </c>
      <c r="T1284" s="11">
        <v>1</v>
      </c>
      <c r="U1284">
        <v>8.1000000000000003E-2</v>
      </c>
      <c r="V1284" t="s">
        <v>33</v>
      </c>
      <c r="W1284">
        <v>7.1999999999999998E-3</v>
      </c>
      <c r="X1284">
        <f>W1284</f>
        <v>7.1999999999999998E-3</v>
      </c>
      <c r="Y1284" s="6">
        <f>0.1/60</f>
        <v>1.6666666666666668E-3</v>
      </c>
      <c r="Z1284" s="6">
        <f>Y1284</f>
        <v>1.6666666666666668E-3</v>
      </c>
      <c r="AA1284" t="s">
        <v>33</v>
      </c>
      <c r="AB1284" s="4">
        <f>IFERROR(((X1284*M1284)/Y1284), "NA")</f>
        <v>133.56666666666669</v>
      </c>
      <c r="AC1284" s="4">
        <f t="shared" si="655"/>
        <v>132.94830246913583</v>
      </c>
      <c r="AD1284" s="4">
        <f>AB1284*T1284*AI1284</f>
        <v>133.56666666666669</v>
      </c>
      <c r="AE1284" s="3">
        <f t="shared" si="656"/>
        <v>1602.7999999999997</v>
      </c>
      <c r="AF1284">
        <v>400.7</v>
      </c>
      <c r="AG1284" s="4">
        <f>IFERROR((M1284*O1284*P1284), "NA")</f>
        <v>398.84490740740745</v>
      </c>
      <c r="AH1284" s="4">
        <f>IFERROR((AG1284*T1284*AI1284), "NA")</f>
        <v>398.84490740740745</v>
      </c>
      <c r="AI1284">
        <v>1</v>
      </c>
      <c r="AJ1284" s="11" t="s">
        <v>31</v>
      </c>
      <c r="AK1284">
        <v>10000</v>
      </c>
      <c r="AL1284" t="s">
        <v>169</v>
      </c>
      <c r="AM1284" t="s">
        <v>103</v>
      </c>
      <c r="AN1284" t="s">
        <v>130</v>
      </c>
      <c r="AO1284" t="s">
        <v>795</v>
      </c>
      <c r="AP1284">
        <v>7.2</v>
      </c>
      <c r="AQ1284" t="s">
        <v>33</v>
      </c>
      <c r="AR1284" t="s">
        <v>33</v>
      </c>
      <c r="AS1284">
        <v>7</v>
      </c>
      <c r="AT1284" s="3">
        <f>IFERROR(AS1284-AU1284,"NA")</f>
        <v>6.32</v>
      </c>
      <c r="AU1284" s="6">
        <v>0.68</v>
      </c>
      <c r="AV1284" t="b">
        <v>1</v>
      </c>
      <c r="AW1284" t="s">
        <v>29</v>
      </c>
      <c r="AX1284" t="s">
        <v>30</v>
      </c>
      <c r="AY1284" t="s">
        <v>766</v>
      </c>
      <c r="AZ1284" t="s">
        <v>33</v>
      </c>
      <c r="BA1284" s="18" t="s">
        <v>798</v>
      </c>
      <c r="BB1284" s="3" t="b">
        <v>0</v>
      </c>
      <c r="BC1284" t="s">
        <v>81</v>
      </c>
      <c r="BD1284">
        <v>16</v>
      </c>
      <c r="BE1284" t="s">
        <v>80</v>
      </c>
      <c r="BF1284">
        <v>24</v>
      </c>
      <c r="BG1284" t="s">
        <v>569</v>
      </c>
      <c r="BH1284" t="s">
        <v>31</v>
      </c>
      <c r="BI1284" t="s">
        <v>31</v>
      </c>
      <c r="BJ1284" s="3">
        <f t="shared" si="652"/>
        <v>0.68</v>
      </c>
      <c r="BK1284" s="3">
        <f t="shared" si="648"/>
        <v>-0.16749108729376366</v>
      </c>
      <c r="BL1284">
        <v>2</v>
      </c>
      <c r="BM1284" s="3">
        <f t="shared" si="661"/>
        <v>3.3723704210544256</v>
      </c>
      <c r="BN1284" t="s">
        <v>33</v>
      </c>
      <c r="BO1284" s="3">
        <f t="shared" si="662"/>
        <v>2357.0588235294113</v>
      </c>
      <c r="BP1284" t="s">
        <v>33</v>
      </c>
      <c r="BQ1284" t="s">
        <v>33</v>
      </c>
      <c r="BR1284" t="s">
        <v>33</v>
      </c>
      <c r="BS1284" t="s">
        <v>33</v>
      </c>
      <c r="BT1284" t="s">
        <v>31</v>
      </c>
      <c r="BU1284" t="s">
        <v>767</v>
      </c>
      <c r="BV1284">
        <v>2021</v>
      </c>
      <c r="BW1284" t="s">
        <v>768</v>
      </c>
      <c r="BX1284" t="s">
        <v>78</v>
      </c>
      <c r="BY1284" t="s">
        <v>769</v>
      </c>
      <c r="CA1284" t="str">
        <f t="shared" si="663"/>
        <v>low acid</v>
      </c>
    </row>
    <row r="1285" spans="1:79">
      <c r="A1285" t="s">
        <v>343</v>
      </c>
      <c r="B1285" t="s">
        <v>566</v>
      </c>
      <c r="C1285" t="s">
        <v>563</v>
      </c>
      <c r="D1285" t="s">
        <v>33</v>
      </c>
      <c r="E1285" t="s">
        <v>77</v>
      </c>
      <c r="F1285" t="s">
        <v>32</v>
      </c>
      <c r="G1285">
        <v>30</v>
      </c>
      <c r="H1285">
        <v>33</v>
      </c>
      <c r="I1285" t="b">
        <v>0</v>
      </c>
      <c r="J1285" t="s">
        <v>33</v>
      </c>
      <c r="K1285" t="s">
        <v>33</v>
      </c>
      <c r="L1285">
        <v>20</v>
      </c>
      <c r="M1285" s="4">
        <v>2</v>
      </c>
      <c r="N1285" s="3">
        <f>IFERROR(AF1285/((T1285*X1285/Y1285)*O1285*AI1285),"NA")</f>
        <v>2.1126760563380285</v>
      </c>
      <c r="O1285">
        <v>2</v>
      </c>
      <c r="P1285" t="s">
        <v>33</v>
      </c>
      <c r="Q1285" s="8">
        <f>IFERROR(X1285/Z1285, "NA")</f>
        <v>7.5</v>
      </c>
      <c r="R1285" t="s">
        <v>183</v>
      </c>
      <c r="S1285" t="s">
        <v>613</v>
      </c>
      <c r="T1285" s="11">
        <v>1</v>
      </c>
      <c r="U1285">
        <v>5</v>
      </c>
      <c r="V1285" t="s">
        <v>33</v>
      </c>
      <c r="W1285">
        <v>0.71</v>
      </c>
      <c r="X1285" s="8">
        <f>W1285</f>
        <v>0.71</v>
      </c>
      <c r="Y1285">
        <f>6/60</f>
        <v>0.1</v>
      </c>
      <c r="Z1285" s="3">
        <f>IFERROR(X1285*M1285*O1285*T1285*AI1285/AF1285, "NA")</f>
        <v>9.4666666666666663E-2</v>
      </c>
      <c r="AA1285">
        <v>15</v>
      </c>
      <c r="AB1285" s="6">
        <f>IFERROR(((X1285*M1285)/Z1285), "NA")</f>
        <v>15</v>
      </c>
      <c r="AC1285" t="str">
        <f t="shared" si="655"/>
        <v>NA</v>
      </c>
      <c r="AD1285" s="4">
        <f>AB1285*T1285*AI1285</f>
        <v>60</v>
      </c>
      <c r="AE1285" s="3">
        <f t="shared" si="656"/>
        <v>336</v>
      </c>
      <c r="AF1285">
        <v>120</v>
      </c>
      <c r="AG1285" t="str">
        <f>IFERROR((M1285*O1285*P1285), "NA")</f>
        <v>NA</v>
      </c>
      <c r="AH1285" t="str">
        <f>IFERROR((AG1285*T1285*AI1285), "NA")</f>
        <v>NA</v>
      </c>
      <c r="AI1285">
        <v>4</v>
      </c>
      <c r="AJ1285" s="11" t="s">
        <v>32</v>
      </c>
      <c r="AK1285">
        <v>7000</v>
      </c>
      <c r="AL1285" t="s">
        <v>562</v>
      </c>
      <c r="AM1285" s="3" t="s">
        <v>786</v>
      </c>
      <c r="AN1285" t="s">
        <v>186</v>
      </c>
      <c r="AO1285" t="s">
        <v>793</v>
      </c>
      <c r="AP1285" t="s">
        <v>33</v>
      </c>
      <c r="AQ1285" t="s">
        <v>33</v>
      </c>
      <c r="AR1285" t="s">
        <v>33</v>
      </c>
      <c r="AS1285" s="6">
        <f>LOG(10^8)</f>
        <v>8</v>
      </c>
      <c r="AT1285" s="3">
        <f>IFERROR(AS1285-AU1285,"NA")</f>
        <v>6.3220000000000001</v>
      </c>
      <c r="AU1285" s="6">
        <v>1.6779999999999999</v>
      </c>
      <c r="AV1285" t="b">
        <v>1</v>
      </c>
      <c r="AW1285" t="s">
        <v>29</v>
      </c>
      <c r="AX1285" t="s">
        <v>30</v>
      </c>
      <c r="AY1285" t="s">
        <v>33</v>
      </c>
      <c r="AZ1285" t="s">
        <v>134</v>
      </c>
      <c r="BA1285" s="18" t="s">
        <v>798</v>
      </c>
      <c r="BB1285" t="b">
        <v>0</v>
      </c>
      <c r="BC1285" t="s">
        <v>81</v>
      </c>
      <c r="BD1285">
        <v>18</v>
      </c>
      <c r="BE1285" t="s">
        <v>80</v>
      </c>
      <c r="BF1285" s="11">
        <v>21</v>
      </c>
      <c r="BG1285" t="s">
        <v>694</v>
      </c>
      <c r="BH1285" t="s">
        <v>31</v>
      </c>
      <c r="BI1285" t="s">
        <v>31</v>
      </c>
      <c r="BJ1285" s="3">
        <f t="shared" si="652"/>
        <v>1.6779999999999999</v>
      </c>
      <c r="BK1285" s="3">
        <f t="shared" si="648"/>
        <v>0.22479195649268147</v>
      </c>
      <c r="BL1285">
        <v>2</v>
      </c>
      <c r="BM1285" s="3">
        <f t="shared" si="661"/>
        <v>2.3015473208971624</v>
      </c>
      <c r="BN1285" t="s">
        <v>33</v>
      </c>
      <c r="BO1285" s="3">
        <f t="shared" si="662"/>
        <v>200.238379022646</v>
      </c>
      <c r="BP1285" t="s">
        <v>33</v>
      </c>
      <c r="BQ1285" t="s">
        <v>33</v>
      </c>
      <c r="BR1285" t="s">
        <v>33</v>
      </c>
      <c r="BS1285" t="s">
        <v>33</v>
      </c>
      <c r="BT1285" t="s">
        <v>31</v>
      </c>
      <c r="BU1285" t="s">
        <v>338</v>
      </c>
      <c r="BV1285">
        <v>2005</v>
      </c>
      <c r="BW1285" s="2" t="s">
        <v>342</v>
      </c>
      <c r="BX1285" t="s">
        <v>78</v>
      </c>
      <c r="BY1285" t="s">
        <v>340</v>
      </c>
      <c r="BZ1285" t="s">
        <v>33</v>
      </c>
      <c r="CA1285" t="str">
        <f t="shared" si="663"/>
        <v>low acid</v>
      </c>
    </row>
    <row r="1286" spans="1:79">
      <c r="A1286" t="s">
        <v>79</v>
      </c>
      <c r="B1286" t="s">
        <v>565</v>
      </c>
      <c r="C1286" t="s">
        <v>563</v>
      </c>
      <c r="D1286" t="s">
        <v>76</v>
      </c>
      <c r="E1286" t="s">
        <v>77</v>
      </c>
      <c r="F1286" t="s">
        <v>32</v>
      </c>
      <c r="G1286">
        <v>4</v>
      </c>
      <c r="H1286">
        <f>30</f>
        <v>30</v>
      </c>
      <c r="I1286" t="b">
        <v>0</v>
      </c>
      <c r="J1286" t="s">
        <v>33</v>
      </c>
      <c r="K1286" t="s">
        <v>33</v>
      </c>
      <c r="L1286">
        <v>20</v>
      </c>
      <c r="M1286" s="4">
        <v>1000</v>
      </c>
      <c r="N1286" s="3">
        <f>IFERROR(AF1286/((T1286*X1286/Y1286)*O1286*AI1286),"NA")</f>
        <v>806.25604403189095</v>
      </c>
      <c r="O1286">
        <v>8</v>
      </c>
      <c r="P1286" t="s">
        <v>33</v>
      </c>
      <c r="Q1286" s="8">
        <f>IFERROR(X1286/Z1286, "NA")</f>
        <v>8.7500000000000002E-4</v>
      </c>
      <c r="R1286" t="s">
        <v>183</v>
      </c>
      <c r="S1286" t="s">
        <v>612</v>
      </c>
      <c r="T1286" s="11">
        <v>1</v>
      </c>
      <c r="U1286">
        <f>4.7</f>
        <v>4.7</v>
      </c>
      <c r="V1286">
        <v>3.5</v>
      </c>
      <c r="W1286" t="s">
        <v>33</v>
      </c>
      <c r="X1286" s="8">
        <f>IFERROR(((PI())*(((V1286*10^-1)/2)^2)*(U1286*10^-1)), "NA")</f>
        <v>4.5219299257608099E-2</v>
      </c>
      <c r="Y1286" s="6">
        <f>2.5*1000/60</f>
        <v>41.666666666666664</v>
      </c>
      <c r="Z1286" s="3">
        <f>IFERROR(X1286*M1286*O1286*T1286*AI1286/AF1286, "NA")</f>
        <v>51.679199151552112</v>
      </c>
      <c r="AA1286" t="s">
        <v>33</v>
      </c>
      <c r="AB1286" s="6">
        <f>IFERROR(((X1286*M1286)/Z1286), "NA")</f>
        <v>0.875</v>
      </c>
      <c r="AC1286" t="str">
        <f t="shared" si="655"/>
        <v>NA</v>
      </c>
      <c r="AD1286" s="4">
        <f>IFERROR(AB1286*T1286*AI1286, "NA")</f>
        <v>0.875</v>
      </c>
      <c r="AE1286">
        <f t="shared" si="656"/>
        <v>15.4</v>
      </c>
      <c r="AF1286">
        <v>7</v>
      </c>
      <c r="AG1286" t="str">
        <f>IFERROR((M1286*O1286*P1286), "NA")</f>
        <v>NA</v>
      </c>
      <c r="AH1286" t="str">
        <f>IFERROR((AG1286*T1286*AI1286), "NA")</f>
        <v>NA</v>
      </c>
      <c r="AI1286" s="11">
        <v>1</v>
      </c>
      <c r="AJ1286" t="s">
        <v>31</v>
      </c>
      <c r="AK1286">
        <v>5500</v>
      </c>
      <c r="AL1286" t="s">
        <v>540</v>
      </c>
      <c r="AM1286" t="s">
        <v>157</v>
      </c>
      <c r="AN1286" t="s">
        <v>186</v>
      </c>
      <c r="AO1286" t="s">
        <v>792</v>
      </c>
      <c r="AP1286" s="3">
        <f>(6.53+6.6)/2</f>
        <v>6.5649999999999995</v>
      </c>
      <c r="AQ1286" t="s">
        <v>33</v>
      </c>
      <c r="AR1286" t="s">
        <v>33</v>
      </c>
      <c r="AS1286">
        <v>8</v>
      </c>
      <c r="AT1286" s="3">
        <f>IFERROR(AS1286-AU1286,"NA")</f>
        <v>6.33</v>
      </c>
      <c r="AU1286" s="6">
        <v>1.67</v>
      </c>
      <c r="AV1286" t="b">
        <v>1</v>
      </c>
      <c r="AW1286" t="s">
        <v>29</v>
      </c>
      <c r="AX1286" t="s">
        <v>30</v>
      </c>
      <c r="AY1286" t="s">
        <v>216</v>
      </c>
      <c r="AZ1286" t="s">
        <v>33</v>
      </c>
      <c r="BA1286" s="18" t="s">
        <v>798</v>
      </c>
      <c r="BB1286" t="b">
        <v>0</v>
      </c>
      <c r="BC1286" t="s">
        <v>81</v>
      </c>
      <c r="BD1286">
        <v>24</v>
      </c>
      <c r="BE1286" t="s">
        <v>80</v>
      </c>
      <c r="BF1286" s="11">
        <v>24</v>
      </c>
      <c r="BG1286" t="s">
        <v>572</v>
      </c>
      <c r="BH1286" t="s">
        <v>31</v>
      </c>
      <c r="BI1286" t="s">
        <v>31</v>
      </c>
      <c r="BJ1286" s="3">
        <f t="shared" si="652"/>
        <v>1.67</v>
      </c>
      <c r="BK1286" s="3">
        <f t="shared" si="648"/>
        <v>0.22271647114758325</v>
      </c>
      <c r="BL1286">
        <v>2</v>
      </c>
      <c r="BM1286" s="3">
        <f t="shared" si="661"/>
        <v>0.96480424968887979</v>
      </c>
      <c r="BN1286" t="s">
        <v>33</v>
      </c>
      <c r="BO1286" s="3">
        <f t="shared" si="662"/>
        <v>9.2215568862275461</v>
      </c>
      <c r="BP1286" t="s">
        <v>33</v>
      </c>
      <c r="BQ1286" t="s">
        <v>33</v>
      </c>
      <c r="BR1286" t="s">
        <v>33</v>
      </c>
      <c r="BS1286" t="s">
        <v>33</v>
      </c>
      <c r="BT1286" t="s">
        <v>32</v>
      </c>
      <c r="BU1286" t="s">
        <v>117</v>
      </c>
      <c r="BV1286">
        <v>2021</v>
      </c>
      <c r="BW1286" s="2" t="s">
        <v>82</v>
      </c>
      <c r="BX1286" t="s">
        <v>78</v>
      </c>
      <c r="BY1286" t="s">
        <v>90</v>
      </c>
      <c r="CA1286" t="str">
        <f t="shared" si="663"/>
        <v>low acid</v>
      </c>
    </row>
    <row r="1287" spans="1:79">
      <c r="A1287" t="s">
        <v>584</v>
      </c>
      <c r="B1287" t="s">
        <v>566</v>
      </c>
      <c r="C1287" t="s">
        <v>563</v>
      </c>
      <c r="D1287" t="s">
        <v>607</v>
      </c>
      <c r="E1287" t="s">
        <v>77</v>
      </c>
      <c r="F1287" t="s">
        <v>33</v>
      </c>
      <c r="G1287">
        <v>20</v>
      </c>
      <c r="H1287">
        <v>35</v>
      </c>
      <c r="I1287" t="b">
        <v>0</v>
      </c>
      <c r="J1287">
        <v>1000</v>
      </c>
      <c r="K1287">
        <v>200</v>
      </c>
      <c r="L1287">
        <v>15</v>
      </c>
      <c r="M1287" s="4">
        <v>1</v>
      </c>
      <c r="N1287" t="e">
        <f>(#REF!*Y1287)/(T1287*X1287*O1287)</f>
        <v>#REF!</v>
      </c>
      <c r="O1287">
        <v>3</v>
      </c>
      <c r="P1287" t="s">
        <v>33</v>
      </c>
      <c r="Q1287" s="1">
        <f>IFERROR(X1287/Z1287, "NA")</f>
        <v>50.000000000000007</v>
      </c>
      <c r="R1287" t="s">
        <v>183</v>
      </c>
      <c r="S1287" t="s">
        <v>33</v>
      </c>
      <c r="T1287">
        <v>1</v>
      </c>
      <c r="U1287">
        <v>2.5</v>
      </c>
      <c r="V1287" t="s">
        <v>33</v>
      </c>
      <c r="W1287">
        <v>0.50249999999999995</v>
      </c>
      <c r="X1287">
        <f>W1287</f>
        <v>0.50249999999999995</v>
      </c>
      <c r="Y1287" t="s">
        <v>33</v>
      </c>
      <c r="Z1287" s="3">
        <f>IFERROR(X1287*M1287*O1287*T1287*AI1287/AF1287, "NA")</f>
        <v>1.0049999999999998E-2</v>
      </c>
      <c r="AA1287" t="s">
        <v>33</v>
      </c>
      <c r="AB1287">
        <f>IFERROR(((X1287*M1287)/Z1287), "NA")</f>
        <v>50.000000000000007</v>
      </c>
      <c r="AC1287" s="1" t="str">
        <f t="shared" si="655"/>
        <v>NA</v>
      </c>
      <c r="AE1287" s="3">
        <f t="shared" si="656"/>
        <v>33.75</v>
      </c>
      <c r="AF1287">
        <v>150</v>
      </c>
      <c r="AG1287" s="1" t="str">
        <f>IFERROR((N1287*P1287*Q1287), "NA")</f>
        <v>NA</v>
      </c>
      <c r="AH1287" s="1" t="str">
        <f>IFERROR((AG1287*U1287*AI1287), "NA")</f>
        <v>NA</v>
      </c>
      <c r="AI1287" s="1">
        <v>1</v>
      </c>
      <c r="AJ1287" s="11" t="s">
        <v>31</v>
      </c>
      <c r="AK1287">
        <v>1000</v>
      </c>
      <c r="AL1287" t="s">
        <v>614</v>
      </c>
      <c r="AM1287" s="3" t="s">
        <v>103</v>
      </c>
      <c r="AN1287" t="s">
        <v>305</v>
      </c>
      <c r="AO1287" t="s">
        <v>790</v>
      </c>
      <c r="AP1287">
        <v>3.5</v>
      </c>
      <c r="AQ1287" t="s">
        <v>33</v>
      </c>
      <c r="AR1287" t="s">
        <v>33</v>
      </c>
      <c r="AS1287">
        <v>8</v>
      </c>
      <c r="AT1287">
        <f>AS1287-AU1287</f>
        <v>6.33</v>
      </c>
      <c r="AU1287" s="6">
        <v>1.67</v>
      </c>
      <c r="AV1287" t="b">
        <v>1</v>
      </c>
      <c r="AW1287" t="s">
        <v>617</v>
      </c>
      <c r="AX1287" t="s">
        <v>33</v>
      </c>
      <c r="AY1287" t="s">
        <v>623</v>
      </c>
      <c r="AZ1287" t="s">
        <v>621</v>
      </c>
      <c r="BA1287" s="18" t="s">
        <v>802</v>
      </c>
      <c r="BB1287" s="3" t="b">
        <v>0</v>
      </c>
      <c r="BC1287" t="s">
        <v>81</v>
      </c>
      <c r="BD1287">
        <v>18</v>
      </c>
      <c r="BE1287" t="s">
        <v>80</v>
      </c>
      <c r="BF1287">
        <v>24</v>
      </c>
      <c r="BG1287" t="s">
        <v>642</v>
      </c>
      <c r="BH1287" t="s">
        <v>32</v>
      </c>
      <c r="BI1287" t="s">
        <v>31</v>
      </c>
      <c r="BJ1287">
        <f t="shared" si="652"/>
        <v>1.67</v>
      </c>
      <c r="BK1287" s="3">
        <f t="shared" si="648"/>
        <v>0.22271647114758325</v>
      </c>
      <c r="BL1287">
        <v>2</v>
      </c>
      <c r="BM1287" s="3">
        <f t="shared" si="661"/>
        <v>1.3055573060194605</v>
      </c>
      <c r="BN1287" t="s">
        <v>33</v>
      </c>
      <c r="BO1287" s="3">
        <f t="shared" si="662"/>
        <v>20.209580838323355</v>
      </c>
      <c r="BP1287" t="s">
        <v>33</v>
      </c>
      <c r="BQ1287" t="s">
        <v>33</v>
      </c>
      <c r="BR1287" t="s">
        <v>33</v>
      </c>
      <c r="BS1287" t="s">
        <v>33</v>
      </c>
      <c r="BT1287" t="s">
        <v>31</v>
      </c>
      <c r="BU1287" t="s">
        <v>255</v>
      </c>
      <c r="BV1287">
        <v>2010</v>
      </c>
      <c r="BW1287" t="s">
        <v>651</v>
      </c>
      <c r="BX1287" t="s">
        <v>78</v>
      </c>
      <c r="BY1287" s="13" t="s">
        <v>674</v>
      </c>
      <c r="CA1287" t="str">
        <f t="shared" si="663"/>
        <v>high acid</v>
      </c>
    </row>
    <row r="1288" spans="1:79">
      <c r="A1288" t="s">
        <v>592</v>
      </c>
      <c r="B1288" t="s">
        <v>566</v>
      </c>
      <c r="C1288" t="s">
        <v>563</v>
      </c>
      <c r="D1288" t="s">
        <v>607</v>
      </c>
      <c r="E1288" t="s">
        <v>77</v>
      </c>
      <c r="F1288" t="s">
        <v>32</v>
      </c>
      <c r="G1288" t="s">
        <v>33</v>
      </c>
      <c r="H1288">
        <v>35</v>
      </c>
      <c r="I1288" t="b">
        <v>0</v>
      </c>
      <c r="J1288">
        <v>30000</v>
      </c>
      <c r="K1288">
        <v>200</v>
      </c>
      <c r="L1288">
        <v>15</v>
      </c>
      <c r="M1288" s="4">
        <v>1</v>
      </c>
      <c r="N1288" t="e">
        <f>(#REF!*Y1288)/(T1288*X1288*O1288)</f>
        <v>#REF!</v>
      </c>
      <c r="O1288">
        <v>3</v>
      </c>
      <c r="P1288" t="s">
        <v>33</v>
      </c>
      <c r="Q1288" s="1">
        <f>IFERROR(X1288/Z1288, "NA")</f>
        <v>168.33333333333334</v>
      </c>
      <c r="R1288" t="s">
        <v>183</v>
      </c>
      <c r="S1288" t="s">
        <v>33</v>
      </c>
      <c r="T1288">
        <v>1</v>
      </c>
      <c r="U1288">
        <v>2.5</v>
      </c>
      <c r="V1288" t="s">
        <v>33</v>
      </c>
      <c r="W1288">
        <v>0.50249999999999995</v>
      </c>
      <c r="X1288">
        <f>W1288</f>
        <v>0.50249999999999995</v>
      </c>
      <c r="Y1288" t="s">
        <v>33</v>
      </c>
      <c r="Z1288" s="3">
        <f>IFERROR(X1288*M1288*O1288*T1288*AI1288/AF1288, "NA")</f>
        <v>2.9851485148514848E-3</v>
      </c>
      <c r="AA1288" t="s">
        <v>33</v>
      </c>
      <c r="AB1288">
        <f>IFERROR(((X1288*M1288)/Z1288), "NA")</f>
        <v>168.33333333333334</v>
      </c>
      <c r="AC1288" s="1" t="str">
        <f t="shared" si="655"/>
        <v>NA</v>
      </c>
      <c r="AE1288" s="3">
        <f t="shared" si="656"/>
        <v>113.625</v>
      </c>
      <c r="AF1288">
        <v>505</v>
      </c>
      <c r="AG1288" s="1" t="str">
        <f>IFERROR((N1288*P1288*Q1288), "NA")</f>
        <v>NA</v>
      </c>
      <c r="AH1288" s="1" t="str">
        <f>IFERROR((AG1288*U1288*AI1288), "NA")</f>
        <v>NA</v>
      </c>
      <c r="AI1288" s="1">
        <v>1</v>
      </c>
      <c r="AJ1288" s="11" t="s">
        <v>31</v>
      </c>
      <c r="AK1288">
        <v>1000</v>
      </c>
      <c r="AL1288" t="s">
        <v>614</v>
      </c>
      <c r="AM1288" s="3" t="s">
        <v>103</v>
      </c>
      <c r="AN1288" t="s">
        <v>130</v>
      </c>
      <c r="AO1288" t="s">
        <v>795</v>
      </c>
      <c r="AP1288">
        <v>7</v>
      </c>
      <c r="AQ1288" t="s">
        <v>33</v>
      </c>
      <c r="AR1288" t="s">
        <v>33</v>
      </c>
      <c r="AS1288">
        <v>8</v>
      </c>
      <c r="AT1288">
        <f>AS1288-AU1288</f>
        <v>6.33</v>
      </c>
      <c r="AU1288" s="6">
        <v>1.67</v>
      </c>
      <c r="AV1288" t="b">
        <v>1</v>
      </c>
      <c r="AW1288" t="s">
        <v>626</v>
      </c>
      <c r="AX1288" t="s">
        <v>627</v>
      </c>
      <c r="AY1288" t="s">
        <v>633</v>
      </c>
      <c r="AZ1288" t="s">
        <v>33</v>
      </c>
      <c r="BA1288" s="18" t="s">
        <v>800</v>
      </c>
      <c r="BB1288" s="3" t="b">
        <v>0</v>
      </c>
      <c r="BC1288" t="s">
        <v>81</v>
      </c>
      <c r="BD1288">
        <v>24</v>
      </c>
      <c r="BE1288" t="s">
        <v>80</v>
      </c>
      <c r="BF1288">
        <v>48</v>
      </c>
      <c r="BG1288" t="s">
        <v>569</v>
      </c>
      <c r="BH1288" t="s">
        <v>31</v>
      </c>
      <c r="BI1288" t="s">
        <v>31</v>
      </c>
      <c r="BJ1288">
        <f t="shared" si="652"/>
        <v>1.67</v>
      </c>
      <c r="BK1288" s="3">
        <f t="shared" si="648"/>
        <v>0.22271647114758325</v>
      </c>
      <c r="BL1288">
        <v>2</v>
      </c>
      <c r="BM1288" s="3">
        <f t="shared" si="661"/>
        <v>1.8327574250824405</v>
      </c>
      <c r="BN1288" t="s">
        <v>33</v>
      </c>
      <c r="BO1288" s="3">
        <f t="shared" si="662"/>
        <v>68.038922155688624</v>
      </c>
      <c r="BP1288" t="s">
        <v>33</v>
      </c>
      <c r="BQ1288" t="s">
        <v>33</v>
      </c>
      <c r="BR1288" t="s">
        <v>33</v>
      </c>
      <c r="BS1288" t="s">
        <v>33</v>
      </c>
      <c r="BT1288" t="s">
        <v>31</v>
      </c>
      <c r="BU1288" s="15" t="s">
        <v>255</v>
      </c>
      <c r="BV1288">
        <v>2010</v>
      </c>
      <c r="BW1288" t="s">
        <v>659</v>
      </c>
      <c r="BX1288" t="s">
        <v>78</v>
      </c>
      <c r="BY1288" s="13" t="s">
        <v>680</v>
      </c>
      <c r="CA1288" t="str">
        <f t="shared" si="663"/>
        <v>low acid</v>
      </c>
    </row>
    <row r="1289" spans="1:79">
      <c r="A1289" t="s">
        <v>764</v>
      </c>
      <c r="B1289" t="s">
        <v>565</v>
      </c>
      <c r="C1289" t="s">
        <v>563</v>
      </c>
      <c r="D1289" t="s">
        <v>765</v>
      </c>
      <c r="E1289" t="s">
        <v>77</v>
      </c>
      <c r="F1289" t="s">
        <v>31</v>
      </c>
      <c r="G1289">
        <v>20</v>
      </c>
      <c r="H1289">
        <v>49</v>
      </c>
      <c r="I1289" t="b">
        <v>0</v>
      </c>
      <c r="J1289" t="s">
        <v>33</v>
      </c>
      <c r="K1289" t="s">
        <v>33</v>
      </c>
      <c r="L1289">
        <v>8</v>
      </c>
      <c r="M1289" s="4">
        <f>N1289</f>
        <v>472.22222222222223</v>
      </c>
      <c r="N1289" s="3">
        <f t="shared" ref="N1289:N1296" si="664">IFERROR(AF1289/((T1289*X1289/Y1289)*O1289*AI1289),"NA")</f>
        <v>472.22222222222223</v>
      </c>
      <c r="O1289">
        <v>3</v>
      </c>
      <c r="P1289">
        <v>5.4399999999999997E-2</v>
      </c>
      <c r="Q1289" s="8">
        <f>IFERROR(X1289/Y1289, "NA")</f>
        <v>5.3999999999999999E-2</v>
      </c>
      <c r="R1289" t="s">
        <v>183</v>
      </c>
      <c r="S1289" t="s">
        <v>33</v>
      </c>
      <c r="T1289" s="11">
        <v>1</v>
      </c>
      <c r="U1289" t="s">
        <v>33</v>
      </c>
      <c r="V1289" t="s">
        <v>33</v>
      </c>
      <c r="W1289">
        <v>4.4999999999999997E-3</v>
      </c>
      <c r="X1289">
        <f>W1289</f>
        <v>4.4999999999999997E-3</v>
      </c>
      <c r="Y1289" s="6">
        <f>5/60</f>
        <v>8.3333333333333329E-2</v>
      </c>
      <c r="Z1289" s="6">
        <f>Y1289</f>
        <v>8.3333333333333329E-2</v>
      </c>
      <c r="AA1289" t="s">
        <v>33</v>
      </c>
      <c r="AB1289" s="4">
        <f>IFERROR(((X1289*M1289)/Y1289), "NA")</f>
        <v>25.5</v>
      </c>
      <c r="AC1289" s="4">
        <f t="shared" si="655"/>
        <v>25.688888888888886</v>
      </c>
      <c r="AD1289" s="4">
        <f>AB1289*T1289*AI1289</f>
        <v>25.5</v>
      </c>
      <c r="AE1289" s="3">
        <f t="shared" si="656"/>
        <v>48.96</v>
      </c>
      <c r="AF1289">
        <v>76.5</v>
      </c>
      <c r="AG1289" s="4">
        <f t="shared" ref="AG1289:AG1296" si="665">IFERROR((M1289*O1289*P1289), "NA")</f>
        <v>77.066666666666663</v>
      </c>
      <c r="AH1289" s="4">
        <f t="shared" ref="AH1289:AH1296" si="666">IFERROR((AG1289*T1289*AI1289), "NA")</f>
        <v>77.066666666666663</v>
      </c>
      <c r="AI1289">
        <v>1</v>
      </c>
      <c r="AJ1289" s="11" t="s">
        <v>31</v>
      </c>
      <c r="AK1289">
        <v>10000</v>
      </c>
      <c r="AL1289" t="s">
        <v>169</v>
      </c>
      <c r="AM1289" t="s">
        <v>103</v>
      </c>
      <c r="AN1289" t="s">
        <v>130</v>
      </c>
      <c r="AO1289" t="s">
        <v>795</v>
      </c>
      <c r="AP1289">
        <v>7.2</v>
      </c>
      <c r="AQ1289" t="s">
        <v>33</v>
      </c>
      <c r="AR1289" t="s">
        <v>33</v>
      </c>
      <c r="AS1289">
        <v>7</v>
      </c>
      <c r="AT1289" s="3">
        <f t="shared" ref="AT1289:AT1296" si="667">IFERROR(AS1289-AU1289,"NA")</f>
        <v>6.3369999999999997</v>
      </c>
      <c r="AU1289" s="6">
        <v>0.66300000000000003</v>
      </c>
      <c r="AV1289" t="b">
        <v>1</v>
      </c>
      <c r="AW1289" t="s">
        <v>29</v>
      </c>
      <c r="AX1289" t="s">
        <v>30</v>
      </c>
      <c r="AY1289" t="s">
        <v>766</v>
      </c>
      <c r="AZ1289" t="s">
        <v>33</v>
      </c>
      <c r="BA1289" s="18" t="s">
        <v>798</v>
      </c>
      <c r="BB1289" s="3" t="b">
        <v>0</v>
      </c>
      <c r="BC1289" t="s">
        <v>81</v>
      </c>
      <c r="BD1289">
        <v>16</v>
      </c>
      <c r="BE1289" t="s">
        <v>80</v>
      </c>
      <c r="BF1289">
        <v>24</v>
      </c>
      <c r="BG1289" t="s">
        <v>569</v>
      </c>
      <c r="BH1289" t="s">
        <v>31</v>
      </c>
      <c r="BI1289" t="s">
        <v>31</v>
      </c>
      <c r="BJ1289" s="3">
        <f t="shared" si="652"/>
        <v>0.66300000000000003</v>
      </c>
      <c r="BK1289" s="3">
        <f t="shared" si="648"/>
        <v>-0.17848647159522685</v>
      </c>
      <c r="BL1289">
        <v>2</v>
      </c>
      <c r="BM1289" s="3">
        <f t="shared" si="661"/>
        <v>1.8683278807327317</v>
      </c>
      <c r="BN1289" t="s">
        <v>33</v>
      </c>
      <c r="BO1289" s="3">
        <f t="shared" si="662"/>
        <v>73.84615384615384</v>
      </c>
      <c r="BP1289" t="s">
        <v>33</v>
      </c>
      <c r="BQ1289" t="s">
        <v>33</v>
      </c>
      <c r="BR1289" t="s">
        <v>33</v>
      </c>
      <c r="BS1289" t="s">
        <v>33</v>
      </c>
      <c r="BT1289" t="s">
        <v>31</v>
      </c>
      <c r="BU1289" t="s">
        <v>767</v>
      </c>
      <c r="BV1289">
        <v>2021</v>
      </c>
      <c r="BW1289" t="s">
        <v>768</v>
      </c>
      <c r="BX1289" t="s">
        <v>78</v>
      </c>
      <c r="BY1289" t="s">
        <v>769</v>
      </c>
      <c r="CA1289" t="str">
        <f t="shared" si="663"/>
        <v>low acid</v>
      </c>
    </row>
    <row r="1290" spans="1:79">
      <c r="A1290" t="s">
        <v>764</v>
      </c>
      <c r="B1290" t="s">
        <v>565</v>
      </c>
      <c r="C1290" t="s">
        <v>563</v>
      </c>
      <c r="D1290" t="s">
        <v>765</v>
      </c>
      <c r="E1290" t="s">
        <v>77</v>
      </c>
      <c r="F1290" t="s">
        <v>31</v>
      </c>
      <c r="G1290">
        <v>23</v>
      </c>
      <c r="H1290">
        <v>52</v>
      </c>
      <c r="I1290" t="b">
        <v>0</v>
      </c>
      <c r="J1290" t="s">
        <v>33</v>
      </c>
      <c r="K1290" t="s">
        <v>33</v>
      </c>
      <c r="L1290">
        <v>20</v>
      </c>
      <c r="M1290" s="4">
        <f>N1290</f>
        <v>390.12345679012344</v>
      </c>
      <c r="N1290" s="3">
        <f t="shared" si="664"/>
        <v>390.12345679012344</v>
      </c>
      <c r="O1290">
        <v>3</v>
      </c>
      <c r="P1290">
        <v>5.4399999999999997E-2</v>
      </c>
      <c r="Q1290" s="8">
        <f>IFERROR(X1290/Y1290, "NA")</f>
        <v>5.3999999999999999E-2</v>
      </c>
      <c r="R1290" t="s">
        <v>183</v>
      </c>
      <c r="S1290" t="s">
        <v>33</v>
      </c>
      <c r="T1290" s="11">
        <v>1</v>
      </c>
      <c r="U1290" t="s">
        <v>33</v>
      </c>
      <c r="V1290" t="s">
        <v>33</v>
      </c>
      <c r="W1290">
        <v>4.4999999999999997E-3</v>
      </c>
      <c r="X1290">
        <f>W1290</f>
        <v>4.4999999999999997E-3</v>
      </c>
      <c r="Y1290" s="6">
        <f>5/60</f>
        <v>8.3333333333333329E-2</v>
      </c>
      <c r="Z1290" s="6">
        <f>Y1290</f>
        <v>8.3333333333333329E-2</v>
      </c>
      <c r="AA1290" t="s">
        <v>33</v>
      </c>
      <c r="AB1290" s="4">
        <f>IFERROR(((X1290*M1290)/Y1290), "NA")</f>
        <v>21.066666666666666</v>
      </c>
      <c r="AC1290" s="4">
        <f t="shared" si="655"/>
        <v>21.222716049382715</v>
      </c>
      <c r="AD1290" s="4">
        <f>AB1290*T1290*AI1290</f>
        <v>21.066666666666666</v>
      </c>
      <c r="AE1290" s="3">
        <f t="shared" si="656"/>
        <v>75.839999999999989</v>
      </c>
      <c r="AF1290">
        <v>63.2</v>
      </c>
      <c r="AG1290" s="4">
        <f t="shared" si="665"/>
        <v>63.668148148148148</v>
      </c>
      <c r="AH1290" s="4">
        <f t="shared" si="666"/>
        <v>63.668148148148148</v>
      </c>
      <c r="AI1290">
        <v>1</v>
      </c>
      <c r="AJ1290" s="11" t="s">
        <v>31</v>
      </c>
      <c r="AK1290">
        <v>3000</v>
      </c>
      <c r="AL1290" t="s">
        <v>169</v>
      </c>
      <c r="AM1290" t="s">
        <v>103</v>
      </c>
      <c r="AN1290" t="s">
        <v>130</v>
      </c>
      <c r="AO1290" t="s">
        <v>795</v>
      </c>
      <c r="AP1290">
        <v>7.3</v>
      </c>
      <c r="AQ1290" t="s">
        <v>33</v>
      </c>
      <c r="AR1290" t="s">
        <v>33</v>
      </c>
      <c r="AS1290">
        <v>7</v>
      </c>
      <c r="AT1290" s="3">
        <f t="shared" si="667"/>
        <v>6.3390000000000004</v>
      </c>
      <c r="AU1290" s="6">
        <v>0.66100000000000003</v>
      </c>
      <c r="AV1290" t="b">
        <v>1</v>
      </c>
      <c r="AW1290" t="s">
        <v>29</v>
      </c>
      <c r="AX1290" t="s">
        <v>30</v>
      </c>
      <c r="AY1290" t="s">
        <v>766</v>
      </c>
      <c r="AZ1290" t="s">
        <v>33</v>
      </c>
      <c r="BA1290" s="18" t="s">
        <v>798</v>
      </c>
      <c r="BB1290" s="3" t="b">
        <v>0</v>
      </c>
      <c r="BC1290" t="s">
        <v>81</v>
      </c>
      <c r="BD1290">
        <v>16</v>
      </c>
      <c r="BE1290" t="s">
        <v>80</v>
      </c>
      <c r="BF1290">
        <v>24</v>
      </c>
      <c r="BG1290" t="s">
        <v>569</v>
      </c>
      <c r="BH1290" t="s">
        <v>31</v>
      </c>
      <c r="BI1290" t="s">
        <v>31</v>
      </c>
      <c r="BJ1290" s="3">
        <f t="shared" si="652"/>
        <v>0.66100000000000003</v>
      </c>
      <c r="BK1290" s="3">
        <f t="shared" si="648"/>
        <v>-0.17979854051435976</v>
      </c>
      <c r="BL1290">
        <v>2</v>
      </c>
      <c r="BM1290" s="3">
        <f t="shared" si="661"/>
        <v>2.0596968648443696</v>
      </c>
      <c r="BN1290" t="s">
        <v>33</v>
      </c>
      <c r="BO1290" s="3">
        <f t="shared" si="662"/>
        <v>114.73524962178516</v>
      </c>
      <c r="BP1290" t="s">
        <v>33</v>
      </c>
      <c r="BQ1290" t="s">
        <v>33</v>
      </c>
      <c r="BR1290" t="s">
        <v>33</v>
      </c>
      <c r="BS1290" t="s">
        <v>33</v>
      </c>
      <c r="BT1290" t="s">
        <v>31</v>
      </c>
      <c r="BU1290" t="s">
        <v>767</v>
      </c>
      <c r="BV1290">
        <v>2021</v>
      </c>
      <c r="BW1290" t="s">
        <v>768</v>
      </c>
      <c r="BX1290" t="s">
        <v>78</v>
      </c>
      <c r="BY1290" t="s">
        <v>769</v>
      </c>
      <c r="CA1290" t="str">
        <f t="shared" si="663"/>
        <v>low acid</v>
      </c>
    </row>
    <row r="1291" spans="1:79">
      <c r="A1291" t="s">
        <v>79</v>
      </c>
      <c r="B1291" t="s">
        <v>565</v>
      </c>
      <c r="C1291" t="s">
        <v>563</v>
      </c>
      <c r="D1291" t="s">
        <v>76</v>
      </c>
      <c r="E1291" t="s">
        <v>77</v>
      </c>
      <c r="F1291" t="s">
        <v>32</v>
      </c>
      <c r="G1291">
        <v>4</v>
      </c>
      <c r="H1291">
        <f>30</f>
        <v>30</v>
      </c>
      <c r="I1291" t="b">
        <v>0</v>
      </c>
      <c r="J1291" t="s">
        <v>33</v>
      </c>
      <c r="K1291" t="s">
        <v>33</v>
      </c>
      <c r="L1291">
        <v>20</v>
      </c>
      <c r="M1291" s="4">
        <v>1000</v>
      </c>
      <c r="N1291" s="3">
        <f t="shared" si="664"/>
        <v>575.8971743084935</v>
      </c>
      <c r="O1291">
        <v>8</v>
      </c>
      <c r="P1291" t="s">
        <v>33</v>
      </c>
      <c r="Q1291" s="8">
        <f>IFERROR(X1291/Z1291, "NA")</f>
        <v>6.249999999999999E-4</v>
      </c>
      <c r="R1291" t="s">
        <v>183</v>
      </c>
      <c r="S1291" t="s">
        <v>612</v>
      </c>
      <c r="T1291" s="11">
        <v>1</v>
      </c>
      <c r="U1291">
        <f>4.7</f>
        <v>4.7</v>
      </c>
      <c r="V1291">
        <v>3.5</v>
      </c>
      <c r="W1291" t="s">
        <v>33</v>
      </c>
      <c r="X1291" s="8">
        <f>IFERROR(((PI())*(((V1291*10^-1)/2)^2)*(U1291*10^-1)), "NA")</f>
        <v>4.5219299257608099E-2</v>
      </c>
      <c r="Y1291" s="6">
        <f>2.5*1000/60</f>
        <v>41.666666666666664</v>
      </c>
      <c r="Z1291" s="3">
        <f>IFERROR(X1291*M1291*O1291*T1291*AI1291/AF1291, "NA")</f>
        <v>72.350878812172965</v>
      </c>
      <c r="AA1291" t="s">
        <v>33</v>
      </c>
      <c r="AB1291" s="6">
        <f>IFERROR(((X1291*M1291)/Z1291), "NA")</f>
        <v>0.625</v>
      </c>
      <c r="AC1291" t="str">
        <f t="shared" si="655"/>
        <v>NA</v>
      </c>
      <c r="AD1291" s="4">
        <f>IFERROR(AB1291*T1291*AI1291, "NA")</f>
        <v>0.625</v>
      </c>
      <c r="AE1291">
        <f t="shared" si="656"/>
        <v>10.999999999999998</v>
      </c>
      <c r="AF1291">
        <v>5</v>
      </c>
      <c r="AG1291" t="str">
        <f t="shared" si="665"/>
        <v>NA</v>
      </c>
      <c r="AH1291" t="str">
        <f t="shared" si="666"/>
        <v>NA</v>
      </c>
      <c r="AI1291" s="11">
        <v>1</v>
      </c>
      <c r="AJ1291" t="s">
        <v>31</v>
      </c>
      <c r="AK1291">
        <v>5500</v>
      </c>
      <c r="AL1291" t="s">
        <v>540</v>
      </c>
      <c r="AM1291" t="s">
        <v>157</v>
      </c>
      <c r="AN1291" t="s">
        <v>186</v>
      </c>
      <c r="AO1291" t="s">
        <v>792</v>
      </c>
      <c r="AP1291" s="3">
        <f>(6.53+6.6)/2</f>
        <v>6.5649999999999995</v>
      </c>
      <c r="AQ1291" t="s">
        <v>33</v>
      </c>
      <c r="AR1291" t="s">
        <v>33</v>
      </c>
      <c r="AS1291">
        <v>8</v>
      </c>
      <c r="AT1291" s="3">
        <f t="shared" si="667"/>
        <v>6.34</v>
      </c>
      <c r="AU1291" s="6">
        <v>1.66</v>
      </c>
      <c r="AV1291" t="b">
        <v>1</v>
      </c>
      <c r="AW1291" t="s">
        <v>29</v>
      </c>
      <c r="AX1291" t="s">
        <v>30</v>
      </c>
      <c r="AY1291" t="s">
        <v>216</v>
      </c>
      <c r="AZ1291" t="s">
        <v>33</v>
      </c>
      <c r="BA1291" s="18" t="s">
        <v>798</v>
      </c>
      <c r="BB1291" t="b">
        <v>0</v>
      </c>
      <c r="BC1291" t="s">
        <v>81</v>
      </c>
      <c r="BD1291">
        <v>24</v>
      </c>
      <c r="BE1291" t="s">
        <v>80</v>
      </c>
      <c r="BF1291" s="11">
        <v>24</v>
      </c>
      <c r="BG1291" t="s">
        <v>572</v>
      </c>
      <c r="BH1291" t="s">
        <v>31</v>
      </c>
      <c r="BI1291" t="s">
        <v>31</v>
      </c>
      <c r="BJ1291" s="3">
        <f t="shared" si="652"/>
        <v>1.66</v>
      </c>
      <c r="BK1291" s="3">
        <f t="shared" si="648"/>
        <v>0.22010808804005508</v>
      </c>
      <c r="BL1291">
        <v>2</v>
      </c>
      <c r="BM1291" s="3">
        <f t="shared" si="661"/>
        <v>0.82128459711816992</v>
      </c>
      <c r="BN1291" t="s">
        <v>33</v>
      </c>
      <c r="BO1291" s="3">
        <f t="shared" si="662"/>
        <v>6.6265060240963845</v>
      </c>
      <c r="BP1291" t="s">
        <v>33</v>
      </c>
      <c r="BQ1291" t="s">
        <v>33</v>
      </c>
      <c r="BR1291" t="s">
        <v>33</v>
      </c>
      <c r="BS1291" t="s">
        <v>33</v>
      </c>
      <c r="BT1291" t="s">
        <v>32</v>
      </c>
      <c r="BU1291" t="s">
        <v>117</v>
      </c>
      <c r="BV1291">
        <v>2021</v>
      </c>
      <c r="BW1291" s="2" t="s">
        <v>82</v>
      </c>
      <c r="BX1291" t="s">
        <v>78</v>
      </c>
      <c r="BY1291" t="s">
        <v>90</v>
      </c>
      <c r="CA1291" t="str">
        <f t="shared" si="663"/>
        <v>low acid</v>
      </c>
    </row>
    <row r="1292" spans="1:79">
      <c r="A1292" t="s">
        <v>537</v>
      </c>
      <c r="B1292" t="s">
        <v>565</v>
      </c>
      <c r="C1292" t="s">
        <v>563</v>
      </c>
      <c r="D1292" t="s">
        <v>118</v>
      </c>
      <c r="E1292" t="s">
        <v>77</v>
      </c>
      <c r="F1292" t="s">
        <v>32</v>
      </c>
      <c r="G1292">
        <v>5</v>
      </c>
      <c r="H1292">
        <v>50</v>
      </c>
      <c r="I1292" t="b">
        <v>0</v>
      </c>
      <c r="J1292" t="s">
        <v>33</v>
      </c>
      <c r="K1292" t="s">
        <v>33</v>
      </c>
      <c r="L1292">
        <v>25</v>
      </c>
      <c r="M1292" s="4">
        <v>1000</v>
      </c>
      <c r="N1292" s="3">
        <f t="shared" si="664"/>
        <v>1002.8666861493093</v>
      </c>
      <c r="O1292">
        <v>2</v>
      </c>
      <c r="P1292" t="s">
        <v>33</v>
      </c>
      <c r="Q1292" s="8">
        <f>IFERROR(X1292/Z1292, "NA")</f>
        <v>1.2083333333333333E-2</v>
      </c>
      <c r="R1292" t="s">
        <v>183</v>
      </c>
      <c r="S1292" t="s">
        <v>613</v>
      </c>
      <c r="T1292" s="11">
        <v>6</v>
      </c>
      <c r="U1292">
        <v>2.9</v>
      </c>
      <c r="V1292">
        <v>2.2999999999999998</v>
      </c>
      <c r="W1292" t="s">
        <v>33</v>
      </c>
      <c r="X1292" s="8">
        <f>IFERROR(((PI())*(((V1292*10^-1)/2)^2)*(U1292*10^-1)), "NA")</f>
        <v>1.204879322468025E-2</v>
      </c>
      <c r="Y1292" s="6">
        <f>60/60</f>
        <v>1</v>
      </c>
      <c r="Z1292" s="3">
        <f>IFERROR(X1292*M1292*O1292*T1292*AI1292/AF1292, "NA")</f>
        <v>0.99714150824940007</v>
      </c>
      <c r="AA1292" t="s">
        <v>33</v>
      </c>
      <c r="AB1292" s="6">
        <f>IFERROR(((X1292*M1292)/Z1292), "NA")</f>
        <v>12.083333333333334</v>
      </c>
      <c r="AC1292" t="str">
        <f t="shared" si="655"/>
        <v>NA</v>
      </c>
      <c r="AD1292" s="4">
        <f>IFERROR(AB1292*T1292*AI1292, "NA")</f>
        <v>72.5</v>
      </c>
      <c r="AE1292" s="3">
        <f t="shared" si="656"/>
        <v>145.72499999999999</v>
      </c>
      <c r="AF1292">
        <v>145</v>
      </c>
      <c r="AG1292" t="str">
        <f t="shared" si="665"/>
        <v>NA</v>
      </c>
      <c r="AH1292" t="str">
        <f t="shared" si="666"/>
        <v>NA</v>
      </c>
      <c r="AI1292" s="11">
        <v>1</v>
      </c>
      <c r="AJ1292" t="s">
        <v>31</v>
      </c>
      <c r="AK1292">
        <v>1608</v>
      </c>
      <c r="AL1292" t="s">
        <v>149</v>
      </c>
      <c r="AM1292" t="s">
        <v>86</v>
      </c>
      <c r="AN1292" t="s">
        <v>205</v>
      </c>
      <c r="AO1292" t="s">
        <v>789</v>
      </c>
      <c r="AP1292">
        <v>3.41</v>
      </c>
      <c r="AQ1292" t="s">
        <v>33</v>
      </c>
      <c r="AR1292" t="s">
        <v>33</v>
      </c>
      <c r="AS1292" s="3">
        <v>9</v>
      </c>
      <c r="AT1292" s="3">
        <f t="shared" si="667"/>
        <v>6.35</v>
      </c>
      <c r="AU1292" s="6">
        <v>2.65</v>
      </c>
      <c r="AV1292" t="b">
        <v>1</v>
      </c>
      <c r="AW1292" t="s">
        <v>29</v>
      </c>
      <c r="AX1292" t="s">
        <v>30</v>
      </c>
      <c r="AY1292" t="s">
        <v>33</v>
      </c>
      <c r="AZ1292" t="s">
        <v>134</v>
      </c>
      <c r="BA1292" s="18" t="s">
        <v>798</v>
      </c>
      <c r="BB1292" t="b">
        <v>0</v>
      </c>
      <c r="BC1292" t="s">
        <v>81</v>
      </c>
      <c r="BD1292">
        <f>18</f>
        <v>18</v>
      </c>
      <c r="BE1292" t="s">
        <v>80</v>
      </c>
      <c r="BF1292" s="11">
        <v>24</v>
      </c>
      <c r="BG1292" t="s">
        <v>262</v>
      </c>
      <c r="BH1292" t="s">
        <v>31</v>
      </c>
      <c r="BI1292" t="s">
        <v>31</v>
      </c>
      <c r="BJ1292" s="3">
        <f t="shared" si="652"/>
        <v>2.65</v>
      </c>
      <c r="BK1292" s="3">
        <f t="shared" si="648"/>
        <v>0.42324587393680785</v>
      </c>
      <c r="BL1292">
        <v>2</v>
      </c>
      <c r="BM1292" s="3">
        <f t="shared" si="661"/>
        <v>1.7402881900546747</v>
      </c>
      <c r="BN1292" t="s">
        <v>33</v>
      </c>
      <c r="BO1292" s="3">
        <f t="shared" si="662"/>
        <v>54.990566037735846</v>
      </c>
      <c r="BP1292" t="s">
        <v>33</v>
      </c>
      <c r="BQ1292" t="s">
        <v>33</v>
      </c>
      <c r="BR1292" t="s">
        <v>33</v>
      </c>
      <c r="BS1292" t="s">
        <v>33</v>
      </c>
      <c r="BT1292" t="s">
        <v>31</v>
      </c>
      <c r="BU1292" t="s">
        <v>190</v>
      </c>
      <c r="BV1292">
        <v>2021</v>
      </c>
      <c r="BW1292" s="5" t="s">
        <v>191</v>
      </c>
      <c r="BX1292" t="s">
        <v>78</v>
      </c>
      <c r="BY1292" t="s">
        <v>33</v>
      </c>
      <c r="BZ1292" t="s">
        <v>150</v>
      </c>
      <c r="CA1292" t="str">
        <f t="shared" si="663"/>
        <v>high acid</v>
      </c>
    </row>
    <row r="1293" spans="1:79">
      <c r="A1293" t="s">
        <v>341</v>
      </c>
      <c r="B1293" t="s">
        <v>566</v>
      </c>
      <c r="C1293" t="s">
        <v>563</v>
      </c>
      <c r="D1293" t="s">
        <v>336</v>
      </c>
      <c r="E1293" t="s">
        <v>77</v>
      </c>
      <c r="F1293" t="s">
        <v>32</v>
      </c>
      <c r="G1293">
        <v>30</v>
      </c>
      <c r="H1293">
        <v>33</v>
      </c>
      <c r="I1293" t="b">
        <v>0</v>
      </c>
      <c r="J1293" t="s">
        <v>33</v>
      </c>
      <c r="K1293" t="s">
        <v>33</v>
      </c>
      <c r="L1293">
        <v>30</v>
      </c>
      <c r="M1293" s="4">
        <v>2</v>
      </c>
      <c r="N1293" s="3">
        <f t="shared" si="664"/>
        <v>2.1126760563380285</v>
      </c>
      <c r="O1293">
        <v>2</v>
      </c>
      <c r="P1293" t="s">
        <v>33</v>
      </c>
      <c r="Q1293" s="8">
        <f>IFERROR(X1293/Z1293, "NA")</f>
        <v>7.5</v>
      </c>
      <c r="R1293" t="s">
        <v>183</v>
      </c>
      <c r="S1293" t="s">
        <v>613</v>
      </c>
      <c r="T1293" s="11">
        <v>1</v>
      </c>
      <c r="U1293">
        <v>5</v>
      </c>
      <c r="V1293" t="s">
        <v>33</v>
      </c>
      <c r="W1293">
        <v>0.71</v>
      </c>
      <c r="X1293" s="8">
        <f>W1293</f>
        <v>0.71</v>
      </c>
      <c r="Y1293">
        <f>6/60</f>
        <v>0.1</v>
      </c>
      <c r="Z1293" s="3">
        <f>IFERROR(X1293*M1293*O1293*T1293*AI1293/AF1293, "NA")</f>
        <v>9.4666666666666663E-2</v>
      </c>
      <c r="AA1293">
        <v>15</v>
      </c>
      <c r="AB1293" s="6">
        <f>IFERROR(((X1293*M1293)/Z1293), "NA")</f>
        <v>15</v>
      </c>
      <c r="AC1293" t="str">
        <f t="shared" si="655"/>
        <v>NA</v>
      </c>
      <c r="AD1293" s="4">
        <f>AB1293*T1293*AI1293</f>
        <v>45</v>
      </c>
      <c r="AE1293" s="3">
        <f t="shared" si="656"/>
        <v>623.69999999999993</v>
      </c>
      <c r="AF1293">
        <f>AI1293*AA1293*O1293</f>
        <v>90</v>
      </c>
      <c r="AG1293" t="str">
        <f t="shared" si="665"/>
        <v>NA</v>
      </c>
      <c r="AH1293" t="str">
        <f t="shared" si="666"/>
        <v>NA</v>
      </c>
      <c r="AI1293">
        <v>3</v>
      </c>
      <c r="AJ1293" s="11" t="s">
        <v>32</v>
      </c>
      <c r="AK1293">
        <v>7700</v>
      </c>
      <c r="AL1293" t="s">
        <v>561</v>
      </c>
      <c r="AM1293" s="3" t="s">
        <v>786</v>
      </c>
      <c r="AN1293" t="s">
        <v>186</v>
      </c>
      <c r="AO1293" t="s">
        <v>793</v>
      </c>
      <c r="AP1293" t="s">
        <v>33</v>
      </c>
      <c r="AQ1293" t="s">
        <v>33</v>
      </c>
      <c r="AR1293" t="s">
        <v>33</v>
      </c>
      <c r="AS1293" s="6">
        <f>LOG(10^8)</f>
        <v>8</v>
      </c>
      <c r="AT1293" s="3">
        <f t="shared" si="667"/>
        <v>6.351</v>
      </c>
      <c r="AU1293" s="6">
        <v>1.649</v>
      </c>
      <c r="AV1293" t="b">
        <v>1</v>
      </c>
      <c r="AW1293" t="s">
        <v>29</v>
      </c>
      <c r="AX1293" t="s">
        <v>30</v>
      </c>
      <c r="AY1293" t="s">
        <v>33</v>
      </c>
      <c r="AZ1293" t="s">
        <v>134</v>
      </c>
      <c r="BA1293" s="18" t="s">
        <v>798</v>
      </c>
      <c r="BB1293" t="b">
        <v>0</v>
      </c>
      <c r="BC1293" t="s">
        <v>81</v>
      </c>
      <c r="BD1293">
        <v>18</v>
      </c>
      <c r="BE1293" t="s">
        <v>80</v>
      </c>
      <c r="BF1293" s="11">
        <v>24</v>
      </c>
      <c r="BG1293" t="s">
        <v>694</v>
      </c>
      <c r="BH1293" t="s">
        <v>31</v>
      </c>
      <c r="BI1293" t="s">
        <v>31</v>
      </c>
      <c r="BJ1293" s="3">
        <f t="shared" si="652"/>
        <v>1.649</v>
      </c>
      <c r="BK1293" s="3">
        <f t="shared" si="648"/>
        <v>0.21722065564451878</v>
      </c>
      <c r="BL1293">
        <v>2</v>
      </c>
      <c r="BM1293" s="3">
        <f t="shared" si="661"/>
        <v>2.5777550884066129</v>
      </c>
      <c r="BN1293" t="s">
        <v>33</v>
      </c>
      <c r="BO1293" s="3">
        <f t="shared" si="662"/>
        <v>378.22922983626438</v>
      </c>
      <c r="BP1293" t="s">
        <v>33</v>
      </c>
      <c r="BQ1293" t="s">
        <v>33</v>
      </c>
      <c r="BR1293" t="s">
        <v>33</v>
      </c>
      <c r="BS1293" t="s">
        <v>33</v>
      </c>
      <c r="BT1293" t="s">
        <v>31</v>
      </c>
      <c r="BU1293" t="s">
        <v>338</v>
      </c>
      <c r="BV1293">
        <v>2006</v>
      </c>
      <c r="BW1293" t="s">
        <v>339</v>
      </c>
      <c r="BX1293" t="s">
        <v>78</v>
      </c>
      <c r="BY1293" t="s">
        <v>340</v>
      </c>
      <c r="BZ1293" t="s">
        <v>337</v>
      </c>
      <c r="CA1293" t="str">
        <f t="shared" si="663"/>
        <v>low acid</v>
      </c>
    </row>
    <row r="1294" spans="1:79">
      <c r="A1294" t="s">
        <v>343</v>
      </c>
      <c r="B1294" t="s">
        <v>566</v>
      </c>
      <c r="C1294" t="s">
        <v>563</v>
      </c>
      <c r="D1294" t="s">
        <v>33</v>
      </c>
      <c r="E1294" t="s">
        <v>77</v>
      </c>
      <c r="F1294" t="s">
        <v>32</v>
      </c>
      <c r="G1294">
        <v>10</v>
      </c>
      <c r="H1294">
        <v>13</v>
      </c>
      <c r="I1294" t="b">
        <v>0</v>
      </c>
      <c r="J1294" t="s">
        <v>33</v>
      </c>
      <c r="K1294" t="s">
        <v>33</v>
      </c>
      <c r="L1294">
        <v>30</v>
      </c>
      <c r="M1294" s="4">
        <v>2</v>
      </c>
      <c r="N1294" s="3">
        <f t="shared" si="664"/>
        <v>2.1126760563380285</v>
      </c>
      <c r="O1294">
        <v>2</v>
      </c>
      <c r="P1294" t="s">
        <v>33</v>
      </c>
      <c r="Q1294" s="8">
        <f>IFERROR(X1294/Z1294, "NA")</f>
        <v>7.5</v>
      </c>
      <c r="R1294" t="s">
        <v>183</v>
      </c>
      <c r="S1294" t="s">
        <v>613</v>
      </c>
      <c r="T1294" s="11">
        <v>1</v>
      </c>
      <c r="U1294">
        <v>5</v>
      </c>
      <c r="V1294" t="s">
        <v>33</v>
      </c>
      <c r="W1294">
        <v>0.71</v>
      </c>
      <c r="X1294" s="8">
        <f>W1294</f>
        <v>0.71</v>
      </c>
      <c r="Y1294">
        <f>6/60</f>
        <v>0.1</v>
      </c>
      <c r="Z1294" s="3">
        <f>IFERROR(X1294*M1294*O1294*T1294*AI1294/AF1294, "NA")</f>
        <v>9.4666666666666663E-2</v>
      </c>
      <c r="AA1294">
        <v>15</v>
      </c>
      <c r="AB1294" s="6">
        <f>IFERROR(((X1294*M1294)/Z1294), "NA")</f>
        <v>15</v>
      </c>
      <c r="AC1294" t="str">
        <f t="shared" si="655"/>
        <v>NA</v>
      </c>
      <c r="AD1294" s="4">
        <f>AB1294*T1294*AI1294</f>
        <v>105</v>
      </c>
      <c r="AE1294" s="3">
        <f t="shared" si="656"/>
        <v>888.3</v>
      </c>
      <c r="AF1294">
        <v>210</v>
      </c>
      <c r="AG1294" t="str">
        <f t="shared" si="665"/>
        <v>NA</v>
      </c>
      <c r="AH1294" t="str">
        <f t="shared" si="666"/>
        <v>NA</v>
      </c>
      <c r="AI1294">
        <v>7</v>
      </c>
      <c r="AJ1294" s="11" t="s">
        <v>32</v>
      </c>
      <c r="AK1294">
        <v>4700</v>
      </c>
      <c r="AL1294" t="s">
        <v>562</v>
      </c>
      <c r="AM1294" s="3" t="s">
        <v>786</v>
      </c>
      <c r="AN1294" t="s">
        <v>186</v>
      </c>
      <c r="AO1294" t="s">
        <v>793</v>
      </c>
      <c r="AP1294" t="s">
        <v>33</v>
      </c>
      <c r="AQ1294" t="s">
        <v>33</v>
      </c>
      <c r="AR1294" t="s">
        <v>33</v>
      </c>
      <c r="AS1294" s="6">
        <f>LOG(10^8)</f>
        <v>8</v>
      </c>
      <c r="AT1294" s="3">
        <f t="shared" si="667"/>
        <v>6.351</v>
      </c>
      <c r="AU1294" s="6">
        <v>1.649</v>
      </c>
      <c r="AV1294" t="b">
        <v>1</v>
      </c>
      <c r="AW1294" t="s">
        <v>29</v>
      </c>
      <c r="AX1294" t="s">
        <v>30</v>
      </c>
      <c r="AY1294" t="s">
        <v>33</v>
      </c>
      <c r="AZ1294" t="s">
        <v>134</v>
      </c>
      <c r="BA1294" s="18" t="s">
        <v>798</v>
      </c>
      <c r="BB1294" t="b">
        <v>0</v>
      </c>
      <c r="BC1294" t="s">
        <v>81</v>
      </c>
      <c r="BD1294">
        <v>18</v>
      </c>
      <c r="BE1294" t="s">
        <v>80</v>
      </c>
      <c r="BF1294" s="11">
        <v>21</v>
      </c>
      <c r="BG1294" t="s">
        <v>694</v>
      </c>
      <c r="BH1294" t="s">
        <v>31</v>
      </c>
      <c r="BI1294" t="s">
        <v>31</v>
      </c>
      <c r="BJ1294" s="3">
        <f t="shared" si="652"/>
        <v>1.649</v>
      </c>
      <c r="BK1294" s="3">
        <f t="shared" si="648"/>
        <v>0.21722065564451878</v>
      </c>
      <c r="BL1294">
        <v>2</v>
      </c>
      <c r="BM1294" s="3">
        <f t="shared" si="661"/>
        <v>2.7313390064644429</v>
      </c>
      <c r="BN1294" t="s">
        <v>33</v>
      </c>
      <c r="BO1294" s="3">
        <f t="shared" si="662"/>
        <v>538.69011522134622</v>
      </c>
      <c r="BP1294" t="s">
        <v>33</v>
      </c>
      <c r="BQ1294" t="s">
        <v>33</v>
      </c>
      <c r="BR1294" t="s">
        <v>33</v>
      </c>
      <c r="BS1294" t="s">
        <v>33</v>
      </c>
      <c r="BT1294" t="s">
        <v>31</v>
      </c>
      <c r="BU1294" t="s">
        <v>338</v>
      </c>
      <c r="BV1294">
        <v>2005</v>
      </c>
      <c r="BW1294" s="2" t="s">
        <v>342</v>
      </c>
      <c r="BX1294" t="s">
        <v>78</v>
      </c>
      <c r="BY1294" t="s">
        <v>340</v>
      </c>
      <c r="BZ1294" t="s">
        <v>33</v>
      </c>
      <c r="CA1294" t="str">
        <f t="shared" si="663"/>
        <v>low acid</v>
      </c>
    </row>
    <row r="1295" spans="1:79">
      <c r="A1295" t="s">
        <v>79</v>
      </c>
      <c r="B1295" t="s">
        <v>565</v>
      </c>
      <c r="C1295" t="s">
        <v>563</v>
      </c>
      <c r="D1295" t="s">
        <v>76</v>
      </c>
      <c r="E1295" t="s">
        <v>77</v>
      </c>
      <c r="F1295" t="s">
        <v>32</v>
      </c>
      <c r="G1295">
        <v>4</v>
      </c>
      <c r="H1295">
        <f>30</f>
        <v>30</v>
      </c>
      <c r="I1295" t="b">
        <v>0</v>
      </c>
      <c r="J1295" t="s">
        <v>33</v>
      </c>
      <c r="K1295" t="s">
        <v>33</v>
      </c>
      <c r="L1295">
        <v>25</v>
      </c>
      <c r="M1295" s="4">
        <v>1000</v>
      </c>
      <c r="N1295" s="3">
        <f t="shared" si="664"/>
        <v>575.8971743084935</v>
      </c>
      <c r="O1295">
        <v>8</v>
      </c>
      <c r="P1295" t="s">
        <v>33</v>
      </c>
      <c r="Q1295" s="8">
        <f>IFERROR(X1295/Z1295, "NA")</f>
        <v>6.249999999999999E-4</v>
      </c>
      <c r="R1295" t="s">
        <v>183</v>
      </c>
      <c r="S1295" t="s">
        <v>612</v>
      </c>
      <c r="T1295" s="11">
        <v>1</v>
      </c>
      <c r="U1295">
        <f>4.7</f>
        <v>4.7</v>
      </c>
      <c r="V1295">
        <v>3.5</v>
      </c>
      <c r="W1295" t="s">
        <v>33</v>
      </c>
      <c r="X1295" s="8">
        <f>IFERROR(((PI())*(((V1295*10^-1)/2)^2)*(U1295*10^-1)), "NA")</f>
        <v>4.5219299257608099E-2</v>
      </c>
      <c r="Y1295" s="6">
        <f>2.5*1000/60</f>
        <v>41.666666666666664</v>
      </c>
      <c r="Z1295" s="3">
        <f>IFERROR(X1295*M1295*O1295*T1295*AI1295/AF1295, "NA")</f>
        <v>72.350878812172965</v>
      </c>
      <c r="AA1295" t="s">
        <v>33</v>
      </c>
      <c r="AB1295" s="6">
        <f>IFERROR(((X1295*M1295)/Z1295), "NA")</f>
        <v>0.625</v>
      </c>
      <c r="AC1295" t="str">
        <f t="shared" si="655"/>
        <v>NA</v>
      </c>
      <c r="AD1295" s="4">
        <f>IFERROR(AB1295*T1295*AI1295, "NA")</f>
        <v>0.625</v>
      </c>
      <c r="AE1295" s="3">
        <f t="shared" si="656"/>
        <v>17.187499999999996</v>
      </c>
      <c r="AF1295">
        <v>5</v>
      </c>
      <c r="AG1295" t="str">
        <f t="shared" si="665"/>
        <v>NA</v>
      </c>
      <c r="AH1295" t="str">
        <f t="shared" si="666"/>
        <v>NA</v>
      </c>
      <c r="AI1295" s="11">
        <v>1</v>
      </c>
      <c r="AJ1295" t="s">
        <v>31</v>
      </c>
      <c r="AK1295">
        <v>5500</v>
      </c>
      <c r="AL1295" t="s">
        <v>540</v>
      </c>
      <c r="AM1295" t="s">
        <v>157</v>
      </c>
      <c r="AN1295" t="s">
        <v>186</v>
      </c>
      <c r="AO1295" t="s">
        <v>792</v>
      </c>
      <c r="AP1295" s="3">
        <f>(6.53+6.6)/2</f>
        <v>6.5649999999999995</v>
      </c>
      <c r="AQ1295" t="s">
        <v>33</v>
      </c>
      <c r="AR1295" t="s">
        <v>33</v>
      </c>
      <c r="AS1295">
        <v>8</v>
      </c>
      <c r="AT1295" s="3">
        <f t="shared" si="667"/>
        <v>6.36</v>
      </c>
      <c r="AU1295" s="6">
        <v>1.64</v>
      </c>
      <c r="AV1295" t="b">
        <v>1</v>
      </c>
      <c r="AW1295" t="s">
        <v>29</v>
      </c>
      <c r="AX1295" t="s">
        <v>30</v>
      </c>
      <c r="AY1295" t="s">
        <v>216</v>
      </c>
      <c r="AZ1295" t="s">
        <v>33</v>
      </c>
      <c r="BA1295" s="18" t="s">
        <v>798</v>
      </c>
      <c r="BB1295" t="b">
        <v>0</v>
      </c>
      <c r="BC1295" t="s">
        <v>81</v>
      </c>
      <c r="BD1295">
        <v>24</v>
      </c>
      <c r="BE1295" t="s">
        <v>80</v>
      </c>
      <c r="BF1295" s="11">
        <v>24</v>
      </c>
      <c r="BG1295" t="s">
        <v>572</v>
      </c>
      <c r="BH1295" t="s">
        <v>31</v>
      </c>
      <c r="BI1295" t="s">
        <v>31</v>
      </c>
      <c r="BJ1295" s="3">
        <f t="shared" si="652"/>
        <v>1.64</v>
      </c>
      <c r="BK1295" s="3">
        <f t="shared" si="648"/>
        <v>0.21484384804769785</v>
      </c>
      <c r="BL1295">
        <v>2</v>
      </c>
      <c r="BM1295" s="3">
        <f t="shared" si="661"/>
        <v>1.0203688631266399</v>
      </c>
      <c r="BN1295" t="s">
        <v>33</v>
      </c>
      <c r="BO1295" s="3">
        <f t="shared" si="662"/>
        <v>10.480182926829267</v>
      </c>
      <c r="BP1295" t="s">
        <v>33</v>
      </c>
      <c r="BQ1295" t="s">
        <v>33</v>
      </c>
      <c r="BR1295" t="s">
        <v>33</v>
      </c>
      <c r="BS1295" t="s">
        <v>33</v>
      </c>
      <c r="BT1295" t="s">
        <v>32</v>
      </c>
      <c r="BU1295" t="s">
        <v>117</v>
      </c>
      <c r="BV1295">
        <v>2021</v>
      </c>
      <c r="BW1295" s="2" t="s">
        <v>82</v>
      </c>
      <c r="BX1295" t="s">
        <v>78</v>
      </c>
      <c r="BY1295" t="s">
        <v>90</v>
      </c>
      <c r="CA1295" t="str">
        <f t="shared" si="663"/>
        <v>low acid</v>
      </c>
    </row>
    <row r="1296" spans="1:79">
      <c r="A1296" t="s">
        <v>764</v>
      </c>
      <c r="B1296" t="s">
        <v>565</v>
      </c>
      <c r="C1296" t="s">
        <v>563</v>
      </c>
      <c r="D1296" t="s">
        <v>765</v>
      </c>
      <c r="E1296" t="s">
        <v>77</v>
      </c>
      <c r="F1296" t="s">
        <v>31</v>
      </c>
      <c r="G1296">
        <v>20</v>
      </c>
      <c r="H1296">
        <v>49</v>
      </c>
      <c r="I1296" t="b">
        <v>0</v>
      </c>
      <c r="J1296" t="s">
        <v>33</v>
      </c>
      <c r="K1296" t="s">
        <v>33</v>
      </c>
      <c r="L1296">
        <v>8</v>
      </c>
      <c r="M1296" s="4">
        <f>N1296</f>
        <v>898.76543209876536</v>
      </c>
      <c r="N1296" s="3">
        <f t="shared" si="664"/>
        <v>898.76543209876536</v>
      </c>
      <c r="O1296">
        <v>3</v>
      </c>
      <c r="P1296">
        <v>5.4399999999999997E-2</v>
      </c>
      <c r="Q1296" s="8">
        <f>IFERROR(X1296/Y1296, "NA")</f>
        <v>5.3999999999999999E-2</v>
      </c>
      <c r="R1296" t="s">
        <v>183</v>
      </c>
      <c r="S1296" t="s">
        <v>33</v>
      </c>
      <c r="T1296" s="11">
        <v>1</v>
      </c>
      <c r="U1296" t="s">
        <v>33</v>
      </c>
      <c r="V1296" t="s">
        <v>33</v>
      </c>
      <c r="W1296">
        <v>4.4999999999999997E-3</v>
      </c>
      <c r="X1296">
        <f>W1296</f>
        <v>4.4999999999999997E-3</v>
      </c>
      <c r="Y1296" s="6">
        <f>5/60</f>
        <v>8.3333333333333329E-2</v>
      </c>
      <c r="Z1296" s="6">
        <f>Y1296</f>
        <v>8.3333333333333329E-2</v>
      </c>
      <c r="AA1296" t="s">
        <v>33</v>
      </c>
      <c r="AB1296" s="4">
        <f>IFERROR(((X1296*M1296)/Y1296), "NA")</f>
        <v>48.533333333333324</v>
      </c>
      <c r="AC1296" s="4">
        <f t="shared" si="655"/>
        <v>48.892839506172834</v>
      </c>
      <c r="AD1296" s="4">
        <f>AB1296*T1296*AI1296</f>
        <v>48.533333333333324</v>
      </c>
      <c r="AE1296" s="3">
        <f t="shared" si="656"/>
        <v>93.183999999999983</v>
      </c>
      <c r="AF1296">
        <v>145.6</v>
      </c>
      <c r="AG1296" s="4">
        <f t="shared" si="665"/>
        <v>146.6785185185185</v>
      </c>
      <c r="AH1296" s="4">
        <f t="shared" si="666"/>
        <v>146.6785185185185</v>
      </c>
      <c r="AI1296">
        <v>1</v>
      </c>
      <c r="AJ1296" s="11" t="s">
        <v>31</v>
      </c>
      <c r="AK1296">
        <v>10000</v>
      </c>
      <c r="AL1296" t="s">
        <v>169</v>
      </c>
      <c r="AM1296" t="s">
        <v>103</v>
      </c>
      <c r="AN1296" t="s">
        <v>130</v>
      </c>
      <c r="AO1296" t="s">
        <v>795</v>
      </c>
      <c r="AP1296">
        <v>7.2</v>
      </c>
      <c r="AQ1296" t="s">
        <v>33</v>
      </c>
      <c r="AR1296" t="s">
        <v>33</v>
      </c>
      <c r="AS1296">
        <v>7</v>
      </c>
      <c r="AT1296" s="3">
        <f t="shared" si="667"/>
        <v>6.3689999999999998</v>
      </c>
      <c r="AU1296" s="6">
        <v>0.63100000000000001</v>
      </c>
      <c r="AV1296" t="b">
        <v>1</v>
      </c>
      <c r="AW1296" t="s">
        <v>29</v>
      </c>
      <c r="AX1296" t="s">
        <v>30</v>
      </c>
      <c r="AY1296" t="s">
        <v>766</v>
      </c>
      <c r="AZ1296" t="s">
        <v>33</v>
      </c>
      <c r="BA1296" s="18" t="s">
        <v>798</v>
      </c>
      <c r="BB1296" s="3" t="b">
        <v>0</v>
      </c>
      <c r="BC1296" t="s">
        <v>81</v>
      </c>
      <c r="BD1296">
        <v>16</v>
      </c>
      <c r="BE1296" t="s">
        <v>80</v>
      </c>
      <c r="BF1296">
        <v>24</v>
      </c>
      <c r="BG1296" t="s">
        <v>569</v>
      </c>
      <c r="BH1296" t="s">
        <v>31</v>
      </c>
      <c r="BI1296" t="s">
        <v>31</v>
      </c>
      <c r="BJ1296" s="3">
        <f t="shared" si="652"/>
        <v>0.63100000000000001</v>
      </c>
      <c r="BK1296" s="3">
        <f t="shared" si="648"/>
        <v>-0.19997064075586568</v>
      </c>
      <c r="BL1296">
        <v>2</v>
      </c>
      <c r="BM1296" s="3">
        <f t="shared" si="661"/>
        <v>2.1693119897167712</v>
      </c>
      <c r="BN1296" t="s">
        <v>33</v>
      </c>
      <c r="BO1296" s="3">
        <f t="shared" si="662"/>
        <v>147.6767036450079</v>
      </c>
      <c r="BP1296" t="s">
        <v>33</v>
      </c>
      <c r="BQ1296" t="s">
        <v>33</v>
      </c>
      <c r="BR1296" t="s">
        <v>33</v>
      </c>
      <c r="BS1296" t="s">
        <v>33</v>
      </c>
      <c r="BT1296" t="s">
        <v>31</v>
      </c>
      <c r="BU1296" t="s">
        <v>767</v>
      </c>
      <c r="BV1296">
        <v>2021</v>
      </c>
      <c r="BW1296" t="s">
        <v>768</v>
      </c>
      <c r="BX1296" t="s">
        <v>78</v>
      </c>
      <c r="BY1296" t="s">
        <v>769</v>
      </c>
      <c r="CA1296" t="str">
        <f t="shared" si="663"/>
        <v>low acid</v>
      </c>
    </row>
    <row r="1297" spans="1:79">
      <c r="A1297" t="s">
        <v>589</v>
      </c>
      <c r="B1297" t="s">
        <v>566</v>
      </c>
      <c r="C1297" t="s">
        <v>563</v>
      </c>
      <c r="D1297" t="s">
        <v>33</v>
      </c>
      <c r="E1297" t="s">
        <v>77</v>
      </c>
      <c r="F1297" t="s">
        <v>33</v>
      </c>
      <c r="G1297" t="s">
        <v>33</v>
      </c>
      <c r="H1297">
        <v>35</v>
      </c>
      <c r="I1297" t="b">
        <v>0</v>
      </c>
      <c r="J1297" t="s">
        <v>33</v>
      </c>
      <c r="K1297" t="s">
        <v>33</v>
      </c>
      <c r="L1297">
        <v>28</v>
      </c>
      <c r="M1297" s="4">
        <v>1</v>
      </c>
      <c r="N1297" t="e">
        <f>(#REF!*Y1297)/(T1297*X1297*O1297)</f>
        <v>#REF!</v>
      </c>
      <c r="O1297">
        <v>2</v>
      </c>
      <c r="P1297" t="s">
        <v>33</v>
      </c>
      <c r="Q1297" s="1">
        <f t="shared" ref="Q1297:Q1304" si="668">IFERROR(X1297/Z1297, "NA")</f>
        <v>0.59</v>
      </c>
      <c r="R1297" t="s">
        <v>183</v>
      </c>
      <c r="S1297" t="s">
        <v>613</v>
      </c>
      <c r="T1297">
        <v>1</v>
      </c>
      <c r="U1297">
        <v>2.5</v>
      </c>
      <c r="V1297" t="s">
        <v>33</v>
      </c>
      <c r="W1297">
        <v>0.50249999999999995</v>
      </c>
      <c r="X1297">
        <f>W1297</f>
        <v>0.50249999999999995</v>
      </c>
      <c r="Y1297" t="s">
        <v>33</v>
      </c>
      <c r="Z1297" s="3">
        <f>IFERROR(X1297*M1297*O1297*T1297*AI1297/AF1297, "NA")</f>
        <v>0.85169491525423724</v>
      </c>
      <c r="AA1297" t="s">
        <v>33</v>
      </c>
      <c r="AB1297">
        <f>IFERROR(((X1297*M1297)/Z1297), "NA")</f>
        <v>0.59</v>
      </c>
      <c r="AC1297" s="1" t="str">
        <f t="shared" si="655"/>
        <v>NA</v>
      </c>
      <c r="AE1297" s="3">
        <f t="shared" si="656"/>
        <v>1.8502399999999997</v>
      </c>
      <c r="AF1297">
        <v>1.18</v>
      </c>
      <c r="AG1297" s="1" t="str">
        <f>IFERROR((N1297*P1297*Q1297), "NA")</f>
        <v>NA</v>
      </c>
      <c r="AH1297" s="1" t="str">
        <f>IFERROR((AG1297*U1297*AI1297), "NA")</f>
        <v>NA</v>
      </c>
      <c r="AI1297" s="1">
        <v>1</v>
      </c>
      <c r="AJ1297" s="11" t="s">
        <v>31</v>
      </c>
      <c r="AK1297">
        <v>2000</v>
      </c>
      <c r="AL1297" t="s">
        <v>616</v>
      </c>
      <c r="AM1297" s="3" t="s">
        <v>103</v>
      </c>
      <c r="AN1297" t="s">
        <v>130</v>
      </c>
      <c r="AO1297" t="s">
        <v>795</v>
      </c>
      <c r="AP1297">
        <v>7</v>
      </c>
      <c r="AQ1297" t="s">
        <v>33</v>
      </c>
      <c r="AR1297" t="s">
        <v>33</v>
      </c>
      <c r="AS1297">
        <v>9</v>
      </c>
      <c r="AT1297">
        <f>AS1297-AU1297</f>
        <v>6.37</v>
      </c>
      <c r="AU1297" s="6">
        <v>2.63</v>
      </c>
      <c r="AV1297" t="b">
        <v>1</v>
      </c>
      <c r="AW1297" t="s">
        <v>617</v>
      </c>
      <c r="AX1297" t="s">
        <v>33</v>
      </c>
      <c r="AY1297" t="s">
        <v>628</v>
      </c>
      <c r="AZ1297" t="s">
        <v>619</v>
      </c>
      <c r="BA1297" s="18" t="s">
        <v>802</v>
      </c>
      <c r="BB1297" s="3" t="b">
        <v>0</v>
      </c>
      <c r="BC1297" t="s">
        <v>81</v>
      </c>
      <c r="BD1297">
        <v>24</v>
      </c>
      <c r="BE1297" t="s">
        <v>80</v>
      </c>
      <c r="BF1297">
        <v>24</v>
      </c>
      <c r="BG1297" t="s">
        <v>644</v>
      </c>
      <c r="BH1297" t="s">
        <v>31</v>
      </c>
      <c r="BI1297" t="s">
        <v>31</v>
      </c>
      <c r="BJ1297">
        <f t="shared" si="652"/>
        <v>2.63</v>
      </c>
      <c r="BK1297" s="3">
        <f t="shared" si="648"/>
        <v>0.41995574848975786</v>
      </c>
      <c r="BL1297">
        <v>2</v>
      </c>
      <c r="BM1297" s="3">
        <f t="shared" si="661"/>
        <v>-0.15272768283521293</v>
      </c>
      <c r="BN1297" t="s">
        <v>33</v>
      </c>
      <c r="BO1297" s="3">
        <f t="shared" si="662"/>
        <v>0.70351330798479073</v>
      </c>
      <c r="BP1297" t="s">
        <v>33</v>
      </c>
      <c r="BQ1297" t="s">
        <v>33</v>
      </c>
      <c r="BR1297" t="s">
        <v>33</v>
      </c>
      <c r="BS1297" t="s">
        <v>33</v>
      </c>
      <c r="BT1297" t="s">
        <v>31</v>
      </c>
      <c r="BU1297" s="15" t="s">
        <v>655</v>
      </c>
      <c r="BV1297">
        <v>2003</v>
      </c>
      <c r="BW1297" t="s">
        <v>656</v>
      </c>
      <c r="BX1297" t="s">
        <v>78</v>
      </c>
      <c r="BY1297" s="13" t="s">
        <v>677</v>
      </c>
      <c r="CA1297" t="str">
        <f t="shared" si="663"/>
        <v>low acid</v>
      </c>
    </row>
    <row r="1298" spans="1:79">
      <c r="A1298" t="s">
        <v>110</v>
      </c>
      <c r="B1298" t="s">
        <v>565</v>
      </c>
      <c r="C1298" t="s">
        <v>563</v>
      </c>
      <c r="D1298" t="s">
        <v>118</v>
      </c>
      <c r="E1298" t="s">
        <v>77</v>
      </c>
      <c r="F1298" t="s">
        <v>32</v>
      </c>
      <c r="G1298">
        <v>23</v>
      </c>
      <c r="H1298">
        <v>40</v>
      </c>
      <c r="I1298" t="b">
        <v>0</v>
      </c>
      <c r="J1298" t="s">
        <v>33</v>
      </c>
      <c r="K1298" t="s">
        <v>33</v>
      </c>
      <c r="L1298">
        <v>25</v>
      </c>
      <c r="M1298" s="4">
        <v>667</v>
      </c>
      <c r="N1298" s="3">
        <f>IFERROR(AF1298/((T1298*X1298/Y1298)*O1298*AI1298),"NA")</f>
        <v>663.96690945057719</v>
      </c>
      <c r="O1298">
        <v>3</v>
      </c>
      <c r="P1298" t="s">
        <v>33</v>
      </c>
      <c r="Q1298" s="8">
        <f t="shared" si="668"/>
        <v>5.9970014992503755E-3</v>
      </c>
      <c r="R1298" t="s">
        <v>183</v>
      </c>
      <c r="S1298" t="s">
        <v>613</v>
      </c>
      <c r="T1298" s="11">
        <v>4</v>
      </c>
      <c r="U1298">
        <v>2.9</v>
      </c>
      <c r="V1298">
        <v>2.2999999999999998</v>
      </c>
      <c r="W1298" t="s">
        <v>33</v>
      </c>
      <c r="X1298">
        <f>IFERROR(((PI())*(((V1298*10^-1)/2)^2)*(U1298*10^-1)), "NA")</f>
        <v>1.204879322468025E-2</v>
      </c>
      <c r="Y1298">
        <v>2</v>
      </c>
      <c r="Z1298" s="9">
        <f>IFERROR(X1298*M1298*O1298*T1298*AI1298/AF1298, "NA")</f>
        <v>2.0091362702154316</v>
      </c>
      <c r="AA1298" t="s">
        <v>33</v>
      </c>
      <c r="AB1298" s="6">
        <f>IFERROR(((X1298*M1298)/Z1298), "NA")</f>
        <v>4</v>
      </c>
      <c r="AC1298" t="str">
        <f t="shared" si="655"/>
        <v>NA</v>
      </c>
      <c r="AD1298" s="4">
        <f>IFERROR(AB1298*T1298*AI1298, "NA")</f>
        <v>16</v>
      </c>
      <c r="AE1298">
        <f t="shared" si="656"/>
        <v>138.00000000000003</v>
      </c>
      <c r="AF1298">
        <v>48</v>
      </c>
      <c r="AG1298" t="str">
        <f>IFERROR((M1298*O1298*P1298), "NA")</f>
        <v>NA</v>
      </c>
      <c r="AH1298" t="str">
        <f>IFERROR((AG1298*T1298*AI1298), "NA")</f>
        <v>NA</v>
      </c>
      <c r="AI1298" s="11">
        <v>1</v>
      </c>
      <c r="AJ1298" t="s">
        <v>31</v>
      </c>
      <c r="AK1298">
        <v>4600</v>
      </c>
      <c r="AL1298" t="s">
        <v>204</v>
      </c>
      <c r="AM1298" t="s">
        <v>785</v>
      </c>
      <c r="AN1298" t="s">
        <v>205</v>
      </c>
      <c r="AO1298" t="s">
        <v>791</v>
      </c>
      <c r="AP1298">
        <v>4.2</v>
      </c>
      <c r="AQ1298" t="s">
        <v>33</v>
      </c>
      <c r="AR1298" t="s">
        <v>33</v>
      </c>
      <c r="AS1298" s="3">
        <v>8</v>
      </c>
      <c r="AT1298" s="3">
        <f>IFERROR(AS1298-AU1298,"NA")</f>
        <v>6.25</v>
      </c>
      <c r="AU1298" s="6">
        <v>1.75</v>
      </c>
      <c r="AV1298" t="b">
        <v>1</v>
      </c>
      <c r="AW1298" t="s">
        <v>92</v>
      </c>
      <c r="AX1298" t="s">
        <v>93</v>
      </c>
      <c r="AY1298" t="s">
        <v>100</v>
      </c>
      <c r="AZ1298" t="s">
        <v>33</v>
      </c>
      <c r="BA1298" s="18" t="s">
        <v>801</v>
      </c>
      <c r="BB1298" t="b">
        <v>0</v>
      </c>
      <c r="BC1298" t="s">
        <v>81</v>
      </c>
      <c r="BD1298">
        <v>18</v>
      </c>
      <c r="BE1298" t="s">
        <v>80</v>
      </c>
      <c r="BF1298" t="s">
        <v>33</v>
      </c>
      <c r="BG1298" t="s">
        <v>568</v>
      </c>
      <c r="BH1298" t="s">
        <v>31</v>
      </c>
      <c r="BI1298" t="s">
        <v>31</v>
      </c>
      <c r="BJ1298">
        <f t="shared" si="652"/>
        <v>1.75</v>
      </c>
      <c r="BK1298" s="3">
        <f t="shared" si="648"/>
        <v>0.24303804868629444</v>
      </c>
      <c r="BL1298">
        <v>2</v>
      </c>
      <c r="BM1298" s="3">
        <f>LOG(BO1298)</f>
        <v>1.8968410377149423</v>
      </c>
      <c r="BN1298" t="s">
        <v>33</v>
      </c>
      <c r="BO1298" s="3">
        <f t="shared" si="662"/>
        <v>78.857142857142875</v>
      </c>
      <c r="BP1298" t="s">
        <v>33</v>
      </c>
      <c r="BQ1298" t="s">
        <v>33</v>
      </c>
      <c r="BR1298" t="s">
        <v>33</v>
      </c>
      <c r="BS1298" t="s">
        <v>33</v>
      </c>
      <c r="BT1298" t="s">
        <v>32</v>
      </c>
      <c r="BU1298" t="s">
        <v>116</v>
      </c>
      <c r="BV1298">
        <v>2011</v>
      </c>
      <c r="BW1298" t="s">
        <v>91</v>
      </c>
      <c r="BX1298" t="s">
        <v>78</v>
      </c>
      <c r="BY1298" t="s">
        <v>33</v>
      </c>
      <c r="BZ1298" t="s">
        <v>113</v>
      </c>
      <c r="CA1298" t="str">
        <f t="shared" si="663"/>
        <v>high acid</v>
      </c>
    </row>
    <row r="1299" spans="1:79">
      <c r="A1299" t="s">
        <v>179</v>
      </c>
      <c r="B1299" t="s">
        <v>565</v>
      </c>
      <c r="C1299" t="s">
        <v>563</v>
      </c>
      <c r="D1299" t="s">
        <v>118</v>
      </c>
      <c r="E1299" t="s">
        <v>77</v>
      </c>
      <c r="F1299" t="s">
        <v>32</v>
      </c>
      <c r="G1299">
        <v>22</v>
      </c>
      <c r="H1299">
        <v>35</v>
      </c>
      <c r="I1299" t="b">
        <v>0</v>
      </c>
      <c r="J1299" t="s">
        <v>33</v>
      </c>
      <c r="K1299" t="s">
        <v>33</v>
      </c>
      <c r="L1299">
        <v>15</v>
      </c>
      <c r="M1299" s="4">
        <v>1000</v>
      </c>
      <c r="N1299" s="3">
        <f>IFERROR(AF1299/((T1299*X1299/Y1299)*O1299*AI1299),"NA")</f>
        <v>1000.1191061872564</v>
      </c>
      <c r="O1299">
        <v>3</v>
      </c>
      <c r="P1299" t="s">
        <v>33</v>
      </c>
      <c r="Q1299" s="8">
        <f t="shared" si="668"/>
        <v>1.2133333333333333E-2</v>
      </c>
      <c r="R1299" t="s">
        <v>183</v>
      </c>
      <c r="S1299" t="s">
        <v>613</v>
      </c>
      <c r="T1299" s="11">
        <v>4</v>
      </c>
      <c r="U1299">
        <v>2.92</v>
      </c>
      <c r="V1299">
        <v>2.2999999999999998</v>
      </c>
      <c r="W1299" t="s">
        <v>33</v>
      </c>
      <c r="X1299" s="8">
        <f>IFERROR(((PI())*(((V1299*10^-1)/2)^2)*(U1299*10^-1)), "NA")</f>
        <v>1.2131888350367701E-2</v>
      </c>
      <c r="Y1299">
        <v>1</v>
      </c>
      <c r="Z1299" s="3">
        <f>IFERROR(X1299*M1299*O1299*T1299*AI1299/AF1299, "NA")</f>
        <v>0.99988090799733798</v>
      </c>
      <c r="AA1299">
        <v>12</v>
      </c>
      <c r="AB1299" s="6">
        <f>IFERROR(((X1299*M1299)/Z1299), "NA")</f>
        <v>12.133333333333333</v>
      </c>
      <c r="AC1299" t="str">
        <f t="shared" si="655"/>
        <v>NA</v>
      </c>
      <c r="AD1299" s="4">
        <f>IFERROR(AB1299*T1299*AI1299, "NA")</f>
        <v>48.533333333333331</v>
      </c>
      <c r="AE1299" s="3">
        <f t="shared" si="656"/>
        <v>65.52</v>
      </c>
      <c r="AF1299">
        <v>145.6</v>
      </c>
      <c r="AG1299" t="str">
        <f>IFERROR((M1299*O1299*P1299), "NA")</f>
        <v>NA</v>
      </c>
      <c r="AH1299" t="str">
        <f>IFERROR((AG1299*T1299*AI1299), "NA")</f>
        <v>NA</v>
      </c>
      <c r="AI1299" s="11">
        <v>1</v>
      </c>
      <c r="AJ1299" t="s">
        <v>31</v>
      </c>
      <c r="AK1299">
        <v>2000</v>
      </c>
      <c r="AL1299" t="s">
        <v>114</v>
      </c>
      <c r="AM1299" t="s">
        <v>103</v>
      </c>
      <c r="AN1299" t="s">
        <v>130</v>
      </c>
      <c r="AO1299" t="s">
        <v>795</v>
      </c>
      <c r="AP1299" t="s">
        <v>33</v>
      </c>
      <c r="AQ1299" t="s">
        <v>33</v>
      </c>
      <c r="AR1299" t="s">
        <v>33</v>
      </c>
      <c r="AS1299" s="6">
        <f>LOG(3*10^7)</f>
        <v>7.4771212547196626</v>
      </c>
      <c r="AT1299" s="3">
        <f>IFERROR(AS1299-AU1299,"NA")</f>
        <v>6.377121254719663</v>
      </c>
      <c r="AU1299" s="6">
        <v>1.1000000000000001</v>
      </c>
      <c r="AV1299" t="b">
        <v>1</v>
      </c>
      <c r="AW1299" t="s">
        <v>123</v>
      </c>
      <c r="AX1299" t="s">
        <v>180</v>
      </c>
      <c r="AY1299" t="s">
        <v>129</v>
      </c>
      <c r="AZ1299" t="s">
        <v>33</v>
      </c>
      <c r="BA1299" s="18" t="s">
        <v>579</v>
      </c>
      <c r="BB1299" t="b">
        <v>1</v>
      </c>
      <c r="BC1299" t="s">
        <v>81</v>
      </c>
      <c r="BD1299" t="s">
        <v>33</v>
      </c>
      <c r="BE1299" t="s">
        <v>33</v>
      </c>
      <c r="BF1299" s="11">
        <v>48</v>
      </c>
      <c r="BG1299" t="s">
        <v>395</v>
      </c>
      <c r="BH1299" t="s">
        <v>31</v>
      </c>
      <c r="BI1299" t="s">
        <v>31</v>
      </c>
      <c r="BJ1299" s="3">
        <f t="shared" si="652"/>
        <v>1.1000000000000001</v>
      </c>
      <c r="BK1299" s="3">
        <f t="shared" si="648"/>
        <v>4.1392685158225077E-2</v>
      </c>
      <c r="BL1299">
        <v>2</v>
      </c>
      <c r="BM1299" s="3">
        <f t="shared" ref="BM1299:BM1362" si="669">IFERROR(LOG(BO1299),"NA")</f>
        <v>1.774981203594137</v>
      </c>
      <c r="BN1299" t="s">
        <v>33</v>
      </c>
      <c r="BO1299" s="3">
        <f t="shared" si="662"/>
        <v>59.563636363636355</v>
      </c>
      <c r="BP1299" t="s">
        <v>33</v>
      </c>
      <c r="BQ1299" t="s">
        <v>33</v>
      </c>
      <c r="BR1299" t="s">
        <v>33</v>
      </c>
      <c r="BS1299" t="s">
        <v>33</v>
      </c>
      <c r="BT1299" t="s">
        <v>32</v>
      </c>
      <c r="BU1299" t="s">
        <v>177</v>
      </c>
      <c r="BV1299">
        <v>2001</v>
      </c>
      <c r="BW1299" s="2" t="s">
        <v>178</v>
      </c>
      <c r="BX1299" t="s">
        <v>78</v>
      </c>
      <c r="BY1299" t="s">
        <v>33</v>
      </c>
      <c r="BZ1299" t="s">
        <v>33</v>
      </c>
      <c r="CA1299" t="str">
        <f t="shared" si="663"/>
        <v>low acid</v>
      </c>
    </row>
    <row r="1300" spans="1:79">
      <c r="A1300" t="s">
        <v>589</v>
      </c>
      <c r="B1300" t="s">
        <v>566</v>
      </c>
      <c r="C1300" t="s">
        <v>563</v>
      </c>
      <c r="D1300" t="s">
        <v>33</v>
      </c>
      <c r="E1300" t="s">
        <v>77</v>
      </c>
      <c r="F1300" t="s">
        <v>33</v>
      </c>
      <c r="G1300" t="s">
        <v>33</v>
      </c>
      <c r="H1300">
        <v>35</v>
      </c>
      <c r="I1300" t="b">
        <v>0</v>
      </c>
      <c r="J1300" t="s">
        <v>33</v>
      </c>
      <c r="K1300" t="s">
        <v>33</v>
      </c>
      <c r="L1300">
        <v>19</v>
      </c>
      <c r="M1300" s="4">
        <v>1</v>
      </c>
      <c r="N1300" t="e">
        <f>(#REF!*Y1300)/(T1300*X1300*O1300)</f>
        <v>#REF!</v>
      </c>
      <c r="O1300">
        <v>2</v>
      </c>
      <c r="P1300" t="s">
        <v>33</v>
      </c>
      <c r="Q1300" s="1">
        <f t="shared" si="668"/>
        <v>18.5</v>
      </c>
      <c r="R1300" t="s">
        <v>183</v>
      </c>
      <c r="S1300" t="s">
        <v>613</v>
      </c>
      <c r="T1300">
        <v>1</v>
      </c>
      <c r="U1300">
        <v>2.5</v>
      </c>
      <c r="V1300" t="s">
        <v>33</v>
      </c>
      <c r="W1300">
        <v>0.50249999999999995</v>
      </c>
      <c r="X1300">
        <f>W1300</f>
        <v>0.50249999999999995</v>
      </c>
      <c r="Y1300" t="s">
        <v>33</v>
      </c>
      <c r="Z1300" s="3">
        <f>IFERROR(X1300*M1300*O1300*T1300*AI1300/AF1300, "NA")</f>
        <v>2.7162162162162159E-2</v>
      </c>
      <c r="AA1300" t="s">
        <v>33</v>
      </c>
      <c r="AB1300">
        <f>IFERROR(((X1300*M1300)/Z1300), "NA")</f>
        <v>18.5</v>
      </c>
      <c r="AC1300" s="1" t="str">
        <f t="shared" si="655"/>
        <v>NA</v>
      </c>
      <c r="AE1300" s="3">
        <f t="shared" si="656"/>
        <v>26.713999999999999</v>
      </c>
      <c r="AF1300">
        <v>37</v>
      </c>
      <c r="AG1300" s="1" t="str">
        <f>IFERROR((N1300*P1300*Q1300), "NA")</f>
        <v>NA</v>
      </c>
      <c r="AH1300" s="1" t="str">
        <f>IFERROR((AG1300*U1300*AI1300), "NA")</f>
        <v>NA</v>
      </c>
      <c r="AI1300" s="1">
        <v>1</v>
      </c>
      <c r="AJ1300" s="11" t="s">
        <v>31</v>
      </c>
      <c r="AK1300">
        <v>2000</v>
      </c>
      <c r="AL1300" t="s">
        <v>616</v>
      </c>
      <c r="AM1300" s="3" t="s">
        <v>103</v>
      </c>
      <c r="AN1300" t="s">
        <v>130</v>
      </c>
      <c r="AO1300" t="s">
        <v>795</v>
      </c>
      <c r="AP1300">
        <v>7</v>
      </c>
      <c r="AQ1300" t="s">
        <v>33</v>
      </c>
      <c r="AR1300" t="s">
        <v>33</v>
      </c>
      <c r="AS1300">
        <v>9</v>
      </c>
      <c r="AT1300">
        <f>AS1300-AU1300</f>
        <v>6.38</v>
      </c>
      <c r="AU1300" s="6">
        <v>2.62</v>
      </c>
      <c r="AV1300" t="b">
        <v>1</v>
      </c>
      <c r="AW1300" t="s">
        <v>617</v>
      </c>
      <c r="AX1300" t="s">
        <v>33</v>
      </c>
      <c r="AY1300" t="s">
        <v>629</v>
      </c>
      <c r="AZ1300" t="s">
        <v>630</v>
      </c>
      <c r="BA1300" s="18" t="s">
        <v>802</v>
      </c>
      <c r="BB1300" s="3" t="b">
        <v>0</v>
      </c>
      <c r="BC1300" t="s">
        <v>81</v>
      </c>
      <c r="BD1300">
        <v>24</v>
      </c>
      <c r="BE1300" t="s">
        <v>80</v>
      </c>
      <c r="BF1300">
        <v>24</v>
      </c>
      <c r="BG1300" t="s">
        <v>644</v>
      </c>
      <c r="BH1300" t="s">
        <v>31</v>
      </c>
      <c r="BI1300" t="s">
        <v>31</v>
      </c>
      <c r="BJ1300">
        <f t="shared" si="652"/>
        <v>2.62</v>
      </c>
      <c r="BK1300" s="3">
        <f t="shared" si="648"/>
        <v>0.41830129131974547</v>
      </c>
      <c r="BL1300">
        <v>2</v>
      </c>
      <c r="BM1300" s="3">
        <f t="shared" si="669"/>
        <v>1.0084376303168887</v>
      </c>
      <c r="BN1300" t="s">
        <v>33</v>
      </c>
      <c r="BO1300" s="3">
        <f t="shared" si="662"/>
        <v>10.19618320610687</v>
      </c>
      <c r="BP1300" t="s">
        <v>33</v>
      </c>
      <c r="BQ1300" t="s">
        <v>33</v>
      </c>
      <c r="BR1300" t="s">
        <v>33</v>
      </c>
      <c r="BS1300" t="s">
        <v>33</v>
      </c>
      <c r="BT1300" t="s">
        <v>31</v>
      </c>
      <c r="BU1300" s="15" t="s">
        <v>655</v>
      </c>
      <c r="BV1300">
        <v>2003</v>
      </c>
      <c r="BW1300" t="s">
        <v>656</v>
      </c>
      <c r="BX1300" t="s">
        <v>78</v>
      </c>
      <c r="BY1300" s="13" t="s">
        <v>677</v>
      </c>
      <c r="CA1300" t="str">
        <f t="shared" si="663"/>
        <v>low acid</v>
      </c>
    </row>
    <row r="1301" spans="1:79">
      <c r="A1301" t="s">
        <v>535</v>
      </c>
      <c r="B1301" t="s">
        <v>565</v>
      </c>
      <c r="C1301" t="s">
        <v>564</v>
      </c>
      <c r="D1301" t="s">
        <v>243</v>
      </c>
      <c r="E1301" t="s">
        <v>77</v>
      </c>
      <c r="F1301" t="s">
        <v>32</v>
      </c>
      <c r="G1301">
        <v>40</v>
      </c>
      <c r="H1301">
        <v>43</v>
      </c>
      <c r="I1301" t="b">
        <v>0</v>
      </c>
      <c r="J1301" t="s">
        <v>33</v>
      </c>
      <c r="K1301" t="s">
        <v>33</v>
      </c>
      <c r="L1301">
        <v>12</v>
      </c>
      <c r="M1301" s="4">
        <v>120</v>
      </c>
      <c r="N1301" s="3">
        <f>IFERROR(AF1301/((T1301*X1301/Y1301)*O1301*AI1301),"NA")</f>
        <v>100.27842677825969</v>
      </c>
      <c r="O1301">
        <v>3</v>
      </c>
      <c r="P1301" t="s">
        <v>33</v>
      </c>
      <c r="Q1301" s="9">
        <f t="shared" si="668"/>
        <v>3.1944444444444442E-2</v>
      </c>
      <c r="R1301" t="s">
        <v>183</v>
      </c>
      <c r="S1301" t="s">
        <v>612</v>
      </c>
      <c r="T1301" s="11">
        <v>4</v>
      </c>
      <c r="U1301">
        <v>3</v>
      </c>
      <c r="V1301">
        <v>2.6</v>
      </c>
      <c r="W1301">
        <v>1.5900000000000001E-2</v>
      </c>
      <c r="X1301" s="8">
        <f>IFERROR(((PI())*(((V1301*10^-1)/2)^2)*(U1301*10^-1)), "NA")</f>
        <v>1.5927874753700257E-2</v>
      </c>
      <c r="Y1301" s="6">
        <f>25/60</f>
        <v>0.41666666666666669</v>
      </c>
      <c r="Z1301" s="3">
        <f>IFERROR(X1301*M1301*O1301*T1301*AI1301/AF1301, "NA")</f>
        <v>0.498611731420182</v>
      </c>
      <c r="AA1301" t="s">
        <v>33</v>
      </c>
      <c r="AB1301" s="6">
        <f>IFERROR(((X1301*M1301)/Z1301), "NA")</f>
        <v>3.833333333333333</v>
      </c>
      <c r="AC1301" t="str">
        <f t="shared" si="655"/>
        <v>NA</v>
      </c>
      <c r="AD1301" s="4">
        <f>IFERROR(AB1301*T1301*AI1301, "NA")</f>
        <v>15.333333333333332</v>
      </c>
      <c r="AE1301" s="3">
        <f t="shared" si="656"/>
        <v>6.0940799999999991</v>
      </c>
      <c r="AF1301">
        <v>46</v>
      </c>
      <c r="AG1301" t="str">
        <f>IFERROR((M1301*O1301*P1301), "NA")</f>
        <v>NA</v>
      </c>
      <c r="AH1301" t="str">
        <f>IFERROR((AG1301*T1301*AI1301), "NA")</f>
        <v>NA</v>
      </c>
      <c r="AI1301" s="11">
        <v>1</v>
      </c>
      <c r="AJ1301" t="s">
        <v>31</v>
      </c>
      <c r="AK1301">
        <v>920</v>
      </c>
      <c r="AL1301" t="s">
        <v>551</v>
      </c>
      <c r="AM1301" t="s">
        <v>86</v>
      </c>
      <c r="AN1301" t="s">
        <v>186</v>
      </c>
      <c r="AO1301" t="s">
        <v>794</v>
      </c>
      <c r="AP1301">
        <v>5.92</v>
      </c>
      <c r="AQ1301" t="s">
        <v>33</v>
      </c>
      <c r="AR1301" t="s">
        <v>33</v>
      </c>
      <c r="AS1301" s="6">
        <f>LOG(1.1*10^7)</f>
        <v>7.0413926851582254</v>
      </c>
      <c r="AT1301" s="3">
        <f>IFERROR(AS1301-AU1301,"NA")</f>
        <v>6.3883926851582249</v>
      </c>
      <c r="AU1301" s="6">
        <v>0.65300000000000002</v>
      </c>
      <c r="AV1301" t="b">
        <v>1</v>
      </c>
      <c r="AW1301" t="s">
        <v>172</v>
      </c>
      <c r="AX1301" t="s">
        <v>173</v>
      </c>
      <c r="AY1301" t="s">
        <v>246</v>
      </c>
      <c r="AZ1301" t="s">
        <v>33</v>
      </c>
      <c r="BA1301" s="18" t="s">
        <v>799</v>
      </c>
      <c r="BB1301" t="b">
        <v>0</v>
      </c>
      <c r="BC1301" t="s">
        <v>81</v>
      </c>
      <c r="BD1301">
        <v>72</v>
      </c>
      <c r="BE1301" t="s">
        <v>80</v>
      </c>
      <c r="BF1301" s="11">
        <v>72</v>
      </c>
      <c r="BG1301" t="s">
        <v>522</v>
      </c>
      <c r="BH1301" t="s">
        <v>31</v>
      </c>
      <c r="BI1301" t="s">
        <v>31</v>
      </c>
      <c r="BJ1301" s="3">
        <f t="shared" si="652"/>
        <v>0.65300000000000002</v>
      </c>
      <c r="BK1301" s="3">
        <f t="shared" si="648"/>
        <v>-0.18508681872492605</v>
      </c>
      <c r="BL1301">
        <v>2</v>
      </c>
      <c r="BM1301" s="3">
        <f t="shared" si="669"/>
        <v>0.96999496984730493</v>
      </c>
      <c r="BN1301" t="s">
        <v>33</v>
      </c>
      <c r="BO1301" s="3">
        <f t="shared" si="662"/>
        <v>9.3324349157733515</v>
      </c>
      <c r="BP1301" t="s">
        <v>33</v>
      </c>
      <c r="BQ1301" t="s">
        <v>33</v>
      </c>
      <c r="BR1301" t="s">
        <v>33</v>
      </c>
      <c r="BS1301" t="s">
        <v>33</v>
      </c>
      <c r="BT1301" t="s">
        <v>32</v>
      </c>
      <c r="BU1301" t="s">
        <v>207</v>
      </c>
      <c r="BV1301">
        <v>2014</v>
      </c>
      <c r="BW1301" s="2" t="s">
        <v>242</v>
      </c>
      <c r="BX1301" t="s">
        <v>78</v>
      </c>
      <c r="BY1301" t="s">
        <v>33</v>
      </c>
      <c r="BZ1301" t="s">
        <v>33</v>
      </c>
      <c r="CA1301" t="str">
        <f t="shared" si="663"/>
        <v>low acid</v>
      </c>
    </row>
    <row r="1302" spans="1:79">
      <c r="A1302" t="s">
        <v>458</v>
      </c>
      <c r="B1302" t="s">
        <v>565</v>
      </c>
      <c r="C1302" t="s">
        <v>563</v>
      </c>
      <c r="D1302" t="s">
        <v>182</v>
      </c>
      <c r="E1302" t="s">
        <v>77</v>
      </c>
      <c r="F1302" t="s">
        <v>32</v>
      </c>
      <c r="G1302">
        <v>18</v>
      </c>
      <c r="H1302">
        <v>47</v>
      </c>
      <c r="I1302" t="b">
        <v>1</v>
      </c>
      <c r="J1302" t="s">
        <v>33</v>
      </c>
      <c r="K1302" t="s">
        <v>33</v>
      </c>
      <c r="L1302">
        <v>27</v>
      </c>
      <c r="M1302" s="4" t="s">
        <v>33</v>
      </c>
      <c r="N1302" s="3">
        <f>IFERROR(AF1302/((T1302*X1302/Y1302)*O1302*AI1302),"NA")</f>
        <v>220.85360391328314</v>
      </c>
      <c r="O1302">
        <v>10</v>
      </c>
      <c r="P1302">
        <f>0.047/2</f>
        <v>2.35E-2</v>
      </c>
      <c r="Q1302" s="8">
        <f t="shared" si="668"/>
        <v>2.3318614270936313E-2</v>
      </c>
      <c r="R1302" t="s">
        <v>183</v>
      </c>
      <c r="S1302" t="s">
        <v>613</v>
      </c>
      <c r="T1302" s="11">
        <v>2</v>
      </c>
      <c r="U1302">
        <v>5.6</v>
      </c>
      <c r="V1302">
        <v>4.5</v>
      </c>
      <c r="W1302" t="s">
        <v>33</v>
      </c>
      <c r="X1302" s="9">
        <f>IFERROR(((PI())*(((V1302*10^-1)/2)^2)*(U1302*10^-1)), "NA")</f>
        <v>8.9064151729270638E-2</v>
      </c>
      <c r="Y1302" s="6">
        <f>13750/3600</f>
        <v>3.8194444444444446</v>
      </c>
      <c r="Z1302" s="3">
        <f>IFERROR(X1302*N1302*O1302*T1302*AI1302/AF1302, "NA")</f>
        <v>3.8194444444444442</v>
      </c>
      <c r="AA1302" t="s">
        <v>33</v>
      </c>
      <c r="AB1302" s="4">
        <f>IFERROR(((X1302*N1302)/Y1302), "NA")</f>
        <v>5.1499999999999995</v>
      </c>
      <c r="AC1302" s="4">
        <f>IFERROR(N1302*P1302,"NA")</f>
        <v>5.190059691962154</v>
      </c>
      <c r="AD1302" s="4">
        <f>IFERROR(AB1302*T1302*AI1302, "NA")</f>
        <v>10.299999999999999</v>
      </c>
      <c r="AE1302" s="3">
        <f>IFERROR(((L1302^2)*N1302*O1302*AK1302*10^-6*Q1302*T1302*AI1302), "NA")</f>
        <v>172.70010000000002</v>
      </c>
      <c r="AF1302">
        <v>103</v>
      </c>
      <c r="AG1302" s="4">
        <f>IFERROR((N1302*O1302*P1302), "NA")</f>
        <v>51.900596919621535</v>
      </c>
      <c r="AH1302" s="4">
        <f>IFERROR((AG1302*T1302*AI1302), "NA")</f>
        <v>103.80119383924307</v>
      </c>
      <c r="AI1302" s="11">
        <v>1</v>
      </c>
      <c r="AJ1302" t="s">
        <v>31</v>
      </c>
      <c r="AK1302">
        <v>2300</v>
      </c>
      <c r="AL1302" t="s">
        <v>805</v>
      </c>
      <c r="AM1302" t="s">
        <v>515</v>
      </c>
      <c r="AN1302" t="s">
        <v>205</v>
      </c>
      <c r="AO1302" t="s">
        <v>788</v>
      </c>
      <c r="AP1302">
        <v>3.68</v>
      </c>
      <c r="AQ1302" t="s">
        <v>33</v>
      </c>
      <c r="AR1302" t="s">
        <v>33</v>
      </c>
      <c r="AS1302">
        <f>LOG(10^8)</f>
        <v>8</v>
      </c>
      <c r="AT1302" s="3">
        <f>IFERROR(AS1302-AU1302,"NA")</f>
        <v>6.39</v>
      </c>
      <c r="AU1302" s="6">
        <v>1.61</v>
      </c>
      <c r="AV1302" t="b">
        <v>1</v>
      </c>
      <c r="AW1302" t="s">
        <v>480</v>
      </c>
      <c r="AX1302" t="s">
        <v>472</v>
      </c>
      <c r="AY1302" t="s">
        <v>476</v>
      </c>
      <c r="AZ1302" t="s">
        <v>33</v>
      </c>
      <c r="BA1302" s="18" t="s">
        <v>579</v>
      </c>
      <c r="BB1302" t="b">
        <v>1</v>
      </c>
      <c r="BC1302" t="s">
        <v>81</v>
      </c>
      <c r="BD1302" t="s">
        <v>33</v>
      </c>
      <c r="BE1302" t="s">
        <v>80</v>
      </c>
      <c r="BF1302" t="s">
        <v>33</v>
      </c>
      <c r="BG1302" t="s">
        <v>395</v>
      </c>
      <c r="BH1302" t="s">
        <v>31</v>
      </c>
      <c r="BI1302" t="s">
        <v>31</v>
      </c>
      <c r="BJ1302" s="3">
        <f t="shared" si="652"/>
        <v>1.61</v>
      </c>
      <c r="BK1302" s="3">
        <f t="shared" si="648"/>
        <v>0.20682587603184974</v>
      </c>
      <c r="BL1302">
        <v>2</v>
      </c>
      <c r="BM1302" s="3">
        <f t="shared" si="669"/>
        <v>2.0304667130088898</v>
      </c>
      <c r="BN1302" t="s">
        <v>33</v>
      </c>
      <c r="BO1302" s="3">
        <f t="shared" si="662"/>
        <v>107.26714285714286</v>
      </c>
      <c r="BP1302" t="s">
        <v>33</v>
      </c>
      <c r="BQ1302" t="s">
        <v>33</v>
      </c>
      <c r="BR1302" t="s">
        <v>33</v>
      </c>
      <c r="BS1302" t="s">
        <v>33</v>
      </c>
      <c r="BT1302" t="s">
        <v>32</v>
      </c>
      <c r="BU1302" t="s">
        <v>484</v>
      </c>
      <c r="BV1302">
        <v>2015</v>
      </c>
      <c r="BW1302" t="s">
        <v>485</v>
      </c>
      <c r="BX1302" t="s">
        <v>78</v>
      </c>
      <c r="BY1302" t="s">
        <v>486</v>
      </c>
      <c r="CA1302" t="str">
        <f t="shared" si="663"/>
        <v>high acid</v>
      </c>
    </row>
    <row r="1303" spans="1:79">
      <c r="A1303" t="s">
        <v>605</v>
      </c>
      <c r="B1303" t="s">
        <v>565</v>
      </c>
      <c r="C1303" t="s">
        <v>563</v>
      </c>
      <c r="D1303" t="s">
        <v>118</v>
      </c>
      <c r="E1303" t="s">
        <v>77</v>
      </c>
      <c r="F1303" t="s">
        <v>33</v>
      </c>
      <c r="G1303" t="s">
        <v>33</v>
      </c>
      <c r="H1303" t="s">
        <v>33</v>
      </c>
      <c r="I1303" t="b">
        <v>0</v>
      </c>
      <c r="J1303" t="s">
        <v>33</v>
      </c>
      <c r="K1303" t="s">
        <v>33</v>
      </c>
      <c r="L1303">
        <v>17</v>
      </c>
      <c r="M1303" s="4">
        <v>500</v>
      </c>
      <c r="N1303" t="e">
        <f>(#REF!*Y1303)/(T1303*X1303*O1303)</f>
        <v>#REF!</v>
      </c>
      <c r="O1303">
        <v>3</v>
      </c>
      <c r="P1303" t="s">
        <v>33</v>
      </c>
      <c r="Q1303" s="1">
        <f t="shared" si="668"/>
        <v>7.3333333333333332E-3</v>
      </c>
      <c r="R1303" t="s">
        <v>183</v>
      </c>
      <c r="S1303" t="s">
        <v>613</v>
      </c>
      <c r="T1303">
        <v>6</v>
      </c>
      <c r="U1303">
        <v>2.9</v>
      </c>
      <c r="V1303">
        <v>2.2999999999999998</v>
      </c>
      <c r="W1303" t="s">
        <v>33</v>
      </c>
      <c r="X1303">
        <f>IFERROR(((PI())*(((V1303*10^-1)/2)^2)*(U1303*10^-1)), "NA")</f>
        <v>1.204879322468025E-2</v>
      </c>
      <c r="Y1303">
        <v>0.83333299999999999</v>
      </c>
      <c r="Z1303" s="3">
        <f t="shared" ref="Z1303:Z1311" si="670">IFERROR(X1303*M1303*O1303*T1303*AI1303/AF1303, "NA")</f>
        <v>1.6430172579109432</v>
      </c>
      <c r="AA1303" t="s">
        <v>33</v>
      </c>
      <c r="AB1303">
        <f>IFERROR(((X1303*M1303)/Z1303), "NA")</f>
        <v>3.666666666666667</v>
      </c>
      <c r="AC1303" s="1" t="str">
        <f t="shared" ref="AC1303:AC1311" si="671">IFERROR(M1303*P1303,"NA")</f>
        <v>NA</v>
      </c>
      <c r="AE1303" s="3">
        <f t="shared" ref="AE1303:AE1311" si="672">IFERROR(((L1303^2)*M1303*O1303*AK1303*10^-6*Q1303*T1303*AI1303), "NA")</f>
        <v>22.316580000000002</v>
      </c>
      <c r="AF1303">
        <v>66</v>
      </c>
      <c r="AG1303" s="1" t="str">
        <f>IFERROR((N1303*P1303*Q1303), "NA")</f>
        <v>NA</v>
      </c>
      <c r="AH1303" s="1" t="str">
        <f>IFERROR((AG1303*U1303*AI1303), "NA")</f>
        <v>NA</v>
      </c>
      <c r="AI1303" s="1">
        <v>1</v>
      </c>
      <c r="AJ1303" s="11" t="s">
        <v>31</v>
      </c>
      <c r="AK1303">
        <f>1.17*10^3</f>
        <v>1170</v>
      </c>
      <c r="AL1303" t="s">
        <v>138</v>
      </c>
      <c r="AM1303" t="s">
        <v>86</v>
      </c>
      <c r="AN1303" t="s">
        <v>205</v>
      </c>
      <c r="AO1303" t="s">
        <v>789</v>
      </c>
      <c r="AP1303">
        <v>3.85</v>
      </c>
      <c r="AQ1303" t="s">
        <v>33</v>
      </c>
      <c r="AR1303" t="s">
        <v>33</v>
      </c>
      <c r="AS1303">
        <v>7.52</v>
      </c>
      <c r="AT1303">
        <v>6.39</v>
      </c>
      <c r="AU1303" s="6">
        <f>AS1303-AT1303</f>
        <v>1.1299999999999999</v>
      </c>
      <c r="AV1303" t="b">
        <v>1</v>
      </c>
      <c r="AW1303" t="s">
        <v>626</v>
      </c>
      <c r="AX1303" t="s">
        <v>627</v>
      </c>
      <c r="AY1303">
        <v>95047</v>
      </c>
      <c r="AZ1303" t="s">
        <v>33</v>
      </c>
      <c r="BA1303" s="18" t="s">
        <v>800</v>
      </c>
      <c r="BB1303" s="3" t="b">
        <v>0</v>
      </c>
      <c r="BC1303" t="s">
        <v>81</v>
      </c>
      <c r="BD1303">
        <f>AVERAGE(24,48)</f>
        <v>36</v>
      </c>
      <c r="BE1303" t="s">
        <v>80</v>
      </c>
      <c r="BF1303">
        <v>48</v>
      </c>
      <c r="BG1303" t="s">
        <v>647</v>
      </c>
      <c r="BH1303" t="s">
        <v>31</v>
      </c>
      <c r="BI1303" t="s">
        <v>31</v>
      </c>
      <c r="BJ1303" s="3">
        <f t="shared" si="652"/>
        <v>1.1299999999999999</v>
      </c>
      <c r="BK1303" s="3">
        <f t="shared" si="648"/>
        <v>5.3078443483419682E-2</v>
      </c>
      <c r="BL1303">
        <v>2</v>
      </c>
      <c r="BM1303" s="3">
        <f t="shared" si="669"/>
        <v>1.2955491965611585</v>
      </c>
      <c r="BN1303" t="s">
        <v>33</v>
      </c>
      <c r="BO1303" s="3">
        <f t="shared" si="662"/>
        <v>19.74918584070797</v>
      </c>
      <c r="BP1303" t="s">
        <v>33</v>
      </c>
      <c r="BQ1303" t="s">
        <v>33</v>
      </c>
      <c r="BR1303" t="s">
        <v>33</v>
      </c>
      <c r="BS1303" t="s">
        <v>33</v>
      </c>
      <c r="BT1303" t="s">
        <v>31</v>
      </c>
      <c r="BU1303" s="13" t="s">
        <v>135</v>
      </c>
      <c r="BV1303" s="14">
        <v>2009</v>
      </c>
      <c r="BW1303" s="13" t="s">
        <v>136</v>
      </c>
      <c r="BX1303" t="s">
        <v>78</v>
      </c>
      <c r="BY1303" s="13" t="s">
        <v>692</v>
      </c>
      <c r="CA1303" t="str">
        <f t="shared" si="663"/>
        <v>high acid</v>
      </c>
    </row>
    <row r="1304" spans="1:79">
      <c r="A1304" t="s">
        <v>584</v>
      </c>
      <c r="B1304" t="s">
        <v>566</v>
      </c>
      <c r="C1304" t="s">
        <v>563</v>
      </c>
      <c r="D1304" t="s">
        <v>607</v>
      </c>
      <c r="E1304" t="s">
        <v>77</v>
      </c>
      <c r="F1304" t="s">
        <v>33</v>
      </c>
      <c r="G1304">
        <v>20</v>
      </c>
      <c r="H1304">
        <v>35</v>
      </c>
      <c r="I1304" t="b">
        <v>0</v>
      </c>
      <c r="J1304">
        <v>1000</v>
      </c>
      <c r="K1304">
        <v>200</v>
      </c>
      <c r="L1304">
        <v>25</v>
      </c>
      <c r="M1304" s="4">
        <v>1</v>
      </c>
      <c r="N1304" t="e">
        <f>(#REF!*Y1304)/(T1304*X1304*O1304)</f>
        <v>#REF!</v>
      </c>
      <c r="O1304">
        <v>3</v>
      </c>
      <c r="P1304" t="s">
        <v>33</v>
      </c>
      <c r="Q1304" s="1">
        <f t="shared" si="668"/>
        <v>5</v>
      </c>
      <c r="R1304" t="s">
        <v>183</v>
      </c>
      <c r="S1304" t="s">
        <v>33</v>
      </c>
      <c r="T1304">
        <v>1</v>
      </c>
      <c r="U1304">
        <v>2.5</v>
      </c>
      <c r="V1304" t="s">
        <v>33</v>
      </c>
      <c r="W1304">
        <v>0.50249999999999995</v>
      </c>
      <c r="X1304">
        <f>W1304</f>
        <v>0.50249999999999995</v>
      </c>
      <c r="Y1304" t="s">
        <v>33</v>
      </c>
      <c r="Z1304" s="3">
        <f t="shared" si="670"/>
        <v>0.10049999999999999</v>
      </c>
      <c r="AA1304" t="s">
        <v>33</v>
      </c>
      <c r="AB1304">
        <f>IFERROR(((X1304*M1304)/Z1304), "NA")</f>
        <v>5</v>
      </c>
      <c r="AC1304" s="1" t="str">
        <f t="shared" si="671"/>
        <v>NA</v>
      </c>
      <c r="AE1304" s="3">
        <f t="shared" si="672"/>
        <v>9.375</v>
      </c>
      <c r="AF1304">
        <v>15</v>
      </c>
      <c r="AG1304" s="1" t="str">
        <f>IFERROR((N1304*P1304*Q1304), "NA")</f>
        <v>NA</v>
      </c>
      <c r="AH1304" s="1" t="str">
        <f>IFERROR((AG1304*U1304*AI1304), "NA")</f>
        <v>NA</v>
      </c>
      <c r="AI1304" s="1">
        <v>1</v>
      </c>
      <c r="AJ1304" s="11" t="s">
        <v>31</v>
      </c>
      <c r="AK1304">
        <v>1000</v>
      </c>
      <c r="AL1304" t="s">
        <v>614</v>
      </c>
      <c r="AM1304" s="3" t="s">
        <v>103</v>
      </c>
      <c r="AN1304" t="s">
        <v>305</v>
      </c>
      <c r="AO1304" t="s">
        <v>790</v>
      </c>
      <c r="AP1304">
        <v>3.5</v>
      </c>
      <c r="AQ1304" t="s">
        <v>33</v>
      </c>
      <c r="AR1304" t="s">
        <v>33</v>
      </c>
      <c r="AS1304">
        <v>8</v>
      </c>
      <c r="AT1304">
        <f>AS1304-AU1304</f>
        <v>6.39</v>
      </c>
      <c r="AU1304" s="6">
        <v>1.61</v>
      </c>
      <c r="AV1304" t="b">
        <v>1</v>
      </c>
      <c r="AW1304" t="s">
        <v>617</v>
      </c>
      <c r="AX1304" t="s">
        <v>33</v>
      </c>
      <c r="AY1304" t="s">
        <v>623</v>
      </c>
      <c r="AZ1304" t="s">
        <v>621</v>
      </c>
      <c r="BA1304" s="18" t="s">
        <v>802</v>
      </c>
      <c r="BB1304" s="3" t="b">
        <v>0</v>
      </c>
      <c r="BC1304" t="s">
        <v>81</v>
      </c>
      <c r="BD1304">
        <v>18</v>
      </c>
      <c r="BE1304" t="s">
        <v>80</v>
      </c>
      <c r="BF1304">
        <v>24</v>
      </c>
      <c r="BG1304" t="s">
        <v>569</v>
      </c>
      <c r="BH1304" t="s">
        <v>31</v>
      </c>
      <c r="BI1304" t="s">
        <v>31</v>
      </c>
      <c r="BJ1304">
        <f t="shared" si="652"/>
        <v>1.61</v>
      </c>
      <c r="BK1304" s="3">
        <f t="shared" si="648"/>
        <v>0.20682587603184974</v>
      </c>
      <c r="BL1304">
        <v>2</v>
      </c>
      <c r="BM1304" s="3">
        <f t="shared" si="669"/>
        <v>0.76514540036790668</v>
      </c>
      <c r="BN1304" t="s">
        <v>33</v>
      </c>
      <c r="BO1304" s="3">
        <f t="shared" si="662"/>
        <v>5.8229813664596266</v>
      </c>
      <c r="BP1304" t="s">
        <v>33</v>
      </c>
      <c r="BQ1304" t="s">
        <v>33</v>
      </c>
      <c r="BR1304" t="s">
        <v>33</v>
      </c>
      <c r="BS1304" t="s">
        <v>33</v>
      </c>
      <c r="BT1304" t="s">
        <v>31</v>
      </c>
      <c r="BU1304" t="s">
        <v>255</v>
      </c>
      <c r="BV1304">
        <v>2010</v>
      </c>
      <c r="BW1304" t="s">
        <v>651</v>
      </c>
      <c r="BX1304" t="s">
        <v>78</v>
      </c>
      <c r="BY1304" s="13" t="s">
        <v>674</v>
      </c>
      <c r="CA1304" t="str">
        <f t="shared" si="663"/>
        <v>high acid</v>
      </c>
    </row>
    <row r="1305" spans="1:79">
      <c r="A1305" t="s">
        <v>698</v>
      </c>
      <c r="B1305" t="s">
        <v>566</v>
      </c>
      <c r="C1305" t="s">
        <v>563</v>
      </c>
      <c r="D1305" t="s">
        <v>699</v>
      </c>
      <c r="E1305" t="s">
        <v>77</v>
      </c>
      <c r="F1305" t="s">
        <v>32</v>
      </c>
      <c r="G1305">
        <v>20</v>
      </c>
      <c r="H1305">
        <v>42.5</v>
      </c>
      <c r="I1305" t="b">
        <v>1</v>
      </c>
      <c r="J1305" t="s">
        <v>33</v>
      </c>
      <c r="K1305" t="s">
        <v>33</v>
      </c>
      <c r="L1305">
        <v>20</v>
      </c>
      <c r="M1305" s="4">
        <v>47</v>
      </c>
      <c r="N1305" s="3">
        <f>IFERROR(AF1305/((T1305*X1305/Y1305)*O1305*AI1305),"NA")</f>
        <v>46.759259259259245</v>
      </c>
      <c r="O1305">
        <v>5</v>
      </c>
      <c r="P1305">
        <v>0.43</v>
      </c>
      <c r="Q1305" s="8">
        <f>IFERROR(X1305/Y1305, "NA")</f>
        <v>0.43200000000000011</v>
      </c>
      <c r="R1305" t="s">
        <v>183</v>
      </c>
      <c r="S1305" t="s">
        <v>612</v>
      </c>
      <c r="T1305" s="11">
        <v>1</v>
      </c>
      <c r="U1305">
        <v>4</v>
      </c>
      <c r="V1305" t="s">
        <v>33</v>
      </c>
      <c r="W1305">
        <f>0.4*3*0.5</f>
        <v>0.60000000000000009</v>
      </c>
      <c r="X1305" s="9">
        <f>W1305</f>
        <v>0.60000000000000009</v>
      </c>
      <c r="Y1305" s="6">
        <f>5000/3600</f>
        <v>1.3888888888888888</v>
      </c>
      <c r="Z1305" s="3">
        <f t="shared" si="670"/>
        <v>1.3960396039603959</v>
      </c>
      <c r="AA1305" t="s">
        <v>33</v>
      </c>
      <c r="AB1305" s="4">
        <f>IFERROR(((X1305*M1305)/Y1305), "NA")</f>
        <v>20.304000000000002</v>
      </c>
      <c r="AC1305" s="4">
        <f t="shared" si="671"/>
        <v>20.21</v>
      </c>
      <c r="AD1305" s="4">
        <f>AB1305*T1305*AI1305</f>
        <v>20.304000000000002</v>
      </c>
      <c r="AE1305" s="3">
        <f t="shared" si="672"/>
        <v>81.216000000000022</v>
      </c>
      <c r="AF1305">
        <v>101</v>
      </c>
      <c r="AG1305" s="4">
        <f>IFERROR((M1305*O1305*P1305), "NA")</f>
        <v>101.05</v>
      </c>
      <c r="AH1305" s="4">
        <f>IFERROR((AG1305*T1305*AI1305), "NA")</f>
        <v>101.05</v>
      </c>
      <c r="AI1305">
        <v>1</v>
      </c>
      <c r="AJ1305" s="11" t="s">
        <v>31</v>
      </c>
      <c r="AK1305">
        <v>2000</v>
      </c>
      <c r="AL1305" t="s">
        <v>784</v>
      </c>
      <c r="AM1305" t="s">
        <v>103</v>
      </c>
      <c r="AN1305" t="s">
        <v>130</v>
      </c>
      <c r="AO1305" t="s">
        <v>795</v>
      </c>
      <c r="AP1305">
        <v>7</v>
      </c>
      <c r="AQ1305" t="s">
        <v>33</v>
      </c>
      <c r="AR1305" t="s">
        <v>33</v>
      </c>
      <c r="AS1305" s="6">
        <f>LOG(AVERAGE(10^8, 10^9))</f>
        <v>8.7403626894942441</v>
      </c>
      <c r="AT1305" s="3">
        <f>IFERROR(AS1305-AU1305,"NA")</f>
        <v>6.4013626894942437</v>
      </c>
      <c r="AU1305" s="6">
        <v>2.339</v>
      </c>
      <c r="AV1305" t="b">
        <v>1</v>
      </c>
      <c r="AW1305" t="s">
        <v>29</v>
      </c>
      <c r="AX1305" t="s">
        <v>30</v>
      </c>
      <c r="AY1305" t="s">
        <v>361</v>
      </c>
      <c r="AZ1305" t="s">
        <v>33</v>
      </c>
      <c r="BA1305" s="18" t="s">
        <v>798</v>
      </c>
      <c r="BB1305" s="3" t="b">
        <v>0</v>
      </c>
      <c r="BC1305" t="s">
        <v>81</v>
      </c>
      <c r="BD1305">
        <v>24</v>
      </c>
      <c r="BE1305" t="s">
        <v>80</v>
      </c>
      <c r="BF1305">
        <v>24</v>
      </c>
      <c r="BG1305" t="s">
        <v>568</v>
      </c>
      <c r="BH1305" t="s">
        <v>31</v>
      </c>
      <c r="BI1305" t="s">
        <v>31</v>
      </c>
      <c r="BJ1305" s="3">
        <f t="shared" si="652"/>
        <v>2.339</v>
      </c>
      <c r="BK1305" s="3">
        <f t="shared" si="648"/>
        <v>0.36903022180915301</v>
      </c>
      <c r="BL1305">
        <v>2</v>
      </c>
      <c r="BM1305" s="3">
        <f t="shared" si="669"/>
        <v>1.5406113742694389</v>
      </c>
      <c r="BN1305" t="s">
        <v>33</v>
      </c>
      <c r="BO1305" s="3">
        <f t="shared" si="662"/>
        <v>34.722530996152209</v>
      </c>
      <c r="BP1305" t="s">
        <v>33</v>
      </c>
      <c r="BQ1305" t="s">
        <v>33</v>
      </c>
      <c r="BR1305" t="s">
        <v>33</v>
      </c>
      <c r="BS1305" t="s">
        <v>33</v>
      </c>
      <c r="BT1305" t="s">
        <v>32</v>
      </c>
      <c r="BU1305" t="s">
        <v>709</v>
      </c>
      <c r="BV1305">
        <v>2024</v>
      </c>
      <c r="BW1305" t="s">
        <v>710</v>
      </c>
      <c r="BX1305" t="s">
        <v>78</v>
      </c>
      <c r="BY1305" t="s">
        <v>711</v>
      </c>
      <c r="CA1305" t="str">
        <f t="shared" si="663"/>
        <v>low acid</v>
      </c>
    </row>
    <row r="1306" spans="1:79">
      <c r="A1306" t="s">
        <v>712</v>
      </c>
      <c r="B1306" t="s">
        <v>566</v>
      </c>
      <c r="C1306" t="s">
        <v>563</v>
      </c>
      <c r="D1306" t="s">
        <v>699</v>
      </c>
      <c r="E1306" t="s">
        <v>77</v>
      </c>
      <c r="F1306" t="s">
        <v>32</v>
      </c>
      <c r="G1306">
        <v>20</v>
      </c>
      <c r="H1306">
        <v>64</v>
      </c>
      <c r="I1306" t="b">
        <v>1</v>
      </c>
      <c r="J1306" t="s">
        <v>33</v>
      </c>
      <c r="K1306" t="s">
        <v>33</v>
      </c>
      <c r="L1306">
        <v>20</v>
      </c>
      <c r="M1306" s="4">
        <v>64</v>
      </c>
      <c r="N1306" s="3">
        <f>IFERROR(AF1306/((T1306*X1306/Y1306)*O1306*AI1306),"NA")</f>
        <v>63.657407407407391</v>
      </c>
      <c r="O1306">
        <v>5</v>
      </c>
      <c r="P1306">
        <v>0.43</v>
      </c>
      <c r="Q1306" s="8">
        <f>IFERROR(X1306/Y1306, "NA")</f>
        <v>0.43200000000000011</v>
      </c>
      <c r="R1306" t="s">
        <v>183</v>
      </c>
      <c r="S1306" t="s">
        <v>612</v>
      </c>
      <c r="T1306" s="11">
        <v>1</v>
      </c>
      <c r="U1306">
        <v>4</v>
      </c>
      <c r="V1306" t="s">
        <v>33</v>
      </c>
      <c r="W1306">
        <f>0.4*3*0.5</f>
        <v>0.60000000000000009</v>
      </c>
      <c r="X1306" s="9">
        <f>W1306</f>
        <v>0.60000000000000009</v>
      </c>
      <c r="Y1306" s="6">
        <f>5000/3600</f>
        <v>1.3888888888888888</v>
      </c>
      <c r="Z1306" s="3">
        <f t="shared" si="670"/>
        <v>1.3963636363636365</v>
      </c>
      <c r="AA1306" t="s">
        <v>33</v>
      </c>
      <c r="AB1306" s="4">
        <f>IFERROR(((X1306*M1306)/Y1306), "NA")</f>
        <v>27.648000000000007</v>
      </c>
      <c r="AC1306" s="4">
        <f t="shared" si="671"/>
        <v>27.52</v>
      </c>
      <c r="AD1306" s="4">
        <f>AB1306*T1306*AI1306</f>
        <v>27.648000000000007</v>
      </c>
      <c r="AE1306" s="3">
        <f t="shared" si="672"/>
        <v>110.59200000000003</v>
      </c>
      <c r="AF1306">
        <v>137.5</v>
      </c>
      <c r="AG1306" s="4">
        <f>IFERROR((M1306*O1306*P1306), "NA")</f>
        <v>137.6</v>
      </c>
      <c r="AH1306" s="4">
        <f>IFERROR((AG1306*T1306*AI1306), "NA")</f>
        <v>137.6</v>
      </c>
      <c r="AI1306">
        <v>1</v>
      </c>
      <c r="AJ1306" s="11" t="s">
        <v>31</v>
      </c>
      <c r="AK1306">
        <v>2000</v>
      </c>
      <c r="AL1306" t="s">
        <v>784</v>
      </c>
      <c r="AM1306" t="s">
        <v>103</v>
      </c>
      <c r="AN1306" t="s">
        <v>130</v>
      </c>
      <c r="AO1306" t="s">
        <v>795</v>
      </c>
      <c r="AP1306">
        <v>7</v>
      </c>
      <c r="AQ1306" t="s">
        <v>33</v>
      </c>
      <c r="AR1306" t="s">
        <v>33</v>
      </c>
      <c r="AS1306" s="6">
        <f>LOG(AVERAGE(10^8, 10^9))</f>
        <v>8.7403626894942441</v>
      </c>
      <c r="AT1306" s="3">
        <f>IFERROR(AS1306-AU1306,"NA")</f>
        <v>6.4013626894942437</v>
      </c>
      <c r="AU1306" s="6">
        <v>2.339</v>
      </c>
      <c r="AV1306" t="b">
        <v>1</v>
      </c>
      <c r="AW1306" t="s">
        <v>92</v>
      </c>
      <c r="AX1306" t="s">
        <v>93</v>
      </c>
      <c r="AY1306" t="s">
        <v>715</v>
      </c>
      <c r="AZ1306" t="s">
        <v>33</v>
      </c>
      <c r="BA1306" s="18" t="s">
        <v>801</v>
      </c>
      <c r="BB1306" s="3" t="b">
        <v>0</v>
      </c>
      <c r="BC1306" t="s">
        <v>81</v>
      </c>
      <c r="BD1306">
        <v>24</v>
      </c>
      <c r="BE1306" t="s">
        <v>80</v>
      </c>
      <c r="BF1306">
        <v>24</v>
      </c>
      <c r="BG1306" t="s">
        <v>568</v>
      </c>
      <c r="BH1306" t="s">
        <v>31</v>
      </c>
      <c r="BI1306" t="s">
        <v>31</v>
      </c>
      <c r="BJ1306" s="3">
        <f t="shared" si="652"/>
        <v>2.339</v>
      </c>
      <c r="BK1306" s="3">
        <f t="shared" si="648"/>
        <v>0.36903022180915301</v>
      </c>
      <c r="BL1306">
        <v>2</v>
      </c>
      <c r="BM1306" s="3">
        <f t="shared" si="669"/>
        <v>1.6746934903176087</v>
      </c>
      <c r="BN1306" t="s">
        <v>33</v>
      </c>
      <c r="BO1306" s="3">
        <f t="shared" si="662"/>
        <v>47.281744335185991</v>
      </c>
      <c r="BP1306" t="s">
        <v>33</v>
      </c>
      <c r="BQ1306" t="s">
        <v>33</v>
      </c>
      <c r="BR1306" t="s">
        <v>33</v>
      </c>
      <c r="BS1306" t="s">
        <v>33</v>
      </c>
      <c r="BT1306" t="s">
        <v>32</v>
      </c>
      <c r="BU1306" t="s">
        <v>709</v>
      </c>
      <c r="BV1306">
        <v>2024</v>
      </c>
      <c r="BW1306" t="s">
        <v>710</v>
      </c>
      <c r="BX1306" t="s">
        <v>78</v>
      </c>
      <c r="BY1306" t="s">
        <v>711</v>
      </c>
      <c r="CA1306" t="str">
        <f t="shared" si="663"/>
        <v>low acid</v>
      </c>
    </row>
    <row r="1307" spans="1:79">
      <c r="A1307" t="s">
        <v>152</v>
      </c>
      <c r="B1307" t="s">
        <v>565</v>
      </c>
      <c r="C1307" t="s">
        <v>563</v>
      </c>
      <c r="D1307" t="s">
        <v>118</v>
      </c>
      <c r="E1307" t="s">
        <v>77</v>
      </c>
      <c r="F1307" t="s">
        <v>32</v>
      </c>
      <c r="G1307">
        <v>20</v>
      </c>
      <c r="H1307" t="s">
        <v>33</v>
      </c>
      <c r="I1307" t="b">
        <v>0</v>
      </c>
      <c r="J1307" t="s">
        <v>33</v>
      </c>
      <c r="K1307" t="s">
        <v>33</v>
      </c>
      <c r="L1307">
        <v>17</v>
      </c>
      <c r="M1307" s="4">
        <v>500</v>
      </c>
      <c r="N1307" s="3">
        <f>IFERROR(AF1307/((T1307*X1307/Y1307)*O1307*AI1307),"NA")</f>
        <v>253.59847235959546</v>
      </c>
      <c r="O1307">
        <v>3</v>
      </c>
      <c r="P1307" t="s">
        <v>33</v>
      </c>
      <c r="Q1307" s="8">
        <f>IFERROR(X1307/Z1307, "NA")</f>
        <v>7.3333333333333332E-3</v>
      </c>
      <c r="R1307" t="s">
        <v>183</v>
      </c>
      <c r="S1307" t="s">
        <v>613</v>
      </c>
      <c r="T1307" s="11">
        <v>6</v>
      </c>
      <c r="U1307">
        <v>2.9</v>
      </c>
      <c r="V1307">
        <v>2.2999999999999998</v>
      </c>
      <c r="W1307" t="s">
        <v>33</v>
      </c>
      <c r="X1307" s="8">
        <f>IFERROR(((PI())*(((V1307*10^-1)/2)^2)*(U1307*10^-1)), "NA")</f>
        <v>1.204879322468025E-2</v>
      </c>
      <c r="Y1307" s="6">
        <f>50/60</f>
        <v>0.83333333333333337</v>
      </c>
      <c r="Z1307" s="3">
        <f t="shared" si="670"/>
        <v>1.6430172579109432</v>
      </c>
      <c r="AA1307" t="s">
        <v>33</v>
      </c>
      <c r="AB1307" s="6">
        <f>IFERROR(((X1307*M1307)/Z1307), "NA")</f>
        <v>3.666666666666667</v>
      </c>
      <c r="AC1307" t="str">
        <f t="shared" si="671"/>
        <v>NA</v>
      </c>
      <c r="AD1307" s="4">
        <f>IFERROR(AB1307*T1307*AI1307, "NA")</f>
        <v>22</v>
      </c>
      <c r="AE1307" s="3">
        <f t="shared" si="672"/>
        <v>21.935099999999998</v>
      </c>
      <c r="AF1307">
        <v>66</v>
      </c>
      <c r="AG1307" t="str">
        <f>IFERROR((M1307*O1307*P1307), "NA")</f>
        <v>NA</v>
      </c>
      <c r="AH1307" t="str">
        <f>IFERROR((AG1307*T1307*AI1307), "NA")</f>
        <v>NA</v>
      </c>
      <c r="AI1307" s="11">
        <v>1</v>
      </c>
      <c r="AJ1307" t="s">
        <v>31</v>
      </c>
      <c r="AK1307">
        <v>1150</v>
      </c>
      <c r="AL1307" t="s">
        <v>138</v>
      </c>
      <c r="AM1307" t="s">
        <v>86</v>
      </c>
      <c r="AN1307" t="s">
        <v>205</v>
      </c>
      <c r="AO1307" t="s">
        <v>789</v>
      </c>
      <c r="AP1307">
        <v>3.9</v>
      </c>
      <c r="AQ1307" t="s">
        <v>33</v>
      </c>
      <c r="AR1307" t="s">
        <v>33</v>
      </c>
      <c r="AS1307" s="3">
        <v>7.7720000000000002</v>
      </c>
      <c r="AT1307" s="3">
        <f>IFERROR(AS1307-AU1307,"NA")</f>
        <v>6.4020000000000001</v>
      </c>
      <c r="AU1307" s="6">
        <v>1.37</v>
      </c>
      <c r="AV1307" t="b">
        <v>1</v>
      </c>
      <c r="AW1307" t="s">
        <v>29</v>
      </c>
      <c r="AX1307" t="s">
        <v>30</v>
      </c>
      <c r="AY1307" t="s">
        <v>33</v>
      </c>
      <c r="AZ1307" t="s">
        <v>134</v>
      </c>
      <c r="BA1307" s="18" t="s">
        <v>798</v>
      </c>
      <c r="BB1307" t="b">
        <v>0</v>
      </c>
      <c r="BC1307" t="s">
        <v>81</v>
      </c>
      <c r="BD1307">
        <f>(48+24)/2</f>
        <v>36</v>
      </c>
      <c r="BE1307" t="s">
        <v>80</v>
      </c>
      <c r="BF1307" s="11">
        <f>(48+24)/2</f>
        <v>36</v>
      </c>
      <c r="BG1307" t="s">
        <v>139</v>
      </c>
      <c r="BH1307" t="s">
        <v>31</v>
      </c>
      <c r="BI1307" t="s">
        <v>31</v>
      </c>
      <c r="BJ1307" s="3">
        <f t="shared" si="652"/>
        <v>1.37</v>
      </c>
      <c r="BK1307" s="3">
        <f t="shared" si="648"/>
        <v>0.13672056715640679</v>
      </c>
      <c r="BL1307">
        <v>2</v>
      </c>
      <c r="BM1307" s="3">
        <f t="shared" si="669"/>
        <v>1.2044190514956215</v>
      </c>
      <c r="BN1307" t="s">
        <v>33</v>
      </c>
      <c r="BO1307" s="3">
        <f t="shared" si="662"/>
        <v>16.011021897810217</v>
      </c>
      <c r="BP1307" t="s">
        <v>33</v>
      </c>
      <c r="BQ1307" t="s">
        <v>33</v>
      </c>
      <c r="BR1307" t="s">
        <v>33</v>
      </c>
      <c r="BS1307" t="s">
        <v>33</v>
      </c>
      <c r="BT1307" t="s">
        <v>31</v>
      </c>
      <c r="BU1307" t="s">
        <v>135</v>
      </c>
      <c r="BV1307">
        <v>2011</v>
      </c>
      <c r="BW1307" s="7" t="s">
        <v>136</v>
      </c>
      <c r="BX1307" t="s">
        <v>78</v>
      </c>
      <c r="BY1307" t="s">
        <v>33</v>
      </c>
      <c r="BZ1307" t="s">
        <v>33</v>
      </c>
      <c r="CA1307" t="str">
        <f t="shared" si="663"/>
        <v>high acid</v>
      </c>
    </row>
    <row r="1308" spans="1:79">
      <c r="A1308" t="s">
        <v>592</v>
      </c>
      <c r="B1308" t="s">
        <v>566</v>
      </c>
      <c r="C1308" t="s">
        <v>563</v>
      </c>
      <c r="D1308" t="s">
        <v>607</v>
      </c>
      <c r="E1308" t="s">
        <v>77</v>
      </c>
      <c r="F1308" t="s">
        <v>32</v>
      </c>
      <c r="G1308" t="s">
        <v>33</v>
      </c>
      <c r="H1308">
        <v>35</v>
      </c>
      <c r="I1308" t="b">
        <v>0</v>
      </c>
      <c r="J1308">
        <v>30000</v>
      </c>
      <c r="K1308">
        <v>200</v>
      </c>
      <c r="L1308">
        <v>35</v>
      </c>
      <c r="M1308" s="4">
        <v>1</v>
      </c>
      <c r="N1308" t="e">
        <f>(#REF!*Y1308)/(T1308*X1308*O1308)</f>
        <v>#REF!</v>
      </c>
      <c r="O1308">
        <v>3</v>
      </c>
      <c r="P1308" t="s">
        <v>33</v>
      </c>
      <c r="Q1308" s="1">
        <f>IFERROR(X1308/Z1308, "NA")</f>
        <v>5.3933333333333326</v>
      </c>
      <c r="R1308" t="s">
        <v>183</v>
      </c>
      <c r="S1308" t="s">
        <v>33</v>
      </c>
      <c r="T1308">
        <v>1</v>
      </c>
      <c r="U1308">
        <v>2.5</v>
      </c>
      <c r="V1308" t="s">
        <v>33</v>
      </c>
      <c r="W1308">
        <v>0.50249999999999995</v>
      </c>
      <c r="X1308">
        <f>W1308</f>
        <v>0.50249999999999995</v>
      </c>
      <c r="Y1308" t="s">
        <v>33</v>
      </c>
      <c r="Z1308" s="3">
        <f t="shared" si="670"/>
        <v>9.3170580964153274E-2</v>
      </c>
      <c r="AA1308" t="s">
        <v>33</v>
      </c>
      <c r="AB1308">
        <f>IFERROR(((X1308*M1308)/Z1308), "NA")</f>
        <v>5.3933333333333326</v>
      </c>
      <c r="AC1308" s="1" t="str">
        <f t="shared" si="671"/>
        <v>NA</v>
      </c>
      <c r="AE1308" s="3">
        <f t="shared" si="672"/>
        <v>19.820499999999996</v>
      </c>
      <c r="AF1308">
        <v>16.18</v>
      </c>
      <c r="AG1308" s="1" t="str">
        <f>IFERROR((N1308*P1308*Q1308), "NA")</f>
        <v>NA</v>
      </c>
      <c r="AH1308" s="1" t="str">
        <f>IFERROR((AG1308*U1308*AI1308), "NA")</f>
        <v>NA</v>
      </c>
      <c r="AI1308" s="1">
        <v>1</v>
      </c>
      <c r="AJ1308" s="11" t="s">
        <v>31</v>
      </c>
      <c r="AK1308">
        <v>1000</v>
      </c>
      <c r="AL1308" t="s">
        <v>614</v>
      </c>
      <c r="AM1308" s="3" t="s">
        <v>103</v>
      </c>
      <c r="AN1308" t="s">
        <v>130</v>
      </c>
      <c r="AO1308" t="s">
        <v>795</v>
      </c>
      <c r="AP1308">
        <v>5.5</v>
      </c>
      <c r="AQ1308" t="s">
        <v>33</v>
      </c>
      <c r="AR1308" t="s">
        <v>33</v>
      </c>
      <c r="AS1308">
        <v>8</v>
      </c>
      <c r="AT1308">
        <f>AS1308-AU1308</f>
        <v>6.41</v>
      </c>
      <c r="AU1308" s="6">
        <v>1.59</v>
      </c>
      <c r="AV1308" t="b">
        <v>1</v>
      </c>
      <c r="AW1308" t="s">
        <v>626</v>
      </c>
      <c r="AX1308" t="s">
        <v>627</v>
      </c>
      <c r="AY1308" t="s">
        <v>633</v>
      </c>
      <c r="AZ1308" t="s">
        <v>33</v>
      </c>
      <c r="BA1308" s="18" t="s">
        <v>800</v>
      </c>
      <c r="BB1308" s="3" t="b">
        <v>0</v>
      </c>
      <c r="BC1308" t="s">
        <v>81</v>
      </c>
      <c r="BD1308">
        <v>24</v>
      </c>
      <c r="BE1308" t="s">
        <v>80</v>
      </c>
      <c r="BF1308">
        <v>48</v>
      </c>
      <c r="BG1308" t="s">
        <v>569</v>
      </c>
      <c r="BH1308" t="s">
        <v>31</v>
      </c>
      <c r="BI1308" t="s">
        <v>31</v>
      </c>
      <c r="BJ1308">
        <f t="shared" si="652"/>
        <v>1.59</v>
      </c>
      <c r="BK1308" s="3">
        <f t="shared" si="648"/>
        <v>0.20139712432045151</v>
      </c>
      <c r="BL1308">
        <v>2</v>
      </c>
      <c r="BM1308" s="3">
        <f t="shared" si="669"/>
        <v>1.0957174816563531</v>
      </c>
      <c r="BN1308" t="s">
        <v>33</v>
      </c>
      <c r="BO1308" s="3">
        <f t="shared" si="662"/>
        <v>12.465723270440249</v>
      </c>
      <c r="BP1308" t="s">
        <v>33</v>
      </c>
      <c r="BQ1308" t="s">
        <v>33</v>
      </c>
      <c r="BR1308" t="s">
        <v>33</v>
      </c>
      <c r="BS1308" t="s">
        <v>33</v>
      </c>
      <c r="BT1308" t="s">
        <v>31</v>
      </c>
      <c r="BU1308" s="15" t="s">
        <v>255</v>
      </c>
      <c r="BV1308">
        <v>2010</v>
      </c>
      <c r="BW1308" t="s">
        <v>659</v>
      </c>
      <c r="BX1308" t="s">
        <v>78</v>
      </c>
      <c r="BY1308" s="13" t="s">
        <v>680</v>
      </c>
      <c r="CA1308" t="str">
        <f t="shared" si="663"/>
        <v>low acid</v>
      </c>
    </row>
    <row r="1309" spans="1:79">
      <c r="A1309" t="s">
        <v>589</v>
      </c>
      <c r="B1309" t="s">
        <v>566</v>
      </c>
      <c r="C1309" t="s">
        <v>563</v>
      </c>
      <c r="D1309" t="s">
        <v>33</v>
      </c>
      <c r="E1309" t="s">
        <v>77</v>
      </c>
      <c r="F1309" t="s">
        <v>33</v>
      </c>
      <c r="G1309" t="s">
        <v>33</v>
      </c>
      <c r="H1309">
        <v>35</v>
      </c>
      <c r="I1309" t="b">
        <v>0</v>
      </c>
      <c r="J1309" t="s">
        <v>33</v>
      </c>
      <c r="K1309" t="s">
        <v>33</v>
      </c>
      <c r="L1309">
        <v>22</v>
      </c>
      <c r="M1309" s="4">
        <v>1</v>
      </c>
      <c r="N1309" t="e">
        <f>(#REF!*Y1309)/(T1309*X1309*O1309)</f>
        <v>#REF!</v>
      </c>
      <c r="O1309">
        <v>2</v>
      </c>
      <c r="P1309" t="s">
        <v>33</v>
      </c>
      <c r="Q1309" s="1">
        <f>IFERROR(X1309/Z1309, "NA")</f>
        <v>18.515000000000001</v>
      </c>
      <c r="R1309" t="s">
        <v>183</v>
      </c>
      <c r="S1309" t="s">
        <v>613</v>
      </c>
      <c r="T1309">
        <v>1</v>
      </c>
      <c r="U1309">
        <v>2.5</v>
      </c>
      <c r="V1309" t="s">
        <v>33</v>
      </c>
      <c r="W1309">
        <v>0.50249999999999995</v>
      </c>
      <c r="X1309">
        <f>W1309</f>
        <v>0.50249999999999995</v>
      </c>
      <c r="Y1309" t="s">
        <v>33</v>
      </c>
      <c r="Z1309" s="3">
        <f t="shared" si="670"/>
        <v>2.7140156629759649E-2</v>
      </c>
      <c r="AA1309" t="s">
        <v>33</v>
      </c>
      <c r="AB1309">
        <f>IFERROR(((X1309*M1309)/Z1309), "NA")</f>
        <v>18.515000000000001</v>
      </c>
      <c r="AC1309" s="1" t="str">
        <f t="shared" si="671"/>
        <v>NA</v>
      </c>
      <c r="AE1309" s="3">
        <f t="shared" si="672"/>
        <v>35.845039999999997</v>
      </c>
      <c r="AF1309">
        <v>37.03</v>
      </c>
      <c r="AG1309" s="1" t="str">
        <f>IFERROR((N1309*P1309*Q1309), "NA")</f>
        <v>NA</v>
      </c>
      <c r="AH1309" s="1" t="str">
        <f>IFERROR((AG1309*U1309*AI1309), "NA")</f>
        <v>NA</v>
      </c>
      <c r="AI1309" s="1">
        <v>1</v>
      </c>
      <c r="AJ1309" s="11" t="s">
        <v>31</v>
      </c>
      <c r="AK1309">
        <v>2000</v>
      </c>
      <c r="AL1309" t="s">
        <v>616</v>
      </c>
      <c r="AM1309" s="3" t="s">
        <v>103</v>
      </c>
      <c r="AN1309" t="s">
        <v>130</v>
      </c>
      <c r="AO1309" t="s">
        <v>795</v>
      </c>
      <c r="AP1309">
        <v>7</v>
      </c>
      <c r="AQ1309" t="s">
        <v>33</v>
      </c>
      <c r="AR1309" t="s">
        <v>33</v>
      </c>
      <c r="AS1309">
        <v>9</v>
      </c>
      <c r="AT1309">
        <f>AS1309-AU1309</f>
        <v>6.41</v>
      </c>
      <c r="AU1309" s="6">
        <v>2.59</v>
      </c>
      <c r="AV1309" t="b">
        <v>1</v>
      </c>
      <c r="AW1309" t="s">
        <v>617</v>
      </c>
      <c r="AX1309" t="s">
        <v>33</v>
      </c>
      <c r="AY1309" t="s">
        <v>629</v>
      </c>
      <c r="AZ1309" t="s">
        <v>630</v>
      </c>
      <c r="BA1309" s="18" t="s">
        <v>802</v>
      </c>
      <c r="BB1309" s="3" t="b">
        <v>0</v>
      </c>
      <c r="BC1309" t="s">
        <v>81</v>
      </c>
      <c r="BD1309">
        <v>24</v>
      </c>
      <c r="BE1309" t="s">
        <v>80</v>
      </c>
      <c r="BF1309">
        <v>24</v>
      </c>
      <c r="BG1309" t="s">
        <v>644</v>
      </c>
      <c r="BH1309" t="s">
        <v>31</v>
      </c>
      <c r="BI1309" t="s">
        <v>31</v>
      </c>
      <c r="BJ1309">
        <f t="shared" si="652"/>
        <v>2.59</v>
      </c>
      <c r="BK1309" s="3">
        <f t="shared" si="648"/>
        <v>0.4132997640812518</v>
      </c>
      <c r="BL1309">
        <v>2</v>
      </c>
      <c r="BM1309" s="3">
        <f t="shared" si="669"/>
        <v>1.1411293052765845</v>
      </c>
      <c r="BN1309" t="s">
        <v>33</v>
      </c>
      <c r="BO1309" s="3">
        <f t="shared" si="662"/>
        <v>13.839783783783783</v>
      </c>
      <c r="BP1309" t="s">
        <v>33</v>
      </c>
      <c r="BQ1309" t="s">
        <v>33</v>
      </c>
      <c r="BR1309" t="s">
        <v>33</v>
      </c>
      <c r="BS1309" t="s">
        <v>33</v>
      </c>
      <c r="BT1309" t="s">
        <v>31</v>
      </c>
      <c r="BU1309" s="15" t="s">
        <v>655</v>
      </c>
      <c r="BV1309">
        <v>2003</v>
      </c>
      <c r="BW1309" t="s">
        <v>656</v>
      </c>
      <c r="BX1309" t="s">
        <v>78</v>
      </c>
      <c r="BY1309" s="13" t="s">
        <v>677</v>
      </c>
      <c r="CA1309" t="str">
        <f t="shared" si="663"/>
        <v>low acid</v>
      </c>
    </row>
    <row r="1310" spans="1:79">
      <c r="A1310" t="s">
        <v>429</v>
      </c>
      <c r="B1310" t="s">
        <v>565</v>
      </c>
      <c r="C1310" t="s">
        <v>563</v>
      </c>
      <c r="D1310" t="s">
        <v>118</v>
      </c>
      <c r="E1310" t="s">
        <v>77</v>
      </c>
      <c r="F1310" t="s">
        <v>32</v>
      </c>
      <c r="G1310">
        <v>4</v>
      </c>
      <c r="H1310">
        <v>40</v>
      </c>
      <c r="I1310" t="b">
        <v>0</v>
      </c>
      <c r="J1310" t="s">
        <v>33</v>
      </c>
      <c r="K1310" t="s">
        <v>33</v>
      </c>
      <c r="L1310">
        <v>35</v>
      </c>
      <c r="M1310" s="4">
        <v>200</v>
      </c>
      <c r="N1310" s="3">
        <f>IFERROR(AF1310/((T1310*X1310/Y1310)*O1310*AI1310),"NA")</f>
        <v>53.169225170847</v>
      </c>
      <c r="O1310">
        <v>4</v>
      </c>
      <c r="P1310" t="s">
        <v>33</v>
      </c>
      <c r="Q1310" s="8">
        <f>IFERROR(X1310/Z1310, "NA")</f>
        <v>3.2031250000000002E-3</v>
      </c>
      <c r="R1310" t="s">
        <v>183</v>
      </c>
      <c r="S1310" t="s">
        <v>613</v>
      </c>
      <c r="T1310" s="11">
        <v>8</v>
      </c>
      <c r="U1310">
        <v>2.9</v>
      </c>
      <c r="V1310">
        <v>2.2999999999999998</v>
      </c>
      <c r="W1310" t="s">
        <v>33</v>
      </c>
      <c r="X1310" s="9">
        <f>IFERROR(((PI())*(((V1310*10^-1)/2)^2)*(U1310*10^-1)), "NA")</f>
        <v>1.204879322468025E-2</v>
      </c>
      <c r="Y1310" s="6">
        <f>60/60</f>
        <v>1</v>
      </c>
      <c r="Z1310" s="3">
        <f t="shared" si="670"/>
        <v>3.7615744701440779</v>
      </c>
      <c r="AA1310" t="s">
        <v>33</v>
      </c>
      <c r="AB1310" s="6">
        <f>IFERROR(((X1310*M1310)/Y1310), "NA")</f>
        <v>2.40975864493605</v>
      </c>
      <c r="AC1310" t="str">
        <f t="shared" si="671"/>
        <v>NA</v>
      </c>
      <c r="AD1310" s="4">
        <f>IFERROR(AB1310*T1310*AI1310, "NA")</f>
        <v>19.2780691594884</v>
      </c>
      <c r="AE1310" s="3">
        <f t="shared" si="672"/>
        <v>38.673249999999996</v>
      </c>
      <c r="AF1310">
        <v>20.5</v>
      </c>
      <c r="AG1310" t="str">
        <f>IFERROR((M1310*O1310*P1310), "NA")</f>
        <v>NA</v>
      </c>
      <c r="AH1310" t="str">
        <f>IFERROR((AG1310*T1310*AI1310), "NA")</f>
        <v>NA</v>
      </c>
      <c r="AI1310" s="11">
        <v>1</v>
      </c>
      <c r="AJ1310" t="s">
        <v>31</v>
      </c>
      <c r="AK1310">
        <v>1540</v>
      </c>
      <c r="AL1310" t="s">
        <v>424</v>
      </c>
      <c r="AM1310" t="s">
        <v>86</v>
      </c>
      <c r="AN1310" t="s">
        <v>205</v>
      </c>
      <c r="AO1310" t="s">
        <v>789</v>
      </c>
      <c r="AP1310" s="4">
        <v>3.67</v>
      </c>
      <c r="AQ1310" t="s">
        <v>33</v>
      </c>
      <c r="AR1310" t="s">
        <v>33</v>
      </c>
      <c r="AS1310" s="3">
        <v>7.54</v>
      </c>
      <c r="AT1310" s="3">
        <f>IFERROR(AS1310-AU1310,"NA")</f>
        <v>6.4130000000000003</v>
      </c>
      <c r="AU1310" s="6">
        <v>1.127</v>
      </c>
      <c r="AV1310" t="b">
        <v>1</v>
      </c>
      <c r="AW1310" t="s">
        <v>92</v>
      </c>
      <c r="AX1310" t="s">
        <v>119</v>
      </c>
      <c r="AY1310" t="s">
        <v>425</v>
      </c>
      <c r="AZ1310" t="s">
        <v>33</v>
      </c>
      <c r="BA1310" s="18" t="s">
        <v>801</v>
      </c>
      <c r="BB1310" t="b">
        <v>0</v>
      </c>
      <c r="BC1310" t="s">
        <v>81</v>
      </c>
      <c r="BD1310">
        <v>15</v>
      </c>
      <c r="BE1310" t="s">
        <v>80</v>
      </c>
      <c r="BF1310" s="11">
        <v>36</v>
      </c>
      <c r="BG1310" t="s">
        <v>573</v>
      </c>
      <c r="BH1310" t="s">
        <v>31</v>
      </c>
      <c r="BI1310" t="s">
        <v>31</v>
      </c>
      <c r="BJ1310" s="3">
        <f t="shared" si="652"/>
        <v>1.127</v>
      </c>
      <c r="BK1310" s="3">
        <f t="shared" si="648"/>
        <v>5.1923916046106543E-2</v>
      </c>
      <c r="BL1310">
        <v>2</v>
      </c>
      <c r="BM1310" s="3">
        <f t="shared" si="669"/>
        <v>1.5354867545466619</v>
      </c>
      <c r="BN1310" t="s">
        <v>33</v>
      </c>
      <c r="BO1310" s="3">
        <f t="shared" si="662"/>
        <v>34.315217391304344</v>
      </c>
      <c r="BP1310" t="s">
        <v>33</v>
      </c>
      <c r="BQ1310" t="s">
        <v>33</v>
      </c>
      <c r="BR1310" t="s">
        <v>33</v>
      </c>
      <c r="BS1310" t="s">
        <v>33</v>
      </c>
      <c r="BT1310" t="s">
        <v>31</v>
      </c>
      <c r="BU1310" t="s">
        <v>426</v>
      </c>
      <c r="BV1310">
        <v>2017</v>
      </c>
      <c r="BW1310" t="s">
        <v>427</v>
      </c>
      <c r="BX1310" t="s">
        <v>78</v>
      </c>
      <c r="BY1310" t="s">
        <v>428</v>
      </c>
      <c r="BZ1310" t="s">
        <v>33</v>
      </c>
      <c r="CA1310" t="str">
        <f t="shared" si="663"/>
        <v>high acid</v>
      </c>
    </row>
    <row r="1311" spans="1:79">
      <c r="A1311" t="s">
        <v>722</v>
      </c>
      <c r="B1311" t="s">
        <v>566</v>
      </c>
      <c r="C1311" t="s">
        <v>563</v>
      </c>
      <c r="D1311" t="s">
        <v>699</v>
      </c>
      <c r="E1311" t="s">
        <v>77</v>
      </c>
      <c r="F1311" t="s">
        <v>32</v>
      </c>
      <c r="G1311">
        <v>20</v>
      </c>
      <c r="H1311">
        <v>41</v>
      </c>
      <c r="I1311" t="b">
        <v>1</v>
      </c>
      <c r="J1311" t="s">
        <v>33</v>
      </c>
      <c r="K1311" t="s">
        <v>33</v>
      </c>
      <c r="L1311">
        <v>20</v>
      </c>
      <c r="M1311" s="4">
        <v>30</v>
      </c>
      <c r="N1311" s="3">
        <f>IFERROR(AF1311/((T1311*X1311/Y1311)*O1311*AI1311),"NA")</f>
        <v>29.861111111111104</v>
      </c>
      <c r="O1311">
        <v>5</v>
      </c>
      <c r="P1311">
        <v>0.43</v>
      </c>
      <c r="Q1311" s="8">
        <f>IFERROR(X1311/Y1311, "NA")</f>
        <v>0.43200000000000011</v>
      </c>
      <c r="R1311" t="s">
        <v>183</v>
      </c>
      <c r="S1311" t="s">
        <v>612</v>
      </c>
      <c r="T1311" s="11">
        <v>1</v>
      </c>
      <c r="U1311">
        <v>4</v>
      </c>
      <c r="V1311" t="s">
        <v>33</v>
      </c>
      <c r="W1311">
        <f>0.4*3*0.5</f>
        <v>0.60000000000000009</v>
      </c>
      <c r="X1311" s="9">
        <f>W1311</f>
        <v>0.60000000000000009</v>
      </c>
      <c r="Y1311" s="6">
        <f>5000/3600</f>
        <v>1.3888888888888888</v>
      </c>
      <c r="Z1311" s="3">
        <f t="shared" si="670"/>
        <v>1.3953488372093026</v>
      </c>
      <c r="AA1311" t="s">
        <v>33</v>
      </c>
      <c r="AB1311" s="4">
        <f>IFERROR(((X1311*M1311)/Y1311), "NA")</f>
        <v>12.960000000000003</v>
      </c>
      <c r="AC1311" s="4">
        <f t="shared" si="671"/>
        <v>12.9</v>
      </c>
      <c r="AD1311" s="4">
        <f>AB1311*T1311*AI1311</f>
        <v>12.960000000000003</v>
      </c>
      <c r="AE1311" s="3">
        <f t="shared" si="672"/>
        <v>51.840000000000011</v>
      </c>
      <c r="AF1311">
        <v>64.5</v>
      </c>
      <c r="AG1311" s="4">
        <f>IFERROR((M1311*O1311*P1311), "NA")</f>
        <v>64.5</v>
      </c>
      <c r="AH1311" s="4">
        <f>IFERROR((AG1311*T1311*AI1311), "NA")</f>
        <v>64.5</v>
      </c>
      <c r="AI1311">
        <v>1</v>
      </c>
      <c r="AJ1311" s="11" t="s">
        <v>31</v>
      </c>
      <c r="AK1311">
        <v>2000</v>
      </c>
      <c r="AL1311" t="s">
        <v>784</v>
      </c>
      <c r="AM1311" t="s">
        <v>103</v>
      </c>
      <c r="AN1311" t="s">
        <v>130</v>
      </c>
      <c r="AO1311" t="s">
        <v>795</v>
      </c>
      <c r="AP1311">
        <v>7</v>
      </c>
      <c r="AQ1311" t="s">
        <v>33</v>
      </c>
      <c r="AR1311" t="s">
        <v>33</v>
      </c>
      <c r="AS1311" s="6">
        <f>LOG(AVERAGE(10^8, 10^9))</f>
        <v>8.7403626894942441</v>
      </c>
      <c r="AT1311" s="3">
        <f>IFERROR(AS1311-AU1311,"NA")</f>
        <v>6.418362689494244</v>
      </c>
      <c r="AU1311" s="6">
        <v>2.3220000000000001</v>
      </c>
      <c r="AV1311" t="b">
        <v>1</v>
      </c>
      <c r="AW1311" t="s">
        <v>123</v>
      </c>
      <c r="AX1311" t="s">
        <v>88</v>
      </c>
      <c r="AY1311" t="s">
        <v>730</v>
      </c>
      <c r="AZ1311" t="s">
        <v>33</v>
      </c>
      <c r="BA1311" s="18" t="s">
        <v>579</v>
      </c>
      <c r="BB1311" s="3" t="b">
        <v>1</v>
      </c>
      <c r="BC1311" t="s">
        <v>81</v>
      </c>
      <c r="BD1311">
        <v>24</v>
      </c>
      <c r="BE1311" t="s">
        <v>80</v>
      </c>
      <c r="BF1311">
        <v>48</v>
      </c>
      <c r="BG1311" t="s">
        <v>395</v>
      </c>
      <c r="BH1311" t="s">
        <v>31</v>
      </c>
      <c r="BI1311" t="s">
        <v>31</v>
      </c>
      <c r="BJ1311" s="3">
        <f t="shared" si="652"/>
        <v>2.3220000000000001</v>
      </c>
      <c r="BK1311" s="3">
        <f t="shared" si="648"/>
        <v>0.36586221540255504</v>
      </c>
      <c r="BL1311">
        <v>2</v>
      </c>
      <c r="BM1311" s="3">
        <f t="shared" si="669"/>
        <v>1.348802777459982</v>
      </c>
      <c r="BN1311" t="s">
        <v>33</v>
      </c>
      <c r="BO1311" s="3">
        <f t="shared" si="662"/>
        <v>22.325581395348841</v>
      </c>
      <c r="BP1311" t="s">
        <v>33</v>
      </c>
      <c r="BQ1311" t="s">
        <v>33</v>
      </c>
      <c r="BR1311" t="s">
        <v>33</v>
      </c>
      <c r="BS1311" t="s">
        <v>33</v>
      </c>
      <c r="BT1311" t="s">
        <v>32</v>
      </c>
      <c r="BU1311" t="s">
        <v>709</v>
      </c>
      <c r="BV1311">
        <v>2024</v>
      </c>
      <c r="BW1311" t="s">
        <v>710</v>
      </c>
      <c r="BX1311" t="s">
        <v>78</v>
      </c>
      <c r="BY1311" t="s">
        <v>711</v>
      </c>
      <c r="CA1311" t="str">
        <f t="shared" si="663"/>
        <v>low acid</v>
      </c>
    </row>
    <row r="1312" spans="1:79">
      <c r="A1312" t="s">
        <v>452</v>
      </c>
      <c r="B1312" t="s">
        <v>565</v>
      </c>
      <c r="C1312" t="s">
        <v>563</v>
      </c>
      <c r="D1312" t="s">
        <v>182</v>
      </c>
      <c r="E1312" t="s">
        <v>77</v>
      </c>
      <c r="F1312" t="s">
        <v>32</v>
      </c>
      <c r="G1312">
        <v>18</v>
      </c>
      <c r="H1312">
        <v>39</v>
      </c>
      <c r="I1312" t="b">
        <v>1</v>
      </c>
      <c r="J1312" t="s">
        <v>33</v>
      </c>
      <c r="K1312" t="s">
        <v>33</v>
      </c>
      <c r="L1312">
        <v>27</v>
      </c>
      <c r="M1312" s="4" t="s">
        <v>33</v>
      </c>
      <c r="N1312" s="3">
        <f>IFERROR(AF1312/((T1312*X1312/Y1312)*O1312*AI1312),"NA")</f>
        <v>329.67224855987649</v>
      </c>
      <c r="O1312">
        <v>8</v>
      </c>
      <c r="P1312">
        <f>0.047/2</f>
        <v>2.35E-2</v>
      </c>
      <c r="Q1312" s="8">
        <f t="shared" ref="Q1312:Q1329" si="673">IFERROR(X1312/Z1312, "NA")</f>
        <v>2.3318614270936313E-2</v>
      </c>
      <c r="R1312" t="s">
        <v>183</v>
      </c>
      <c r="S1312" t="s">
        <v>613</v>
      </c>
      <c r="T1312" s="11">
        <v>2</v>
      </c>
      <c r="U1312">
        <v>5.6</v>
      </c>
      <c r="V1312">
        <v>4.5</v>
      </c>
      <c r="W1312" t="s">
        <v>33</v>
      </c>
      <c r="X1312" s="9">
        <f>IFERROR(((PI())*(((V1312*10^-1)/2)^2)*(U1312*10^-1)), "NA")</f>
        <v>8.9064151729270638E-2</v>
      </c>
      <c r="Y1312" s="6">
        <f>13750/3600</f>
        <v>3.8194444444444446</v>
      </c>
      <c r="Z1312" s="3">
        <f>IFERROR(X1312*N1312*O1312*T1312*AI1312/AF1312, "NA")</f>
        <v>3.8194444444444442</v>
      </c>
      <c r="AA1312" t="s">
        <v>33</v>
      </c>
      <c r="AB1312" s="4">
        <f>IFERROR(((X1312*N1312)/Y1312), "NA")</f>
        <v>7.6874999999999991</v>
      </c>
      <c r="AC1312" s="4">
        <f>IFERROR(N1312*P1312,"NA")</f>
        <v>7.7472978411570974</v>
      </c>
      <c r="AD1312" s="4">
        <f>AB1312*T1312*AI1312</f>
        <v>15.374999999999998</v>
      </c>
      <c r="AE1312" s="3">
        <f>IFERROR(((L1312^2)*N1312*O1312*AK1312*10^-6*Q1312*T1312*AI1312), "NA")</f>
        <v>206.23409999999998</v>
      </c>
      <c r="AF1312">
        <v>123</v>
      </c>
      <c r="AG1312" s="4">
        <f>IFERROR((N1312*O1312*P1312), "NA")</f>
        <v>61.978382729256779</v>
      </c>
      <c r="AH1312" s="4">
        <f>IFERROR((AG1312*T1312*AI1312), "NA")</f>
        <v>123.95676545851356</v>
      </c>
      <c r="AI1312" s="11">
        <v>1</v>
      </c>
      <c r="AJ1312" t="s">
        <v>31</v>
      </c>
      <c r="AK1312">
        <v>2300</v>
      </c>
      <c r="AL1312" t="s">
        <v>805</v>
      </c>
      <c r="AM1312" t="s">
        <v>515</v>
      </c>
      <c r="AN1312" t="s">
        <v>205</v>
      </c>
      <c r="AO1312" t="s">
        <v>788</v>
      </c>
      <c r="AP1312">
        <v>3.68</v>
      </c>
      <c r="AQ1312" t="s">
        <v>33</v>
      </c>
      <c r="AR1312" t="s">
        <v>33</v>
      </c>
      <c r="AS1312">
        <f>LOG(10^8)</f>
        <v>8</v>
      </c>
      <c r="AT1312" s="3">
        <f>IFERROR(AS1312-AU1312,"NA")</f>
        <v>6.42</v>
      </c>
      <c r="AU1312" s="6">
        <v>1.58</v>
      </c>
      <c r="AV1312" t="b">
        <v>1</v>
      </c>
      <c r="AW1312" t="s">
        <v>123</v>
      </c>
      <c r="AX1312" t="s">
        <v>463</v>
      </c>
      <c r="AY1312" t="s">
        <v>467</v>
      </c>
      <c r="AZ1312" t="s">
        <v>33</v>
      </c>
      <c r="BA1312" s="18" t="s">
        <v>579</v>
      </c>
      <c r="BB1312" t="b">
        <v>1</v>
      </c>
      <c r="BC1312" t="s">
        <v>81</v>
      </c>
      <c r="BD1312" t="s">
        <v>33</v>
      </c>
      <c r="BE1312" t="s">
        <v>80</v>
      </c>
      <c r="BF1312" t="s">
        <v>33</v>
      </c>
      <c r="BG1312" t="s">
        <v>395</v>
      </c>
      <c r="BH1312" t="s">
        <v>31</v>
      </c>
      <c r="BI1312" t="s">
        <v>31</v>
      </c>
      <c r="BJ1312" s="3">
        <f t="shared" si="652"/>
        <v>1.58</v>
      </c>
      <c r="BK1312" s="3">
        <f t="shared" si="648"/>
        <v>0.19865708695442263</v>
      </c>
      <c r="BL1312">
        <v>2</v>
      </c>
      <c r="BM1312" s="3">
        <f t="shared" si="669"/>
        <v>2.1157033888205428</v>
      </c>
      <c r="BN1312" t="s">
        <v>33</v>
      </c>
      <c r="BO1312" s="3">
        <f t="shared" si="662"/>
        <v>130.52791139240506</v>
      </c>
      <c r="BP1312" t="s">
        <v>33</v>
      </c>
      <c r="BQ1312" t="s">
        <v>33</v>
      </c>
      <c r="BR1312" t="s">
        <v>33</v>
      </c>
      <c r="BS1312" t="s">
        <v>33</v>
      </c>
      <c r="BT1312" t="s">
        <v>32</v>
      </c>
      <c r="BU1312" t="s">
        <v>484</v>
      </c>
      <c r="BV1312">
        <v>2015</v>
      </c>
      <c r="BW1312" t="s">
        <v>485</v>
      </c>
      <c r="BX1312" t="s">
        <v>78</v>
      </c>
      <c r="BY1312" t="s">
        <v>486</v>
      </c>
      <c r="CA1312" t="str">
        <f t="shared" si="663"/>
        <v>high acid</v>
      </c>
    </row>
    <row r="1313" spans="1:79">
      <c r="A1313" t="s">
        <v>605</v>
      </c>
      <c r="B1313" t="s">
        <v>565</v>
      </c>
      <c r="C1313" t="s">
        <v>563</v>
      </c>
      <c r="D1313" t="s">
        <v>118</v>
      </c>
      <c r="E1313" t="s">
        <v>77</v>
      </c>
      <c r="F1313" t="s">
        <v>33</v>
      </c>
      <c r="G1313" t="s">
        <v>33</v>
      </c>
      <c r="H1313" t="s">
        <v>33</v>
      </c>
      <c r="I1313" t="b">
        <v>0</v>
      </c>
      <c r="J1313" t="s">
        <v>33</v>
      </c>
      <c r="K1313" t="s">
        <v>33</v>
      </c>
      <c r="L1313">
        <v>17</v>
      </c>
      <c r="M1313" s="4">
        <v>500</v>
      </c>
      <c r="N1313" t="e">
        <f>(#REF!*Y1313)/(T1313*X1313*O1313)</f>
        <v>#REF!</v>
      </c>
      <c r="O1313">
        <v>3</v>
      </c>
      <c r="P1313" t="s">
        <v>33</v>
      </c>
      <c r="Q1313" s="1">
        <f t="shared" si="673"/>
        <v>7.3333333333333332E-3</v>
      </c>
      <c r="R1313" t="s">
        <v>183</v>
      </c>
      <c r="S1313" t="s">
        <v>613</v>
      </c>
      <c r="T1313">
        <v>6</v>
      </c>
      <c r="U1313">
        <v>2.9</v>
      </c>
      <c r="V1313">
        <v>2.2999999999999998</v>
      </c>
      <c r="W1313" t="s">
        <v>33</v>
      </c>
      <c r="X1313">
        <f>IFERROR(((PI())*(((V1313*10^-1)/2)^2)*(U1313*10^-1)), "NA")</f>
        <v>1.204879322468025E-2</v>
      </c>
      <c r="Y1313">
        <v>0.83333299999999999</v>
      </c>
      <c r="Z1313" s="3">
        <f>IFERROR(X1313*M1313*O1313*T1313*AI1313/AF1313, "NA")</f>
        <v>1.6430172579109432</v>
      </c>
      <c r="AA1313" t="s">
        <v>33</v>
      </c>
      <c r="AB1313">
        <f>IFERROR(((X1313*M1313)/Z1313), "NA")</f>
        <v>3.666666666666667</v>
      </c>
      <c r="AC1313" s="1" t="str">
        <f>IFERROR(M1313*P1313,"NA")</f>
        <v>NA</v>
      </c>
      <c r="AE1313" s="3">
        <f>IFERROR(((L1313^2)*M1313*O1313*AK1313*10^-6*Q1313*T1313*AI1313), "NA")</f>
        <v>22.316580000000002</v>
      </c>
      <c r="AF1313">
        <v>66</v>
      </c>
      <c r="AG1313" s="1" t="str">
        <f>IFERROR((N1313*P1313*Q1313), "NA")</f>
        <v>NA</v>
      </c>
      <c r="AH1313" s="1" t="str">
        <f>IFERROR((AG1313*U1313*AI1313), "NA")</f>
        <v>NA</v>
      </c>
      <c r="AI1313" s="1">
        <v>1</v>
      </c>
      <c r="AJ1313" s="11" t="s">
        <v>31</v>
      </c>
      <c r="AK1313">
        <f>1.17*10^3</f>
        <v>1170</v>
      </c>
      <c r="AL1313" t="s">
        <v>138</v>
      </c>
      <c r="AM1313" t="s">
        <v>86</v>
      </c>
      <c r="AN1313" t="s">
        <v>205</v>
      </c>
      <c r="AO1313" t="s">
        <v>789</v>
      </c>
      <c r="AP1313">
        <v>3.85</v>
      </c>
      <c r="AQ1313" t="s">
        <v>33</v>
      </c>
      <c r="AR1313" t="s">
        <v>33</v>
      </c>
      <c r="AS1313">
        <v>7.78</v>
      </c>
      <c r="AT1313">
        <v>6.42</v>
      </c>
      <c r="AU1313" s="6">
        <f>AS1313-AT1313</f>
        <v>1.3600000000000003</v>
      </c>
      <c r="AV1313" t="b">
        <v>1</v>
      </c>
      <c r="AW1313" t="s">
        <v>632</v>
      </c>
      <c r="AX1313" t="s">
        <v>639</v>
      </c>
      <c r="AY1313" t="s">
        <v>33</v>
      </c>
      <c r="AZ1313" t="s">
        <v>33</v>
      </c>
      <c r="BA1313" s="18" t="s">
        <v>803</v>
      </c>
      <c r="BB1313" s="3" t="b">
        <v>0</v>
      </c>
      <c r="BC1313" t="s">
        <v>81</v>
      </c>
      <c r="BD1313">
        <f>AVERAGE(24,48)</f>
        <v>36</v>
      </c>
      <c r="BE1313" t="s">
        <v>80</v>
      </c>
      <c r="BF1313">
        <v>48</v>
      </c>
      <c r="BG1313" t="s">
        <v>647</v>
      </c>
      <c r="BH1313" t="s">
        <v>31</v>
      </c>
      <c r="BI1313" t="s">
        <v>31</v>
      </c>
      <c r="BJ1313" s="3">
        <f t="shared" si="652"/>
        <v>1.3600000000000003</v>
      </c>
      <c r="BK1313" s="3">
        <f t="shared" si="648"/>
        <v>0.13353890837021762</v>
      </c>
      <c r="BL1313">
        <v>2</v>
      </c>
      <c r="BM1313" s="3">
        <f t="shared" si="669"/>
        <v>1.2150887316743606</v>
      </c>
      <c r="BN1313" t="s">
        <v>33</v>
      </c>
      <c r="BO1313" s="3">
        <f t="shared" si="662"/>
        <v>16.409249999999997</v>
      </c>
      <c r="BP1313" t="s">
        <v>33</v>
      </c>
      <c r="BQ1313" t="s">
        <v>33</v>
      </c>
      <c r="BR1313" t="s">
        <v>33</v>
      </c>
      <c r="BS1313" t="s">
        <v>33</v>
      </c>
      <c r="BT1313" t="s">
        <v>31</v>
      </c>
      <c r="BU1313" s="13" t="s">
        <v>135</v>
      </c>
      <c r="BV1313" s="14">
        <v>2009</v>
      </c>
      <c r="BW1313" s="13" t="s">
        <v>136</v>
      </c>
      <c r="BX1313" t="s">
        <v>78</v>
      </c>
      <c r="BY1313" s="13" t="s">
        <v>692</v>
      </c>
      <c r="CA1313" t="str">
        <f t="shared" si="663"/>
        <v>high acid</v>
      </c>
    </row>
    <row r="1314" spans="1:79">
      <c r="A1314" t="s">
        <v>456</v>
      </c>
      <c r="B1314" t="s">
        <v>565</v>
      </c>
      <c r="C1314" t="s">
        <v>563</v>
      </c>
      <c r="D1314" t="s">
        <v>182</v>
      </c>
      <c r="E1314" t="s">
        <v>77</v>
      </c>
      <c r="F1314" t="s">
        <v>32</v>
      </c>
      <c r="G1314">
        <v>18</v>
      </c>
      <c r="H1314">
        <v>39</v>
      </c>
      <c r="I1314" t="b">
        <v>1</v>
      </c>
      <c r="J1314" t="s">
        <v>33</v>
      </c>
      <c r="K1314" t="s">
        <v>33</v>
      </c>
      <c r="L1314">
        <v>27</v>
      </c>
      <c r="M1314" s="4" t="s">
        <v>33</v>
      </c>
      <c r="N1314" s="3">
        <f>IFERROR(AF1314/((T1314*X1314/Y1314)*O1314*AI1314),"NA")</f>
        <v>329.67224855987649</v>
      </c>
      <c r="O1314">
        <v>8</v>
      </c>
      <c r="P1314">
        <f>0.047/2</f>
        <v>2.35E-2</v>
      </c>
      <c r="Q1314" s="8">
        <f t="shared" si="673"/>
        <v>2.3318614270936313E-2</v>
      </c>
      <c r="R1314" t="s">
        <v>183</v>
      </c>
      <c r="S1314" t="s">
        <v>613</v>
      </c>
      <c r="T1314" s="11">
        <v>2</v>
      </c>
      <c r="U1314">
        <v>5.6</v>
      </c>
      <c r="V1314">
        <v>4.5</v>
      </c>
      <c r="W1314" t="s">
        <v>33</v>
      </c>
      <c r="X1314" s="9">
        <f>IFERROR(((PI())*(((V1314*10^-1)/2)^2)*(U1314*10^-1)), "NA")</f>
        <v>8.9064151729270638E-2</v>
      </c>
      <c r="Y1314" s="6">
        <f>13750/3600</f>
        <v>3.8194444444444446</v>
      </c>
      <c r="Z1314" s="3">
        <f>IFERROR(X1314*N1314*O1314*T1314*AI1314/AF1314, "NA")</f>
        <v>3.8194444444444442</v>
      </c>
      <c r="AA1314" t="s">
        <v>33</v>
      </c>
      <c r="AB1314" s="4">
        <f>IFERROR(((X1314*N1314)/Y1314), "NA")</f>
        <v>7.6874999999999991</v>
      </c>
      <c r="AC1314" s="4">
        <f>IFERROR(N1314*P1314,"NA")</f>
        <v>7.7472978411570974</v>
      </c>
      <c r="AD1314" s="4">
        <f>AB1314*T1314*AI1314</f>
        <v>15.374999999999998</v>
      </c>
      <c r="AE1314" s="3">
        <f>IFERROR(((L1314^2)*N1314*O1314*AK1314*10^-6*Q1314*T1314*AI1314), "NA")</f>
        <v>206.23409999999998</v>
      </c>
      <c r="AF1314">
        <v>123</v>
      </c>
      <c r="AG1314" s="4">
        <f>IFERROR((N1314*O1314*P1314), "NA")</f>
        <v>61.978382729256779</v>
      </c>
      <c r="AH1314" s="4">
        <f>IFERROR((AG1314*T1314*AI1314), "NA")</f>
        <v>123.95676545851356</v>
      </c>
      <c r="AI1314" s="11">
        <v>1</v>
      </c>
      <c r="AJ1314" t="s">
        <v>31</v>
      </c>
      <c r="AK1314">
        <v>2300</v>
      </c>
      <c r="AL1314" t="s">
        <v>805</v>
      </c>
      <c r="AM1314" t="s">
        <v>515</v>
      </c>
      <c r="AN1314" t="s">
        <v>205</v>
      </c>
      <c r="AO1314" t="s">
        <v>788</v>
      </c>
      <c r="AP1314">
        <v>3.68</v>
      </c>
      <c r="AQ1314" t="s">
        <v>33</v>
      </c>
      <c r="AR1314" t="s">
        <v>33</v>
      </c>
      <c r="AS1314">
        <f>LOG(10^8)</f>
        <v>8</v>
      </c>
      <c r="AT1314" s="3">
        <f>IFERROR(AS1314-AU1314,"NA")</f>
        <v>6.43</v>
      </c>
      <c r="AU1314" s="6">
        <v>1.57</v>
      </c>
      <c r="AV1314" t="b">
        <v>1</v>
      </c>
      <c r="AW1314" t="s">
        <v>477</v>
      </c>
      <c r="AX1314" t="s">
        <v>471</v>
      </c>
      <c r="AY1314" t="s">
        <v>475</v>
      </c>
      <c r="AZ1314" t="s">
        <v>33</v>
      </c>
      <c r="BA1314" s="18" t="s">
        <v>579</v>
      </c>
      <c r="BB1314" t="b">
        <v>1</v>
      </c>
      <c r="BC1314" t="s">
        <v>81</v>
      </c>
      <c r="BD1314" t="s">
        <v>33</v>
      </c>
      <c r="BE1314" t="s">
        <v>80</v>
      </c>
      <c r="BF1314" t="s">
        <v>33</v>
      </c>
      <c r="BG1314" t="s">
        <v>483</v>
      </c>
      <c r="BH1314" t="s">
        <v>31</v>
      </c>
      <c r="BI1314" t="s">
        <v>31</v>
      </c>
      <c r="BJ1314" s="3">
        <f t="shared" si="652"/>
        <v>1.57</v>
      </c>
      <c r="BK1314" s="3">
        <f t="shared" si="648"/>
        <v>0.19589965240923377</v>
      </c>
      <c r="BL1314">
        <v>2</v>
      </c>
      <c r="BM1314" s="3">
        <f t="shared" si="669"/>
        <v>2.1184608233657318</v>
      </c>
      <c r="BN1314" t="s">
        <v>33</v>
      </c>
      <c r="BO1314" s="3">
        <f t="shared" si="662"/>
        <v>131.35929936305732</v>
      </c>
      <c r="BP1314" t="s">
        <v>33</v>
      </c>
      <c r="BQ1314" t="s">
        <v>33</v>
      </c>
      <c r="BR1314" t="s">
        <v>33</v>
      </c>
      <c r="BS1314" t="s">
        <v>33</v>
      </c>
      <c r="BT1314" t="s">
        <v>32</v>
      </c>
      <c r="BU1314" t="s">
        <v>484</v>
      </c>
      <c r="BV1314">
        <v>2015</v>
      </c>
      <c r="BW1314" t="s">
        <v>485</v>
      </c>
      <c r="BX1314" t="s">
        <v>78</v>
      </c>
      <c r="BY1314" t="s">
        <v>486</v>
      </c>
      <c r="CA1314" t="str">
        <f t="shared" si="663"/>
        <v>high acid</v>
      </c>
    </row>
    <row r="1315" spans="1:79">
      <c r="A1315" t="s">
        <v>594</v>
      </c>
      <c r="B1315" t="s">
        <v>566</v>
      </c>
      <c r="C1315" t="s">
        <v>563</v>
      </c>
      <c r="D1315" t="s">
        <v>33</v>
      </c>
      <c r="E1315" t="s">
        <v>77</v>
      </c>
      <c r="F1315" t="s">
        <v>32</v>
      </c>
      <c r="G1315" t="s">
        <v>33</v>
      </c>
      <c r="H1315">
        <v>20</v>
      </c>
      <c r="I1315" t="b">
        <v>1</v>
      </c>
      <c r="J1315" t="s">
        <v>33</v>
      </c>
      <c r="K1315" t="s">
        <v>33</v>
      </c>
      <c r="L1315">
        <v>30</v>
      </c>
      <c r="M1315" s="4">
        <v>2</v>
      </c>
      <c r="N1315" t="e">
        <f>(#REF!*Y1315)/(T1315*X1315*O1315)</f>
        <v>#REF!</v>
      </c>
      <c r="O1315">
        <v>2</v>
      </c>
      <c r="P1315" t="s">
        <v>33</v>
      </c>
      <c r="Q1315" s="1">
        <f t="shared" si="673"/>
        <v>7.1</v>
      </c>
      <c r="R1315" t="s">
        <v>183</v>
      </c>
      <c r="S1315" t="s">
        <v>613</v>
      </c>
      <c r="T1315">
        <v>1</v>
      </c>
      <c r="U1315">
        <v>5</v>
      </c>
      <c r="V1315" t="s">
        <v>33</v>
      </c>
      <c r="W1315">
        <v>0.71</v>
      </c>
      <c r="X1315">
        <f>W1315</f>
        <v>0.71</v>
      </c>
      <c r="Y1315">
        <v>0.1</v>
      </c>
      <c r="Z1315" s="3">
        <f>Y1315</f>
        <v>0.1</v>
      </c>
      <c r="AA1315" s="3">
        <v>14.8409893992932</v>
      </c>
      <c r="AB1315">
        <f>IFERROR(((X1315*M1315)/Y1315), "NA")</f>
        <v>14.2</v>
      </c>
      <c r="AC1315" s="1" t="str">
        <f t="shared" ref="AC1315:AC1324" si="674">IFERROR(M1315*P1315,"NA")</f>
        <v>NA</v>
      </c>
      <c r="AE1315" s="3">
        <f t="shared" ref="AE1315:AE1324" si="675">IFERROR(((L1315^2)*M1315*O1315*AK1315*10^-6*Q1315*T1315*AI1315), "NA")</f>
        <v>327.16799999999995</v>
      </c>
      <c r="AF1315" t="s">
        <v>33</v>
      </c>
      <c r="AG1315" s="1">
        <f>IFERROR((M1315*O1315*Q1315), "NA")</f>
        <v>28.4</v>
      </c>
      <c r="AH1315" s="1">
        <f>IFERROR((AG1315*U1315*AI1315), "NA")</f>
        <v>284</v>
      </c>
      <c r="AI1315" s="1">
        <v>2</v>
      </c>
      <c r="AJ1315" s="11" t="s">
        <v>31</v>
      </c>
      <c r="AK1315">
        <f>AVERAGE(5100, 7700)</f>
        <v>6400</v>
      </c>
      <c r="AL1315" t="s">
        <v>561</v>
      </c>
      <c r="AM1315" s="3" t="s">
        <v>786</v>
      </c>
      <c r="AN1315" t="s">
        <v>186</v>
      </c>
      <c r="AO1315" t="s">
        <v>793</v>
      </c>
      <c r="AP1315" t="s">
        <v>33</v>
      </c>
      <c r="AQ1315" t="s">
        <v>33</v>
      </c>
      <c r="AR1315" t="s">
        <v>33</v>
      </c>
      <c r="AS1315">
        <v>8</v>
      </c>
      <c r="AT1315">
        <f>AS1315-AU1315</f>
        <v>6.4399999999999995</v>
      </c>
      <c r="AU1315" s="6">
        <v>1.56</v>
      </c>
      <c r="AV1315" t="b">
        <v>1</v>
      </c>
      <c r="AW1315" t="s">
        <v>617</v>
      </c>
      <c r="AX1315" t="s">
        <v>624</v>
      </c>
      <c r="AY1315" t="s">
        <v>622</v>
      </c>
      <c r="AZ1315" t="s">
        <v>33</v>
      </c>
      <c r="BA1315" s="18" t="s">
        <v>802</v>
      </c>
      <c r="BB1315" s="3" t="b">
        <v>0</v>
      </c>
      <c r="BC1315" t="s">
        <v>81</v>
      </c>
      <c r="BD1315">
        <v>18</v>
      </c>
      <c r="BE1315" t="s">
        <v>80</v>
      </c>
      <c r="BF1315">
        <v>24</v>
      </c>
      <c r="BG1315" t="s">
        <v>696</v>
      </c>
      <c r="BH1315" t="s">
        <v>32</v>
      </c>
      <c r="BI1315" t="s">
        <v>31</v>
      </c>
      <c r="BJ1315">
        <f t="shared" si="652"/>
        <v>1.56</v>
      </c>
      <c r="BK1315" s="3">
        <f t="shared" si="648"/>
        <v>0.19312459835446161</v>
      </c>
      <c r="BL1315">
        <v>2</v>
      </c>
      <c r="BM1315" s="3">
        <f t="shared" si="669"/>
        <v>2.3216462207797695</v>
      </c>
      <c r="BN1315" t="s">
        <v>33</v>
      </c>
      <c r="BO1315" s="3">
        <f t="shared" si="662"/>
        <v>209.72307692307689</v>
      </c>
      <c r="BP1315" t="s">
        <v>33</v>
      </c>
      <c r="BQ1315" t="s">
        <v>33</v>
      </c>
      <c r="BR1315" t="s">
        <v>33</v>
      </c>
      <c r="BS1315" t="s">
        <v>33</v>
      </c>
      <c r="BT1315" t="s">
        <v>31</v>
      </c>
      <c r="BU1315" t="s">
        <v>338</v>
      </c>
      <c r="BV1315">
        <v>2006</v>
      </c>
      <c r="BW1315" t="s">
        <v>339</v>
      </c>
      <c r="BX1315" t="s">
        <v>78</v>
      </c>
      <c r="BY1315" s="13" t="s">
        <v>682</v>
      </c>
      <c r="CA1315" t="str">
        <f t="shared" si="663"/>
        <v>low acid</v>
      </c>
    </row>
    <row r="1316" spans="1:79">
      <c r="A1316" t="s">
        <v>600</v>
      </c>
      <c r="B1316" t="s">
        <v>566</v>
      </c>
      <c r="C1316" t="s">
        <v>563</v>
      </c>
      <c r="D1316" t="s">
        <v>33</v>
      </c>
      <c r="E1316" t="s">
        <v>77</v>
      </c>
      <c r="F1316" t="s">
        <v>33</v>
      </c>
      <c r="G1316" t="s">
        <v>33</v>
      </c>
      <c r="H1316">
        <v>35</v>
      </c>
      <c r="I1316" t="b">
        <v>0</v>
      </c>
      <c r="J1316" t="s">
        <v>33</v>
      </c>
      <c r="K1316" t="s">
        <v>33</v>
      </c>
      <c r="L1316">
        <v>22</v>
      </c>
      <c r="M1316" s="4">
        <v>1</v>
      </c>
      <c r="N1316" t="e">
        <f>(#REF!*Y1316)/(T1316*X1316*O1316)</f>
        <v>#REF!</v>
      </c>
      <c r="O1316">
        <v>2</v>
      </c>
      <c r="P1316" t="s">
        <v>33</v>
      </c>
      <c r="Q1316" s="1">
        <f t="shared" si="673"/>
        <v>50.000000000000007</v>
      </c>
      <c r="R1316" t="s">
        <v>183</v>
      </c>
      <c r="S1316" t="s">
        <v>33</v>
      </c>
      <c r="T1316">
        <v>1</v>
      </c>
      <c r="U1316">
        <v>2.5</v>
      </c>
      <c r="V1316" t="s">
        <v>33</v>
      </c>
      <c r="W1316">
        <v>0.50249999999999995</v>
      </c>
      <c r="X1316">
        <f>W1316</f>
        <v>0.50249999999999995</v>
      </c>
      <c r="Y1316" t="s">
        <v>33</v>
      </c>
      <c r="Z1316" s="3">
        <f t="shared" ref="Z1316:Z1324" si="676">IFERROR(X1316*M1316*O1316*T1316*AI1316/AF1316, "NA")</f>
        <v>1.0049999999999998E-2</v>
      </c>
      <c r="AA1316" t="s">
        <v>33</v>
      </c>
      <c r="AB1316">
        <f t="shared" ref="AB1316:AB1323" si="677">IFERROR(((X1316*M1316)/Z1316), "NA")</f>
        <v>50.000000000000007</v>
      </c>
      <c r="AC1316" s="1" t="str">
        <f t="shared" si="674"/>
        <v>NA</v>
      </c>
      <c r="AE1316" s="3">
        <f t="shared" si="675"/>
        <v>96.800000000000011</v>
      </c>
      <c r="AF1316">
        <v>100</v>
      </c>
      <c r="AG1316" s="1" t="str">
        <f>IFERROR((N1316*P1316*Q1316), "NA")</f>
        <v>NA</v>
      </c>
      <c r="AH1316" s="1" t="str">
        <f>IFERROR((AG1316*U1316*AI1316), "NA")</f>
        <v>NA</v>
      </c>
      <c r="AI1316" s="1">
        <v>1</v>
      </c>
      <c r="AJ1316" s="11" t="s">
        <v>31</v>
      </c>
      <c r="AK1316">
        <v>2000</v>
      </c>
      <c r="AL1316" t="s">
        <v>784</v>
      </c>
      <c r="AM1316" s="3" t="s">
        <v>103</v>
      </c>
      <c r="AN1316" t="s">
        <v>130</v>
      </c>
      <c r="AO1316" t="s">
        <v>795</v>
      </c>
      <c r="AP1316">
        <v>7</v>
      </c>
      <c r="AQ1316" t="s">
        <v>33</v>
      </c>
      <c r="AR1316" t="s">
        <v>33</v>
      </c>
      <c r="AS1316">
        <v>8</v>
      </c>
      <c r="AT1316">
        <f>AS1316-AU1316</f>
        <v>6.4399999999999995</v>
      </c>
      <c r="AU1316" s="6">
        <v>1.56</v>
      </c>
      <c r="AV1316" t="b">
        <v>1</v>
      </c>
      <c r="AW1316" t="s">
        <v>626</v>
      </c>
      <c r="AX1316" t="s">
        <v>627</v>
      </c>
      <c r="AY1316" t="s">
        <v>640</v>
      </c>
      <c r="AZ1316" t="s">
        <v>33</v>
      </c>
      <c r="BA1316" s="18" t="s">
        <v>800</v>
      </c>
      <c r="BB1316" s="3" t="b">
        <v>0</v>
      </c>
      <c r="BC1316" t="s">
        <v>81</v>
      </c>
      <c r="BD1316">
        <f>AVERAGE(24,30)</f>
        <v>27</v>
      </c>
      <c r="BE1316" t="s">
        <v>80</v>
      </c>
      <c r="BF1316">
        <v>24</v>
      </c>
      <c r="BG1316" t="s">
        <v>568</v>
      </c>
      <c r="BH1316" t="s">
        <v>31</v>
      </c>
      <c r="BI1316" t="s">
        <v>31</v>
      </c>
      <c r="BJ1316" s="3">
        <f t="shared" si="652"/>
        <v>1.56</v>
      </c>
      <c r="BK1316" s="3">
        <f t="shared" si="648"/>
        <v>0.19312459835446161</v>
      </c>
      <c r="BL1316">
        <v>2</v>
      </c>
      <c r="BM1316" s="3">
        <f t="shared" si="669"/>
        <v>1.7927507589539322</v>
      </c>
      <c r="BN1316" t="s">
        <v>33</v>
      </c>
      <c r="BO1316" s="3">
        <f t="shared" si="662"/>
        <v>62.051282051282058</v>
      </c>
      <c r="BP1316" t="s">
        <v>33</v>
      </c>
      <c r="BQ1316" t="s">
        <v>33</v>
      </c>
      <c r="BR1316" t="s">
        <v>33</v>
      </c>
      <c r="BS1316" t="s">
        <v>33</v>
      </c>
      <c r="BT1316" t="s">
        <v>31</v>
      </c>
      <c r="BU1316" t="s">
        <v>666</v>
      </c>
      <c r="BV1316" s="14">
        <v>2006</v>
      </c>
      <c r="BW1316" t="s">
        <v>667</v>
      </c>
      <c r="BX1316" t="s">
        <v>78</v>
      </c>
      <c r="BY1316" s="13" t="s">
        <v>688</v>
      </c>
      <c r="CA1316" t="str">
        <f t="shared" si="663"/>
        <v>low acid</v>
      </c>
    </row>
    <row r="1317" spans="1:79">
      <c r="A1317" t="s">
        <v>537</v>
      </c>
      <c r="B1317" t="s">
        <v>565</v>
      </c>
      <c r="C1317" t="s">
        <v>563</v>
      </c>
      <c r="D1317" t="s">
        <v>118</v>
      </c>
      <c r="E1317" t="s">
        <v>77</v>
      </c>
      <c r="F1317" t="s">
        <v>32</v>
      </c>
      <c r="G1317">
        <v>5</v>
      </c>
      <c r="H1317">
        <v>50</v>
      </c>
      <c r="I1317" t="b">
        <v>0</v>
      </c>
      <c r="J1317" t="s">
        <v>33</v>
      </c>
      <c r="K1317" t="s">
        <v>33</v>
      </c>
      <c r="L1317">
        <v>30</v>
      </c>
      <c r="M1317" s="4">
        <v>750</v>
      </c>
      <c r="N1317" s="3">
        <f>IFERROR(AF1317/((T1317*X1317/Y1317)*O1317*AI1317),"NA")</f>
        <v>746.96277313189933</v>
      </c>
      <c r="O1317">
        <v>2</v>
      </c>
      <c r="P1317" t="s">
        <v>33</v>
      </c>
      <c r="Q1317">
        <f t="shared" si="673"/>
        <v>1.2E-2</v>
      </c>
      <c r="R1317" t="s">
        <v>183</v>
      </c>
      <c r="S1317" t="s">
        <v>613</v>
      </c>
      <c r="T1317" s="11">
        <v>6</v>
      </c>
      <c r="U1317">
        <v>2.9</v>
      </c>
      <c r="V1317">
        <v>2.2999999999999998</v>
      </c>
      <c r="W1317" t="s">
        <v>33</v>
      </c>
      <c r="X1317" s="8">
        <f t="shared" ref="X1317:X1322" si="678">IFERROR(((PI())*(((V1317*10^-1)/2)^2)*(U1317*10^-1)), "NA")</f>
        <v>1.204879322468025E-2</v>
      </c>
      <c r="Y1317" s="6">
        <f>60/60</f>
        <v>1</v>
      </c>
      <c r="Z1317" s="3">
        <f t="shared" si="676"/>
        <v>1.0040661020566874</v>
      </c>
      <c r="AA1317" t="s">
        <v>33</v>
      </c>
      <c r="AB1317" s="6">
        <f t="shared" si="677"/>
        <v>9</v>
      </c>
      <c r="AC1317" t="str">
        <f t="shared" si="674"/>
        <v>NA</v>
      </c>
      <c r="AD1317" s="4">
        <f>IFERROR(AB1317*T1317*AI1317, "NA")</f>
        <v>54</v>
      </c>
      <c r="AE1317" s="3">
        <f t="shared" si="675"/>
        <v>156.29759999999999</v>
      </c>
      <c r="AF1317">
        <v>108</v>
      </c>
      <c r="AG1317" t="str">
        <f>IFERROR((M1317*O1317*P1317), "NA")</f>
        <v>NA</v>
      </c>
      <c r="AH1317" t="str">
        <f>IFERROR((AG1317*T1317*AI1317), "NA")</f>
        <v>NA</v>
      </c>
      <c r="AI1317" s="11">
        <v>1</v>
      </c>
      <c r="AJ1317" t="s">
        <v>31</v>
      </c>
      <c r="AK1317">
        <v>1608</v>
      </c>
      <c r="AL1317" t="s">
        <v>149</v>
      </c>
      <c r="AM1317" t="s">
        <v>86</v>
      </c>
      <c r="AN1317" t="s">
        <v>205</v>
      </c>
      <c r="AO1317" t="s">
        <v>789</v>
      </c>
      <c r="AP1317">
        <v>3.41</v>
      </c>
      <c r="AQ1317" t="s">
        <v>33</v>
      </c>
      <c r="AR1317" t="s">
        <v>33</v>
      </c>
      <c r="AS1317" s="3">
        <v>9</v>
      </c>
      <c r="AT1317" s="3">
        <f>IFERROR(AS1317-AU1317,"NA")</f>
        <v>6.4399999999999995</v>
      </c>
      <c r="AU1317" s="6">
        <v>2.56</v>
      </c>
      <c r="AV1317" t="b">
        <v>1</v>
      </c>
      <c r="AW1317" t="s">
        <v>29</v>
      </c>
      <c r="AX1317" t="s">
        <v>30</v>
      </c>
      <c r="AY1317" t="s">
        <v>33</v>
      </c>
      <c r="AZ1317" t="s">
        <v>134</v>
      </c>
      <c r="BA1317" s="18" t="s">
        <v>798</v>
      </c>
      <c r="BB1317" t="b">
        <v>0</v>
      </c>
      <c r="BC1317" t="s">
        <v>81</v>
      </c>
      <c r="BD1317">
        <f>18</f>
        <v>18</v>
      </c>
      <c r="BE1317" t="s">
        <v>80</v>
      </c>
      <c r="BF1317" s="11">
        <v>24</v>
      </c>
      <c r="BG1317" t="s">
        <v>262</v>
      </c>
      <c r="BH1317" t="s">
        <v>31</v>
      </c>
      <c r="BI1317" t="s">
        <v>31</v>
      </c>
      <c r="BJ1317" s="3">
        <f t="shared" si="652"/>
        <v>2.56</v>
      </c>
      <c r="BK1317" s="3">
        <f t="shared" si="648"/>
        <v>0.40823996531184958</v>
      </c>
      <c r="BL1317">
        <v>2</v>
      </c>
      <c r="BM1317" s="3">
        <f t="shared" si="669"/>
        <v>1.7857123440268574</v>
      </c>
      <c r="BN1317" t="s">
        <v>33</v>
      </c>
      <c r="BO1317" s="3">
        <f t="shared" si="662"/>
        <v>61.053749999999994</v>
      </c>
      <c r="BP1317" t="s">
        <v>33</v>
      </c>
      <c r="BQ1317" t="s">
        <v>33</v>
      </c>
      <c r="BR1317" t="s">
        <v>33</v>
      </c>
      <c r="BS1317" t="s">
        <v>33</v>
      </c>
      <c r="BT1317" t="s">
        <v>31</v>
      </c>
      <c r="BU1317" t="s">
        <v>190</v>
      </c>
      <c r="BV1317">
        <v>2021</v>
      </c>
      <c r="BW1317" s="5" t="s">
        <v>191</v>
      </c>
      <c r="BX1317" t="s">
        <v>78</v>
      </c>
      <c r="BY1317" t="s">
        <v>33</v>
      </c>
      <c r="BZ1317" t="s">
        <v>150</v>
      </c>
      <c r="CA1317" t="str">
        <f t="shared" si="663"/>
        <v>high acid</v>
      </c>
    </row>
    <row r="1318" spans="1:79">
      <c r="A1318" t="s">
        <v>605</v>
      </c>
      <c r="B1318" t="s">
        <v>565</v>
      </c>
      <c r="C1318" t="s">
        <v>563</v>
      </c>
      <c r="D1318" t="s">
        <v>118</v>
      </c>
      <c r="E1318" t="s">
        <v>77</v>
      </c>
      <c r="F1318" t="s">
        <v>33</v>
      </c>
      <c r="G1318" t="s">
        <v>33</v>
      </c>
      <c r="H1318" t="s">
        <v>33</v>
      </c>
      <c r="I1318" t="b">
        <v>0</v>
      </c>
      <c r="J1318" t="s">
        <v>33</v>
      </c>
      <c r="K1318" t="s">
        <v>33</v>
      </c>
      <c r="L1318">
        <v>23</v>
      </c>
      <c r="M1318" s="4">
        <v>500</v>
      </c>
      <c r="N1318" t="e">
        <f>(#REF!*Y1318)/(T1318*X1318*O1318)</f>
        <v>#REF!</v>
      </c>
      <c r="O1318">
        <v>3</v>
      </c>
      <c r="P1318" t="s">
        <v>33</v>
      </c>
      <c r="Q1318" s="1">
        <f t="shared" si="673"/>
        <v>1.4555555555555556E-2</v>
      </c>
      <c r="R1318" t="s">
        <v>183</v>
      </c>
      <c r="S1318" t="s">
        <v>613</v>
      </c>
      <c r="T1318">
        <v>6</v>
      </c>
      <c r="U1318">
        <v>2.9</v>
      </c>
      <c r="V1318">
        <v>2.2999999999999998</v>
      </c>
      <c r="W1318" t="s">
        <v>33</v>
      </c>
      <c r="X1318">
        <f t="shared" si="678"/>
        <v>1.204879322468025E-2</v>
      </c>
      <c r="Y1318">
        <v>0.83333299999999999</v>
      </c>
      <c r="Z1318" s="3">
        <f t="shared" si="676"/>
        <v>0.82777968719177286</v>
      </c>
      <c r="AA1318" t="s">
        <v>33</v>
      </c>
      <c r="AB1318">
        <f t="shared" si="677"/>
        <v>7.2777777777777786</v>
      </c>
      <c r="AC1318" s="1" t="str">
        <f t="shared" si="674"/>
        <v>NA</v>
      </c>
      <c r="AE1318" s="3">
        <f t="shared" si="675"/>
        <v>267.49414000000002</v>
      </c>
      <c r="AF1318">
        <v>131</v>
      </c>
      <c r="AG1318" s="1" t="str">
        <f>IFERROR((N1318*P1318*Q1318), "NA")</f>
        <v>NA</v>
      </c>
      <c r="AH1318" s="1" t="str">
        <f>IFERROR((AG1318*U1318*AI1318), "NA")</f>
        <v>NA</v>
      </c>
      <c r="AI1318" s="1">
        <v>1</v>
      </c>
      <c r="AJ1318" s="11" t="s">
        <v>31</v>
      </c>
      <c r="AK1318">
        <f>3.86*10^3</f>
        <v>3860</v>
      </c>
      <c r="AL1318" t="s">
        <v>138</v>
      </c>
      <c r="AM1318" t="s">
        <v>86</v>
      </c>
      <c r="AN1318" t="s">
        <v>205</v>
      </c>
      <c r="AO1318" t="s">
        <v>789</v>
      </c>
      <c r="AP1318">
        <v>3.9</v>
      </c>
      <c r="AQ1318" t="s">
        <v>33</v>
      </c>
      <c r="AR1318" t="s">
        <v>33</v>
      </c>
      <c r="AS1318">
        <v>7.52</v>
      </c>
      <c r="AT1318">
        <v>6.44</v>
      </c>
      <c r="AU1318" s="6">
        <f>AS1318-AT1318</f>
        <v>1.0799999999999992</v>
      </c>
      <c r="AV1318" t="b">
        <v>1</v>
      </c>
      <c r="AW1318" t="s">
        <v>626</v>
      </c>
      <c r="AX1318" t="s">
        <v>627</v>
      </c>
      <c r="AY1318">
        <v>95047</v>
      </c>
      <c r="AZ1318" t="s">
        <v>33</v>
      </c>
      <c r="BA1318" s="18" t="s">
        <v>800</v>
      </c>
      <c r="BB1318" s="3" t="b">
        <v>0</v>
      </c>
      <c r="BC1318" t="s">
        <v>81</v>
      </c>
      <c r="BD1318">
        <f>AVERAGE(24, 48)</f>
        <v>36</v>
      </c>
      <c r="BE1318" t="s">
        <v>80</v>
      </c>
      <c r="BF1318">
        <v>48</v>
      </c>
      <c r="BG1318" t="s">
        <v>647</v>
      </c>
      <c r="BH1318" t="s">
        <v>31</v>
      </c>
      <c r="BI1318" t="s">
        <v>31</v>
      </c>
      <c r="BJ1318" s="3">
        <f t="shared" si="652"/>
        <v>1.0799999999999992</v>
      </c>
      <c r="BK1318" s="3">
        <f t="shared" si="648"/>
        <v>3.3423755486949376E-2</v>
      </c>
      <c r="BL1318">
        <v>2</v>
      </c>
      <c r="BM1318" s="3">
        <f t="shared" si="669"/>
        <v>2.3938905168757558</v>
      </c>
      <c r="BN1318" t="s">
        <v>33</v>
      </c>
      <c r="BO1318" s="3">
        <f t="shared" si="662"/>
        <v>247.67975925925947</v>
      </c>
      <c r="BP1318" t="s">
        <v>33</v>
      </c>
      <c r="BQ1318" t="s">
        <v>33</v>
      </c>
      <c r="BR1318" t="s">
        <v>33</v>
      </c>
      <c r="BS1318" t="s">
        <v>33</v>
      </c>
      <c r="BT1318" t="s">
        <v>31</v>
      </c>
      <c r="BU1318" s="13" t="s">
        <v>135</v>
      </c>
      <c r="BV1318" s="14">
        <v>2009</v>
      </c>
      <c r="BW1318" s="13" t="s">
        <v>136</v>
      </c>
      <c r="BX1318" t="s">
        <v>78</v>
      </c>
      <c r="BY1318" s="13" t="s">
        <v>692</v>
      </c>
      <c r="CA1318" t="str">
        <f t="shared" si="663"/>
        <v>high acid</v>
      </c>
    </row>
    <row r="1319" spans="1:79">
      <c r="A1319" t="s">
        <v>325</v>
      </c>
      <c r="B1319" t="s">
        <v>565</v>
      </c>
      <c r="C1319" t="s">
        <v>563</v>
      </c>
      <c r="D1319" t="s">
        <v>304</v>
      </c>
      <c r="E1319" t="s">
        <v>77</v>
      </c>
      <c r="F1319" t="s">
        <v>32</v>
      </c>
      <c r="G1319">
        <v>30</v>
      </c>
      <c r="H1319">
        <v>31.6</v>
      </c>
      <c r="I1319" t="b">
        <v>1</v>
      </c>
      <c r="J1319">
        <v>12600</v>
      </c>
      <c r="K1319">
        <v>50.4</v>
      </c>
      <c r="L1319">
        <v>28</v>
      </c>
      <c r="M1319" s="4">
        <v>572</v>
      </c>
      <c r="N1319" s="3">
        <f>IFERROR(AF1319/((T1319*X1319/Y1319)*O1319*AI1319),"NA")</f>
        <v>540.91876083519969</v>
      </c>
      <c r="O1319">
        <v>1</v>
      </c>
      <c r="P1319">
        <v>2.4E-2</v>
      </c>
      <c r="Q1319" s="8">
        <f t="shared" si="673"/>
        <v>2.2727272727272724E-2</v>
      </c>
      <c r="R1319" t="s">
        <v>183</v>
      </c>
      <c r="S1319" t="s">
        <v>612</v>
      </c>
      <c r="T1319" s="11">
        <v>1</v>
      </c>
      <c r="U1319">
        <v>3.4</v>
      </c>
      <c r="V1319">
        <v>3</v>
      </c>
      <c r="W1319">
        <v>2.4E-2</v>
      </c>
      <c r="X1319" s="8">
        <f t="shared" si="678"/>
        <v>2.4033183799961926E-2</v>
      </c>
      <c r="Y1319" s="6">
        <f>1</f>
        <v>1</v>
      </c>
      <c r="Z1319" s="3">
        <f t="shared" si="676"/>
        <v>1.0574600871983248</v>
      </c>
      <c r="AA1319">
        <v>13.7</v>
      </c>
      <c r="AB1319" s="6">
        <f t="shared" si="677"/>
        <v>13</v>
      </c>
      <c r="AC1319">
        <f t="shared" si="674"/>
        <v>13.728</v>
      </c>
      <c r="AD1319" s="4">
        <f>IFERROR(AB1319*T1319*AI1319, "NA")</f>
        <v>13</v>
      </c>
      <c r="AE1319" s="3">
        <f t="shared" si="675"/>
        <v>10.191999999999998</v>
      </c>
      <c r="AF1319">
        <v>13</v>
      </c>
      <c r="AG1319">
        <f>IFERROR((M1319*O1319*P1319), "NA")</f>
        <v>13.728</v>
      </c>
      <c r="AH1319">
        <f>IFERROR((AG1319*T1319*AI1319), "NA")</f>
        <v>13.728</v>
      </c>
      <c r="AI1319" s="11">
        <v>1</v>
      </c>
      <c r="AJ1319" t="s">
        <v>31</v>
      </c>
      <c r="AK1319">
        <v>1000</v>
      </c>
      <c r="AL1319" t="s">
        <v>169</v>
      </c>
      <c r="AM1319" t="s">
        <v>103</v>
      </c>
      <c r="AN1319" t="s">
        <v>305</v>
      </c>
      <c r="AO1319" t="s">
        <v>790</v>
      </c>
      <c r="AP1319">
        <v>4.5</v>
      </c>
      <c r="AQ1319" t="s">
        <v>33</v>
      </c>
      <c r="AR1319" t="s">
        <v>33</v>
      </c>
      <c r="AS1319" s="6">
        <f>LOG(3*10^7)</f>
        <v>7.4771212547196626</v>
      </c>
      <c r="AT1319" s="3">
        <f>IFERROR(AS1319-AU1319,"NA")</f>
        <v>6.4471212547196624</v>
      </c>
      <c r="AU1319" s="6">
        <v>1.03</v>
      </c>
      <c r="AV1319" t="b">
        <v>1</v>
      </c>
      <c r="AW1319" t="s">
        <v>123</v>
      </c>
      <c r="AX1319" t="s">
        <v>88</v>
      </c>
      <c r="AY1319" t="s">
        <v>306</v>
      </c>
      <c r="AZ1319" t="s">
        <v>33</v>
      </c>
      <c r="BA1319" s="18" t="s">
        <v>579</v>
      </c>
      <c r="BB1319" t="b">
        <v>1</v>
      </c>
      <c r="BC1319" t="s">
        <v>81</v>
      </c>
      <c r="BD1319">
        <v>48</v>
      </c>
      <c r="BE1319" t="s">
        <v>80</v>
      </c>
      <c r="BF1319" s="11">
        <v>120</v>
      </c>
      <c r="BG1319" t="s">
        <v>395</v>
      </c>
      <c r="BH1319" t="s">
        <v>31</v>
      </c>
      <c r="BI1319" t="s">
        <v>31</v>
      </c>
      <c r="BJ1319" s="3">
        <f t="shared" si="652"/>
        <v>1.03</v>
      </c>
      <c r="BK1319" s="3">
        <f t="shared" si="648"/>
        <v>1.2837224705172217E-2</v>
      </c>
      <c r="BL1319">
        <v>2</v>
      </c>
      <c r="BM1319" s="3">
        <f t="shared" si="669"/>
        <v>0.9954221902861029</v>
      </c>
      <c r="BN1319" t="s">
        <v>33</v>
      </c>
      <c r="BO1319" s="3">
        <f t="shared" si="662"/>
        <v>9.89514563106796</v>
      </c>
      <c r="BP1319" t="s">
        <v>33</v>
      </c>
      <c r="BQ1319" t="s">
        <v>33</v>
      </c>
      <c r="BR1319" t="s">
        <v>33</v>
      </c>
      <c r="BS1319" t="s">
        <v>33</v>
      </c>
      <c r="BT1319" t="s">
        <v>32</v>
      </c>
      <c r="BU1319" t="s">
        <v>323</v>
      </c>
      <c r="BV1319">
        <v>2003</v>
      </c>
      <c r="BW1319" s="2" t="s">
        <v>322</v>
      </c>
      <c r="BX1319" t="s">
        <v>78</v>
      </c>
      <c r="BY1319" t="s">
        <v>33</v>
      </c>
      <c r="BZ1319" t="s">
        <v>33</v>
      </c>
      <c r="CA1319" t="str">
        <f t="shared" si="663"/>
        <v>high acid</v>
      </c>
    </row>
    <row r="1320" spans="1:79">
      <c r="A1320" t="s">
        <v>324</v>
      </c>
      <c r="B1320" t="s">
        <v>565</v>
      </c>
      <c r="C1320" t="s">
        <v>563</v>
      </c>
      <c r="D1320" t="s">
        <v>304</v>
      </c>
      <c r="E1320" t="s">
        <v>77</v>
      </c>
      <c r="F1320" t="s">
        <v>32</v>
      </c>
      <c r="G1320">
        <v>30</v>
      </c>
      <c r="H1320">
        <v>32.1</v>
      </c>
      <c r="I1320" t="b">
        <v>1</v>
      </c>
      <c r="J1320">
        <v>12600</v>
      </c>
      <c r="K1320">
        <v>50.4</v>
      </c>
      <c r="L1320">
        <v>25</v>
      </c>
      <c r="M1320" s="4">
        <v>572</v>
      </c>
      <c r="N1320" s="3">
        <f>IFERROR(AF1320/((T1320*X1320/Y1320)*O1320*AI1320),"NA")</f>
        <v>570.04515564940266</v>
      </c>
      <c r="O1320">
        <v>1</v>
      </c>
      <c r="P1320">
        <v>2.4E-2</v>
      </c>
      <c r="Q1320" s="8">
        <f t="shared" si="673"/>
        <v>2.3951048951048947E-2</v>
      </c>
      <c r="R1320" t="s">
        <v>183</v>
      </c>
      <c r="S1320" t="s">
        <v>612</v>
      </c>
      <c r="T1320" s="11">
        <v>1</v>
      </c>
      <c r="U1320">
        <v>3.4</v>
      </c>
      <c r="V1320">
        <v>3</v>
      </c>
      <c r="W1320">
        <v>2.4E-2</v>
      </c>
      <c r="X1320" s="8">
        <f t="shared" si="678"/>
        <v>2.4033183799961926E-2</v>
      </c>
      <c r="Y1320" s="6">
        <f>1</f>
        <v>1</v>
      </c>
      <c r="Z1320" s="3">
        <f t="shared" si="676"/>
        <v>1.003429279823228</v>
      </c>
      <c r="AA1320">
        <v>13.7</v>
      </c>
      <c r="AB1320" s="6">
        <f t="shared" si="677"/>
        <v>13.699999999999998</v>
      </c>
      <c r="AC1320">
        <f t="shared" si="674"/>
        <v>13.728</v>
      </c>
      <c r="AD1320" s="4">
        <f>IFERROR(AB1320*T1320*AI1320, "NA")</f>
        <v>13.699999999999998</v>
      </c>
      <c r="AE1320" s="3">
        <f t="shared" si="675"/>
        <v>8.5624999999999982</v>
      </c>
      <c r="AF1320">
        <v>13.7</v>
      </c>
      <c r="AG1320">
        <f>IFERROR((M1320*O1320*P1320), "NA")</f>
        <v>13.728</v>
      </c>
      <c r="AH1320">
        <f>IFERROR((AG1320*T1320*AI1320), "NA")</f>
        <v>13.728</v>
      </c>
      <c r="AI1320" s="11">
        <v>1</v>
      </c>
      <c r="AJ1320" t="s">
        <v>31</v>
      </c>
      <c r="AK1320">
        <v>1000</v>
      </c>
      <c r="AL1320" t="s">
        <v>169</v>
      </c>
      <c r="AM1320" t="s">
        <v>103</v>
      </c>
      <c r="AN1320" t="s">
        <v>305</v>
      </c>
      <c r="AO1320" t="s">
        <v>790</v>
      </c>
      <c r="AP1320">
        <v>4.5</v>
      </c>
      <c r="AQ1320" t="s">
        <v>33</v>
      </c>
      <c r="AR1320" t="s">
        <v>33</v>
      </c>
      <c r="AS1320" s="6">
        <f>LOG(3*10^7)</f>
        <v>7.4771212547196626</v>
      </c>
      <c r="AT1320" s="3">
        <f>IFERROR(AS1320-AU1320,"NA")</f>
        <v>6.4471212547196624</v>
      </c>
      <c r="AU1320" s="6">
        <v>1.03</v>
      </c>
      <c r="AV1320" t="b">
        <v>1</v>
      </c>
      <c r="AW1320" t="s">
        <v>123</v>
      </c>
      <c r="AX1320" t="s">
        <v>88</v>
      </c>
      <c r="AY1320" t="s">
        <v>306</v>
      </c>
      <c r="AZ1320" t="s">
        <v>33</v>
      </c>
      <c r="BA1320" s="18" t="s">
        <v>579</v>
      </c>
      <c r="BB1320" t="b">
        <v>1</v>
      </c>
      <c r="BC1320" t="s">
        <v>81</v>
      </c>
      <c r="BD1320">
        <v>48</v>
      </c>
      <c r="BE1320" t="s">
        <v>80</v>
      </c>
      <c r="BF1320" s="11">
        <v>120</v>
      </c>
      <c r="BG1320" t="s">
        <v>395</v>
      </c>
      <c r="BH1320" t="s">
        <v>31</v>
      </c>
      <c r="BI1320" t="s">
        <v>31</v>
      </c>
      <c r="BJ1320" s="3">
        <f t="shared" si="652"/>
        <v>1.03</v>
      </c>
      <c r="BK1320" s="3">
        <f t="shared" si="648"/>
        <v>1.2837224705172217E-2</v>
      </c>
      <c r="BL1320">
        <v>2</v>
      </c>
      <c r="BM1320" s="3">
        <f t="shared" si="669"/>
        <v>0.91976335979530977</v>
      </c>
      <c r="BN1320" t="s">
        <v>33</v>
      </c>
      <c r="BO1320" s="3">
        <f t="shared" si="662"/>
        <v>8.3131067961165037</v>
      </c>
      <c r="BP1320" t="s">
        <v>33</v>
      </c>
      <c r="BQ1320" t="s">
        <v>33</v>
      </c>
      <c r="BR1320" t="s">
        <v>33</v>
      </c>
      <c r="BS1320" t="s">
        <v>33</v>
      </c>
      <c r="BT1320" t="s">
        <v>32</v>
      </c>
      <c r="BU1320" t="s">
        <v>323</v>
      </c>
      <c r="BV1320">
        <v>2003</v>
      </c>
      <c r="BW1320" s="2" t="s">
        <v>322</v>
      </c>
      <c r="BX1320" t="s">
        <v>78</v>
      </c>
      <c r="BY1320" t="s">
        <v>33</v>
      </c>
      <c r="BZ1320" t="s">
        <v>33</v>
      </c>
      <c r="CA1320" t="str">
        <f t="shared" si="663"/>
        <v>high acid</v>
      </c>
    </row>
    <row r="1321" spans="1:79">
      <c r="A1321" t="s">
        <v>391</v>
      </c>
      <c r="B1321" t="s">
        <v>565</v>
      </c>
      <c r="C1321" t="s">
        <v>563</v>
      </c>
      <c r="D1321" t="s">
        <v>118</v>
      </c>
      <c r="E1321" t="s">
        <v>77</v>
      </c>
      <c r="F1321" t="s">
        <v>32</v>
      </c>
      <c r="G1321">
        <v>25</v>
      </c>
      <c r="H1321">
        <v>36</v>
      </c>
      <c r="I1321" t="b">
        <v>0</v>
      </c>
      <c r="J1321" t="s">
        <v>33</v>
      </c>
      <c r="K1321" t="s">
        <v>33</v>
      </c>
      <c r="L1321">
        <v>25</v>
      </c>
      <c r="M1321" s="4">
        <v>200</v>
      </c>
      <c r="N1321" s="3" t="str">
        <f>IFERROR(AF1321/((T1321*X1321/Y1321)*O1321*AI1321),"NA")</f>
        <v>NA</v>
      </c>
      <c r="O1321">
        <v>4</v>
      </c>
      <c r="P1321" t="s">
        <v>33</v>
      </c>
      <c r="Q1321" s="8">
        <f t="shared" si="673"/>
        <v>2.3437500000000003E-2</v>
      </c>
      <c r="R1321" t="s">
        <v>183</v>
      </c>
      <c r="S1321" t="s">
        <v>612</v>
      </c>
      <c r="T1321" s="11">
        <v>8</v>
      </c>
      <c r="U1321">
        <v>2.9</v>
      </c>
      <c r="V1321">
        <v>2.2999999999999998</v>
      </c>
      <c r="W1321">
        <v>1.2E-2</v>
      </c>
      <c r="X1321" s="8">
        <f t="shared" si="678"/>
        <v>1.204879322468025E-2</v>
      </c>
      <c r="Y1321" t="s">
        <v>33</v>
      </c>
      <c r="Z1321" s="3">
        <f t="shared" si="676"/>
        <v>0.51408184425302395</v>
      </c>
      <c r="AA1321" t="s">
        <v>33</v>
      </c>
      <c r="AB1321" s="6">
        <f t="shared" si="677"/>
        <v>4.6875</v>
      </c>
      <c r="AC1321" t="str">
        <f t="shared" si="674"/>
        <v>NA</v>
      </c>
      <c r="AD1321" s="4">
        <f>AB1321*T1321*AI1321</f>
        <v>37.5</v>
      </c>
      <c r="AE1321" s="3">
        <f t="shared" si="675"/>
        <v>397.50000000000006</v>
      </c>
      <c r="AF1321">
        <v>150</v>
      </c>
      <c r="AG1321" t="str">
        <f>IFERROR((M1321*O1321*P1321), "NA")</f>
        <v>NA</v>
      </c>
      <c r="AH1321" t="str">
        <f>IFERROR((AG1321*T1321*AI1321), "NA")</f>
        <v>NA</v>
      </c>
      <c r="AI1321">
        <v>1</v>
      </c>
      <c r="AJ1321" t="s">
        <v>31</v>
      </c>
      <c r="AK1321">
        <v>4240</v>
      </c>
      <c r="AL1321" t="s">
        <v>238</v>
      </c>
      <c r="AM1321" t="s">
        <v>86</v>
      </c>
      <c r="AN1321" t="s">
        <v>205</v>
      </c>
      <c r="AO1321" t="s">
        <v>789</v>
      </c>
      <c r="AP1321">
        <v>3.56</v>
      </c>
      <c r="AQ1321" t="s">
        <v>33</v>
      </c>
      <c r="AR1321" t="s">
        <v>33</v>
      </c>
      <c r="AS1321" s="6">
        <f>LOG(10^8)</f>
        <v>8</v>
      </c>
      <c r="AT1321" s="3">
        <f>IFERROR(AS1321-AU1321,"NA")</f>
        <v>6.4480000000000004</v>
      </c>
      <c r="AU1321" s="6">
        <v>1.552</v>
      </c>
      <c r="AV1321" t="b">
        <v>1</v>
      </c>
      <c r="AW1321" t="s">
        <v>123</v>
      </c>
      <c r="AX1321" t="s">
        <v>393</v>
      </c>
      <c r="AY1321" t="s">
        <v>394</v>
      </c>
      <c r="AZ1321" t="s">
        <v>33</v>
      </c>
      <c r="BA1321" s="18" t="s">
        <v>579</v>
      </c>
      <c r="BB1321" t="b">
        <v>1</v>
      </c>
      <c r="BC1321" t="s">
        <v>81</v>
      </c>
      <c r="BD1321">
        <v>72</v>
      </c>
      <c r="BE1321" t="s">
        <v>80</v>
      </c>
      <c r="BF1321" s="11">
        <v>72</v>
      </c>
      <c r="BG1321" t="s">
        <v>395</v>
      </c>
      <c r="BH1321" t="s">
        <v>31</v>
      </c>
      <c r="BI1321" t="s">
        <v>31</v>
      </c>
      <c r="BJ1321" s="3">
        <f t="shared" si="652"/>
        <v>1.552</v>
      </c>
      <c r="BK1321" s="3">
        <f t="shared" si="648"/>
        <v>0.19089171692216964</v>
      </c>
      <c r="BL1321">
        <v>2</v>
      </c>
      <c r="BM1321" s="3">
        <f t="shared" si="669"/>
        <v>2.4084454160703195</v>
      </c>
      <c r="BN1321" t="s">
        <v>33</v>
      </c>
      <c r="BO1321" s="3">
        <f t="shared" si="662"/>
        <v>256.12113402061857</v>
      </c>
      <c r="BP1321" t="s">
        <v>33</v>
      </c>
      <c r="BQ1321" t="s">
        <v>33</v>
      </c>
      <c r="BR1321" t="s">
        <v>33</v>
      </c>
      <c r="BS1321" t="s">
        <v>33</v>
      </c>
      <c r="BT1321" t="s">
        <v>31</v>
      </c>
      <c r="BU1321" t="s">
        <v>240</v>
      </c>
      <c r="BV1321">
        <v>2005</v>
      </c>
      <c r="BW1321" t="s">
        <v>396</v>
      </c>
      <c r="BX1321" t="s">
        <v>78</v>
      </c>
      <c r="BY1321" t="s">
        <v>33</v>
      </c>
      <c r="BZ1321" t="s">
        <v>33</v>
      </c>
      <c r="CA1321" t="str">
        <f t="shared" si="663"/>
        <v>high acid</v>
      </c>
    </row>
    <row r="1322" spans="1:79">
      <c r="A1322" t="s">
        <v>237</v>
      </c>
      <c r="B1322" t="s">
        <v>565</v>
      </c>
      <c r="C1322" t="s">
        <v>563</v>
      </c>
      <c r="D1322" t="s">
        <v>118</v>
      </c>
      <c r="E1322" t="s">
        <v>77</v>
      </c>
      <c r="F1322" t="s">
        <v>32</v>
      </c>
      <c r="G1322">
        <v>4</v>
      </c>
      <c r="H1322">
        <v>32.5</v>
      </c>
      <c r="I1322" t="b">
        <v>0</v>
      </c>
      <c r="J1322" t="s">
        <v>33</v>
      </c>
      <c r="K1322" t="s">
        <v>33</v>
      </c>
      <c r="L1322">
        <v>35</v>
      </c>
      <c r="M1322" s="4">
        <v>200</v>
      </c>
      <c r="N1322" s="3">
        <f>IFERROR(AF1322/((T1322*X1322/Y1322)*O1322*AI1322),"NA")</f>
        <v>386.37843216368935</v>
      </c>
      <c r="O1322">
        <v>4</v>
      </c>
      <c r="P1322" t="s">
        <v>33</v>
      </c>
      <c r="Q1322" s="9">
        <f t="shared" si="673"/>
        <v>2.3437499999999997E-2</v>
      </c>
      <c r="R1322" t="s">
        <v>183</v>
      </c>
      <c r="S1322" t="s">
        <v>612</v>
      </c>
      <c r="T1322" s="11">
        <v>8</v>
      </c>
      <c r="U1322">
        <v>2.92</v>
      </c>
      <c r="V1322">
        <v>2.2999999999999998</v>
      </c>
      <c r="W1322">
        <v>1.2E-2</v>
      </c>
      <c r="X1322" s="8">
        <f t="shared" si="678"/>
        <v>1.2131888350367701E-2</v>
      </c>
      <c r="Y1322" s="6">
        <f>60/60</f>
        <v>1</v>
      </c>
      <c r="Z1322" s="3">
        <f t="shared" si="676"/>
        <v>0.5176272362823553</v>
      </c>
      <c r="AA1322" t="s">
        <v>33</v>
      </c>
      <c r="AB1322" s="6">
        <f t="shared" si="677"/>
        <v>4.6874999999999991</v>
      </c>
      <c r="AC1322" t="str">
        <f t="shared" si="674"/>
        <v>NA</v>
      </c>
      <c r="AD1322" s="4">
        <f>AB1322*T1322*AI1322</f>
        <v>37.499999999999993</v>
      </c>
      <c r="AE1322" s="3">
        <f t="shared" si="675"/>
        <v>779.0999999999998</v>
      </c>
      <c r="AF1322">
        <v>150</v>
      </c>
      <c r="AG1322" t="str">
        <f>IFERROR((M1322*O1322*P1322), "NA")</f>
        <v>NA</v>
      </c>
      <c r="AH1322" t="str">
        <f>IFERROR((AG1322*T1322*AI1322), "NA")</f>
        <v>NA</v>
      </c>
      <c r="AI1322">
        <v>1</v>
      </c>
      <c r="AJ1322" t="s">
        <v>31</v>
      </c>
      <c r="AK1322">
        <v>4240</v>
      </c>
      <c r="AL1322" t="s">
        <v>238</v>
      </c>
      <c r="AM1322" t="s">
        <v>86</v>
      </c>
      <c r="AN1322" t="s">
        <v>205</v>
      </c>
      <c r="AO1322" t="s">
        <v>789</v>
      </c>
      <c r="AP1322">
        <v>3.56</v>
      </c>
      <c r="AQ1322" t="s">
        <v>33</v>
      </c>
      <c r="AR1322" t="s">
        <v>33</v>
      </c>
      <c r="AS1322">
        <f>LOG(10^8)</f>
        <v>8</v>
      </c>
      <c r="AT1322" s="3">
        <f>IFERROR(AS1322-AU1322,"NA")</f>
        <v>6.45</v>
      </c>
      <c r="AU1322" s="6">
        <v>1.55</v>
      </c>
      <c r="AV1322" t="b">
        <v>1</v>
      </c>
      <c r="AW1322" t="s">
        <v>172</v>
      </c>
      <c r="AX1322" t="s">
        <v>173</v>
      </c>
      <c r="AY1322" t="s">
        <v>239</v>
      </c>
      <c r="AZ1322" t="s">
        <v>33</v>
      </c>
      <c r="BA1322" s="18" t="s">
        <v>799</v>
      </c>
      <c r="BB1322" t="b">
        <v>0</v>
      </c>
      <c r="BC1322" t="s">
        <v>81</v>
      </c>
      <c r="BD1322">
        <v>48</v>
      </c>
      <c r="BE1322" t="s">
        <v>80</v>
      </c>
      <c r="BF1322" s="11">
        <v>120</v>
      </c>
      <c r="BG1322" t="s">
        <v>571</v>
      </c>
      <c r="BH1322" t="s">
        <v>31</v>
      </c>
      <c r="BI1322" t="s">
        <v>31</v>
      </c>
      <c r="BJ1322" s="3">
        <f t="shared" si="652"/>
        <v>1.55</v>
      </c>
      <c r="BK1322" s="3">
        <f t="shared" si="648"/>
        <v>0.1903316981702915</v>
      </c>
      <c r="BL1322">
        <v>2</v>
      </c>
      <c r="BM1322" s="3">
        <f t="shared" si="669"/>
        <v>2.7012615061786733</v>
      </c>
      <c r="BN1322" t="s">
        <v>33</v>
      </c>
      <c r="BO1322" s="3">
        <f t="shared" si="662"/>
        <v>502.64516129032245</v>
      </c>
      <c r="BP1322" t="s">
        <v>33</v>
      </c>
      <c r="BQ1322" t="s">
        <v>33</v>
      </c>
      <c r="BR1322" t="s">
        <v>33</v>
      </c>
      <c r="BS1322" t="s">
        <v>33</v>
      </c>
      <c r="BT1322" t="s">
        <v>31</v>
      </c>
      <c r="BU1322" t="s">
        <v>240</v>
      </c>
      <c r="BV1322">
        <v>2004</v>
      </c>
      <c r="BW1322" t="s">
        <v>241</v>
      </c>
      <c r="BX1322" t="s">
        <v>78</v>
      </c>
      <c r="BY1322" t="s">
        <v>33</v>
      </c>
      <c r="BZ1322" t="s">
        <v>33</v>
      </c>
      <c r="CA1322" t="str">
        <f t="shared" si="663"/>
        <v>high acid</v>
      </c>
    </row>
    <row r="1323" spans="1:79">
      <c r="A1323" t="s">
        <v>589</v>
      </c>
      <c r="B1323" t="s">
        <v>566</v>
      </c>
      <c r="C1323" t="s">
        <v>563</v>
      </c>
      <c r="D1323" t="s">
        <v>33</v>
      </c>
      <c r="E1323" t="s">
        <v>77</v>
      </c>
      <c r="F1323" t="s">
        <v>33</v>
      </c>
      <c r="G1323" t="s">
        <v>33</v>
      </c>
      <c r="H1323">
        <v>35</v>
      </c>
      <c r="I1323" t="b">
        <v>0</v>
      </c>
      <c r="J1323" t="s">
        <v>33</v>
      </c>
      <c r="K1323" t="s">
        <v>33</v>
      </c>
      <c r="L1323">
        <v>28</v>
      </c>
      <c r="M1323" s="4">
        <v>1</v>
      </c>
      <c r="N1323" t="e">
        <f>(#REF!*Y1323)/(T1323*X1323*O1323)</f>
        <v>#REF!</v>
      </c>
      <c r="O1323">
        <v>2</v>
      </c>
      <c r="P1323" t="s">
        <v>33</v>
      </c>
      <c r="Q1323" s="1">
        <f t="shared" si="673"/>
        <v>3.085</v>
      </c>
      <c r="R1323" t="s">
        <v>183</v>
      </c>
      <c r="S1323" t="s">
        <v>613</v>
      </c>
      <c r="T1323">
        <v>1</v>
      </c>
      <c r="U1323">
        <v>2.5</v>
      </c>
      <c r="V1323" t="s">
        <v>33</v>
      </c>
      <c r="W1323">
        <v>0.50249999999999995</v>
      </c>
      <c r="X1323">
        <f>W1323</f>
        <v>0.50249999999999995</v>
      </c>
      <c r="Y1323" t="s">
        <v>33</v>
      </c>
      <c r="Z1323" s="3">
        <f t="shared" si="676"/>
        <v>0.16288492706645055</v>
      </c>
      <c r="AA1323" t="s">
        <v>33</v>
      </c>
      <c r="AB1323">
        <f t="shared" si="677"/>
        <v>3.085</v>
      </c>
      <c r="AC1323" s="1" t="str">
        <f t="shared" si="674"/>
        <v>NA</v>
      </c>
      <c r="AE1323" s="3">
        <f t="shared" si="675"/>
        <v>9.6745599999999996</v>
      </c>
      <c r="AF1323">
        <v>6.17</v>
      </c>
      <c r="AG1323" s="1" t="str">
        <f>IFERROR((N1323*P1323*Q1323), "NA")</f>
        <v>NA</v>
      </c>
      <c r="AH1323" s="1" t="str">
        <f>IFERROR((AG1323*U1323*AI1323), "NA")</f>
        <v>NA</v>
      </c>
      <c r="AI1323" s="1">
        <v>1</v>
      </c>
      <c r="AJ1323" s="11" t="s">
        <v>31</v>
      </c>
      <c r="AK1323">
        <v>2000</v>
      </c>
      <c r="AL1323" t="s">
        <v>616</v>
      </c>
      <c r="AM1323" s="3" t="s">
        <v>103</v>
      </c>
      <c r="AN1323" t="s">
        <v>130</v>
      </c>
      <c r="AO1323" t="s">
        <v>795</v>
      </c>
      <c r="AP1323">
        <v>7</v>
      </c>
      <c r="AQ1323" t="s">
        <v>33</v>
      </c>
      <c r="AR1323" t="s">
        <v>33</v>
      </c>
      <c r="AS1323">
        <v>9</v>
      </c>
      <c r="AT1323">
        <f>AS1323-AU1323</f>
        <v>6.45</v>
      </c>
      <c r="AU1323" s="6">
        <v>2.5499999999999998</v>
      </c>
      <c r="AV1323" t="b">
        <v>1</v>
      </c>
      <c r="AW1323" t="s">
        <v>617</v>
      </c>
      <c r="AX1323" t="s">
        <v>33</v>
      </c>
      <c r="AY1323" t="s">
        <v>629</v>
      </c>
      <c r="AZ1323" t="s">
        <v>630</v>
      </c>
      <c r="BA1323" s="18" t="s">
        <v>802</v>
      </c>
      <c r="BB1323" s="3" t="b">
        <v>0</v>
      </c>
      <c r="BC1323" t="s">
        <v>81</v>
      </c>
      <c r="BD1323">
        <v>24</v>
      </c>
      <c r="BE1323" t="s">
        <v>80</v>
      </c>
      <c r="BF1323">
        <v>24</v>
      </c>
      <c r="BG1323" t="s">
        <v>644</v>
      </c>
      <c r="BH1323" t="s">
        <v>31</v>
      </c>
      <c r="BI1323" t="s">
        <v>31</v>
      </c>
      <c r="BJ1323">
        <f t="shared" si="652"/>
        <v>2.5499999999999998</v>
      </c>
      <c r="BK1323" s="3">
        <f t="shared" si="648"/>
        <v>0.40654018043395512</v>
      </c>
      <c r="BL1323">
        <v>2</v>
      </c>
      <c r="BM1323" s="3">
        <f t="shared" si="669"/>
        <v>0.57909104194770611</v>
      </c>
      <c r="BN1323" t="s">
        <v>33</v>
      </c>
      <c r="BO1323" s="3">
        <f t="shared" si="662"/>
        <v>3.7939450980392158</v>
      </c>
      <c r="BP1323" t="s">
        <v>33</v>
      </c>
      <c r="BQ1323" t="s">
        <v>33</v>
      </c>
      <c r="BR1323" t="s">
        <v>33</v>
      </c>
      <c r="BS1323" t="s">
        <v>33</v>
      </c>
      <c r="BT1323" t="s">
        <v>31</v>
      </c>
      <c r="BU1323" s="15" t="s">
        <v>655</v>
      </c>
      <c r="BV1323">
        <v>2003</v>
      </c>
      <c r="BW1323" t="s">
        <v>656</v>
      </c>
      <c r="BX1323" t="s">
        <v>78</v>
      </c>
      <c r="BY1323" s="13" t="s">
        <v>677</v>
      </c>
      <c r="CA1323" t="str">
        <f t="shared" si="663"/>
        <v>low acid</v>
      </c>
    </row>
    <row r="1324" spans="1:79">
      <c r="A1324" t="s">
        <v>409</v>
      </c>
      <c r="B1324" t="s">
        <v>565</v>
      </c>
      <c r="C1324" t="s">
        <v>563</v>
      </c>
      <c r="D1324" t="s">
        <v>118</v>
      </c>
      <c r="E1324" t="s">
        <v>77</v>
      </c>
      <c r="F1324" t="s">
        <v>32</v>
      </c>
      <c r="G1324">
        <v>22</v>
      </c>
      <c r="H1324">
        <v>35</v>
      </c>
      <c r="I1324" t="b">
        <v>0</v>
      </c>
      <c r="J1324" t="s">
        <v>33</v>
      </c>
      <c r="K1324" t="s">
        <v>33</v>
      </c>
      <c r="L1324">
        <v>10</v>
      </c>
      <c r="M1324" s="4">
        <v>1000</v>
      </c>
      <c r="N1324" s="3">
        <f>IFERROR(AF1324/((T1324*X1324/Y1324)*O1324*AI1324),"NA")</f>
        <v>1000.1191061872564</v>
      </c>
      <c r="O1324">
        <v>3</v>
      </c>
      <c r="P1324" t="s">
        <v>33</v>
      </c>
      <c r="Q1324" s="8">
        <f t="shared" si="673"/>
        <v>1.2133333333333333E-2</v>
      </c>
      <c r="R1324" t="s">
        <v>183</v>
      </c>
      <c r="S1324" t="s">
        <v>613</v>
      </c>
      <c r="T1324" s="11">
        <v>4</v>
      </c>
      <c r="U1324">
        <v>2.92</v>
      </c>
      <c r="V1324">
        <v>2.2999999999999998</v>
      </c>
      <c r="W1324" t="s">
        <v>33</v>
      </c>
      <c r="X1324" s="9">
        <f>IFERROR(((PI())*(((V1324*10^-1)/2)^2)*(U1324*10^-1)), "NA")</f>
        <v>1.2131888350367701E-2</v>
      </c>
      <c r="Y1324" s="6">
        <f>1</f>
        <v>1</v>
      </c>
      <c r="Z1324" s="3">
        <f t="shared" si="676"/>
        <v>0.99988090799733798</v>
      </c>
      <c r="AA1324" t="s">
        <v>33</v>
      </c>
      <c r="AB1324" s="6">
        <f>IFERROR(((X1324*M1324)/Y1324), "NA")</f>
        <v>12.131888350367701</v>
      </c>
      <c r="AC1324" t="str">
        <f t="shared" si="674"/>
        <v>NA</v>
      </c>
      <c r="AD1324" s="4">
        <f>IFERROR(AB1324*T1324*AI1324, "NA")</f>
        <v>48.527553401470804</v>
      </c>
      <c r="AE1324" s="3">
        <f t="shared" si="675"/>
        <v>29.119999999999997</v>
      </c>
      <c r="AF1324">
        <v>145.6</v>
      </c>
      <c r="AG1324" t="str">
        <f>IFERROR((M1324*O1324*P1324), "NA")</f>
        <v>NA</v>
      </c>
      <c r="AH1324" t="str">
        <f>IFERROR((AG1324*T1324*AI1324), "NA")</f>
        <v>NA</v>
      </c>
      <c r="AI1324" s="11">
        <v>1</v>
      </c>
      <c r="AJ1324" t="s">
        <v>31</v>
      </c>
      <c r="AK1324">
        <v>2000</v>
      </c>
      <c r="AL1324" t="s">
        <v>114</v>
      </c>
      <c r="AM1324" t="s">
        <v>103</v>
      </c>
      <c r="AN1324" t="s">
        <v>130</v>
      </c>
      <c r="AO1324" t="s">
        <v>795</v>
      </c>
      <c r="AP1324" t="s">
        <v>33</v>
      </c>
      <c r="AQ1324" t="s">
        <v>33</v>
      </c>
      <c r="AR1324" t="s">
        <v>33</v>
      </c>
      <c r="AS1324" s="3">
        <f>LOG(10^7)</f>
        <v>7</v>
      </c>
      <c r="AT1324" s="3">
        <f>IFERROR(AS1324-AU1324,"NA")</f>
        <v>6.4580000000000002</v>
      </c>
      <c r="AU1324" s="6">
        <v>0.54200000000000004</v>
      </c>
      <c r="AV1324" t="b">
        <v>1</v>
      </c>
      <c r="AW1324" t="s">
        <v>29</v>
      </c>
      <c r="AX1324" t="s">
        <v>30</v>
      </c>
      <c r="AY1324" t="s">
        <v>411</v>
      </c>
      <c r="AZ1324" t="s">
        <v>134</v>
      </c>
      <c r="BA1324" s="18" t="s">
        <v>798</v>
      </c>
      <c r="BB1324" t="b">
        <v>0</v>
      </c>
      <c r="BC1324" t="s">
        <v>81</v>
      </c>
      <c r="BD1324">
        <v>12</v>
      </c>
      <c r="BE1324" t="s">
        <v>80</v>
      </c>
      <c r="BF1324" s="11">
        <v>24</v>
      </c>
      <c r="BG1324" t="s">
        <v>569</v>
      </c>
      <c r="BH1324" t="s">
        <v>31</v>
      </c>
      <c r="BI1324" t="s">
        <v>31</v>
      </c>
      <c r="BJ1324" s="3">
        <f t="shared" si="652"/>
        <v>0.54200000000000004</v>
      </c>
      <c r="BK1324" s="3">
        <f t="shared" ref="BK1324:BK1387" si="679">LOG10(BJ1324)</f>
        <v>-0.26600071346161303</v>
      </c>
      <c r="BL1324">
        <v>2</v>
      </c>
      <c r="BM1324" s="3">
        <f t="shared" si="669"/>
        <v>1.7301920841026126</v>
      </c>
      <c r="BN1324" t="s">
        <v>33</v>
      </c>
      <c r="BO1324" s="3">
        <f t="shared" si="662"/>
        <v>53.726937269372684</v>
      </c>
      <c r="BP1324" t="s">
        <v>33</v>
      </c>
      <c r="BQ1324" t="s">
        <v>33</v>
      </c>
      <c r="BR1324" t="s">
        <v>33</v>
      </c>
      <c r="BS1324" t="s">
        <v>33</v>
      </c>
      <c r="BT1324" t="s">
        <v>32</v>
      </c>
      <c r="BU1324" t="s">
        <v>412</v>
      </c>
      <c r="BV1324">
        <v>2002</v>
      </c>
      <c r="BW1324" t="s">
        <v>403</v>
      </c>
      <c r="BX1324" t="s">
        <v>78</v>
      </c>
      <c r="BY1324" t="s">
        <v>33</v>
      </c>
      <c r="BZ1324" t="s">
        <v>33</v>
      </c>
      <c r="CA1324" t="str">
        <f t="shared" si="663"/>
        <v>low acid</v>
      </c>
    </row>
    <row r="1325" spans="1:79">
      <c r="A1325" t="s">
        <v>460</v>
      </c>
      <c r="B1325" t="s">
        <v>565</v>
      </c>
      <c r="C1325" t="s">
        <v>563</v>
      </c>
      <c r="D1325" t="s">
        <v>182</v>
      </c>
      <c r="E1325" t="s">
        <v>77</v>
      </c>
      <c r="F1325" t="s">
        <v>32</v>
      </c>
      <c r="G1325">
        <v>18</v>
      </c>
      <c r="H1325">
        <v>47</v>
      </c>
      <c r="I1325" t="b">
        <v>1</v>
      </c>
      <c r="J1325" t="s">
        <v>33</v>
      </c>
      <c r="K1325" t="s">
        <v>33</v>
      </c>
      <c r="L1325">
        <v>27</v>
      </c>
      <c r="M1325" s="4" t="s">
        <v>33</v>
      </c>
      <c r="N1325" s="3">
        <f>IFERROR(AF1325/((T1325*X1325/Y1325)*O1325*AI1325),"NA")</f>
        <v>220.85360391328314</v>
      </c>
      <c r="O1325">
        <v>10</v>
      </c>
      <c r="P1325">
        <f>0.047/2</f>
        <v>2.35E-2</v>
      </c>
      <c r="Q1325" s="8">
        <f t="shared" si="673"/>
        <v>2.3318614270936313E-2</v>
      </c>
      <c r="R1325" t="s">
        <v>183</v>
      </c>
      <c r="S1325" t="s">
        <v>613</v>
      </c>
      <c r="T1325" s="11">
        <v>2</v>
      </c>
      <c r="U1325">
        <v>5.6</v>
      </c>
      <c r="V1325">
        <v>4.5</v>
      </c>
      <c r="W1325" t="s">
        <v>33</v>
      </c>
      <c r="X1325" s="9">
        <f>IFERROR(((PI())*(((V1325*10^-1)/2)^2)*(U1325*10^-1)), "NA")</f>
        <v>8.9064151729270638E-2</v>
      </c>
      <c r="Y1325" s="6">
        <f>13750/3600</f>
        <v>3.8194444444444446</v>
      </c>
      <c r="Z1325" s="3">
        <f>IFERROR(X1325*N1325*O1325*T1325*AI1325/AF1325, "NA")</f>
        <v>3.8194444444444442</v>
      </c>
      <c r="AA1325" t="s">
        <v>33</v>
      </c>
      <c r="AB1325" s="4">
        <f>IFERROR(((X1325*N1325)/Y1325), "NA")</f>
        <v>5.1499999999999995</v>
      </c>
      <c r="AC1325" s="4">
        <f>IFERROR(N1325*P1325,"NA")</f>
        <v>5.190059691962154</v>
      </c>
      <c r="AD1325" s="4">
        <f>IFERROR(AB1325*T1325*AI1325, "NA")</f>
        <v>10.299999999999999</v>
      </c>
      <c r="AE1325" s="3">
        <f>IFERROR(((L1325^2)*N1325*O1325*AK1325*10^-6*Q1325*T1325*AI1325), "NA")</f>
        <v>172.70010000000002</v>
      </c>
      <c r="AF1325">
        <v>103</v>
      </c>
      <c r="AG1325" s="4">
        <f>IFERROR((N1325*O1325*P1325), "NA")</f>
        <v>51.900596919621535</v>
      </c>
      <c r="AH1325" s="4">
        <f>IFERROR((AG1325*T1325*AI1325), "NA")</f>
        <v>103.80119383924307</v>
      </c>
      <c r="AI1325" s="11">
        <v>1</v>
      </c>
      <c r="AJ1325" t="s">
        <v>31</v>
      </c>
      <c r="AK1325">
        <v>2300</v>
      </c>
      <c r="AL1325" t="s">
        <v>805</v>
      </c>
      <c r="AM1325" t="s">
        <v>515</v>
      </c>
      <c r="AN1325" t="s">
        <v>205</v>
      </c>
      <c r="AO1325" t="s">
        <v>788</v>
      </c>
      <c r="AP1325">
        <v>3.68</v>
      </c>
      <c r="AQ1325" t="s">
        <v>33</v>
      </c>
      <c r="AR1325" t="s">
        <v>33</v>
      </c>
      <c r="AS1325">
        <f>LOG(10^8)</f>
        <v>8</v>
      </c>
      <c r="AT1325" s="3">
        <f>IFERROR(AS1325-AU1325,"NA")</f>
        <v>6.46</v>
      </c>
      <c r="AU1325" s="6">
        <v>1.54</v>
      </c>
      <c r="AV1325" t="b">
        <v>1</v>
      </c>
      <c r="AW1325" t="s">
        <v>480</v>
      </c>
      <c r="AX1325" t="s">
        <v>479</v>
      </c>
      <c r="AY1325" t="s">
        <v>482</v>
      </c>
      <c r="AZ1325" t="s">
        <v>33</v>
      </c>
      <c r="BA1325" s="18" t="s">
        <v>579</v>
      </c>
      <c r="BB1325" t="b">
        <v>1</v>
      </c>
      <c r="BC1325" t="s">
        <v>81</v>
      </c>
      <c r="BD1325" t="s">
        <v>33</v>
      </c>
      <c r="BE1325" t="s">
        <v>80</v>
      </c>
      <c r="BF1325" t="s">
        <v>33</v>
      </c>
      <c r="BG1325" t="s">
        <v>395</v>
      </c>
      <c r="BH1325" t="s">
        <v>31</v>
      </c>
      <c r="BI1325" t="s">
        <v>31</v>
      </c>
      <c r="BJ1325" s="3">
        <f t="shared" ref="BJ1325:BJ1388" si="680">AU1325</f>
        <v>1.54</v>
      </c>
      <c r="BK1325" s="3">
        <f t="shared" si="679"/>
        <v>0.18752072083646307</v>
      </c>
      <c r="BL1325">
        <v>2</v>
      </c>
      <c r="BM1325" s="3">
        <f t="shared" si="669"/>
        <v>2.0497718682042767</v>
      </c>
      <c r="BN1325" t="s">
        <v>33</v>
      </c>
      <c r="BO1325" s="3">
        <f t="shared" si="662"/>
        <v>112.14292207792209</v>
      </c>
      <c r="BP1325" t="s">
        <v>33</v>
      </c>
      <c r="BQ1325" t="s">
        <v>33</v>
      </c>
      <c r="BR1325" t="s">
        <v>33</v>
      </c>
      <c r="BS1325" t="s">
        <v>33</v>
      </c>
      <c r="BT1325" t="s">
        <v>32</v>
      </c>
      <c r="BU1325" t="s">
        <v>484</v>
      </c>
      <c r="BV1325">
        <v>2015</v>
      </c>
      <c r="BW1325" t="s">
        <v>485</v>
      </c>
      <c r="BX1325" t="s">
        <v>78</v>
      </c>
      <c r="BY1325" t="s">
        <v>486</v>
      </c>
      <c r="CA1325" t="str">
        <f t="shared" si="663"/>
        <v>high acid</v>
      </c>
    </row>
    <row r="1326" spans="1:79">
      <c r="A1326" t="s">
        <v>597</v>
      </c>
      <c r="B1326" t="s">
        <v>565</v>
      </c>
      <c r="C1326" t="s">
        <v>563</v>
      </c>
      <c r="D1326" t="s">
        <v>33</v>
      </c>
      <c r="E1326" t="s">
        <v>77</v>
      </c>
      <c r="F1326" t="s">
        <v>33</v>
      </c>
      <c r="G1326">
        <v>20</v>
      </c>
      <c r="H1326">
        <v>35</v>
      </c>
      <c r="I1326" t="b">
        <v>0</v>
      </c>
      <c r="J1326" t="s">
        <v>33</v>
      </c>
      <c r="K1326" t="s">
        <v>33</v>
      </c>
      <c r="L1326">
        <v>22</v>
      </c>
      <c r="M1326" s="4">
        <v>1</v>
      </c>
      <c r="N1326" t="e">
        <f>(#REF!*Y1326)/(T1326*X1326*O1326)</f>
        <v>#REF!</v>
      </c>
      <c r="O1326">
        <v>2</v>
      </c>
      <c r="P1326" t="s">
        <v>33</v>
      </c>
      <c r="Q1326" s="1">
        <f t="shared" si="673"/>
        <v>48.19</v>
      </c>
      <c r="R1326" t="s">
        <v>183</v>
      </c>
      <c r="S1326" t="s">
        <v>33</v>
      </c>
      <c r="T1326">
        <v>1</v>
      </c>
      <c r="U1326">
        <v>2.5</v>
      </c>
      <c r="V1326" t="s">
        <v>33</v>
      </c>
      <c r="W1326">
        <v>0.50249999999999995</v>
      </c>
      <c r="X1326">
        <f>W1326</f>
        <v>0.50249999999999995</v>
      </c>
      <c r="Y1326" t="s">
        <v>33</v>
      </c>
      <c r="Z1326" s="3">
        <f>IFERROR(X1326*M1326*O1326*T1326*AI1326/AF1326, "NA")</f>
        <v>1.0427474579788338E-2</v>
      </c>
      <c r="AA1326" t="s">
        <v>33</v>
      </c>
      <c r="AB1326">
        <f>IFERROR(((X1326*M1326)/Z1326), "NA")</f>
        <v>48.19</v>
      </c>
      <c r="AC1326" s="1" t="str">
        <f t="shared" ref="AC1326:AC1341" si="681">IFERROR(M1326*P1326,"NA")</f>
        <v>NA</v>
      </c>
      <c r="AE1326" s="3">
        <f t="shared" ref="AE1326:AE1341" si="682">IFERROR(((L1326^2)*M1326*O1326*AK1326*10^-6*Q1326*T1326*AI1326), "NA")</f>
        <v>93.295839999999998</v>
      </c>
      <c r="AF1326">
        <v>96.38</v>
      </c>
      <c r="AG1326" s="1" t="str">
        <f>IFERROR((N1326*P1326*Q1326), "NA")</f>
        <v>NA</v>
      </c>
      <c r="AH1326" s="1" t="str">
        <f>IFERROR((AG1326*U1326*AI1326), "NA")</f>
        <v>NA</v>
      </c>
      <c r="AI1326" s="1">
        <v>1</v>
      </c>
      <c r="AJ1326" s="11" t="s">
        <v>31</v>
      </c>
      <c r="AK1326">
        <v>2000</v>
      </c>
      <c r="AL1326" t="s">
        <v>784</v>
      </c>
      <c r="AM1326" s="3" t="s">
        <v>103</v>
      </c>
      <c r="AN1326" t="s">
        <v>130</v>
      </c>
      <c r="AO1326" t="s">
        <v>795</v>
      </c>
      <c r="AP1326">
        <v>7</v>
      </c>
      <c r="AQ1326" t="s">
        <v>33</v>
      </c>
      <c r="AR1326" t="s">
        <v>33</v>
      </c>
      <c r="AS1326">
        <v>9</v>
      </c>
      <c r="AT1326">
        <f>AS1326-AU1326</f>
        <v>6.46</v>
      </c>
      <c r="AU1326" s="6">
        <v>2.54</v>
      </c>
      <c r="AV1326" t="b">
        <v>1</v>
      </c>
      <c r="AW1326" t="s">
        <v>617</v>
      </c>
      <c r="AX1326" t="s">
        <v>635</v>
      </c>
      <c r="AY1326" t="s">
        <v>636</v>
      </c>
      <c r="AZ1326" t="s">
        <v>33</v>
      </c>
      <c r="BA1326" s="18" t="s">
        <v>802</v>
      </c>
      <c r="BB1326" s="3" t="b">
        <v>0</v>
      </c>
      <c r="BC1326" t="s">
        <v>81</v>
      </c>
      <c r="BD1326">
        <v>24</v>
      </c>
      <c r="BE1326" t="s">
        <v>80</v>
      </c>
      <c r="BF1326">
        <v>24</v>
      </c>
      <c r="BG1326" t="s">
        <v>644</v>
      </c>
      <c r="BH1326" t="s">
        <v>31</v>
      </c>
      <c r="BI1326" t="s">
        <v>31</v>
      </c>
      <c r="BJ1326">
        <f t="shared" si="680"/>
        <v>2.54</v>
      </c>
      <c r="BK1326" s="3">
        <f t="shared" si="679"/>
        <v>0.40483371661993806</v>
      </c>
      <c r="BL1326">
        <v>2</v>
      </c>
      <c r="BM1326" s="3">
        <f t="shared" si="669"/>
        <v>1.5650285626536453</v>
      </c>
      <c r="BN1326" t="s">
        <v>33</v>
      </c>
      <c r="BO1326" s="3">
        <f t="shared" si="662"/>
        <v>36.730645669291334</v>
      </c>
      <c r="BP1326" t="s">
        <v>33</v>
      </c>
      <c r="BQ1326" t="s">
        <v>33</v>
      </c>
      <c r="BR1326" t="s">
        <v>33</v>
      </c>
      <c r="BS1326" t="s">
        <v>33</v>
      </c>
      <c r="BT1326" t="s">
        <v>31</v>
      </c>
      <c r="BU1326" t="s">
        <v>664</v>
      </c>
      <c r="BV1326">
        <v>2000</v>
      </c>
      <c r="BW1326" t="s">
        <v>665</v>
      </c>
      <c r="BX1326" t="s">
        <v>78</v>
      </c>
      <c r="BY1326" s="13" t="s">
        <v>685</v>
      </c>
      <c r="CA1326" t="str">
        <f t="shared" si="663"/>
        <v>low acid</v>
      </c>
    </row>
    <row r="1327" spans="1:79">
      <c r="A1327" t="s">
        <v>594</v>
      </c>
      <c r="B1327" t="s">
        <v>566</v>
      </c>
      <c r="C1327" t="s">
        <v>563</v>
      </c>
      <c r="D1327" t="s">
        <v>33</v>
      </c>
      <c r="E1327" t="s">
        <v>77</v>
      </c>
      <c r="F1327" t="s">
        <v>32</v>
      </c>
      <c r="G1327" t="s">
        <v>33</v>
      </c>
      <c r="H1327">
        <v>30</v>
      </c>
      <c r="I1327" t="b">
        <v>1</v>
      </c>
      <c r="J1327" t="s">
        <v>33</v>
      </c>
      <c r="K1327" t="s">
        <v>33</v>
      </c>
      <c r="L1327">
        <v>20</v>
      </c>
      <c r="M1327" s="4">
        <v>2</v>
      </c>
      <c r="N1327" t="e">
        <f>(#REF!*Y1327)/(T1327*X1327*O1327)</f>
        <v>#REF!</v>
      </c>
      <c r="O1327">
        <v>2</v>
      </c>
      <c r="P1327" t="s">
        <v>33</v>
      </c>
      <c r="Q1327" s="1">
        <f t="shared" si="673"/>
        <v>7.1</v>
      </c>
      <c r="R1327" t="s">
        <v>183</v>
      </c>
      <c r="S1327" t="s">
        <v>613</v>
      </c>
      <c r="T1327">
        <v>1</v>
      </c>
      <c r="U1327">
        <v>5</v>
      </c>
      <c r="V1327" t="s">
        <v>33</v>
      </c>
      <c r="W1327">
        <v>0.71</v>
      </c>
      <c r="X1327">
        <f>W1327</f>
        <v>0.71</v>
      </c>
      <c r="Y1327">
        <v>0.1</v>
      </c>
      <c r="Z1327" s="3">
        <f>Y1327</f>
        <v>0.1</v>
      </c>
      <c r="AA1327" s="3">
        <v>14.8409893992932</v>
      </c>
      <c r="AB1327">
        <f>IFERROR(((X1327*M1327)/Y1327), "NA")</f>
        <v>14.2</v>
      </c>
      <c r="AC1327" s="1" t="str">
        <f t="shared" si="681"/>
        <v>NA</v>
      </c>
      <c r="AE1327" s="3">
        <f t="shared" si="682"/>
        <v>349.88799999999998</v>
      </c>
      <c r="AF1327" t="s">
        <v>33</v>
      </c>
      <c r="AG1327" s="1">
        <f>IFERROR((M1327*O1327*Q1327), "NA")</f>
        <v>28.4</v>
      </c>
      <c r="AH1327" s="1">
        <f>IFERROR((AG1327*U1327*AI1327), "NA")</f>
        <v>568</v>
      </c>
      <c r="AI1327" s="1">
        <v>4</v>
      </c>
      <c r="AJ1327" s="11" t="s">
        <v>31</v>
      </c>
      <c r="AK1327">
        <f>7700</f>
        <v>7700</v>
      </c>
      <c r="AL1327" t="s">
        <v>561</v>
      </c>
      <c r="AM1327" s="3" t="s">
        <v>786</v>
      </c>
      <c r="AN1327" t="s">
        <v>186</v>
      </c>
      <c r="AO1327" t="s">
        <v>793</v>
      </c>
      <c r="AP1327" t="s">
        <v>33</v>
      </c>
      <c r="AQ1327" t="s">
        <v>33</v>
      </c>
      <c r="AR1327" t="s">
        <v>33</v>
      </c>
      <c r="AS1327">
        <v>8</v>
      </c>
      <c r="AT1327">
        <f>AS1327-AU1327</f>
        <v>6.47</v>
      </c>
      <c r="AU1327" s="6">
        <v>1.53</v>
      </c>
      <c r="AV1327" t="b">
        <v>1</v>
      </c>
      <c r="AW1327" t="s">
        <v>617</v>
      </c>
      <c r="AX1327" t="s">
        <v>624</v>
      </c>
      <c r="AY1327" t="s">
        <v>622</v>
      </c>
      <c r="AZ1327" t="s">
        <v>33</v>
      </c>
      <c r="BA1327" s="18" t="s">
        <v>802</v>
      </c>
      <c r="BB1327" s="3" t="b">
        <v>0</v>
      </c>
      <c r="BC1327" t="s">
        <v>81</v>
      </c>
      <c r="BD1327">
        <v>18</v>
      </c>
      <c r="BE1327" t="s">
        <v>80</v>
      </c>
      <c r="BF1327">
        <v>24</v>
      </c>
      <c r="BG1327" t="s">
        <v>696</v>
      </c>
      <c r="BH1327" t="s">
        <v>32</v>
      </c>
      <c r="BI1327" t="s">
        <v>31</v>
      </c>
      <c r="BJ1327">
        <f t="shared" si="680"/>
        <v>1.53</v>
      </c>
      <c r="BK1327" s="3">
        <f t="shared" si="679"/>
        <v>0.18469143081759881</v>
      </c>
      <c r="BL1327">
        <v>2</v>
      </c>
      <c r="BM1327" s="3">
        <f t="shared" si="669"/>
        <v>2.3592376170578455</v>
      </c>
      <c r="BN1327" t="s">
        <v>33</v>
      </c>
      <c r="BO1327" s="3">
        <f t="shared" si="662"/>
        <v>228.68496732026142</v>
      </c>
      <c r="BP1327" t="s">
        <v>33</v>
      </c>
      <c r="BQ1327" t="s">
        <v>33</v>
      </c>
      <c r="BR1327" t="s">
        <v>33</v>
      </c>
      <c r="BS1327" t="s">
        <v>33</v>
      </c>
      <c r="BT1327" t="s">
        <v>31</v>
      </c>
      <c r="BU1327" t="s">
        <v>338</v>
      </c>
      <c r="BV1327">
        <v>2006</v>
      </c>
      <c r="BW1327" t="s">
        <v>339</v>
      </c>
      <c r="BX1327" t="s">
        <v>78</v>
      </c>
      <c r="BY1327" s="13" t="s">
        <v>682</v>
      </c>
      <c r="CA1327" t="str">
        <f t="shared" si="663"/>
        <v>low acid</v>
      </c>
    </row>
    <row r="1328" spans="1:79">
      <c r="A1328" t="s">
        <v>584</v>
      </c>
      <c r="B1328" t="s">
        <v>566</v>
      </c>
      <c r="C1328" t="s">
        <v>563</v>
      </c>
      <c r="D1328" t="s">
        <v>607</v>
      </c>
      <c r="E1328" t="s">
        <v>77</v>
      </c>
      <c r="F1328" t="s">
        <v>33</v>
      </c>
      <c r="G1328">
        <v>20</v>
      </c>
      <c r="H1328">
        <v>35</v>
      </c>
      <c r="I1328" t="b">
        <v>0</v>
      </c>
      <c r="J1328">
        <v>1000</v>
      </c>
      <c r="K1328">
        <v>200</v>
      </c>
      <c r="L1328">
        <v>25</v>
      </c>
      <c r="M1328" s="4">
        <v>1</v>
      </c>
      <c r="N1328" t="e">
        <f>(#REF!*Y1328)/(T1328*X1328*O1328)</f>
        <v>#REF!</v>
      </c>
      <c r="O1328">
        <v>3</v>
      </c>
      <c r="P1328" t="s">
        <v>33</v>
      </c>
      <c r="Q1328" s="1">
        <f t="shared" si="673"/>
        <v>9</v>
      </c>
      <c r="R1328" t="s">
        <v>183</v>
      </c>
      <c r="S1328" t="s">
        <v>33</v>
      </c>
      <c r="T1328">
        <v>1</v>
      </c>
      <c r="U1328">
        <v>2.5</v>
      </c>
      <c r="V1328" t="s">
        <v>33</v>
      </c>
      <c r="W1328">
        <v>0.50249999999999995</v>
      </c>
      <c r="X1328">
        <f>W1328</f>
        <v>0.50249999999999995</v>
      </c>
      <c r="Y1328" t="s">
        <v>33</v>
      </c>
      <c r="Z1328" s="3">
        <f>IFERROR(X1328*M1328*O1328*T1328*AI1328/AF1328, "NA")</f>
        <v>5.5833333333333325E-2</v>
      </c>
      <c r="AA1328" t="s">
        <v>33</v>
      </c>
      <c r="AB1328">
        <f>IFERROR(((X1328*M1328)/Z1328), "NA")</f>
        <v>9</v>
      </c>
      <c r="AC1328" s="1" t="str">
        <f t="shared" si="681"/>
        <v>NA</v>
      </c>
      <c r="AE1328" s="3">
        <f t="shared" si="682"/>
        <v>16.875</v>
      </c>
      <c r="AF1328">
        <v>27</v>
      </c>
      <c r="AG1328" s="1" t="str">
        <f>IFERROR((N1328*P1328*Q1328), "NA")</f>
        <v>NA</v>
      </c>
      <c r="AH1328" s="1" t="str">
        <f>IFERROR((AG1328*U1328*AI1328), "NA")</f>
        <v>NA</v>
      </c>
      <c r="AI1328" s="1">
        <v>1</v>
      </c>
      <c r="AJ1328" s="11" t="s">
        <v>31</v>
      </c>
      <c r="AK1328">
        <v>1000</v>
      </c>
      <c r="AL1328" t="s">
        <v>614</v>
      </c>
      <c r="AM1328" s="3" t="s">
        <v>103</v>
      </c>
      <c r="AN1328" t="s">
        <v>130</v>
      </c>
      <c r="AO1328" t="s">
        <v>795</v>
      </c>
      <c r="AP1328">
        <v>7</v>
      </c>
      <c r="AQ1328" t="s">
        <v>33</v>
      </c>
      <c r="AR1328" t="s">
        <v>33</v>
      </c>
      <c r="AS1328">
        <v>8</v>
      </c>
      <c r="AT1328">
        <f>AS1328-AU1328</f>
        <v>6.47</v>
      </c>
      <c r="AU1328" s="6">
        <v>1.53</v>
      </c>
      <c r="AV1328" t="b">
        <v>1</v>
      </c>
      <c r="AW1328" t="s">
        <v>617</v>
      </c>
      <c r="AX1328" t="s">
        <v>33</v>
      </c>
      <c r="AY1328" t="s">
        <v>623</v>
      </c>
      <c r="AZ1328" t="s">
        <v>621</v>
      </c>
      <c r="BA1328" s="18" t="s">
        <v>802</v>
      </c>
      <c r="BB1328" s="3" t="b">
        <v>0</v>
      </c>
      <c r="BC1328" t="s">
        <v>81</v>
      </c>
      <c r="BD1328">
        <v>18</v>
      </c>
      <c r="BE1328" t="s">
        <v>80</v>
      </c>
      <c r="BF1328">
        <v>24</v>
      </c>
      <c r="BG1328" t="s">
        <v>642</v>
      </c>
      <c r="BH1328" t="s">
        <v>32</v>
      </c>
      <c r="BI1328" t="s">
        <v>31</v>
      </c>
      <c r="BJ1328">
        <f t="shared" si="680"/>
        <v>1.53</v>
      </c>
      <c r="BK1328" s="3">
        <f t="shared" si="679"/>
        <v>0.18469143081759881</v>
      </c>
      <c r="BL1328">
        <v>2</v>
      </c>
      <c r="BM1328" s="3">
        <f t="shared" si="669"/>
        <v>1.0425523506854637</v>
      </c>
      <c r="BN1328" t="s">
        <v>33</v>
      </c>
      <c r="BO1328" s="3">
        <f t="shared" si="662"/>
        <v>11.029411764705882</v>
      </c>
      <c r="BP1328" t="s">
        <v>33</v>
      </c>
      <c r="BQ1328" t="s">
        <v>33</v>
      </c>
      <c r="BR1328" t="s">
        <v>33</v>
      </c>
      <c r="BS1328" t="s">
        <v>33</v>
      </c>
      <c r="BT1328" t="s">
        <v>31</v>
      </c>
      <c r="BU1328" t="s">
        <v>255</v>
      </c>
      <c r="BV1328">
        <v>2010</v>
      </c>
      <c r="BW1328" t="s">
        <v>651</v>
      </c>
      <c r="BX1328" t="s">
        <v>78</v>
      </c>
      <c r="BY1328" s="13" t="s">
        <v>674</v>
      </c>
      <c r="CA1328" t="str">
        <f t="shared" si="663"/>
        <v>low acid</v>
      </c>
    </row>
    <row r="1329" spans="1:79">
      <c r="A1329" t="s">
        <v>584</v>
      </c>
      <c r="B1329" t="s">
        <v>566</v>
      </c>
      <c r="C1329" t="s">
        <v>563</v>
      </c>
      <c r="D1329" t="s">
        <v>607</v>
      </c>
      <c r="E1329" t="s">
        <v>77</v>
      </c>
      <c r="F1329" t="s">
        <v>33</v>
      </c>
      <c r="G1329">
        <v>20</v>
      </c>
      <c r="H1329">
        <v>35</v>
      </c>
      <c r="I1329" t="b">
        <v>0</v>
      </c>
      <c r="J1329">
        <v>1000</v>
      </c>
      <c r="K1329">
        <v>200</v>
      </c>
      <c r="L1329">
        <v>25</v>
      </c>
      <c r="M1329" s="4">
        <v>1</v>
      </c>
      <c r="N1329" t="e">
        <f>(#REF!*Y1329)/(T1329*X1329*O1329)</f>
        <v>#REF!</v>
      </c>
      <c r="O1329">
        <v>3</v>
      </c>
      <c r="P1329" t="s">
        <v>33</v>
      </c>
      <c r="Q1329" s="1">
        <f t="shared" si="673"/>
        <v>9</v>
      </c>
      <c r="R1329" t="s">
        <v>183</v>
      </c>
      <c r="S1329" t="s">
        <v>33</v>
      </c>
      <c r="T1329">
        <v>1</v>
      </c>
      <c r="U1329">
        <v>2.5</v>
      </c>
      <c r="V1329" t="s">
        <v>33</v>
      </c>
      <c r="W1329">
        <v>0.50249999999999995</v>
      </c>
      <c r="X1329">
        <f>W1329</f>
        <v>0.50249999999999995</v>
      </c>
      <c r="Y1329" t="s">
        <v>33</v>
      </c>
      <c r="Z1329" s="3">
        <f>IFERROR(X1329*M1329*O1329*T1329*AI1329/AF1329, "NA")</f>
        <v>5.5833333333333325E-2</v>
      </c>
      <c r="AA1329" t="s">
        <v>33</v>
      </c>
      <c r="AB1329">
        <f>IFERROR(((X1329*M1329)/Z1329), "NA")</f>
        <v>9</v>
      </c>
      <c r="AC1329" s="1" t="str">
        <f t="shared" si="681"/>
        <v>NA</v>
      </c>
      <c r="AE1329" s="3">
        <f t="shared" si="682"/>
        <v>16.875</v>
      </c>
      <c r="AF1329">
        <v>27</v>
      </c>
      <c r="AG1329" s="1" t="str">
        <f>IFERROR((N1329*P1329*Q1329), "NA")</f>
        <v>NA</v>
      </c>
      <c r="AH1329" s="1" t="str">
        <f>IFERROR((AG1329*U1329*AI1329), "NA")</f>
        <v>NA</v>
      </c>
      <c r="AI1329" s="1">
        <v>1</v>
      </c>
      <c r="AJ1329" s="11" t="s">
        <v>31</v>
      </c>
      <c r="AK1329">
        <v>1000</v>
      </c>
      <c r="AL1329" t="s">
        <v>614</v>
      </c>
      <c r="AM1329" s="3" t="s">
        <v>103</v>
      </c>
      <c r="AN1329" t="s">
        <v>305</v>
      </c>
      <c r="AO1329" t="s">
        <v>790</v>
      </c>
      <c r="AP1329">
        <v>4.5</v>
      </c>
      <c r="AQ1329" t="s">
        <v>33</v>
      </c>
      <c r="AR1329" t="s">
        <v>33</v>
      </c>
      <c r="AS1329">
        <v>8</v>
      </c>
      <c r="AT1329">
        <f>AS1329-AU1329</f>
        <v>6.47</v>
      </c>
      <c r="AU1329" s="6">
        <v>1.53</v>
      </c>
      <c r="AV1329" t="b">
        <v>1</v>
      </c>
      <c r="AW1329" t="s">
        <v>617</v>
      </c>
      <c r="AX1329" t="s">
        <v>33</v>
      </c>
      <c r="AY1329" t="s">
        <v>623</v>
      </c>
      <c r="AZ1329" t="s">
        <v>621</v>
      </c>
      <c r="BA1329" s="18" t="s">
        <v>802</v>
      </c>
      <c r="BB1329" s="3" t="b">
        <v>0</v>
      </c>
      <c r="BC1329" t="s">
        <v>81</v>
      </c>
      <c r="BD1329">
        <v>18</v>
      </c>
      <c r="BE1329" t="s">
        <v>80</v>
      </c>
      <c r="BF1329">
        <v>24</v>
      </c>
      <c r="BG1329" t="s">
        <v>569</v>
      </c>
      <c r="BH1329" t="s">
        <v>31</v>
      </c>
      <c r="BI1329" t="s">
        <v>31</v>
      </c>
      <c r="BJ1329">
        <f t="shared" si="680"/>
        <v>1.53</v>
      </c>
      <c r="BK1329" s="3">
        <f t="shared" si="679"/>
        <v>0.18469143081759881</v>
      </c>
      <c r="BL1329">
        <v>2</v>
      </c>
      <c r="BM1329" s="3">
        <f t="shared" si="669"/>
        <v>1.0425523506854637</v>
      </c>
      <c r="BN1329" t="s">
        <v>33</v>
      </c>
      <c r="BO1329" s="3">
        <f t="shared" si="662"/>
        <v>11.029411764705882</v>
      </c>
      <c r="BP1329" t="s">
        <v>33</v>
      </c>
      <c r="BQ1329" t="s">
        <v>33</v>
      </c>
      <c r="BR1329" t="s">
        <v>33</v>
      </c>
      <c r="BS1329" t="s">
        <v>33</v>
      </c>
      <c r="BT1329" t="s">
        <v>31</v>
      </c>
      <c r="BU1329" t="s">
        <v>255</v>
      </c>
      <c r="BV1329">
        <v>2010</v>
      </c>
      <c r="BW1329" t="s">
        <v>651</v>
      </c>
      <c r="BX1329" t="s">
        <v>78</v>
      </c>
      <c r="BY1329" s="13" t="s">
        <v>674</v>
      </c>
      <c r="CA1329" t="str">
        <f t="shared" si="663"/>
        <v>high acid</v>
      </c>
    </row>
    <row r="1330" spans="1:79">
      <c r="A1330" t="s">
        <v>733</v>
      </c>
      <c r="B1330" t="s">
        <v>566</v>
      </c>
      <c r="C1330" t="s">
        <v>563</v>
      </c>
      <c r="D1330" t="s">
        <v>699</v>
      </c>
      <c r="E1330" t="s">
        <v>77</v>
      </c>
      <c r="F1330" t="s">
        <v>32</v>
      </c>
      <c r="G1330">
        <v>20</v>
      </c>
      <c r="H1330">
        <v>41</v>
      </c>
      <c r="I1330" t="b">
        <v>1</v>
      </c>
      <c r="J1330" t="s">
        <v>33</v>
      </c>
      <c r="K1330" t="s">
        <v>33</v>
      </c>
      <c r="L1330">
        <v>20</v>
      </c>
      <c r="M1330" s="4">
        <v>30</v>
      </c>
      <c r="N1330" s="3">
        <f>IFERROR(AF1330/((T1330*X1330/Y1330)*O1330*AI1330),"NA")</f>
        <v>29.861111111111104</v>
      </c>
      <c r="O1330">
        <v>5</v>
      </c>
      <c r="P1330">
        <v>0.43</v>
      </c>
      <c r="Q1330" s="8">
        <f>IFERROR(X1330/Y1330, "NA")</f>
        <v>0.43200000000000011</v>
      </c>
      <c r="R1330" t="s">
        <v>183</v>
      </c>
      <c r="S1330" t="s">
        <v>612</v>
      </c>
      <c r="T1330" s="11">
        <v>1</v>
      </c>
      <c r="U1330">
        <v>4</v>
      </c>
      <c r="V1330" t="s">
        <v>33</v>
      </c>
      <c r="W1330">
        <f>0.4*3*0.5</f>
        <v>0.60000000000000009</v>
      </c>
      <c r="X1330" s="9">
        <f>W1330</f>
        <v>0.60000000000000009</v>
      </c>
      <c r="Y1330" s="6">
        <f>5000/3600</f>
        <v>1.3888888888888888</v>
      </c>
      <c r="Z1330" s="3">
        <f>IFERROR(X1330*M1330*O1330*T1330*AI1330/AF1330, "NA")</f>
        <v>1.3953488372093026</v>
      </c>
      <c r="AA1330" t="s">
        <v>33</v>
      </c>
      <c r="AB1330" s="4">
        <f>IFERROR(((X1330*M1330)/Y1330), "NA")</f>
        <v>12.960000000000003</v>
      </c>
      <c r="AC1330" s="4">
        <f t="shared" si="681"/>
        <v>12.9</v>
      </c>
      <c r="AD1330" s="4">
        <f>AB1330*T1330*AI1330</f>
        <v>12.960000000000003</v>
      </c>
      <c r="AE1330" s="3">
        <f t="shared" si="682"/>
        <v>51.840000000000011</v>
      </c>
      <c r="AF1330">
        <v>64.5</v>
      </c>
      <c r="AG1330" s="4">
        <f>IFERROR((M1330*O1330*P1330), "NA")</f>
        <v>64.5</v>
      </c>
      <c r="AH1330" s="4">
        <f>IFERROR((AG1330*T1330*AI1330), "NA")</f>
        <v>64.5</v>
      </c>
      <c r="AI1330">
        <v>1</v>
      </c>
      <c r="AJ1330" s="11" t="s">
        <v>31</v>
      </c>
      <c r="AK1330">
        <v>2000</v>
      </c>
      <c r="AL1330" t="s">
        <v>784</v>
      </c>
      <c r="AM1330" t="s">
        <v>103</v>
      </c>
      <c r="AN1330" t="s">
        <v>130</v>
      </c>
      <c r="AO1330" t="s">
        <v>795</v>
      </c>
      <c r="AP1330">
        <v>7</v>
      </c>
      <c r="AQ1330" t="s">
        <v>33</v>
      </c>
      <c r="AR1330" t="s">
        <v>33</v>
      </c>
      <c r="AS1330" s="6">
        <f>LOG(AVERAGE(10^8, 10^9))</f>
        <v>8.7403626894942441</v>
      </c>
      <c r="AT1330" s="3">
        <f>IFERROR(AS1330-AU1330,"NA")</f>
        <v>6.4743626894942441</v>
      </c>
      <c r="AU1330" s="6">
        <v>2.266</v>
      </c>
      <c r="AV1330" t="b">
        <v>1</v>
      </c>
      <c r="AW1330" t="s">
        <v>172</v>
      </c>
      <c r="AX1330" t="s">
        <v>173</v>
      </c>
      <c r="AY1330">
        <v>77.000100000000003</v>
      </c>
      <c r="AZ1330" t="s">
        <v>33</v>
      </c>
      <c r="BA1330" s="18" t="s">
        <v>799</v>
      </c>
      <c r="BB1330" s="3" t="b">
        <v>0</v>
      </c>
      <c r="BC1330" t="s">
        <v>81</v>
      </c>
      <c r="BD1330">
        <v>24</v>
      </c>
      <c r="BE1330" t="s">
        <v>80</v>
      </c>
      <c r="BF1330">
        <v>48</v>
      </c>
      <c r="BG1330" t="s">
        <v>734</v>
      </c>
      <c r="BH1330" t="s">
        <v>31</v>
      </c>
      <c r="BI1330" t="s">
        <v>31</v>
      </c>
      <c r="BJ1330" s="3">
        <f t="shared" si="680"/>
        <v>2.266</v>
      </c>
      <c r="BK1330" s="3">
        <f t="shared" si="679"/>
        <v>0.35525990552737846</v>
      </c>
      <c r="BL1330">
        <v>2</v>
      </c>
      <c r="BM1330" s="3">
        <f t="shared" si="669"/>
        <v>1.3594050873351586</v>
      </c>
      <c r="BN1330" t="s">
        <v>33</v>
      </c>
      <c r="BO1330" s="3">
        <f t="shared" si="662"/>
        <v>22.877316857899388</v>
      </c>
      <c r="BP1330" t="s">
        <v>33</v>
      </c>
      <c r="BQ1330" t="s">
        <v>33</v>
      </c>
      <c r="BR1330" t="s">
        <v>33</v>
      </c>
      <c r="BS1330" t="s">
        <v>33</v>
      </c>
      <c r="BT1330" t="s">
        <v>32</v>
      </c>
      <c r="BU1330" t="s">
        <v>709</v>
      </c>
      <c r="BV1330">
        <v>2024</v>
      </c>
      <c r="BW1330" t="s">
        <v>710</v>
      </c>
      <c r="BX1330" t="s">
        <v>78</v>
      </c>
      <c r="BY1330" t="s">
        <v>711</v>
      </c>
      <c r="CA1330" t="str">
        <f t="shared" si="663"/>
        <v>low acid</v>
      </c>
    </row>
    <row r="1331" spans="1:79">
      <c r="A1331" t="s">
        <v>586</v>
      </c>
      <c r="B1331" t="s">
        <v>565</v>
      </c>
      <c r="C1331" t="s">
        <v>563</v>
      </c>
      <c r="D1331" t="s">
        <v>118</v>
      </c>
      <c r="E1331" t="s">
        <v>77</v>
      </c>
      <c r="F1331" t="s">
        <v>32</v>
      </c>
      <c r="G1331">
        <v>20</v>
      </c>
      <c r="H1331">
        <v>20</v>
      </c>
      <c r="I1331" t="b">
        <v>1</v>
      </c>
      <c r="J1331" t="s">
        <v>33</v>
      </c>
      <c r="K1331" t="s">
        <v>33</v>
      </c>
      <c r="L1331">
        <v>30</v>
      </c>
      <c r="M1331" s="4">
        <v>100</v>
      </c>
      <c r="N1331" t="e">
        <f>(#REF!*Y1331)/(T1331*X1331*O1331)</f>
        <v>#REF!</v>
      </c>
      <c r="O1331">
        <v>2</v>
      </c>
      <c r="P1331" t="s">
        <v>33</v>
      </c>
      <c r="Q1331" s="1">
        <f>IFERROR(X1331/Z1331, "NA")</f>
        <v>0.16666666666666666</v>
      </c>
      <c r="R1331" t="s">
        <v>183</v>
      </c>
      <c r="S1331" t="s">
        <v>613</v>
      </c>
      <c r="T1331">
        <v>6</v>
      </c>
      <c r="U1331">
        <v>2.92</v>
      </c>
      <c r="V1331">
        <v>2.2999999999999998</v>
      </c>
      <c r="W1331" t="s">
        <v>33</v>
      </c>
      <c r="X1331">
        <f>IFERROR(((PI())*(((V1331*10^-1)/2)^2)*(U1331*10^-1)), "NA")</f>
        <v>1.2131888350367701E-2</v>
      </c>
      <c r="Y1331">
        <v>1.4</v>
      </c>
      <c r="Z1331" s="3">
        <f>IFERROR(X1331*M1331*O1331*T1331*AI1331/AF1331, "NA")</f>
        <v>7.2791330102206203E-2</v>
      </c>
      <c r="AA1331" t="s">
        <v>33</v>
      </c>
      <c r="AB1331">
        <f>IFERROR(((X1331*M1331)/Z1331), "NA")</f>
        <v>16.666666666666668</v>
      </c>
      <c r="AC1331" s="1" t="str">
        <f t="shared" si="681"/>
        <v>NA</v>
      </c>
      <c r="AE1331" s="3">
        <f t="shared" si="682"/>
        <v>1116</v>
      </c>
      <c r="AF1331">
        <v>200</v>
      </c>
      <c r="AG1331" s="1" t="str">
        <f>IFERROR((N1331*P1331*Q1331), "NA")</f>
        <v>NA</v>
      </c>
      <c r="AH1331" s="1" t="str">
        <f>IFERROR((AG1331*U1331*AI1331), "NA")</f>
        <v>NA</v>
      </c>
      <c r="AI1331" s="1">
        <v>1</v>
      </c>
      <c r="AJ1331" s="11" t="s">
        <v>31</v>
      </c>
      <c r="AK1331">
        <v>6200</v>
      </c>
      <c r="AL1331" t="s">
        <v>561</v>
      </c>
      <c r="AM1331" s="3" t="s">
        <v>786</v>
      </c>
      <c r="AN1331" t="s">
        <v>186</v>
      </c>
      <c r="AO1331" t="s">
        <v>793</v>
      </c>
      <c r="AP1331">
        <v>7.6</v>
      </c>
      <c r="AQ1331" t="s">
        <v>33</v>
      </c>
      <c r="AR1331" t="s">
        <v>33</v>
      </c>
      <c r="AS1331">
        <v>8</v>
      </c>
      <c r="AT1331">
        <f>AS1331-AU1331</f>
        <v>6.48</v>
      </c>
      <c r="AU1331" s="6">
        <v>1.52</v>
      </c>
      <c r="AV1331" t="b">
        <v>1</v>
      </c>
      <c r="AW1331" t="s">
        <v>617</v>
      </c>
      <c r="AX1331" t="s">
        <v>624</v>
      </c>
      <c r="AY1331" t="s">
        <v>625</v>
      </c>
      <c r="AZ1331" t="s">
        <v>33</v>
      </c>
      <c r="BA1331" s="18" t="s">
        <v>802</v>
      </c>
      <c r="BB1331" s="3" t="b">
        <v>0</v>
      </c>
      <c r="BC1331" t="s">
        <v>81</v>
      </c>
      <c r="BD1331">
        <v>13</v>
      </c>
      <c r="BE1331" t="s">
        <v>80</v>
      </c>
      <c r="BF1331">
        <v>48</v>
      </c>
      <c r="BG1331" t="s">
        <v>568</v>
      </c>
      <c r="BH1331" t="s">
        <v>31</v>
      </c>
      <c r="BI1331" t="s">
        <v>31</v>
      </c>
      <c r="BJ1331">
        <f t="shared" si="680"/>
        <v>1.52</v>
      </c>
      <c r="BK1331" s="3">
        <f t="shared" si="679"/>
        <v>0.18184358794477254</v>
      </c>
      <c r="BL1331">
        <v>2</v>
      </c>
      <c r="BM1331" s="3">
        <f t="shared" si="669"/>
        <v>2.8658206066567873</v>
      </c>
      <c r="BN1331" t="s">
        <v>33</v>
      </c>
      <c r="BO1331" s="3">
        <f t="shared" si="662"/>
        <v>734.21052631578948</v>
      </c>
      <c r="BP1331" t="s">
        <v>33</v>
      </c>
      <c r="BQ1331" t="s">
        <v>33</v>
      </c>
      <c r="BR1331" t="s">
        <v>33</v>
      </c>
      <c r="BS1331" t="s">
        <v>33</v>
      </c>
      <c r="BT1331" t="s">
        <v>31</v>
      </c>
      <c r="BU1331" t="s">
        <v>344</v>
      </c>
      <c r="BV1331">
        <v>2007</v>
      </c>
      <c r="BW1331" t="s">
        <v>345</v>
      </c>
      <c r="BX1331" t="s">
        <v>78</v>
      </c>
      <c r="BY1331" s="13" t="s">
        <v>676</v>
      </c>
      <c r="CA1331" t="str">
        <f t="shared" si="663"/>
        <v>low acid</v>
      </c>
    </row>
    <row r="1332" spans="1:79">
      <c r="A1332" t="s">
        <v>599</v>
      </c>
      <c r="B1332" t="s">
        <v>565</v>
      </c>
      <c r="C1332" t="s">
        <v>563</v>
      </c>
      <c r="D1332" t="s">
        <v>118</v>
      </c>
      <c r="E1332" t="s">
        <v>77</v>
      </c>
      <c r="F1332" t="s">
        <v>32</v>
      </c>
      <c r="G1332" t="s">
        <v>33</v>
      </c>
      <c r="H1332" t="s">
        <v>33</v>
      </c>
      <c r="I1332" t="b">
        <v>0</v>
      </c>
      <c r="J1332" t="s">
        <v>33</v>
      </c>
      <c r="K1332" t="s">
        <v>33</v>
      </c>
      <c r="L1332">
        <v>20</v>
      </c>
      <c r="M1332" s="4">
        <v>500</v>
      </c>
      <c r="N1332" t="e">
        <f>(#REF!*Y1332)/(T1332*X1332*O1332)</f>
        <v>#REF!</v>
      </c>
      <c r="O1332">
        <v>3</v>
      </c>
      <c r="P1332" t="s">
        <v>33</v>
      </c>
      <c r="Q1332" s="1">
        <f>IFERROR(X1332/Z1332, "NA")</f>
        <v>1.4555555555555554E-2</v>
      </c>
      <c r="R1332" t="s">
        <v>183</v>
      </c>
      <c r="S1332" t="s">
        <v>613</v>
      </c>
      <c r="T1332">
        <v>6</v>
      </c>
      <c r="U1332">
        <v>2.2999999999999998</v>
      </c>
      <c r="V1332">
        <v>2.9</v>
      </c>
      <c r="W1332">
        <v>0.36420000000000002</v>
      </c>
      <c r="X1332">
        <f>IFERROR(((PI())*(((V1332*10^-1)/2)^2)*(U1332*10^-1)), "NA")</f>
        <v>1.519195667459684E-2</v>
      </c>
      <c r="Y1332">
        <v>0.83333299999999999</v>
      </c>
      <c r="Z1332" s="3">
        <f>IFERROR(X1332*M1332*O1332*T1332*AI1332/AF1332, "NA")</f>
        <v>1.0437222142852791</v>
      </c>
      <c r="AA1332" t="s">
        <v>33</v>
      </c>
      <c r="AB1332">
        <f>IFERROR(((X1332*M1332)/Z1332), "NA")</f>
        <v>7.2777777777777777</v>
      </c>
      <c r="AC1332" s="1" t="str">
        <f t="shared" si="681"/>
        <v>NA</v>
      </c>
      <c r="AE1332" s="3">
        <f t="shared" si="682"/>
        <v>190.73599999999999</v>
      </c>
      <c r="AF1332">
        <v>131</v>
      </c>
      <c r="AG1332" s="1" t="str">
        <f>IFERROR((N1332*P1332*Q1332), "NA")</f>
        <v>NA</v>
      </c>
      <c r="AH1332" s="1" t="str">
        <f>IFERROR((AG1332*U1332*AI1332), "NA")</f>
        <v>NA</v>
      </c>
      <c r="AI1332" s="1">
        <v>1</v>
      </c>
      <c r="AJ1332" s="11" t="s">
        <v>31</v>
      </c>
      <c r="AK1332">
        <f>3.64*10^3</f>
        <v>3640</v>
      </c>
      <c r="AL1332" t="s">
        <v>145</v>
      </c>
      <c r="AM1332" t="s">
        <v>86</v>
      </c>
      <c r="AN1332" t="s">
        <v>205</v>
      </c>
      <c r="AO1332" t="s">
        <v>789</v>
      </c>
      <c r="AP1332">
        <v>3.19</v>
      </c>
      <c r="AQ1332" t="s">
        <v>33</v>
      </c>
      <c r="AR1332" t="s">
        <v>33</v>
      </c>
      <c r="AS1332">
        <v>7.94</v>
      </c>
      <c r="AT1332">
        <v>6.48</v>
      </c>
      <c r="AU1332" s="6">
        <f>AS1332-AT1332</f>
        <v>1.46</v>
      </c>
      <c r="AV1332" t="b">
        <v>1</v>
      </c>
      <c r="AW1332" t="s">
        <v>626</v>
      </c>
      <c r="AX1332" t="s">
        <v>627</v>
      </c>
      <c r="AY1332">
        <v>95047</v>
      </c>
      <c r="AZ1332" t="s">
        <v>33</v>
      </c>
      <c r="BA1332" s="18" t="s">
        <v>800</v>
      </c>
      <c r="BB1332" s="3" t="b">
        <v>0</v>
      </c>
      <c r="BC1332" t="s">
        <v>81</v>
      </c>
      <c r="BD1332">
        <f>AVERAGE(24, 48)</f>
        <v>36</v>
      </c>
      <c r="BE1332" t="s">
        <v>80</v>
      </c>
      <c r="BF1332">
        <v>48</v>
      </c>
      <c r="BG1332" t="s">
        <v>647</v>
      </c>
      <c r="BH1332" t="s">
        <v>31</v>
      </c>
      <c r="BI1332" t="s">
        <v>31</v>
      </c>
      <c r="BJ1332" s="3">
        <f t="shared" si="680"/>
        <v>1.46</v>
      </c>
      <c r="BK1332" s="3">
        <f t="shared" si="679"/>
        <v>0.16435285578443709</v>
      </c>
      <c r="BL1332">
        <v>2</v>
      </c>
      <c r="BM1332" s="3">
        <f t="shared" si="669"/>
        <v>2.1160798148483457</v>
      </c>
      <c r="BN1332" t="s">
        <v>33</v>
      </c>
      <c r="BO1332" s="3">
        <f t="shared" si="662"/>
        <v>130.64109589041095</v>
      </c>
      <c r="BP1332" t="s">
        <v>33</v>
      </c>
      <c r="BQ1332" t="s">
        <v>33</v>
      </c>
      <c r="BR1332" t="s">
        <v>33</v>
      </c>
      <c r="BS1332" t="s">
        <v>33</v>
      </c>
      <c r="BT1332" t="s">
        <v>31</v>
      </c>
      <c r="BU1332" s="13" t="s">
        <v>135</v>
      </c>
      <c r="BV1332" s="14">
        <v>2010</v>
      </c>
      <c r="BW1332" s="13" t="s">
        <v>140</v>
      </c>
      <c r="BX1332" t="s">
        <v>78</v>
      </c>
      <c r="BY1332" s="13" t="s">
        <v>687</v>
      </c>
      <c r="CA1332" t="str">
        <f t="shared" si="663"/>
        <v>high acid</v>
      </c>
    </row>
    <row r="1333" spans="1:79">
      <c r="A1333" t="s">
        <v>764</v>
      </c>
      <c r="B1333" t="s">
        <v>565</v>
      </c>
      <c r="C1333" t="s">
        <v>563</v>
      </c>
      <c r="D1333" t="s">
        <v>765</v>
      </c>
      <c r="E1333" t="s">
        <v>77</v>
      </c>
      <c r="F1333" t="s">
        <v>31</v>
      </c>
      <c r="G1333">
        <v>23</v>
      </c>
      <c r="H1333">
        <v>52</v>
      </c>
      <c r="I1333" t="b">
        <v>0</v>
      </c>
      <c r="J1333" t="s">
        <v>33</v>
      </c>
      <c r="K1333" t="s">
        <v>33</v>
      </c>
      <c r="L1333">
        <v>16</v>
      </c>
      <c r="M1333" s="4">
        <f>N1333</f>
        <v>632.71604938271605</v>
      </c>
      <c r="N1333" s="3">
        <f>IFERROR(AF1333/((T1333*X1333/Y1333)*O1333*AI1333),"NA")</f>
        <v>632.71604938271605</v>
      </c>
      <c r="O1333">
        <v>3</v>
      </c>
      <c r="P1333">
        <v>5.4399999999999997E-2</v>
      </c>
      <c r="Q1333" s="8">
        <f>IFERROR(X1333/Y1333, "NA")</f>
        <v>5.3999999999999999E-2</v>
      </c>
      <c r="R1333" t="s">
        <v>183</v>
      </c>
      <c r="S1333" t="s">
        <v>33</v>
      </c>
      <c r="T1333" s="11">
        <v>1</v>
      </c>
      <c r="U1333" t="s">
        <v>33</v>
      </c>
      <c r="V1333" t="s">
        <v>33</v>
      </c>
      <c r="W1333">
        <v>4.4999999999999997E-3</v>
      </c>
      <c r="X1333">
        <f>W1333</f>
        <v>4.4999999999999997E-3</v>
      </c>
      <c r="Y1333" s="6">
        <f>5/60</f>
        <v>8.3333333333333329E-2</v>
      </c>
      <c r="Z1333" s="6">
        <f>Y1333</f>
        <v>8.3333333333333329E-2</v>
      </c>
      <c r="AA1333" t="s">
        <v>33</v>
      </c>
      <c r="AB1333" s="4">
        <f>IFERROR(((X1333*M1333)/Y1333), "NA")</f>
        <v>34.166666666666664</v>
      </c>
      <c r="AC1333" s="4">
        <f t="shared" si="681"/>
        <v>34.419753086419753</v>
      </c>
      <c r="AD1333" s="4">
        <f>AB1333*T1333*AI1333</f>
        <v>34.166666666666664</v>
      </c>
      <c r="AE1333" s="3">
        <f t="shared" si="682"/>
        <v>78.72</v>
      </c>
      <c r="AF1333">
        <v>102.5</v>
      </c>
      <c r="AG1333" s="4">
        <f>IFERROR((M1333*O1333*P1333), "NA")</f>
        <v>103.25925925925927</v>
      </c>
      <c r="AH1333" s="4">
        <f>IFERROR((AG1333*T1333*AI1333), "NA")</f>
        <v>103.25925925925927</v>
      </c>
      <c r="AI1333">
        <v>1</v>
      </c>
      <c r="AJ1333" s="11" t="s">
        <v>31</v>
      </c>
      <c r="AK1333">
        <v>3000</v>
      </c>
      <c r="AL1333" t="s">
        <v>169</v>
      </c>
      <c r="AM1333" t="s">
        <v>103</v>
      </c>
      <c r="AN1333" t="s">
        <v>130</v>
      </c>
      <c r="AO1333" t="s">
        <v>795</v>
      </c>
      <c r="AP1333">
        <v>7.3</v>
      </c>
      <c r="AQ1333" t="s">
        <v>33</v>
      </c>
      <c r="AR1333" t="s">
        <v>33</v>
      </c>
      <c r="AS1333">
        <v>7</v>
      </c>
      <c r="AT1333" s="3">
        <f>IFERROR(AS1333-AU1333,"NA")</f>
        <v>6.4809999999999999</v>
      </c>
      <c r="AU1333" s="6">
        <v>0.51900000000000002</v>
      </c>
      <c r="AV1333" t="b">
        <v>1</v>
      </c>
      <c r="AW1333" t="s">
        <v>29</v>
      </c>
      <c r="AX1333" t="s">
        <v>30</v>
      </c>
      <c r="AY1333" t="s">
        <v>766</v>
      </c>
      <c r="AZ1333" t="s">
        <v>33</v>
      </c>
      <c r="BA1333" s="18" t="s">
        <v>798</v>
      </c>
      <c r="BB1333" s="3" t="b">
        <v>0</v>
      </c>
      <c r="BC1333" t="s">
        <v>81</v>
      </c>
      <c r="BD1333">
        <v>16</v>
      </c>
      <c r="BE1333" t="s">
        <v>80</v>
      </c>
      <c r="BF1333">
        <v>24</v>
      </c>
      <c r="BG1333" t="s">
        <v>569</v>
      </c>
      <c r="BH1333" t="s">
        <v>31</v>
      </c>
      <c r="BI1333" t="s">
        <v>31</v>
      </c>
      <c r="BJ1333" s="3">
        <f t="shared" si="680"/>
        <v>0.51900000000000002</v>
      </c>
      <c r="BK1333" s="3">
        <f t="shared" si="679"/>
        <v>-0.28483264215154214</v>
      </c>
      <c r="BL1333">
        <v>2</v>
      </c>
      <c r="BM1333" s="3">
        <f t="shared" si="669"/>
        <v>2.180917727574827</v>
      </c>
      <c r="BN1333" t="s">
        <v>33</v>
      </c>
      <c r="BO1333" s="3">
        <f t="shared" si="662"/>
        <v>151.67630057803467</v>
      </c>
      <c r="BP1333" t="s">
        <v>33</v>
      </c>
      <c r="BQ1333" t="s">
        <v>33</v>
      </c>
      <c r="BR1333" t="s">
        <v>33</v>
      </c>
      <c r="BS1333" t="s">
        <v>33</v>
      </c>
      <c r="BT1333" t="s">
        <v>31</v>
      </c>
      <c r="BU1333" t="s">
        <v>767</v>
      </c>
      <c r="BV1333">
        <v>2021</v>
      </c>
      <c r="BW1333" t="s">
        <v>768</v>
      </c>
      <c r="BX1333" t="s">
        <v>78</v>
      </c>
      <c r="BY1333" t="s">
        <v>769</v>
      </c>
      <c r="CA1333" t="str">
        <f t="shared" si="663"/>
        <v>low acid</v>
      </c>
    </row>
    <row r="1334" spans="1:79">
      <c r="A1334" t="s">
        <v>589</v>
      </c>
      <c r="B1334" t="s">
        <v>566</v>
      </c>
      <c r="C1334" t="s">
        <v>563</v>
      </c>
      <c r="D1334" t="s">
        <v>33</v>
      </c>
      <c r="E1334" t="s">
        <v>77</v>
      </c>
      <c r="F1334" t="s">
        <v>33</v>
      </c>
      <c r="G1334" t="s">
        <v>33</v>
      </c>
      <c r="H1334">
        <v>35</v>
      </c>
      <c r="I1334" t="b">
        <v>0</v>
      </c>
      <c r="J1334" t="s">
        <v>33</v>
      </c>
      <c r="K1334" t="s">
        <v>33</v>
      </c>
      <c r="L1334">
        <v>15</v>
      </c>
      <c r="M1334" s="4">
        <v>1</v>
      </c>
      <c r="N1334" t="e">
        <f>(#REF!*Y1334)/(T1334*X1334*O1334)</f>
        <v>#REF!</v>
      </c>
      <c r="O1334">
        <v>2</v>
      </c>
      <c r="P1334" t="s">
        <v>33</v>
      </c>
      <c r="Q1334" s="1">
        <f t="shared" ref="Q1334:Q1339" si="683">IFERROR(X1334/Z1334, "NA")</f>
        <v>46.25</v>
      </c>
      <c r="R1334" t="s">
        <v>183</v>
      </c>
      <c r="S1334" t="s">
        <v>613</v>
      </c>
      <c r="T1334">
        <v>1</v>
      </c>
      <c r="U1334">
        <v>2.5</v>
      </c>
      <c r="V1334" t="s">
        <v>33</v>
      </c>
      <c r="W1334">
        <v>0.50249999999999995</v>
      </c>
      <c r="X1334">
        <f>W1334</f>
        <v>0.50249999999999995</v>
      </c>
      <c r="Y1334" t="s">
        <v>33</v>
      </c>
      <c r="Z1334" s="3">
        <f t="shared" ref="Z1334:Z1341" si="684">IFERROR(X1334*M1334*O1334*T1334*AI1334/AF1334, "NA")</f>
        <v>1.0864864864864864E-2</v>
      </c>
      <c r="AA1334" t="s">
        <v>33</v>
      </c>
      <c r="AB1334">
        <f t="shared" ref="AB1334:AB1339" si="685">IFERROR(((X1334*M1334)/Z1334), "NA")</f>
        <v>46.25</v>
      </c>
      <c r="AC1334" s="1" t="str">
        <f t="shared" si="681"/>
        <v>NA</v>
      </c>
      <c r="AE1334" s="3">
        <f t="shared" si="682"/>
        <v>41.624999999999993</v>
      </c>
      <c r="AF1334">
        <v>92.5</v>
      </c>
      <c r="AG1334" s="1" t="str">
        <f>IFERROR((N1334*P1334*Q1334), "NA")</f>
        <v>NA</v>
      </c>
      <c r="AH1334" s="1" t="str">
        <f>IFERROR((AG1334*U1334*AI1334), "NA")</f>
        <v>NA</v>
      </c>
      <c r="AI1334" s="1">
        <v>1</v>
      </c>
      <c r="AJ1334" s="11" t="s">
        <v>31</v>
      </c>
      <c r="AK1334">
        <v>2000</v>
      </c>
      <c r="AL1334" t="s">
        <v>616</v>
      </c>
      <c r="AM1334" s="3" t="s">
        <v>103</v>
      </c>
      <c r="AN1334" t="s">
        <v>130</v>
      </c>
      <c r="AO1334" t="s">
        <v>795</v>
      </c>
      <c r="AP1334">
        <v>7</v>
      </c>
      <c r="AQ1334" t="s">
        <v>33</v>
      </c>
      <c r="AR1334" t="s">
        <v>33</v>
      </c>
      <c r="AS1334">
        <v>9</v>
      </c>
      <c r="AT1334">
        <f>AS1334-AU1334</f>
        <v>6.49</v>
      </c>
      <c r="AU1334" s="6">
        <v>2.5099999999999998</v>
      </c>
      <c r="AV1334" t="b">
        <v>1</v>
      </c>
      <c r="AW1334" t="s">
        <v>617</v>
      </c>
      <c r="AX1334" t="s">
        <v>33</v>
      </c>
      <c r="AY1334" t="s">
        <v>629</v>
      </c>
      <c r="AZ1334" t="s">
        <v>630</v>
      </c>
      <c r="BA1334" s="18" t="s">
        <v>802</v>
      </c>
      <c r="BB1334" s="3" t="b">
        <v>0</v>
      </c>
      <c r="BC1334" t="s">
        <v>81</v>
      </c>
      <c r="BD1334">
        <v>24</v>
      </c>
      <c r="BE1334" t="s">
        <v>80</v>
      </c>
      <c r="BF1334">
        <v>24</v>
      </c>
      <c r="BG1334" t="s">
        <v>644</v>
      </c>
      <c r="BH1334" t="s">
        <v>31</v>
      </c>
      <c r="BI1334" t="s">
        <v>31</v>
      </c>
      <c r="BJ1334">
        <f t="shared" si="680"/>
        <v>2.5099999999999998</v>
      </c>
      <c r="BK1334" s="3">
        <f t="shared" si="679"/>
        <v>0.39967372148103808</v>
      </c>
      <c r="BL1334">
        <v>2</v>
      </c>
      <c r="BM1334" s="3">
        <f t="shared" si="669"/>
        <v>1.219680525033338</v>
      </c>
      <c r="BN1334" t="s">
        <v>33</v>
      </c>
      <c r="BO1334" s="3">
        <f t="shared" si="662"/>
        <v>16.583665338645417</v>
      </c>
      <c r="BP1334" t="s">
        <v>33</v>
      </c>
      <c r="BQ1334" t="s">
        <v>33</v>
      </c>
      <c r="BR1334" t="s">
        <v>33</v>
      </c>
      <c r="BS1334" t="s">
        <v>33</v>
      </c>
      <c r="BT1334" t="s">
        <v>31</v>
      </c>
      <c r="BU1334" s="15" t="s">
        <v>655</v>
      </c>
      <c r="BV1334">
        <v>2003</v>
      </c>
      <c r="BW1334" t="s">
        <v>656</v>
      </c>
      <c r="BX1334" t="s">
        <v>78</v>
      </c>
      <c r="BY1334" s="13" t="s">
        <v>677</v>
      </c>
      <c r="CA1334" t="str">
        <f t="shared" si="663"/>
        <v>low acid</v>
      </c>
    </row>
    <row r="1335" spans="1:79">
      <c r="A1335" t="s">
        <v>597</v>
      </c>
      <c r="B1335" t="s">
        <v>565</v>
      </c>
      <c r="C1335" t="s">
        <v>563</v>
      </c>
      <c r="D1335" t="s">
        <v>33</v>
      </c>
      <c r="E1335" t="s">
        <v>77</v>
      </c>
      <c r="F1335" t="s">
        <v>33</v>
      </c>
      <c r="G1335">
        <v>20</v>
      </c>
      <c r="H1335">
        <v>35</v>
      </c>
      <c r="I1335" t="b">
        <v>0</v>
      </c>
      <c r="J1335" t="s">
        <v>33</v>
      </c>
      <c r="K1335" t="s">
        <v>33</v>
      </c>
      <c r="L1335">
        <v>22</v>
      </c>
      <c r="M1335" s="4">
        <v>1</v>
      </c>
      <c r="N1335" t="e">
        <f>(#REF!*Y1335)/(T1335*X1335*O1335)</f>
        <v>#REF!</v>
      </c>
      <c r="O1335">
        <v>2</v>
      </c>
      <c r="P1335" t="s">
        <v>33</v>
      </c>
      <c r="Q1335" s="1">
        <f t="shared" si="683"/>
        <v>100.00000000000001</v>
      </c>
      <c r="R1335" t="s">
        <v>183</v>
      </c>
      <c r="S1335" t="s">
        <v>33</v>
      </c>
      <c r="T1335">
        <v>1</v>
      </c>
      <c r="U1335">
        <v>2.5</v>
      </c>
      <c r="V1335" t="s">
        <v>33</v>
      </c>
      <c r="W1335">
        <v>0.50249999999999995</v>
      </c>
      <c r="X1335">
        <f>W1335</f>
        <v>0.50249999999999995</v>
      </c>
      <c r="Y1335" t="s">
        <v>33</v>
      </c>
      <c r="Z1335" s="3">
        <f t="shared" si="684"/>
        <v>5.0249999999999991E-3</v>
      </c>
      <c r="AA1335" t="s">
        <v>33</v>
      </c>
      <c r="AB1335">
        <f t="shared" si="685"/>
        <v>100.00000000000001</v>
      </c>
      <c r="AC1335" s="1" t="str">
        <f t="shared" si="681"/>
        <v>NA</v>
      </c>
      <c r="AE1335" s="3">
        <f t="shared" si="682"/>
        <v>193.60000000000002</v>
      </c>
      <c r="AF1335">
        <v>200</v>
      </c>
      <c r="AG1335" s="1" t="str">
        <f>IFERROR((N1335*P1335*Q1335), "NA")</f>
        <v>NA</v>
      </c>
      <c r="AH1335" s="1" t="str">
        <f>IFERROR((AG1335*U1335*AI1335), "NA")</f>
        <v>NA</v>
      </c>
      <c r="AI1335" s="1">
        <v>1</v>
      </c>
      <c r="AJ1335" s="11" t="s">
        <v>31</v>
      </c>
      <c r="AK1335">
        <v>2000</v>
      </c>
      <c r="AL1335" t="s">
        <v>784</v>
      </c>
      <c r="AM1335" s="3" t="s">
        <v>103</v>
      </c>
      <c r="AN1335" t="s">
        <v>130</v>
      </c>
      <c r="AO1335" t="s">
        <v>795</v>
      </c>
      <c r="AP1335">
        <v>7</v>
      </c>
      <c r="AQ1335" t="s">
        <v>33</v>
      </c>
      <c r="AR1335" t="s">
        <v>33</v>
      </c>
      <c r="AS1335">
        <v>9</v>
      </c>
      <c r="AT1335">
        <f>AS1335-AU1335</f>
        <v>6.49</v>
      </c>
      <c r="AU1335" s="6">
        <v>2.5099999999999998</v>
      </c>
      <c r="AV1335" t="b">
        <v>1</v>
      </c>
      <c r="AW1335" t="s">
        <v>617</v>
      </c>
      <c r="AX1335" t="s">
        <v>635</v>
      </c>
      <c r="AY1335" t="s">
        <v>636</v>
      </c>
      <c r="AZ1335" t="s">
        <v>33</v>
      </c>
      <c r="BA1335" s="18" t="s">
        <v>802</v>
      </c>
      <c r="BB1335" s="3" t="b">
        <v>0</v>
      </c>
      <c r="BC1335" t="s">
        <v>81</v>
      </c>
      <c r="BD1335">
        <v>24</v>
      </c>
      <c r="BE1335" t="s">
        <v>80</v>
      </c>
      <c r="BF1335">
        <v>24</v>
      </c>
      <c r="BG1335" t="s">
        <v>644</v>
      </c>
      <c r="BH1335" t="s">
        <v>31</v>
      </c>
      <c r="BI1335" t="s">
        <v>31</v>
      </c>
      <c r="BJ1335">
        <f t="shared" si="680"/>
        <v>2.5099999999999998</v>
      </c>
      <c r="BK1335" s="3">
        <f t="shared" si="679"/>
        <v>0.39967372148103808</v>
      </c>
      <c r="BL1335">
        <v>2</v>
      </c>
      <c r="BM1335" s="3">
        <f t="shared" si="669"/>
        <v>1.8872316314913369</v>
      </c>
      <c r="BN1335" t="s">
        <v>33</v>
      </c>
      <c r="BO1335" s="3">
        <f t="shared" si="662"/>
        <v>77.131474103585674</v>
      </c>
      <c r="BP1335" t="s">
        <v>33</v>
      </c>
      <c r="BQ1335" t="s">
        <v>33</v>
      </c>
      <c r="BR1335" t="s">
        <v>33</v>
      </c>
      <c r="BS1335" t="s">
        <v>33</v>
      </c>
      <c r="BT1335" t="s">
        <v>31</v>
      </c>
      <c r="BU1335" t="s">
        <v>664</v>
      </c>
      <c r="BV1335">
        <v>2000</v>
      </c>
      <c r="BW1335" t="s">
        <v>665</v>
      </c>
      <c r="BX1335" t="s">
        <v>78</v>
      </c>
      <c r="BY1335" s="13" t="s">
        <v>685</v>
      </c>
      <c r="CA1335" t="str">
        <f t="shared" si="663"/>
        <v>low acid</v>
      </c>
    </row>
    <row r="1336" spans="1:79">
      <c r="A1336" t="s">
        <v>537</v>
      </c>
      <c r="B1336" t="s">
        <v>565</v>
      </c>
      <c r="C1336" t="s">
        <v>563</v>
      </c>
      <c r="D1336" t="s">
        <v>118</v>
      </c>
      <c r="E1336" t="s">
        <v>77</v>
      </c>
      <c r="F1336" t="s">
        <v>32</v>
      </c>
      <c r="G1336">
        <v>5</v>
      </c>
      <c r="H1336">
        <v>50</v>
      </c>
      <c r="I1336" t="b">
        <v>0</v>
      </c>
      <c r="J1336" t="s">
        <v>33</v>
      </c>
      <c r="K1336" t="s">
        <v>33</v>
      </c>
      <c r="L1336">
        <v>30</v>
      </c>
      <c r="M1336" s="4">
        <v>500</v>
      </c>
      <c r="N1336" s="3">
        <f t="shared" ref="N1336:N1342" si="686">IFERROR(AF1336/((T1336*X1336/Y1336)*O1336*AI1336),"NA")</f>
        <v>497.97518208793286</v>
      </c>
      <c r="O1336">
        <v>2</v>
      </c>
      <c r="P1336" t="s">
        <v>33</v>
      </c>
      <c r="Q1336">
        <f t="shared" si="683"/>
        <v>1.2E-2</v>
      </c>
      <c r="R1336" t="s">
        <v>183</v>
      </c>
      <c r="S1336" t="s">
        <v>613</v>
      </c>
      <c r="T1336" s="11">
        <v>6</v>
      </c>
      <c r="U1336">
        <v>2.9</v>
      </c>
      <c r="V1336">
        <v>2.2999999999999998</v>
      </c>
      <c r="W1336" t="s">
        <v>33</v>
      </c>
      <c r="X1336" s="8">
        <f>IFERROR(((PI())*(((V1336*10^-1)/2)^2)*(U1336*10^-1)), "NA")</f>
        <v>1.204879322468025E-2</v>
      </c>
      <c r="Y1336" s="6">
        <f>60/60</f>
        <v>1</v>
      </c>
      <c r="Z1336" s="3">
        <f t="shared" si="684"/>
        <v>1.0040661020566874</v>
      </c>
      <c r="AA1336" t="s">
        <v>33</v>
      </c>
      <c r="AB1336" s="6">
        <f t="shared" si="685"/>
        <v>6.0000000000000009</v>
      </c>
      <c r="AC1336" t="str">
        <f t="shared" si="681"/>
        <v>NA</v>
      </c>
      <c r="AD1336" s="4">
        <f>IFERROR(AB1336*T1336*AI1336, "NA")</f>
        <v>36.000000000000007</v>
      </c>
      <c r="AE1336" s="3">
        <f t="shared" si="682"/>
        <v>104.19840000000002</v>
      </c>
      <c r="AF1336">
        <v>72</v>
      </c>
      <c r="AG1336" t="str">
        <f t="shared" ref="AG1336:AG1341" si="687">IFERROR((M1336*O1336*P1336), "NA")</f>
        <v>NA</v>
      </c>
      <c r="AH1336" t="str">
        <f t="shared" ref="AH1336:AH1342" si="688">IFERROR((AG1336*T1336*AI1336), "NA")</f>
        <v>NA</v>
      </c>
      <c r="AI1336" s="11">
        <v>1</v>
      </c>
      <c r="AJ1336" t="s">
        <v>31</v>
      </c>
      <c r="AK1336">
        <v>1608</v>
      </c>
      <c r="AL1336" t="s">
        <v>149</v>
      </c>
      <c r="AM1336" t="s">
        <v>86</v>
      </c>
      <c r="AN1336" t="s">
        <v>205</v>
      </c>
      <c r="AO1336" t="s">
        <v>789</v>
      </c>
      <c r="AP1336">
        <v>3.41</v>
      </c>
      <c r="AQ1336" t="s">
        <v>33</v>
      </c>
      <c r="AR1336" t="s">
        <v>33</v>
      </c>
      <c r="AS1336" s="3">
        <v>9</v>
      </c>
      <c r="AT1336" s="3">
        <f t="shared" ref="AT1336:AT1342" si="689">IFERROR(AS1336-AU1336,"NA")</f>
        <v>6.49</v>
      </c>
      <c r="AU1336" s="6">
        <v>2.5099999999999998</v>
      </c>
      <c r="AV1336" t="b">
        <v>1</v>
      </c>
      <c r="AW1336" t="s">
        <v>29</v>
      </c>
      <c r="AX1336" t="s">
        <v>30</v>
      </c>
      <c r="AY1336" t="s">
        <v>33</v>
      </c>
      <c r="AZ1336" t="s">
        <v>134</v>
      </c>
      <c r="BA1336" s="18" t="s">
        <v>798</v>
      </c>
      <c r="BB1336" t="b">
        <v>0</v>
      </c>
      <c r="BC1336" t="s">
        <v>81</v>
      </c>
      <c r="BD1336">
        <f>18</f>
        <v>18</v>
      </c>
      <c r="BE1336" t="s">
        <v>80</v>
      </c>
      <c r="BF1336" s="11">
        <v>24</v>
      </c>
      <c r="BG1336" t="s">
        <v>262</v>
      </c>
      <c r="BH1336" t="s">
        <v>31</v>
      </c>
      <c r="BI1336" t="s">
        <v>31</v>
      </c>
      <c r="BJ1336" s="3">
        <f t="shared" si="680"/>
        <v>2.5099999999999998</v>
      </c>
      <c r="BK1336" s="3">
        <f t="shared" si="679"/>
        <v>0.39967372148103808</v>
      </c>
      <c r="BL1336">
        <v>2</v>
      </c>
      <c r="BM1336" s="3">
        <f t="shared" si="669"/>
        <v>1.6181873288019877</v>
      </c>
      <c r="BN1336" t="s">
        <v>33</v>
      </c>
      <c r="BO1336" s="3">
        <f t="shared" si="662"/>
        <v>41.513306772908379</v>
      </c>
      <c r="BP1336" t="s">
        <v>33</v>
      </c>
      <c r="BQ1336" t="s">
        <v>33</v>
      </c>
      <c r="BR1336" t="s">
        <v>33</v>
      </c>
      <c r="BS1336" t="s">
        <v>33</v>
      </c>
      <c r="BT1336" t="s">
        <v>31</v>
      </c>
      <c r="BU1336" t="s">
        <v>190</v>
      </c>
      <c r="BV1336">
        <v>2021</v>
      </c>
      <c r="BW1336" s="5" t="s">
        <v>191</v>
      </c>
      <c r="BX1336" t="s">
        <v>78</v>
      </c>
      <c r="BY1336" t="s">
        <v>33</v>
      </c>
      <c r="BZ1336" t="s">
        <v>150</v>
      </c>
      <c r="CA1336" t="str">
        <f t="shared" si="663"/>
        <v>high acid</v>
      </c>
    </row>
    <row r="1337" spans="1:79">
      <c r="A1337" t="s">
        <v>195</v>
      </c>
      <c r="B1337" t="s">
        <v>565</v>
      </c>
      <c r="C1337" t="s">
        <v>563</v>
      </c>
      <c r="D1337" t="s">
        <v>118</v>
      </c>
      <c r="E1337" t="s">
        <v>77</v>
      </c>
      <c r="F1337" t="s">
        <v>32</v>
      </c>
      <c r="G1337">
        <v>23</v>
      </c>
      <c r="H1337">
        <v>56</v>
      </c>
      <c r="I1337" t="b">
        <v>0</v>
      </c>
      <c r="J1337" t="s">
        <v>33</v>
      </c>
      <c r="K1337" t="s">
        <v>33</v>
      </c>
      <c r="L1337">
        <v>25</v>
      </c>
      <c r="M1337" s="4">
        <v>1000</v>
      </c>
      <c r="N1337" s="3">
        <f t="shared" si="686"/>
        <v>995.95036417586573</v>
      </c>
      <c r="O1337">
        <v>3</v>
      </c>
      <c r="P1337" t="s">
        <v>33</v>
      </c>
      <c r="Q1337">
        <f t="shared" si="683"/>
        <v>1.2E-2</v>
      </c>
      <c r="R1337" t="s">
        <v>183</v>
      </c>
      <c r="S1337" t="s">
        <v>613</v>
      </c>
      <c r="T1337" s="11">
        <v>4</v>
      </c>
      <c r="U1337">
        <v>2.9</v>
      </c>
      <c r="V1337">
        <v>2.2999999999999998</v>
      </c>
      <c r="W1337" t="s">
        <v>33</v>
      </c>
      <c r="X1337" s="8">
        <f>IFERROR(((PI())*(((V1337*10^-1)/2)^2)*(U1337*10^-1)), "NA")</f>
        <v>1.204879322468025E-2</v>
      </c>
      <c r="Y1337">
        <v>1</v>
      </c>
      <c r="Z1337" s="3">
        <f t="shared" si="684"/>
        <v>1.0040661020566874</v>
      </c>
      <c r="AA1337" t="s">
        <v>33</v>
      </c>
      <c r="AB1337" s="6">
        <f t="shared" si="685"/>
        <v>12.000000000000002</v>
      </c>
      <c r="AC1337" t="str">
        <f t="shared" si="681"/>
        <v>NA</v>
      </c>
      <c r="AD1337" s="4">
        <f>IFERROR(AB1337*T1337*AI1337, "NA")</f>
        <v>48.000000000000007</v>
      </c>
      <c r="AE1337" s="3">
        <f t="shared" si="682"/>
        <v>189</v>
      </c>
      <c r="AF1337">
        <v>144</v>
      </c>
      <c r="AG1337" t="str">
        <f t="shared" si="687"/>
        <v>NA</v>
      </c>
      <c r="AH1337" t="str">
        <f t="shared" si="688"/>
        <v>NA</v>
      </c>
      <c r="AI1337" s="11">
        <v>1</v>
      </c>
      <c r="AJ1337" t="s">
        <v>31</v>
      </c>
      <c r="AK1337">
        <v>2100</v>
      </c>
      <c r="AL1337" t="s">
        <v>114</v>
      </c>
      <c r="AM1337" t="s">
        <v>103</v>
      </c>
      <c r="AN1337" t="s">
        <v>130</v>
      </c>
      <c r="AO1337" t="s">
        <v>795</v>
      </c>
      <c r="AP1337">
        <v>7</v>
      </c>
      <c r="AQ1337" t="s">
        <v>33</v>
      </c>
      <c r="AR1337" t="s">
        <v>33</v>
      </c>
      <c r="AS1337">
        <f>LOG(10^8)</f>
        <v>8</v>
      </c>
      <c r="AT1337" s="3">
        <f t="shared" si="689"/>
        <v>6.492</v>
      </c>
      <c r="AU1337" s="6">
        <v>1.508</v>
      </c>
      <c r="AV1337" t="b">
        <v>1</v>
      </c>
      <c r="AW1337" t="s">
        <v>92</v>
      </c>
      <c r="AX1337" t="s">
        <v>93</v>
      </c>
      <c r="AY1337" t="s">
        <v>96</v>
      </c>
      <c r="AZ1337" t="s">
        <v>33</v>
      </c>
      <c r="BA1337" s="18" t="s">
        <v>801</v>
      </c>
      <c r="BB1337" t="b">
        <v>0</v>
      </c>
      <c r="BC1337" t="s">
        <v>81</v>
      </c>
      <c r="BD1337">
        <v>18</v>
      </c>
      <c r="BE1337" t="s">
        <v>80</v>
      </c>
      <c r="BF1337" t="s">
        <v>33</v>
      </c>
      <c r="BG1337" t="s">
        <v>568</v>
      </c>
      <c r="BH1337" t="s">
        <v>31</v>
      </c>
      <c r="BI1337" t="s">
        <v>31</v>
      </c>
      <c r="BJ1337" s="3">
        <f t="shared" si="680"/>
        <v>1.508</v>
      </c>
      <c r="BK1337" s="3">
        <f t="shared" si="679"/>
        <v>0.17840134153375525</v>
      </c>
      <c r="BL1337">
        <v>2</v>
      </c>
      <c r="BM1337" s="3">
        <f t="shared" si="669"/>
        <v>2.0980604626394888</v>
      </c>
      <c r="BN1337" t="s">
        <v>33</v>
      </c>
      <c r="BO1337" s="3">
        <f t="shared" si="662"/>
        <v>125.3315649867374</v>
      </c>
      <c r="BP1337" t="s">
        <v>33</v>
      </c>
      <c r="BQ1337" t="s">
        <v>33</v>
      </c>
      <c r="BR1337" t="s">
        <v>33</v>
      </c>
      <c r="BS1337" t="s">
        <v>33</v>
      </c>
      <c r="BT1337" t="s">
        <v>31</v>
      </c>
      <c r="BU1337" t="s">
        <v>187</v>
      </c>
      <c r="BV1337">
        <v>2003</v>
      </c>
      <c r="BW1337" t="s">
        <v>192</v>
      </c>
      <c r="BX1337" t="s">
        <v>78</v>
      </c>
      <c r="BY1337" t="s">
        <v>33</v>
      </c>
      <c r="BZ1337" t="s">
        <v>33</v>
      </c>
      <c r="CA1337" t="str">
        <f t="shared" si="663"/>
        <v>low acid</v>
      </c>
    </row>
    <row r="1338" spans="1:79">
      <c r="A1338" t="s">
        <v>535</v>
      </c>
      <c r="B1338" t="s">
        <v>565</v>
      </c>
      <c r="C1338" t="s">
        <v>564</v>
      </c>
      <c r="D1338" t="s">
        <v>243</v>
      </c>
      <c r="E1338" t="s">
        <v>77</v>
      </c>
      <c r="F1338" t="s">
        <v>32</v>
      </c>
      <c r="G1338">
        <v>40</v>
      </c>
      <c r="H1338">
        <v>43</v>
      </c>
      <c r="I1338" t="b">
        <v>0</v>
      </c>
      <c r="J1338" t="s">
        <v>33</v>
      </c>
      <c r="K1338" t="s">
        <v>33</v>
      </c>
      <c r="L1338">
        <v>9</v>
      </c>
      <c r="M1338" s="4">
        <v>120</v>
      </c>
      <c r="N1338" s="3">
        <f t="shared" si="686"/>
        <v>119.89811897400615</v>
      </c>
      <c r="O1338">
        <v>3</v>
      </c>
      <c r="P1338" t="s">
        <v>33</v>
      </c>
      <c r="Q1338" s="9">
        <f t="shared" si="683"/>
        <v>3.8194444444444441E-2</v>
      </c>
      <c r="R1338" t="s">
        <v>183</v>
      </c>
      <c r="S1338" t="s">
        <v>612</v>
      </c>
      <c r="T1338" s="11">
        <v>4</v>
      </c>
      <c r="U1338">
        <v>3</v>
      </c>
      <c r="V1338">
        <v>2.6</v>
      </c>
      <c r="W1338">
        <v>1.5900000000000001E-2</v>
      </c>
      <c r="X1338" s="8">
        <f>IFERROR(((PI())*(((V1338*10^-1)/2)^2)*(U1338*10^-1)), "NA")</f>
        <v>1.5927874753700257E-2</v>
      </c>
      <c r="Y1338" s="6">
        <f>25/60</f>
        <v>0.41666666666666669</v>
      </c>
      <c r="Z1338" s="3">
        <f t="shared" si="684"/>
        <v>0.4170207208241522</v>
      </c>
      <c r="AA1338" t="s">
        <v>33</v>
      </c>
      <c r="AB1338" s="6">
        <f t="shared" si="685"/>
        <v>4.583333333333333</v>
      </c>
      <c r="AC1338" t="str">
        <f t="shared" si="681"/>
        <v>NA</v>
      </c>
      <c r="AD1338" s="4">
        <f>IFERROR(AB1338*T1338*AI1338, "NA")</f>
        <v>18.333333333333332</v>
      </c>
      <c r="AE1338" s="3">
        <f t="shared" si="682"/>
        <v>4.0985999999999994</v>
      </c>
      <c r="AF1338">
        <v>55</v>
      </c>
      <c r="AG1338" t="str">
        <f t="shared" si="687"/>
        <v>NA</v>
      </c>
      <c r="AH1338" t="str">
        <f t="shared" si="688"/>
        <v>NA</v>
      </c>
      <c r="AI1338" s="11">
        <v>1</v>
      </c>
      <c r="AJ1338" t="s">
        <v>31</v>
      </c>
      <c r="AK1338">
        <v>920</v>
      </c>
      <c r="AL1338" t="s">
        <v>551</v>
      </c>
      <c r="AM1338" t="s">
        <v>86</v>
      </c>
      <c r="AN1338" t="s">
        <v>186</v>
      </c>
      <c r="AO1338" t="s">
        <v>794</v>
      </c>
      <c r="AP1338">
        <v>5.92</v>
      </c>
      <c r="AQ1338" t="s">
        <v>33</v>
      </c>
      <c r="AR1338" t="s">
        <v>33</v>
      </c>
      <c r="AS1338" s="6">
        <f>LOG(1.1*10^7)</f>
        <v>7.0413926851582254</v>
      </c>
      <c r="AT1338" s="3">
        <f t="shared" si="689"/>
        <v>6.4953926851582251</v>
      </c>
      <c r="AU1338" s="6">
        <v>0.54600000000000004</v>
      </c>
      <c r="AV1338" t="b">
        <v>1</v>
      </c>
      <c r="AW1338" t="s">
        <v>172</v>
      </c>
      <c r="AX1338" t="s">
        <v>173</v>
      </c>
      <c r="AY1338" t="s">
        <v>246</v>
      </c>
      <c r="AZ1338" t="s">
        <v>33</v>
      </c>
      <c r="BA1338" s="18" t="s">
        <v>799</v>
      </c>
      <c r="BB1338" t="b">
        <v>0</v>
      </c>
      <c r="BC1338" t="s">
        <v>81</v>
      </c>
      <c r="BD1338">
        <v>72</v>
      </c>
      <c r="BE1338" t="s">
        <v>80</v>
      </c>
      <c r="BF1338" s="11">
        <v>72</v>
      </c>
      <c r="BG1338" t="s">
        <v>522</v>
      </c>
      <c r="BH1338" t="s">
        <v>31</v>
      </c>
      <c r="BI1338" t="s">
        <v>31</v>
      </c>
      <c r="BJ1338" s="3">
        <f t="shared" si="680"/>
        <v>0.54600000000000004</v>
      </c>
      <c r="BK1338" s="3">
        <f t="shared" si="679"/>
        <v>-0.26280735729526272</v>
      </c>
      <c r="BL1338">
        <v>2</v>
      </c>
      <c r="BM1338" s="3">
        <f t="shared" si="669"/>
        <v>0.87544289301371148</v>
      </c>
      <c r="BN1338" t="s">
        <v>33</v>
      </c>
      <c r="BO1338" s="3">
        <f t="shared" si="662"/>
        <v>7.5065934065934048</v>
      </c>
      <c r="BP1338" t="s">
        <v>33</v>
      </c>
      <c r="BQ1338" t="s">
        <v>33</v>
      </c>
      <c r="BR1338" t="s">
        <v>33</v>
      </c>
      <c r="BS1338" t="s">
        <v>33</v>
      </c>
      <c r="BT1338" t="s">
        <v>32</v>
      </c>
      <c r="BU1338" t="s">
        <v>207</v>
      </c>
      <c r="BV1338">
        <v>2014</v>
      </c>
      <c r="BW1338" s="2" t="s">
        <v>242</v>
      </c>
      <c r="BX1338" t="s">
        <v>78</v>
      </c>
      <c r="BY1338" t="s">
        <v>33</v>
      </c>
      <c r="BZ1338" t="s">
        <v>33</v>
      </c>
      <c r="CA1338" t="str">
        <f t="shared" si="663"/>
        <v>low acid</v>
      </c>
    </row>
    <row r="1339" spans="1:79">
      <c r="A1339" t="s">
        <v>237</v>
      </c>
      <c r="B1339" t="s">
        <v>565</v>
      </c>
      <c r="C1339" t="s">
        <v>563</v>
      </c>
      <c r="D1339" t="s">
        <v>118</v>
      </c>
      <c r="E1339" t="s">
        <v>77</v>
      </c>
      <c r="F1339" t="s">
        <v>32</v>
      </c>
      <c r="G1339">
        <v>4</v>
      </c>
      <c r="H1339">
        <v>32.5</v>
      </c>
      <c r="I1339" t="b">
        <v>0</v>
      </c>
      <c r="J1339" t="s">
        <v>33</v>
      </c>
      <c r="K1339" t="s">
        <v>33</v>
      </c>
      <c r="L1339">
        <v>15</v>
      </c>
      <c r="M1339" s="4">
        <v>200</v>
      </c>
      <c r="N1339" s="3">
        <f t="shared" si="686"/>
        <v>1545.5137286547574</v>
      </c>
      <c r="O1339">
        <v>4</v>
      </c>
      <c r="P1339" t="s">
        <v>33</v>
      </c>
      <c r="Q1339" s="9">
        <f t="shared" si="683"/>
        <v>9.3749999999999986E-2</v>
      </c>
      <c r="R1339" t="s">
        <v>183</v>
      </c>
      <c r="S1339" t="s">
        <v>612</v>
      </c>
      <c r="T1339" s="11">
        <v>8</v>
      </c>
      <c r="U1339">
        <v>2.92</v>
      </c>
      <c r="V1339">
        <v>2.2999999999999998</v>
      </c>
      <c r="W1339">
        <v>1.2E-2</v>
      </c>
      <c r="X1339" s="8">
        <f>IFERROR(((PI())*(((V1339*10^-1)/2)^2)*(U1339*10^-1)), "NA")</f>
        <v>1.2131888350367701E-2</v>
      </c>
      <c r="Y1339" s="6">
        <f>60/60</f>
        <v>1</v>
      </c>
      <c r="Z1339" s="3">
        <f t="shared" si="684"/>
        <v>0.12940680907058882</v>
      </c>
      <c r="AA1339" t="s">
        <v>33</v>
      </c>
      <c r="AB1339" s="6">
        <f t="shared" si="685"/>
        <v>18.749999999999996</v>
      </c>
      <c r="AC1339" t="str">
        <f t="shared" si="681"/>
        <v>NA</v>
      </c>
      <c r="AD1339" s="4">
        <f>AB1339*T1339*AI1339</f>
        <v>149.99999999999997</v>
      </c>
      <c r="AE1339" s="3">
        <f t="shared" si="682"/>
        <v>572.39999999999986</v>
      </c>
      <c r="AF1339">
        <v>600</v>
      </c>
      <c r="AG1339" t="str">
        <f t="shared" si="687"/>
        <v>NA</v>
      </c>
      <c r="AH1339" t="str">
        <f t="shared" si="688"/>
        <v>NA</v>
      </c>
      <c r="AI1339">
        <v>1</v>
      </c>
      <c r="AJ1339" t="s">
        <v>31</v>
      </c>
      <c r="AK1339">
        <v>4240</v>
      </c>
      <c r="AL1339" t="s">
        <v>238</v>
      </c>
      <c r="AM1339" t="s">
        <v>86</v>
      </c>
      <c r="AN1339" t="s">
        <v>205</v>
      </c>
      <c r="AO1339" t="s">
        <v>789</v>
      </c>
      <c r="AP1339">
        <v>3.56</v>
      </c>
      <c r="AQ1339" t="s">
        <v>33</v>
      </c>
      <c r="AR1339" t="s">
        <v>33</v>
      </c>
      <c r="AS1339">
        <f>LOG(10^8)</f>
        <v>8</v>
      </c>
      <c r="AT1339" s="3">
        <f t="shared" si="689"/>
        <v>6.4980000000000002</v>
      </c>
      <c r="AU1339" s="6">
        <v>1.502</v>
      </c>
      <c r="AV1339" t="b">
        <v>1</v>
      </c>
      <c r="AW1339" t="s">
        <v>172</v>
      </c>
      <c r="AX1339" t="s">
        <v>173</v>
      </c>
      <c r="AY1339" t="s">
        <v>239</v>
      </c>
      <c r="AZ1339" t="s">
        <v>33</v>
      </c>
      <c r="BA1339" s="18" t="s">
        <v>799</v>
      </c>
      <c r="BB1339" t="b">
        <v>0</v>
      </c>
      <c r="BC1339" t="s">
        <v>81</v>
      </c>
      <c r="BD1339">
        <v>48</v>
      </c>
      <c r="BE1339" t="s">
        <v>80</v>
      </c>
      <c r="BF1339" s="11">
        <v>120</v>
      </c>
      <c r="BG1339" t="s">
        <v>571</v>
      </c>
      <c r="BH1339" t="s">
        <v>31</v>
      </c>
      <c r="BI1339" t="s">
        <v>31</v>
      </c>
      <c r="BJ1339" s="3">
        <f t="shared" si="680"/>
        <v>1.502</v>
      </c>
      <c r="BK1339" s="3">
        <f t="shared" si="679"/>
        <v>0.17666993266814959</v>
      </c>
      <c r="BL1339">
        <v>2</v>
      </c>
      <c r="BM1339" s="3">
        <f t="shared" si="669"/>
        <v>2.5810296924195892</v>
      </c>
      <c r="BN1339" t="s">
        <v>33</v>
      </c>
      <c r="BO1339" s="3">
        <f t="shared" si="662"/>
        <v>381.09187749667103</v>
      </c>
      <c r="BP1339" t="s">
        <v>33</v>
      </c>
      <c r="BQ1339" t="s">
        <v>33</v>
      </c>
      <c r="BR1339" t="s">
        <v>33</v>
      </c>
      <c r="BS1339" t="s">
        <v>33</v>
      </c>
      <c r="BT1339" t="s">
        <v>31</v>
      </c>
      <c r="BU1339" t="s">
        <v>240</v>
      </c>
      <c r="BV1339">
        <v>2004</v>
      </c>
      <c r="BW1339" t="s">
        <v>241</v>
      </c>
      <c r="BX1339" t="s">
        <v>78</v>
      </c>
      <c r="BY1339" t="s">
        <v>33</v>
      </c>
      <c r="BZ1339" t="s">
        <v>33</v>
      </c>
      <c r="CA1339" t="str">
        <f t="shared" si="663"/>
        <v>high acid</v>
      </c>
    </row>
    <row r="1340" spans="1:79">
      <c r="A1340" t="s">
        <v>722</v>
      </c>
      <c r="B1340" t="s">
        <v>566</v>
      </c>
      <c r="C1340" t="s">
        <v>563</v>
      </c>
      <c r="D1340" t="s">
        <v>699</v>
      </c>
      <c r="E1340" t="s">
        <v>77</v>
      </c>
      <c r="F1340" t="s">
        <v>32</v>
      </c>
      <c r="G1340">
        <v>20</v>
      </c>
      <c r="H1340">
        <v>42.5</v>
      </c>
      <c r="I1340" t="b">
        <v>1</v>
      </c>
      <c r="J1340" t="s">
        <v>33</v>
      </c>
      <c r="K1340" t="s">
        <v>33</v>
      </c>
      <c r="L1340">
        <v>20</v>
      </c>
      <c r="M1340" s="4">
        <v>47</v>
      </c>
      <c r="N1340" s="3">
        <f t="shared" si="686"/>
        <v>46.759259259259245</v>
      </c>
      <c r="O1340">
        <v>5</v>
      </c>
      <c r="P1340">
        <v>0.43</v>
      </c>
      <c r="Q1340" s="8">
        <f>IFERROR(X1340/Y1340, "NA")</f>
        <v>0.43200000000000011</v>
      </c>
      <c r="R1340" t="s">
        <v>183</v>
      </c>
      <c r="S1340" t="s">
        <v>612</v>
      </c>
      <c r="T1340" s="11">
        <v>1</v>
      </c>
      <c r="U1340">
        <v>4</v>
      </c>
      <c r="V1340" t="s">
        <v>33</v>
      </c>
      <c r="W1340">
        <f>0.4*3*0.5</f>
        <v>0.60000000000000009</v>
      </c>
      <c r="X1340" s="9">
        <f>W1340</f>
        <v>0.60000000000000009</v>
      </c>
      <c r="Y1340" s="6">
        <f>5000/3600</f>
        <v>1.3888888888888888</v>
      </c>
      <c r="Z1340" s="3">
        <f t="shared" si="684"/>
        <v>1.3960396039603959</v>
      </c>
      <c r="AA1340" t="s">
        <v>33</v>
      </c>
      <c r="AB1340" s="4">
        <f>IFERROR(((X1340*M1340)/Y1340), "NA")</f>
        <v>20.304000000000002</v>
      </c>
      <c r="AC1340" s="4">
        <f t="shared" si="681"/>
        <v>20.21</v>
      </c>
      <c r="AD1340" s="4">
        <f>AB1340*T1340*AI1340</f>
        <v>20.304000000000002</v>
      </c>
      <c r="AE1340" s="3">
        <f t="shared" si="682"/>
        <v>81.216000000000022</v>
      </c>
      <c r="AF1340">
        <v>101</v>
      </c>
      <c r="AG1340" s="4">
        <f t="shared" si="687"/>
        <v>101.05</v>
      </c>
      <c r="AH1340" s="4">
        <f t="shared" si="688"/>
        <v>101.05</v>
      </c>
      <c r="AI1340">
        <v>1</v>
      </c>
      <c r="AJ1340" s="11" t="s">
        <v>31</v>
      </c>
      <c r="AK1340">
        <v>2000</v>
      </c>
      <c r="AL1340" t="s">
        <v>784</v>
      </c>
      <c r="AM1340" t="s">
        <v>103</v>
      </c>
      <c r="AN1340" t="s">
        <v>130</v>
      </c>
      <c r="AO1340" t="s">
        <v>795</v>
      </c>
      <c r="AP1340">
        <v>7</v>
      </c>
      <c r="AQ1340" t="s">
        <v>33</v>
      </c>
      <c r="AR1340" t="s">
        <v>33</v>
      </c>
      <c r="AS1340" s="6">
        <f>LOG(AVERAGE(10^8, 10^9))</f>
        <v>8.7403626894942441</v>
      </c>
      <c r="AT1340" s="3">
        <f t="shared" si="689"/>
        <v>6.4993626894942444</v>
      </c>
      <c r="AU1340" s="6">
        <v>2.2410000000000001</v>
      </c>
      <c r="AV1340" t="b">
        <v>1</v>
      </c>
      <c r="AW1340" t="s">
        <v>123</v>
      </c>
      <c r="AX1340" t="s">
        <v>88</v>
      </c>
      <c r="AY1340" t="s">
        <v>729</v>
      </c>
      <c r="AZ1340" t="s">
        <v>33</v>
      </c>
      <c r="BA1340" s="18" t="s">
        <v>579</v>
      </c>
      <c r="BB1340" s="3" t="b">
        <v>1</v>
      </c>
      <c r="BC1340" t="s">
        <v>81</v>
      </c>
      <c r="BD1340">
        <v>24</v>
      </c>
      <c r="BE1340" t="s">
        <v>80</v>
      </c>
      <c r="BF1340">
        <v>48</v>
      </c>
      <c r="BG1340" t="s">
        <v>395</v>
      </c>
      <c r="BH1340" t="s">
        <v>31</v>
      </c>
      <c r="BI1340" t="s">
        <v>31</v>
      </c>
      <c r="BJ1340" s="3">
        <f t="shared" si="680"/>
        <v>2.2410000000000001</v>
      </c>
      <c r="BK1340" s="3">
        <f t="shared" si="679"/>
        <v>0.35044185653506121</v>
      </c>
      <c r="BL1340">
        <v>2</v>
      </c>
      <c r="BM1340" s="3">
        <f t="shared" si="669"/>
        <v>1.5591997395435309</v>
      </c>
      <c r="BN1340" t="s">
        <v>33</v>
      </c>
      <c r="BO1340" s="3">
        <f t="shared" si="662"/>
        <v>36.240963855421697</v>
      </c>
      <c r="BP1340" t="s">
        <v>33</v>
      </c>
      <c r="BQ1340" t="s">
        <v>33</v>
      </c>
      <c r="BR1340" t="s">
        <v>33</v>
      </c>
      <c r="BS1340" t="s">
        <v>33</v>
      </c>
      <c r="BT1340" t="s">
        <v>32</v>
      </c>
      <c r="BU1340" t="s">
        <v>709</v>
      </c>
      <c r="BV1340">
        <v>2024</v>
      </c>
      <c r="BW1340" t="s">
        <v>710</v>
      </c>
      <c r="BX1340" t="s">
        <v>78</v>
      </c>
      <c r="BY1340" t="s">
        <v>711</v>
      </c>
      <c r="CA1340" t="str">
        <f t="shared" si="663"/>
        <v>low acid</v>
      </c>
    </row>
    <row r="1341" spans="1:79">
      <c r="A1341" t="s">
        <v>176</v>
      </c>
      <c r="B1341" t="s">
        <v>565</v>
      </c>
      <c r="C1341" t="s">
        <v>563</v>
      </c>
      <c r="D1341" t="s">
        <v>118</v>
      </c>
      <c r="E1341" t="s">
        <v>77</v>
      </c>
      <c r="F1341" t="s">
        <v>32</v>
      </c>
      <c r="G1341">
        <v>22</v>
      </c>
      <c r="H1341">
        <v>35</v>
      </c>
      <c r="I1341" t="b">
        <v>0</v>
      </c>
      <c r="J1341" t="s">
        <v>33</v>
      </c>
      <c r="K1341" t="s">
        <v>33</v>
      </c>
      <c r="L1341">
        <v>15</v>
      </c>
      <c r="M1341" s="4">
        <v>1000</v>
      </c>
      <c r="N1341" s="3">
        <f t="shared" si="686"/>
        <v>1000.1191061872564</v>
      </c>
      <c r="O1341">
        <v>3</v>
      </c>
      <c r="P1341" t="s">
        <v>33</v>
      </c>
      <c r="Q1341" s="8">
        <f t="shared" ref="Q1341:Q1349" si="690">IFERROR(X1341/Z1341, "NA")</f>
        <v>1.2133333333333333E-2</v>
      </c>
      <c r="R1341" t="s">
        <v>183</v>
      </c>
      <c r="S1341" t="s">
        <v>613</v>
      </c>
      <c r="T1341" s="11">
        <v>4</v>
      </c>
      <c r="U1341">
        <v>2.92</v>
      </c>
      <c r="V1341">
        <v>2.2999999999999998</v>
      </c>
      <c r="W1341" t="s">
        <v>33</v>
      </c>
      <c r="X1341" s="8">
        <f>IFERROR(((PI())*(((V1341*10^-1)/2)^2)*(U1341*10^-1)), "NA")</f>
        <v>1.2131888350367701E-2</v>
      </c>
      <c r="Y1341">
        <v>1</v>
      </c>
      <c r="Z1341" s="3">
        <f t="shared" si="684"/>
        <v>0.99988090799733798</v>
      </c>
      <c r="AA1341">
        <v>12</v>
      </c>
      <c r="AB1341" s="6">
        <f>IFERROR(((X1341*M1341)/Z1341), "NA")</f>
        <v>12.133333333333333</v>
      </c>
      <c r="AC1341" t="str">
        <f t="shared" si="681"/>
        <v>NA</v>
      </c>
      <c r="AD1341" s="4">
        <f>IFERROR(AB1341*T1341*AI1341, "NA")</f>
        <v>48.533333333333331</v>
      </c>
      <c r="AE1341" s="3">
        <f t="shared" si="682"/>
        <v>65.52</v>
      </c>
      <c r="AF1341">
        <v>145.6</v>
      </c>
      <c r="AG1341" t="str">
        <f t="shared" si="687"/>
        <v>NA</v>
      </c>
      <c r="AH1341" t="str">
        <f t="shared" si="688"/>
        <v>NA</v>
      </c>
      <c r="AI1341" s="11">
        <v>1</v>
      </c>
      <c r="AJ1341" t="s">
        <v>31</v>
      </c>
      <c r="AK1341">
        <v>2000</v>
      </c>
      <c r="AL1341" t="s">
        <v>114</v>
      </c>
      <c r="AM1341" t="s">
        <v>103</v>
      </c>
      <c r="AN1341" t="s">
        <v>130</v>
      </c>
      <c r="AO1341" t="s">
        <v>795</v>
      </c>
      <c r="AP1341" t="s">
        <v>33</v>
      </c>
      <c r="AQ1341" t="s">
        <v>33</v>
      </c>
      <c r="AR1341" t="s">
        <v>33</v>
      </c>
      <c r="AS1341" s="6">
        <f>LOG(2*10^8)</f>
        <v>8.3010299956639813</v>
      </c>
      <c r="AT1341" s="3">
        <f t="shared" si="689"/>
        <v>6.5010299956639814</v>
      </c>
      <c r="AU1341" s="6">
        <v>1.8</v>
      </c>
      <c r="AV1341" t="b">
        <v>1</v>
      </c>
      <c r="AW1341" t="s">
        <v>29</v>
      </c>
      <c r="AX1341" t="s">
        <v>30</v>
      </c>
      <c r="AY1341" t="s">
        <v>33</v>
      </c>
      <c r="AZ1341" t="s">
        <v>134</v>
      </c>
      <c r="BA1341" s="18" t="s">
        <v>798</v>
      </c>
      <c r="BB1341" t="b">
        <v>0</v>
      </c>
      <c r="BC1341" t="s">
        <v>81</v>
      </c>
      <c r="BD1341" t="s">
        <v>33</v>
      </c>
      <c r="BE1341" t="s">
        <v>33</v>
      </c>
      <c r="BF1341" s="11">
        <v>48</v>
      </c>
      <c r="BG1341" t="s">
        <v>569</v>
      </c>
      <c r="BH1341" t="s">
        <v>31</v>
      </c>
      <c r="BI1341" t="s">
        <v>31</v>
      </c>
      <c r="BJ1341" s="3">
        <f t="shared" si="680"/>
        <v>1.8</v>
      </c>
      <c r="BK1341" s="3">
        <f t="shared" si="679"/>
        <v>0.25527250510330607</v>
      </c>
      <c r="BL1341">
        <v>2</v>
      </c>
      <c r="BM1341" s="3">
        <f t="shared" si="669"/>
        <v>1.5611013836490559</v>
      </c>
      <c r="BN1341" t="s">
        <v>33</v>
      </c>
      <c r="BO1341" s="3">
        <f t="shared" si="662"/>
        <v>36.4</v>
      </c>
      <c r="BP1341" t="s">
        <v>33</v>
      </c>
      <c r="BQ1341" t="s">
        <v>33</v>
      </c>
      <c r="BR1341" t="s">
        <v>33</v>
      </c>
      <c r="BS1341" t="s">
        <v>33</v>
      </c>
      <c r="BT1341" t="s">
        <v>32</v>
      </c>
      <c r="BU1341" t="s">
        <v>177</v>
      </c>
      <c r="BV1341">
        <v>2001</v>
      </c>
      <c r="BW1341" s="2" t="s">
        <v>178</v>
      </c>
      <c r="BX1341" t="s">
        <v>78</v>
      </c>
      <c r="BY1341" t="s">
        <v>33</v>
      </c>
      <c r="BZ1341" t="s">
        <v>33</v>
      </c>
      <c r="CA1341" t="str">
        <f t="shared" si="663"/>
        <v>low acid</v>
      </c>
    </row>
    <row r="1342" spans="1:79">
      <c r="A1342" t="s">
        <v>453</v>
      </c>
      <c r="B1342" t="s">
        <v>565</v>
      </c>
      <c r="C1342" t="s">
        <v>563</v>
      </c>
      <c r="D1342" t="s">
        <v>182</v>
      </c>
      <c r="E1342" t="s">
        <v>77</v>
      </c>
      <c r="F1342" t="s">
        <v>32</v>
      </c>
      <c r="G1342">
        <v>18</v>
      </c>
      <c r="H1342">
        <v>39</v>
      </c>
      <c r="I1342" t="b">
        <v>1</v>
      </c>
      <c r="J1342" t="s">
        <v>33</v>
      </c>
      <c r="K1342" t="s">
        <v>33</v>
      </c>
      <c r="L1342">
        <v>27</v>
      </c>
      <c r="M1342" s="4" t="s">
        <v>33</v>
      </c>
      <c r="N1342" s="3">
        <f t="shared" si="686"/>
        <v>329.67224855987649</v>
      </c>
      <c r="O1342">
        <v>8</v>
      </c>
      <c r="P1342">
        <f>0.047/2</f>
        <v>2.35E-2</v>
      </c>
      <c r="Q1342" s="8">
        <f t="shared" si="690"/>
        <v>2.3318614270936313E-2</v>
      </c>
      <c r="R1342" t="s">
        <v>183</v>
      </c>
      <c r="S1342" t="s">
        <v>613</v>
      </c>
      <c r="T1342" s="11">
        <v>2</v>
      </c>
      <c r="U1342">
        <v>5.6</v>
      </c>
      <c r="V1342">
        <v>4.5</v>
      </c>
      <c r="W1342" t="s">
        <v>33</v>
      </c>
      <c r="X1342" s="9">
        <f>IFERROR(((PI())*(((V1342*10^-1)/2)^2)*(U1342*10^-1)), "NA")</f>
        <v>8.9064151729270638E-2</v>
      </c>
      <c r="Y1342" s="6">
        <f>13750/3600</f>
        <v>3.8194444444444446</v>
      </c>
      <c r="Z1342" s="3">
        <f>IFERROR(X1342*N1342*O1342*T1342*AI1342/AF1342, "NA")</f>
        <v>3.8194444444444442</v>
      </c>
      <c r="AA1342" t="s">
        <v>33</v>
      </c>
      <c r="AB1342" s="4">
        <f>IFERROR(((X1342*N1342)/Y1342), "NA")</f>
        <v>7.6874999999999991</v>
      </c>
      <c r="AC1342" s="4">
        <f>IFERROR(N1342*P1342,"NA")</f>
        <v>7.7472978411570974</v>
      </c>
      <c r="AD1342" s="4">
        <f>AB1342*T1342*AI1342</f>
        <v>15.374999999999998</v>
      </c>
      <c r="AE1342" s="3">
        <f>IFERROR(((L1342^2)*N1342*O1342*AK1342*10^-6*Q1342*T1342*AI1342), "NA")</f>
        <v>206.23409999999998</v>
      </c>
      <c r="AF1342">
        <v>123</v>
      </c>
      <c r="AG1342" s="4">
        <f>IFERROR((N1342*O1342*P1342), "NA")</f>
        <v>61.978382729256779</v>
      </c>
      <c r="AH1342" s="4">
        <f t="shared" si="688"/>
        <v>123.95676545851356</v>
      </c>
      <c r="AI1342" s="11">
        <v>1</v>
      </c>
      <c r="AJ1342" t="s">
        <v>31</v>
      </c>
      <c r="AK1342">
        <v>2300</v>
      </c>
      <c r="AL1342" t="s">
        <v>805</v>
      </c>
      <c r="AM1342" t="s">
        <v>515</v>
      </c>
      <c r="AN1342" t="s">
        <v>205</v>
      </c>
      <c r="AO1342" t="s">
        <v>788</v>
      </c>
      <c r="AP1342">
        <v>3.68</v>
      </c>
      <c r="AQ1342" t="s">
        <v>33</v>
      </c>
      <c r="AR1342" t="s">
        <v>33</v>
      </c>
      <c r="AS1342">
        <f>LOG(10^8)</f>
        <v>8</v>
      </c>
      <c r="AT1342" s="3">
        <f t="shared" si="689"/>
        <v>6.51</v>
      </c>
      <c r="AU1342" s="6">
        <v>1.49</v>
      </c>
      <c r="AV1342" t="b">
        <v>1</v>
      </c>
      <c r="AW1342" t="s">
        <v>123</v>
      </c>
      <c r="AX1342" t="s">
        <v>88</v>
      </c>
      <c r="AY1342" t="s">
        <v>468</v>
      </c>
      <c r="AZ1342" t="s">
        <v>33</v>
      </c>
      <c r="BA1342" s="18" t="s">
        <v>579</v>
      </c>
      <c r="BB1342" t="b">
        <v>1</v>
      </c>
      <c r="BC1342" t="s">
        <v>81</v>
      </c>
      <c r="BD1342" t="s">
        <v>33</v>
      </c>
      <c r="BE1342" t="s">
        <v>80</v>
      </c>
      <c r="BF1342" t="s">
        <v>33</v>
      </c>
      <c r="BG1342" t="s">
        <v>395</v>
      </c>
      <c r="BH1342" t="s">
        <v>31</v>
      </c>
      <c r="BI1342" t="s">
        <v>31</v>
      </c>
      <c r="BJ1342" s="3">
        <f t="shared" si="680"/>
        <v>1.49</v>
      </c>
      <c r="BK1342" s="3">
        <f t="shared" si="679"/>
        <v>0.17318626841227402</v>
      </c>
      <c r="BL1342">
        <v>2</v>
      </c>
      <c r="BM1342" s="3">
        <f t="shared" si="669"/>
        <v>2.1411742073626914</v>
      </c>
      <c r="BN1342" t="s">
        <v>33</v>
      </c>
      <c r="BO1342" s="3">
        <f t="shared" si="662"/>
        <v>138.41214765100671</v>
      </c>
      <c r="BP1342" t="s">
        <v>33</v>
      </c>
      <c r="BQ1342" t="s">
        <v>33</v>
      </c>
      <c r="BR1342" t="s">
        <v>33</v>
      </c>
      <c r="BS1342" t="s">
        <v>33</v>
      </c>
      <c r="BT1342" t="s">
        <v>32</v>
      </c>
      <c r="BU1342" t="s">
        <v>484</v>
      </c>
      <c r="BV1342">
        <v>2015</v>
      </c>
      <c r="BW1342" t="s">
        <v>485</v>
      </c>
      <c r="BX1342" t="s">
        <v>78</v>
      </c>
      <c r="BY1342" t="s">
        <v>486</v>
      </c>
      <c r="CA1342" t="str">
        <f t="shared" si="663"/>
        <v>high acid</v>
      </c>
    </row>
    <row r="1343" spans="1:79">
      <c r="A1343" t="s">
        <v>594</v>
      </c>
      <c r="B1343" t="s">
        <v>566</v>
      </c>
      <c r="C1343" t="s">
        <v>563</v>
      </c>
      <c r="D1343" t="s">
        <v>33</v>
      </c>
      <c r="E1343" t="s">
        <v>77</v>
      </c>
      <c r="F1343" t="s">
        <v>32</v>
      </c>
      <c r="G1343" t="s">
        <v>33</v>
      </c>
      <c r="H1343">
        <v>20</v>
      </c>
      <c r="I1343" t="b">
        <v>1</v>
      </c>
      <c r="J1343" t="s">
        <v>33</v>
      </c>
      <c r="K1343" t="s">
        <v>33</v>
      </c>
      <c r="L1343">
        <v>30</v>
      </c>
      <c r="M1343" s="4">
        <v>2</v>
      </c>
      <c r="N1343" t="e">
        <f>(#REF!*Y1343)/(T1343*X1343*O1343)</f>
        <v>#REF!</v>
      </c>
      <c r="O1343">
        <v>2</v>
      </c>
      <c r="P1343" t="s">
        <v>33</v>
      </c>
      <c r="Q1343" s="1">
        <f t="shared" si="690"/>
        <v>7.1</v>
      </c>
      <c r="R1343" t="s">
        <v>183</v>
      </c>
      <c r="S1343" t="s">
        <v>613</v>
      </c>
      <c r="T1343">
        <v>1</v>
      </c>
      <c r="U1343">
        <v>5</v>
      </c>
      <c r="V1343" t="s">
        <v>33</v>
      </c>
      <c r="W1343">
        <v>0.71</v>
      </c>
      <c r="X1343">
        <f>W1343</f>
        <v>0.71</v>
      </c>
      <c r="Y1343">
        <v>0.1</v>
      </c>
      <c r="Z1343" s="3">
        <f>Y1343</f>
        <v>0.1</v>
      </c>
      <c r="AA1343" s="3">
        <v>14.8409893992932</v>
      </c>
      <c r="AB1343">
        <f>IFERROR(((X1343*M1343)/Y1343), "NA")</f>
        <v>14.2</v>
      </c>
      <c r="AC1343" s="1" t="str">
        <f t="shared" ref="AC1343:AC1374" si="691">IFERROR(M1343*P1343,"NA")</f>
        <v>NA</v>
      </c>
      <c r="AE1343" s="3">
        <f t="shared" ref="AE1343:AE1374" si="692">IFERROR(((L1343^2)*M1343*O1343*AK1343*10^-6*Q1343*T1343*AI1343), "NA")</f>
        <v>654.3359999999999</v>
      </c>
      <c r="AF1343" t="s">
        <v>33</v>
      </c>
      <c r="AG1343" s="1">
        <f>IFERROR((M1343*O1343*Q1343), "NA")</f>
        <v>28.4</v>
      </c>
      <c r="AH1343" s="1">
        <f>IFERROR((AG1343*U1343*AI1343), "NA")</f>
        <v>568</v>
      </c>
      <c r="AI1343" s="1">
        <v>4</v>
      </c>
      <c r="AJ1343" s="11" t="s">
        <v>31</v>
      </c>
      <c r="AK1343">
        <f>AVERAGE(5100, 7700)</f>
        <v>6400</v>
      </c>
      <c r="AL1343" t="s">
        <v>561</v>
      </c>
      <c r="AM1343" s="3" t="s">
        <v>786</v>
      </c>
      <c r="AN1343" t="s">
        <v>186</v>
      </c>
      <c r="AO1343" t="s">
        <v>793</v>
      </c>
      <c r="AP1343" t="s">
        <v>33</v>
      </c>
      <c r="AQ1343" t="s">
        <v>33</v>
      </c>
      <c r="AR1343" t="s">
        <v>33</v>
      </c>
      <c r="AS1343">
        <v>8</v>
      </c>
      <c r="AT1343">
        <f>AS1343-AU1343</f>
        <v>6.51</v>
      </c>
      <c r="AU1343" s="6">
        <v>1.49</v>
      </c>
      <c r="AV1343" t="b">
        <v>1</v>
      </c>
      <c r="AW1343" t="s">
        <v>617</v>
      </c>
      <c r="AX1343" t="s">
        <v>624</v>
      </c>
      <c r="AY1343" t="s">
        <v>622</v>
      </c>
      <c r="AZ1343" t="s">
        <v>33</v>
      </c>
      <c r="BA1343" s="18" t="s">
        <v>802</v>
      </c>
      <c r="BB1343" s="3" t="b">
        <v>0</v>
      </c>
      <c r="BC1343" t="s">
        <v>81</v>
      </c>
      <c r="BD1343">
        <v>18</v>
      </c>
      <c r="BE1343" t="s">
        <v>80</v>
      </c>
      <c r="BF1343">
        <v>24</v>
      </c>
      <c r="BG1343" t="s">
        <v>696</v>
      </c>
      <c r="BH1343" t="s">
        <v>32</v>
      </c>
      <c r="BI1343" t="s">
        <v>31</v>
      </c>
      <c r="BJ1343">
        <f t="shared" si="680"/>
        <v>1.49</v>
      </c>
      <c r="BK1343" s="3">
        <f t="shared" si="679"/>
        <v>0.17318626841227402</v>
      </c>
      <c r="BL1343">
        <v>2</v>
      </c>
      <c r="BM1343" s="3">
        <f t="shared" si="669"/>
        <v>2.6426145463859378</v>
      </c>
      <c r="BN1343" t="s">
        <v>33</v>
      </c>
      <c r="BO1343" s="3">
        <f t="shared" si="662"/>
        <v>439.15167785234894</v>
      </c>
      <c r="BP1343" t="s">
        <v>33</v>
      </c>
      <c r="BQ1343" t="s">
        <v>33</v>
      </c>
      <c r="BR1343" t="s">
        <v>33</v>
      </c>
      <c r="BS1343" t="s">
        <v>33</v>
      </c>
      <c r="BT1343" t="s">
        <v>31</v>
      </c>
      <c r="BU1343" t="s">
        <v>338</v>
      </c>
      <c r="BV1343">
        <v>2006</v>
      </c>
      <c r="BW1343" t="s">
        <v>339</v>
      </c>
      <c r="BX1343" t="s">
        <v>78</v>
      </c>
      <c r="BY1343" s="13" t="s">
        <v>682</v>
      </c>
      <c r="CA1343" t="str">
        <f t="shared" si="663"/>
        <v>low acid</v>
      </c>
    </row>
    <row r="1344" spans="1:79">
      <c r="A1344" t="s">
        <v>584</v>
      </c>
      <c r="B1344" t="s">
        <v>566</v>
      </c>
      <c r="C1344" t="s">
        <v>563</v>
      </c>
      <c r="D1344" t="s">
        <v>607</v>
      </c>
      <c r="E1344" t="s">
        <v>77</v>
      </c>
      <c r="F1344" t="s">
        <v>33</v>
      </c>
      <c r="G1344">
        <v>20</v>
      </c>
      <c r="H1344">
        <v>35</v>
      </c>
      <c r="I1344" t="b">
        <v>0</v>
      </c>
      <c r="J1344">
        <v>1000</v>
      </c>
      <c r="K1344">
        <v>200</v>
      </c>
      <c r="L1344">
        <v>30</v>
      </c>
      <c r="M1344" s="4">
        <v>1</v>
      </c>
      <c r="N1344" t="e">
        <f>(#REF!*Y1344)/(T1344*X1344*O1344)</f>
        <v>#REF!</v>
      </c>
      <c r="O1344">
        <v>3</v>
      </c>
      <c r="P1344" t="s">
        <v>33</v>
      </c>
      <c r="Q1344" s="1">
        <f t="shared" si="690"/>
        <v>10</v>
      </c>
      <c r="R1344" t="s">
        <v>183</v>
      </c>
      <c r="S1344" t="s">
        <v>33</v>
      </c>
      <c r="T1344">
        <v>1</v>
      </c>
      <c r="U1344">
        <v>2.5</v>
      </c>
      <c r="V1344" t="s">
        <v>33</v>
      </c>
      <c r="W1344">
        <v>0.50249999999999995</v>
      </c>
      <c r="X1344">
        <f>W1344</f>
        <v>0.50249999999999995</v>
      </c>
      <c r="Y1344" t="s">
        <v>33</v>
      </c>
      <c r="Z1344" s="3">
        <f t="shared" ref="Z1344:Z1370" si="693">IFERROR(X1344*M1344*O1344*T1344*AI1344/AF1344, "NA")</f>
        <v>5.0249999999999996E-2</v>
      </c>
      <c r="AA1344" t="s">
        <v>33</v>
      </c>
      <c r="AB1344">
        <f t="shared" ref="AB1344:AB1349" si="694">IFERROR(((X1344*M1344)/Z1344), "NA")</f>
        <v>10</v>
      </c>
      <c r="AC1344" s="1" t="str">
        <f t="shared" si="691"/>
        <v>NA</v>
      </c>
      <c r="AE1344" s="3">
        <f t="shared" si="692"/>
        <v>26.999999999999996</v>
      </c>
      <c r="AF1344">
        <v>30</v>
      </c>
      <c r="AG1344" s="1" t="str">
        <f>IFERROR((N1344*P1344*Q1344), "NA")</f>
        <v>NA</v>
      </c>
      <c r="AH1344" s="1" t="str">
        <f>IFERROR((AG1344*U1344*AI1344), "NA")</f>
        <v>NA</v>
      </c>
      <c r="AI1344" s="1">
        <v>1</v>
      </c>
      <c r="AJ1344" s="11" t="s">
        <v>31</v>
      </c>
      <c r="AK1344">
        <v>1000</v>
      </c>
      <c r="AL1344" t="s">
        <v>614</v>
      </c>
      <c r="AM1344" s="3" t="s">
        <v>103</v>
      </c>
      <c r="AN1344" t="s">
        <v>305</v>
      </c>
      <c r="AO1344" t="s">
        <v>790</v>
      </c>
      <c r="AP1344">
        <v>3.5</v>
      </c>
      <c r="AQ1344" t="s">
        <v>33</v>
      </c>
      <c r="AR1344" t="s">
        <v>33</v>
      </c>
      <c r="AS1344">
        <v>8</v>
      </c>
      <c r="AT1344">
        <f>AS1344-AU1344</f>
        <v>6.51</v>
      </c>
      <c r="AU1344" s="6">
        <v>1.49</v>
      </c>
      <c r="AV1344" t="b">
        <v>1</v>
      </c>
      <c r="AW1344" t="s">
        <v>617</v>
      </c>
      <c r="AX1344" t="s">
        <v>33</v>
      </c>
      <c r="AY1344" t="s">
        <v>623</v>
      </c>
      <c r="AZ1344" t="s">
        <v>621</v>
      </c>
      <c r="BA1344" s="18" t="s">
        <v>802</v>
      </c>
      <c r="BB1344" s="3" t="b">
        <v>0</v>
      </c>
      <c r="BC1344" t="s">
        <v>81</v>
      </c>
      <c r="BD1344">
        <v>18</v>
      </c>
      <c r="BE1344" t="s">
        <v>80</v>
      </c>
      <c r="BF1344">
        <v>24</v>
      </c>
      <c r="BG1344" t="s">
        <v>569</v>
      </c>
      <c r="BH1344" t="s">
        <v>31</v>
      </c>
      <c r="BI1344" t="s">
        <v>31</v>
      </c>
      <c r="BJ1344">
        <f t="shared" si="680"/>
        <v>1.49</v>
      </c>
      <c r="BK1344" s="3">
        <f t="shared" si="679"/>
        <v>0.17318626841227402</v>
      </c>
      <c r="BL1344">
        <v>2</v>
      </c>
      <c r="BM1344" s="3">
        <f t="shared" si="669"/>
        <v>1.2581774957467131</v>
      </c>
      <c r="BN1344" t="s">
        <v>33</v>
      </c>
      <c r="BO1344" s="3">
        <f t="shared" si="662"/>
        <v>18.120805369127513</v>
      </c>
      <c r="BP1344" t="s">
        <v>33</v>
      </c>
      <c r="BQ1344" t="s">
        <v>33</v>
      </c>
      <c r="BR1344" t="s">
        <v>33</v>
      </c>
      <c r="BS1344" t="s">
        <v>33</v>
      </c>
      <c r="BT1344" t="s">
        <v>31</v>
      </c>
      <c r="BU1344" t="s">
        <v>255</v>
      </c>
      <c r="BV1344">
        <v>2010</v>
      </c>
      <c r="BW1344" t="s">
        <v>651</v>
      </c>
      <c r="BX1344" t="s">
        <v>78</v>
      </c>
      <c r="BY1344" s="13" t="s">
        <v>674</v>
      </c>
      <c r="CA1344" t="str">
        <f t="shared" si="663"/>
        <v>high acid</v>
      </c>
    </row>
    <row r="1345" spans="1:79">
      <c r="A1345" t="s">
        <v>392</v>
      </c>
      <c r="B1345" t="s">
        <v>565</v>
      </c>
      <c r="C1345" t="s">
        <v>563</v>
      </c>
      <c r="D1345" t="s">
        <v>118</v>
      </c>
      <c r="E1345" t="s">
        <v>77</v>
      </c>
      <c r="F1345" t="s">
        <v>32</v>
      </c>
      <c r="G1345">
        <v>25</v>
      </c>
      <c r="H1345">
        <v>36</v>
      </c>
      <c r="I1345" t="b">
        <v>0</v>
      </c>
      <c r="J1345" t="s">
        <v>33</v>
      </c>
      <c r="K1345" t="s">
        <v>33</v>
      </c>
      <c r="L1345">
        <v>25</v>
      </c>
      <c r="M1345" s="4">
        <v>200</v>
      </c>
      <c r="N1345" s="3" t="str">
        <f>IFERROR(AF1345/((T1345*X1345/Y1345)*O1345*AI1345),"NA")</f>
        <v>NA</v>
      </c>
      <c r="O1345">
        <v>4</v>
      </c>
      <c r="P1345" t="s">
        <v>33</v>
      </c>
      <c r="Q1345" s="8">
        <f t="shared" si="690"/>
        <v>2.3437500000000003E-2</v>
      </c>
      <c r="R1345" t="s">
        <v>183</v>
      </c>
      <c r="S1345" t="s">
        <v>613</v>
      </c>
      <c r="T1345" s="11">
        <v>8</v>
      </c>
      <c r="U1345">
        <v>2.9</v>
      </c>
      <c r="V1345">
        <v>2.2999999999999998</v>
      </c>
      <c r="W1345">
        <v>1.2E-2</v>
      </c>
      <c r="X1345" s="8">
        <f>IFERROR(((PI())*(((V1345*10^-1)/2)^2)*(U1345*10^-1)), "NA")</f>
        <v>1.204879322468025E-2</v>
      </c>
      <c r="Y1345" t="s">
        <v>33</v>
      </c>
      <c r="Z1345" s="3">
        <f t="shared" si="693"/>
        <v>0.51408184425302395</v>
      </c>
      <c r="AA1345" t="s">
        <v>33</v>
      </c>
      <c r="AB1345" s="6">
        <f t="shared" si="694"/>
        <v>4.6875</v>
      </c>
      <c r="AC1345" t="str">
        <f t="shared" si="691"/>
        <v>NA</v>
      </c>
      <c r="AD1345" s="4">
        <f>AB1345*T1345*AI1345</f>
        <v>37.5</v>
      </c>
      <c r="AE1345" s="3">
        <f t="shared" si="692"/>
        <v>397.50000000000006</v>
      </c>
      <c r="AF1345">
        <v>150</v>
      </c>
      <c r="AG1345" t="str">
        <f>IFERROR((M1345*O1345*P1345), "NA")</f>
        <v>NA</v>
      </c>
      <c r="AH1345" t="str">
        <f>IFERROR((AG1345*T1345*AI1345), "NA")</f>
        <v>NA</v>
      </c>
      <c r="AI1345">
        <v>1</v>
      </c>
      <c r="AJ1345" t="s">
        <v>31</v>
      </c>
      <c r="AK1345">
        <v>4240</v>
      </c>
      <c r="AL1345" t="s">
        <v>238</v>
      </c>
      <c r="AM1345" t="s">
        <v>86</v>
      </c>
      <c r="AN1345" t="s">
        <v>205</v>
      </c>
      <c r="AO1345" t="s">
        <v>789</v>
      </c>
      <c r="AP1345">
        <v>3.56</v>
      </c>
      <c r="AQ1345" t="s">
        <v>33</v>
      </c>
      <c r="AR1345" t="s">
        <v>33</v>
      </c>
      <c r="AS1345" s="6">
        <f>LOG(10^8)</f>
        <v>8</v>
      </c>
      <c r="AT1345" s="3">
        <f>IFERROR(AS1345-AU1345,"NA")</f>
        <v>6.5169999999999995</v>
      </c>
      <c r="AU1345" s="6">
        <v>1.4830000000000001</v>
      </c>
      <c r="AV1345" t="b">
        <v>1</v>
      </c>
      <c r="AW1345" t="s">
        <v>123</v>
      </c>
      <c r="AX1345" t="s">
        <v>393</v>
      </c>
      <c r="AY1345" t="s">
        <v>394</v>
      </c>
      <c r="AZ1345" t="s">
        <v>33</v>
      </c>
      <c r="BA1345" s="18" t="s">
        <v>579</v>
      </c>
      <c r="BB1345" t="b">
        <v>1</v>
      </c>
      <c r="BC1345" t="s">
        <v>81</v>
      </c>
      <c r="BD1345">
        <v>72</v>
      </c>
      <c r="BE1345" t="s">
        <v>80</v>
      </c>
      <c r="BF1345" s="11">
        <v>72</v>
      </c>
      <c r="BG1345" t="s">
        <v>395</v>
      </c>
      <c r="BH1345" t="s">
        <v>31</v>
      </c>
      <c r="BI1345" t="s">
        <v>31</v>
      </c>
      <c r="BJ1345" s="3">
        <f t="shared" si="680"/>
        <v>1.4830000000000001</v>
      </c>
      <c r="BK1345" s="3">
        <f t="shared" si="679"/>
        <v>0.17114115102838207</v>
      </c>
      <c r="BL1345">
        <v>2</v>
      </c>
      <c r="BM1345" s="3">
        <f t="shared" si="669"/>
        <v>2.428195981964107</v>
      </c>
      <c r="BN1345" t="s">
        <v>33</v>
      </c>
      <c r="BO1345" s="3">
        <f t="shared" si="662"/>
        <v>268.03776129467298</v>
      </c>
      <c r="BP1345" t="s">
        <v>33</v>
      </c>
      <c r="BQ1345" t="s">
        <v>33</v>
      </c>
      <c r="BR1345" t="s">
        <v>33</v>
      </c>
      <c r="BS1345" t="s">
        <v>33</v>
      </c>
      <c r="BT1345" t="s">
        <v>31</v>
      </c>
      <c r="BU1345" t="s">
        <v>240</v>
      </c>
      <c r="BV1345">
        <v>2005</v>
      </c>
      <c r="BW1345" t="s">
        <v>396</v>
      </c>
      <c r="BX1345" t="s">
        <v>78</v>
      </c>
      <c r="BY1345" t="s">
        <v>33</v>
      </c>
      <c r="BZ1345" t="s">
        <v>33</v>
      </c>
      <c r="CA1345" t="str">
        <f t="shared" si="663"/>
        <v>high acid</v>
      </c>
    </row>
    <row r="1346" spans="1:79">
      <c r="A1346" t="s">
        <v>589</v>
      </c>
      <c r="B1346" t="s">
        <v>566</v>
      </c>
      <c r="C1346" t="s">
        <v>563</v>
      </c>
      <c r="D1346" t="s">
        <v>33</v>
      </c>
      <c r="E1346" t="s">
        <v>77</v>
      </c>
      <c r="F1346" t="s">
        <v>33</v>
      </c>
      <c r="G1346" t="s">
        <v>33</v>
      </c>
      <c r="H1346">
        <v>35</v>
      </c>
      <c r="I1346" t="b">
        <v>0</v>
      </c>
      <c r="J1346" t="s">
        <v>33</v>
      </c>
      <c r="K1346" t="s">
        <v>33</v>
      </c>
      <c r="L1346">
        <v>25</v>
      </c>
      <c r="M1346" s="4">
        <v>1</v>
      </c>
      <c r="N1346" t="e">
        <f>(#REF!*Y1346)/(T1346*X1346*O1346)</f>
        <v>#REF!</v>
      </c>
      <c r="O1346">
        <v>2</v>
      </c>
      <c r="P1346" t="s">
        <v>33</v>
      </c>
      <c r="Q1346" s="1">
        <f t="shared" si="690"/>
        <v>18.515000000000001</v>
      </c>
      <c r="R1346" t="s">
        <v>183</v>
      </c>
      <c r="S1346" t="s">
        <v>613</v>
      </c>
      <c r="T1346">
        <v>1</v>
      </c>
      <c r="U1346">
        <v>2.5</v>
      </c>
      <c r="V1346" t="s">
        <v>33</v>
      </c>
      <c r="W1346">
        <v>0.50249999999999995</v>
      </c>
      <c r="X1346">
        <f>W1346</f>
        <v>0.50249999999999995</v>
      </c>
      <c r="Y1346" t="s">
        <v>33</v>
      </c>
      <c r="Z1346" s="3">
        <f t="shared" si="693"/>
        <v>2.7140156629759649E-2</v>
      </c>
      <c r="AA1346" t="s">
        <v>33</v>
      </c>
      <c r="AB1346">
        <f t="shared" si="694"/>
        <v>18.515000000000001</v>
      </c>
      <c r="AC1346" s="1" t="str">
        <f t="shared" si="691"/>
        <v>NA</v>
      </c>
      <c r="AE1346" s="3">
        <f t="shared" si="692"/>
        <v>46.287500000000001</v>
      </c>
      <c r="AF1346">
        <v>37.03</v>
      </c>
      <c r="AG1346" s="1" t="str">
        <f>IFERROR((N1346*P1346*Q1346), "NA")</f>
        <v>NA</v>
      </c>
      <c r="AH1346" s="1" t="str">
        <f>IFERROR((AG1346*U1346*AI1346), "NA")</f>
        <v>NA</v>
      </c>
      <c r="AI1346" s="1">
        <v>1</v>
      </c>
      <c r="AJ1346" s="11" t="s">
        <v>31</v>
      </c>
      <c r="AK1346">
        <v>2000</v>
      </c>
      <c r="AL1346" t="s">
        <v>616</v>
      </c>
      <c r="AM1346" s="3" t="s">
        <v>103</v>
      </c>
      <c r="AN1346" t="s">
        <v>130</v>
      </c>
      <c r="AO1346" t="s">
        <v>795</v>
      </c>
      <c r="AP1346">
        <v>7</v>
      </c>
      <c r="AQ1346" t="s">
        <v>33</v>
      </c>
      <c r="AR1346" t="s">
        <v>33</v>
      </c>
      <c r="AS1346">
        <v>9</v>
      </c>
      <c r="AT1346">
        <f>AS1346-AU1346</f>
        <v>6.52</v>
      </c>
      <c r="AU1346" s="6">
        <v>2.48</v>
      </c>
      <c r="AV1346" t="b">
        <v>1</v>
      </c>
      <c r="AW1346" t="s">
        <v>617</v>
      </c>
      <c r="AX1346" t="s">
        <v>33</v>
      </c>
      <c r="AY1346" t="s">
        <v>629</v>
      </c>
      <c r="AZ1346" t="s">
        <v>630</v>
      </c>
      <c r="BA1346" s="18" t="s">
        <v>802</v>
      </c>
      <c r="BB1346" s="3" t="b">
        <v>0</v>
      </c>
      <c r="BC1346" t="s">
        <v>81</v>
      </c>
      <c r="BD1346">
        <v>24</v>
      </c>
      <c r="BE1346" t="s">
        <v>80</v>
      </c>
      <c r="BF1346">
        <v>24</v>
      </c>
      <c r="BG1346" t="s">
        <v>644</v>
      </c>
      <c r="BH1346" t="s">
        <v>31</v>
      </c>
      <c r="BI1346" t="s">
        <v>31</v>
      </c>
      <c r="BJ1346">
        <f t="shared" si="680"/>
        <v>2.48</v>
      </c>
      <c r="BK1346" s="3">
        <f t="shared" si="679"/>
        <v>0.39445168082621629</v>
      </c>
      <c r="BL1346">
        <v>2</v>
      </c>
      <c r="BM1346" s="3">
        <f t="shared" si="669"/>
        <v>1.2710120442312827</v>
      </c>
      <c r="BN1346" t="s">
        <v>33</v>
      </c>
      <c r="BO1346" s="3">
        <f t="shared" ref="BO1346:BO1409" si="695">IFERROR((AE1346/BJ1346),"NA")</f>
        <v>18.664314516129032</v>
      </c>
      <c r="BP1346" t="s">
        <v>33</v>
      </c>
      <c r="BQ1346" t="s">
        <v>33</v>
      </c>
      <c r="BR1346" t="s">
        <v>33</v>
      </c>
      <c r="BS1346" t="s">
        <v>33</v>
      </c>
      <c r="BT1346" t="s">
        <v>31</v>
      </c>
      <c r="BU1346" s="15" t="s">
        <v>655</v>
      </c>
      <c r="BV1346">
        <v>2003</v>
      </c>
      <c r="BW1346" t="s">
        <v>656</v>
      </c>
      <c r="BX1346" t="s">
        <v>78</v>
      </c>
      <c r="BY1346" s="13" t="s">
        <v>677</v>
      </c>
      <c r="CA1346" t="str">
        <f t="shared" si="663"/>
        <v>low acid</v>
      </c>
    </row>
    <row r="1347" spans="1:79">
      <c r="A1347" t="s">
        <v>601</v>
      </c>
      <c r="B1347" t="s">
        <v>566</v>
      </c>
      <c r="C1347" t="s">
        <v>563</v>
      </c>
      <c r="D1347" t="s">
        <v>611</v>
      </c>
      <c r="E1347" t="s">
        <v>77</v>
      </c>
      <c r="F1347" t="s">
        <v>32</v>
      </c>
      <c r="G1347" t="s">
        <v>33</v>
      </c>
      <c r="H1347" t="s">
        <v>33</v>
      </c>
      <c r="I1347" t="b">
        <v>0</v>
      </c>
      <c r="J1347" t="s">
        <v>33</v>
      </c>
      <c r="K1347" t="s">
        <v>33</v>
      </c>
      <c r="L1347">
        <v>40</v>
      </c>
      <c r="M1347" s="4">
        <v>15</v>
      </c>
      <c r="N1347" t="e">
        <f>(#REF!*Y1347)/(T1347*X1347*O1347)</f>
        <v>#REF!</v>
      </c>
      <c r="O1347">
        <v>1</v>
      </c>
      <c r="P1347" t="s">
        <v>33</v>
      </c>
      <c r="Q1347" s="1">
        <f t="shared" si="690"/>
        <v>6.6666666666666661</v>
      </c>
      <c r="R1347" t="s">
        <v>33</v>
      </c>
      <c r="S1347" t="s">
        <v>33</v>
      </c>
      <c r="T1347">
        <v>1</v>
      </c>
      <c r="U1347">
        <v>2.5</v>
      </c>
      <c r="V1347" t="s">
        <v>33</v>
      </c>
      <c r="W1347">
        <v>1.75</v>
      </c>
      <c r="X1347">
        <f>W1347</f>
        <v>1.75</v>
      </c>
      <c r="Y1347">
        <v>0.26333329999999999</v>
      </c>
      <c r="Z1347" s="3">
        <f t="shared" si="693"/>
        <v>0.26250000000000001</v>
      </c>
      <c r="AA1347" t="s">
        <v>33</v>
      </c>
      <c r="AB1347">
        <f t="shared" si="694"/>
        <v>100</v>
      </c>
      <c r="AC1347" s="1" t="str">
        <f t="shared" si="691"/>
        <v>NA</v>
      </c>
      <c r="AE1347" s="3">
        <f t="shared" si="692"/>
        <v>671.99999999999989</v>
      </c>
      <c r="AF1347">
        <v>100</v>
      </c>
      <c r="AG1347" s="1" t="str">
        <f>IFERROR((N1347*P1347*Q1347), "NA")</f>
        <v>NA</v>
      </c>
      <c r="AH1347" s="1" t="str">
        <f>IFERROR((O1347*Q1347*R1347), "NA")</f>
        <v>NA</v>
      </c>
      <c r="AI1347" s="1">
        <v>1</v>
      </c>
      <c r="AJ1347" s="11" t="s">
        <v>31</v>
      </c>
      <c r="AK1347">
        <v>4200</v>
      </c>
      <c r="AL1347" t="s">
        <v>238</v>
      </c>
      <c r="AM1347" t="s">
        <v>86</v>
      </c>
      <c r="AN1347" t="s">
        <v>205</v>
      </c>
      <c r="AO1347" t="s">
        <v>789</v>
      </c>
      <c r="AP1347">
        <v>3.7</v>
      </c>
      <c r="AQ1347" t="s">
        <v>33</v>
      </c>
      <c r="AR1347" t="s">
        <v>33</v>
      </c>
      <c r="AS1347">
        <v>11</v>
      </c>
      <c r="AT1347">
        <f>AS1347-AU1347</f>
        <v>6.52</v>
      </c>
      <c r="AU1347" s="6">
        <v>4.4800000000000004</v>
      </c>
      <c r="AV1347" t="b">
        <v>1</v>
      </c>
      <c r="AW1347" t="s">
        <v>626</v>
      </c>
      <c r="AX1347" t="s">
        <v>627</v>
      </c>
      <c r="AY1347" t="s">
        <v>641</v>
      </c>
      <c r="AZ1347" t="s">
        <v>33</v>
      </c>
      <c r="BA1347" s="18" t="s">
        <v>800</v>
      </c>
      <c r="BB1347" s="3" t="b">
        <v>0</v>
      </c>
      <c r="BC1347" t="s">
        <v>81</v>
      </c>
      <c r="BD1347">
        <v>24</v>
      </c>
      <c r="BE1347" t="s">
        <v>80</v>
      </c>
      <c r="BF1347">
        <v>24</v>
      </c>
      <c r="BG1347" t="s">
        <v>568</v>
      </c>
      <c r="BH1347" t="s">
        <v>31</v>
      </c>
      <c r="BI1347" t="s">
        <v>31</v>
      </c>
      <c r="BJ1347" s="3">
        <f t="shared" si="680"/>
        <v>4.4800000000000004</v>
      </c>
      <c r="BK1347" s="3">
        <f t="shared" si="679"/>
        <v>0.651278013998144</v>
      </c>
      <c r="BL1347">
        <v>2</v>
      </c>
      <c r="BM1347" s="3">
        <f t="shared" si="669"/>
        <v>2.1760912590556813</v>
      </c>
      <c r="BN1347" t="s">
        <v>33</v>
      </c>
      <c r="BO1347" s="3">
        <f t="shared" si="695"/>
        <v>149.99999999999997</v>
      </c>
      <c r="BP1347" t="s">
        <v>33</v>
      </c>
      <c r="BQ1347" t="s">
        <v>33</v>
      </c>
      <c r="BR1347" t="s">
        <v>33</v>
      </c>
      <c r="BS1347" t="s">
        <v>33</v>
      </c>
      <c r="BT1347" t="s">
        <v>31</v>
      </c>
      <c r="BU1347" t="s">
        <v>668</v>
      </c>
      <c r="BV1347" s="14">
        <v>2009</v>
      </c>
      <c r="BW1347" t="s">
        <v>669</v>
      </c>
      <c r="BX1347" t="s">
        <v>78</v>
      </c>
      <c r="BY1347" s="13" t="s">
        <v>689</v>
      </c>
      <c r="CA1347" t="str">
        <f t="shared" ref="CA1347:CA1410" si="696">IF(OR(AN1347="low acidic liquid medium", AN1347="low acidic food product"), "low acid",
    IF(OR(AN1347="high acidic food product", AN1347="high acidic liquid medium"), "high acid", "NA"))</f>
        <v>high acid</v>
      </c>
    </row>
    <row r="1348" spans="1:79">
      <c r="A1348" t="s">
        <v>237</v>
      </c>
      <c r="B1348" t="s">
        <v>565</v>
      </c>
      <c r="C1348" t="s">
        <v>563</v>
      </c>
      <c r="D1348" t="s">
        <v>118</v>
      </c>
      <c r="E1348" t="s">
        <v>77</v>
      </c>
      <c r="F1348" t="s">
        <v>32</v>
      </c>
      <c r="G1348">
        <v>4</v>
      </c>
      <c r="H1348">
        <v>32.5</v>
      </c>
      <c r="I1348" t="b">
        <v>0</v>
      </c>
      <c r="J1348" t="s">
        <v>33</v>
      </c>
      <c r="K1348" t="s">
        <v>33</v>
      </c>
      <c r="L1348">
        <v>30</v>
      </c>
      <c r="M1348" s="4">
        <v>200</v>
      </c>
      <c r="N1348" s="3">
        <f>IFERROR(AF1348/((T1348*X1348/Y1348)*O1348*AI1348),"NA")</f>
        <v>386.37843216368935</v>
      </c>
      <c r="O1348">
        <v>4</v>
      </c>
      <c r="P1348" t="s">
        <v>33</v>
      </c>
      <c r="Q1348" s="9">
        <f t="shared" si="690"/>
        <v>2.3437499999999997E-2</v>
      </c>
      <c r="R1348" t="s">
        <v>183</v>
      </c>
      <c r="S1348" t="s">
        <v>613</v>
      </c>
      <c r="T1348" s="11">
        <v>8</v>
      </c>
      <c r="U1348">
        <v>2.92</v>
      </c>
      <c r="V1348">
        <v>2.2999999999999998</v>
      </c>
      <c r="W1348">
        <v>1.2E-2</v>
      </c>
      <c r="X1348" s="8">
        <f>IFERROR(((PI())*(((V1348*10^-1)/2)^2)*(U1348*10^-1)), "NA")</f>
        <v>1.2131888350367701E-2</v>
      </c>
      <c r="Y1348" s="6">
        <f>60/60</f>
        <v>1</v>
      </c>
      <c r="Z1348" s="3">
        <f t="shared" si="693"/>
        <v>0.5176272362823553</v>
      </c>
      <c r="AA1348" t="s">
        <v>33</v>
      </c>
      <c r="AB1348" s="6">
        <f t="shared" si="694"/>
        <v>4.6874999999999991</v>
      </c>
      <c r="AC1348" t="str">
        <f t="shared" si="691"/>
        <v>NA</v>
      </c>
      <c r="AD1348" s="4">
        <f>AB1348*T1348*AI1348</f>
        <v>37.499999999999993</v>
      </c>
      <c r="AE1348" s="3">
        <f t="shared" si="692"/>
        <v>572.39999999999986</v>
      </c>
      <c r="AF1348">
        <v>150</v>
      </c>
      <c r="AG1348" t="str">
        <f>IFERROR((M1348*O1348*P1348), "NA")</f>
        <v>NA</v>
      </c>
      <c r="AH1348" t="str">
        <f>IFERROR((AG1348*T1348*AI1348), "NA")</f>
        <v>NA</v>
      </c>
      <c r="AI1348">
        <v>1</v>
      </c>
      <c r="AJ1348" t="s">
        <v>31</v>
      </c>
      <c r="AK1348">
        <v>4240</v>
      </c>
      <c r="AL1348" t="s">
        <v>238</v>
      </c>
      <c r="AM1348" t="s">
        <v>86</v>
      </c>
      <c r="AN1348" t="s">
        <v>205</v>
      </c>
      <c r="AO1348" t="s">
        <v>789</v>
      </c>
      <c r="AP1348">
        <v>3.56</v>
      </c>
      <c r="AQ1348" t="s">
        <v>33</v>
      </c>
      <c r="AR1348" t="s">
        <v>33</v>
      </c>
      <c r="AS1348">
        <f>LOG(10^8)</f>
        <v>8</v>
      </c>
      <c r="AT1348" s="3">
        <f>IFERROR(AS1348-AU1348,"NA")</f>
        <v>6.5309999999999997</v>
      </c>
      <c r="AU1348" s="6">
        <v>1.4690000000000001</v>
      </c>
      <c r="AV1348" t="b">
        <v>1</v>
      </c>
      <c r="AW1348" t="s">
        <v>172</v>
      </c>
      <c r="AX1348" t="s">
        <v>173</v>
      </c>
      <c r="AY1348" t="s">
        <v>239</v>
      </c>
      <c r="AZ1348" t="s">
        <v>33</v>
      </c>
      <c r="BA1348" s="18" t="s">
        <v>799</v>
      </c>
      <c r="BB1348" t="b">
        <v>0</v>
      </c>
      <c r="BC1348" t="s">
        <v>81</v>
      </c>
      <c r="BD1348">
        <v>48</v>
      </c>
      <c r="BE1348" t="s">
        <v>80</v>
      </c>
      <c r="BF1348" s="11">
        <v>120</v>
      </c>
      <c r="BG1348" t="s">
        <v>571</v>
      </c>
      <c r="BH1348" t="s">
        <v>31</v>
      </c>
      <c r="BI1348" t="s">
        <v>31</v>
      </c>
      <c r="BJ1348" s="3">
        <f t="shared" si="680"/>
        <v>1.4690000000000001</v>
      </c>
      <c r="BK1348" s="3">
        <f t="shared" si="679"/>
        <v>0.16702179579025653</v>
      </c>
      <c r="BL1348">
        <v>2</v>
      </c>
      <c r="BM1348" s="3">
        <f t="shared" si="669"/>
        <v>2.5906778292974821</v>
      </c>
      <c r="BN1348" t="s">
        <v>33</v>
      </c>
      <c r="BO1348" s="3">
        <f t="shared" si="695"/>
        <v>389.652825051055</v>
      </c>
      <c r="BP1348" t="s">
        <v>33</v>
      </c>
      <c r="BQ1348" t="s">
        <v>33</v>
      </c>
      <c r="BR1348" t="s">
        <v>33</v>
      </c>
      <c r="BS1348" t="s">
        <v>33</v>
      </c>
      <c r="BT1348" t="s">
        <v>31</v>
      </c>
      <c r="BU1348" t="s">
        <v>240</v>
      </c>
      <c r="BV1348">
        <v>2004</v>
      </c>
      <c r="BW1348" t="s">
        <v>241</v>
      </c>
      <c r="BX1348" t="s">
        <v>78</v>
      </c>
      <c r="BY1348" t="s">
        <v>33</v>
      </c>
      <c r="BZ1348" t="s">
        <v>33</v>
      </c>
      <c r="CA1348" t="str">
        <f t="shared" si="696"/>
        <v>high acid</v>
      </c>
    </row>
    <row r="1349" spans="1:79">
      <c r="A1349" t="s">
        <v>398</v>
      </c>
      <c r="B1349" t="s">
        <v>565</v>
      </c>
      <c r="C1349" t="s">
        <v>563</v>
      </c>
      <c r="D1349" t="s">
        <v>118</v>
      </c>
      <c r="E1349" t="s">
        <v>77</v>
      </c>
      <c r="F1349" t="s">
        <v>32</v>
      </c>
      <c r="G1349">
        <v>25</v>
      </c>
      <c r="H1349">
        <v>36</v>
      </c>
      <c r="I1349" t="b">
        <v>0</v>
      </c>
      <c r="J1349" t="s">
        <v>33</v>
      </c>
      <c r="K1349" t="s">
        <v>33</v>
      </c>
      <c r="L1349">
        <v>30</v>
      </c>
      <c r="M1349" s="4">
        <v>200</v>
      </c>
      <c r="N1349" s="3" t="str">
        <f>IFERROR(AF1349/((T1349*X1349/Y1349)*O1349*AI1349),"NA")</f>
        <v>NA</v>
      </c>
      <c r="O1349">
        <v>8</v>
      </c>
      <c r="P1349" t="s">
        <v>33</v>
      </c>
      <c r="Q1349" s="8">
        <f t="shared" si="690"/>
        <v>2.3437500000000003E-2</v>
      </c>
      <c r="R1349" t="s">
        <v>183</v>
      </c>
      <c r="S1349" t="s">
        <v>613</v>
      </c>
      <c r="T1349" s="11">
        <v>8</v>
      </c>
      <c r="U1349">
        <v>2.9</v>
      </c>
      <c r="V1349">
        <v>2.2999999999999998</v>
      </c>
      <c r="W1349">
        <v>1.2E-2</v>
      </c>
      <c r="X1349" s="8">
        <f>IFERROR(((PI())*(((V1349*10^-1)/2)^2)*(U1349*10^-1)), "NA")</f>
        <v>1.204879322468025E-2</v>
      </c>
      <c r="Y1349" t="s">
        <v>33</v>
      </c>
      <c r="Z1349" s="3">
        <f t="shared" si="693"/>
        <v>0.51408184425302395</v>
      </c>
      <c r="AA1349" t="s">
        <v>33</v>
      </c>
      <c r="AB1349" s="6">
        <f t="shared" si="694"/>
        <v>4.6875</v>
      </c>
      <c r="AC1349" t="str">
        <f t="shared" si="691"/>
        <v>NA</v>
      </c>
      <c r="AD1349" s="4">
        <f>AB1349*T1349*AI1349</f>
        <v>37.5</v>
      </c>
      <c r="AE1349" s="3">
        <f t="shared" si="692"/>
        <v>1144.8</v>
      </c>
      <c r="AF1349">
        <v>300</v>
      </c>
      <c r="AG1349" t="str">
        <f>IFERROR((M1349*O1349*P1349), "NA")</f>
        <v>NA</v>
      </c>
      <c r="AH1349" t="str">
        <f>IFERROR((AG1349*T1349*AI1349), "NA")</f>
        <v>NA</v>
      </c>
      <c r="AI1349">
        <v>1</v>
      </c>
      <c r="AJ1349" t="s">
        <v>31</v>
      </c>
      <c r="AK1349">
        <v>4240</v>
      </c>
      <c r="AL1349" t="s">
        <v>238</v>
      </c>
      <c r="AM1349" t="s">
        <v>86</v>
      </c>
      <c r="AN1349" t="s">
        <v>205</v>
      </c>
      <c r="AO1349" t="s">
        <v>789</v>
      </c>
      <c r="AP1349">
        <v>3.56</v>
      </c>
      <c r="AQ1349" t="s">
        <v>33</v>
      </c>
      <c r="AR1349" t="s">
        <v>33</v>
      </c>
      <c r="AS1349" s="6">
        <f>LOG(10^8)</f>
        <v>8</v>
      </c>
      <c r="AT1349" s="3">
        <f>IFERROR(AS1349-AU1349,"NA")</f>
        <v>6.5440000000000005</v>
      </c>
      <c r="AU1349" s="6">
        <v>1.456</v>
      </c>
      <c r="AV1349" t="b">
        <v>1</v>
      </c>
      <c r="AW1349" t="s">
        <v>123</v>
      </c>
      <c r="AX1349" t="s">
        <v>393</v>
      </c>
      <c r="AY1349" t="s">
        <v>394</v>
      </c>
      <c r="AZ1349" t="s">
        <v>33</v>
      </c>
      <c r="BA1349" s="18" t="s">
        <v>579</v>
      </c>
      <c r="BB1349" t="b">
        <v>1</v>
      </c>
      <c r="BC1349" t="s">
        <v>81</v>
      </c>
      <c r="BD1349">
        <v>72</v>
      </c>
      <c r="BE1349" t="s">
        <v>80</v>
      </c>
      <c r="BF1349" s="11">
        <v>72</v>
      </c>
      <c r="BG1349" t="s">
        <v>395</v>
      </c>
      <c r="BH1349" t="s">
        <v>31</v>
      </c>
      <c r="BI1349" t="s">
        <v>31</v>
      </c>
      <c r="BJ1349" s="3">
        <f t="shared" si="680"/>
        <v>1.456</v>
      </c>
      <c r="BK1349" s="3">
        <f t="shared" si="679"/>
        <v>0.16316137497701838</v>
      </c>
      <c r="BL1349">
        <v>2</v>
      </c>
      <c r="BM1349" s="3">
        <f t="shared" si="669"/>
        <v>2.8955682457747014</v>
      </c>
      <c r="BN1349" t="s">
        <v>33</v>
      </c>
      <c r="BO1349" s="3">
        <f t="shared" si="695"/>
        <v>786.26373626373629</v>
      </c>
      <c r="BP1349" t="s">
        <v>33</v>
      </c>
      <c r="BQ1349" t="s">
        <v>33</v>
      </c>
      <c r="BR1349" t="s">
        <v>33</v>
      </c>
      <c r="BS1349" t="s">
        <v>33</v>
      </c>
      <c r="BT1349" t="s">
        <v>31</v>
      </c>
      <c r="BU1349" t="s">
        <v>240</v>
      </c>
      <c r="BV1349">
        <v>2005</v>
      </c>
      <c r="BW1349" t="s">
        <v>396</v>
      </c>
      <c r="BX1349" t="s">
        <v>78</v>
      </c>
      <c r="BY1349" t="s">
        <v>33</v>
      </c>
      <c r="BZ1349" t="s">
        <v>33</v>
      </c>
      <c r="CA1349" t="str">
        <f t="shared" si="696"/>
        <v>high acid</v>
      </c>
    </row>
    <row r="1350" spans="1:79">
      <c r="A1350" t="s">
        <v>698</v>
      </c>
      <c r="B1350" t="s">
        <v>566</v>
      </c>
      <c r="C1350" t="s">
        <v>563</v>
      </c>
      <c r="D1350" t="s">
        <v>699</v>
      </c>
      <c r="E1350" t="s">
        <v>77</v>
      </c>
      <c r="F1350" t="s">
        <v>32</v>
      </c>
      <c r="G1350">
        <v>20</v>
      </c>
      <c r="H1350">
        <v>41</v>
      </c>
      <c r="I1350" t="b">
        <v>1</v>
      </c>
      <c r="J1350" t="s">
        <v>33</v>
      </c>
      <c r="K1350" t="s">
        <v>33</v>
      </c>
      <c r="L1350">
        <v>20</v>
      </c>
      <c r="M1350" s="4">
        <v>30</v>
      </c>
      <c r="N1350" s="3">
        <f>IFERROR(AF1350/((T1350*X1350/Y1350)*O1350*AI1350),"NA")</f>
        <v>29.861111111111104</v>
      </c>
      <c r="O1350">
        <v>5</v>
      </c>
      <c r="P1350">
        <v>0.43</v>
      </c>
      <c r="Q1350" s="8">
        <f>IFERROR(X1350/Y1350, "NA")</f>
        <v>0.43200000000000011</v>
      </c>
      <c r="R1350" t="s">
        <v>183</v>
      </c>
      <c r="S1350" t="s">
        <v>612</v>
      </c>
      <c r="T1350" s="11">
        <v>1</v>
      </c>
      <c r="U1350">
        <v>4</v>
      </c>
      <c r="V1350" t="s">
        <v>33</v>
      </c>
      <c r="W1350">
        <f>0.4*3*0.5</f>
        <v>0.60000000000000009</v>
      </c>
      <c r="X1350" s="9">
        <f t="shared" ref="X1350:X1359" si="697">W1350</f>
        <v>0.60000000000000009</v>
      </c>
      <c r="Y1350" s="6">
        <f>5000/3600</f>
        <v>1.3888888888888888</v>
      </c>
      <c r="Z1350" s="3">
        <f t="shared" si="693"/>
        <v>1.3953488372093026</v>
      </c>
      <c r="AA1350" t="s">
        <v>33</v>
      </c>
      <c r="AB1350" s="4">
        <f>IFERROR(((X1350*M1350)/Y1350), "NA")</f>
        <v>12.960000000000003</v>
      </c>
      <c r="AC1350" s="4">
        <f t="shared" si="691"/>
        <v>12.9</v>
      </c>
      <c r="AD1350" s="4">
        <f>AB1350*T1350*AI1350</f>
        <v>12.960000000000003</v>
      </c>
      <c r="AE1350" s="3">
        <f t="shared" si="692"/>
        <v>51.840000000000011</v>
      </c>
      <c r="AF1350">
        <v>64.5</v>
      </c>
      <c r="AG1350" s="4">
        <f>IFERROR((M1350*O1350*P1350), "NA")</f>
        <v>64.5</v>
      </c>
      <c r="AH1350" s="4">
        <f>IFERROR((AG1350*T1350*AI1350), "NA")</f>
        <v>64.5</v>
      </c>
      <c r="AI1350">
        <v>1</v>
      </c>
      <c r="AJ1350" s="11" t="s">
        <v>31</v>
      </c>
      <c r="AK1350">
        <v>2000</v>
      </c>
      <c r="AL1350" t="s">
        <v>784</v>
      </c>
      <c r="AM1350" t="s">
        <v>103</v>
      </c>
      <c r="AN1350" t="s">
        <v>130</v>
      </c>
      <c r="AO1350" t="s">
        <v>795</v>
      </c>
      <c r="AP1350">
        <v>7</v>
      </c>
      <c r="AQ1350" t="s">
        <v>33</v>
      </c>
      <c r="AR1350" t="s">
        <v>33</v>
      </c>
      <c r="AS1350" s="6">
        <f>LOG(AVERAGE(10^8, 10^9))</f>
        <v>8.7403626894942441</v>
      </c>
      <c r="AT1350" s="3">
        <f>IFERROR(AS1350-AU1350,"NA")</f>
        <v>6.5483626894942439</v>
      </c>
      <c r="AU1350" s="6">
        <v>2.1920000000000002</v>
      </c>
      <c r="AV1350" t="b">
        <v>1</v>
      </c>
      <c r="AW1350" t="s">
        <v>29</v>
      </c>
      <c r="AX1350" t="s">
        <v>30</v>
      </c>
      <c r="AY1350" t="s">
        <v>706</v>
      </c>
      <c r="AZ1350" t="s">
        <v>33</v>
      </c>
      <c r="BA1350" s="18" t="s">
        <v>798</v>
      </c>
      <c r="BB1350" s="3" t="b">
        <v>0</v>
      </c>
      <c r="BC1350" t="s">
        <v>81</v>
      </c>
      <c r="BD1350">
        <v>24</v>
      </c>
      <c r="BE1350" t="s">
        <v>80</v>
      </c>
      <c r="BF1350">
        <v>24</v>
      </c>
      <c r="BG1350" t="s">
        <v>568</v>
      </c>
      <c r="BH1350" t="s">
        <v>31</v>
      </c>
      <c r="BI1350" t="s">
        <v>31</v>
      </c>
      <c r="BJ1350" s="3">
        <f t="shared" si="680"/>
        <v>2.1920000000000002</v>
      </c>
      <c r="BK1350" s="3">
        <f t="shared" si="679"/>
        <v>0.34084054981233158</v>
      </c>
      <c r="BL1350">
        <v>2</v>
      </c>
      <c r="BM1350" s="3">
        <f t="shared" si="669"/>
        <v>1.3738244430502053</v>
      </c>
      <c r="BN1350" t="s">
        <v>33</v>
      </c>
      <c r="BO1350" s="3">
        <f t="shared" si="695"/>
        <v>23.649635036496353</v>
      </c>
      <c r="BP1350" t="s">
        <v>33</v>
      </c>
      <c r="BQ1350" t="s">
        <v>33</v>
      </c>
      <c r="BR1350" t="s">
        <v>33</v>
      </c>
      <c r="BS1350" t="s">
        <v>33</v>
      </c>
      <c r="BT1350" t="s">
        <v>32</v>
      </c>
      <c r="BU1350" t="s">
        <v>709</v>
      </c>
      <c r="BV1350">
        <v>2024</v>
      </c>
      <c r="BW1350" t="s">
        <v>710</v>
      </c>
      <c r="BX1350" t="s">
        <v>78</v>
      </c>
      <c r="BY1350" t="s">
        <v>711</v>
      </c>
      <c r="CA1350" t="str">
        <f t="shared" si="696"/>
        <v>low acid</v>
      </c>
    </row>
    <row r="1351" spans="1:79">
      <c r="A1351" t="s">
        <v>698</v>
      </c>
      <c r="B1351" t="s">
        <v>566</v>
      </c>
      <c r="C1351" t="s">
        <v>563</v>
      </c>
      <c r="D1351" t="s">
        <v>699</v>
      </c>
      <c r="E1351" t="s">
        <v>77</v>
      </c>
      <c r="F1351" t="s">
        <v>32</v>
      </c>
      <c r="G1351">
        <v>20</v>
      </c>
      <c r="H1351">
        <v>42.5</v>
      </c>
      <c r="I1351" t="b">
        <v>1</v>
      </c>
      <c r="J1351" t="s">
        <v>33</v>
      </c>
      <c r="K1351" t="s">
        <v>33</v>
      </c>
      <c r="L1351">
        <v>20</v>
      </c>
      <c r="M1351" s="4">
        <v>47</v>
      </c>
      <c r="N1351" s="3">
        <f>IFERROR(AF1351/((T1351*X1351/Y1351)*O1351*AI1351),"NA")</f>
        <v>46.759259259259245</v>
      </c>
      <c r="O1351">
        <v>5</v>
      </c>
      <c r="P1351">
        <v>0.43</v>
      </c>
      <c r="Q1351" s="8">
        <f>IFERROR(X1351/Y1351, "NA")</f>
        <v>0.43200000000000011</v>
      </c>
      <c r="R1351" t="s">
        <v>183</v>
      </c>
      <c r="S1351" t="s">
        <v>612</v>
      </c>
      <c r="T1351" s="11">
        <v>1</v>
      </c>
      <c r="U1351">
        <v>4</v>
      </c>
      <c r="V1351" t="s">
        <v>33</v>
      </c>
      <c r="W1351">
        <f>0.4*3*0.5</f>
        <v>0.60000000000000009</v>
      </c>
      <c r="X1351" s="9">
        <f t="shared" si="697"/>
        <v>0.60000000000000009</v>
      </c>
      <c r="Y1351" s="6">
        <f>5000/3600</f>
        <v>1.3888888888888888</v>
      </c>
      <c r="Z1351" s="3">
        <f t="shared" si="693"/>
        <v>1.3960396039603959</v>
      </c>
      <c r="AA1351" t="s">
        <v>33</v>
      </c>
      <c r="AB1351" s="4">
        <f>IFERROR(((X1351*M1351)/Y1351), "NA")</f>
        <v>20.304000000000002</v>
      </c>
      <c r="AC1351" s="4">
        <f t="shared" si="691"/>
        <v>20.21</v>
      </c>
      <c r="AD1351" s="4">
        <f>AB1351*T1351*AI1351</f>
        <v>20.304000000000002</v>
      </c>
      <c r="AE1351" s="3">
        <f t="shared" si="692"/>
        <v>81.216000000000022</v>
      </c>
      <c r="AF1351">
        <v>101</v>
      </c>
      <c r="AG1351" s="4">
        <f>IFERROR((M1351*O1351*P1351), "NA")</f>
        <v>101.05</v>
      </c>
      <c r="AH1351" s="4">
        <f>IFERROR((AG1351*T1351*AI1351), "NA")</f>
        <v>101.05</v>
      </c>
      <c r="AI1351">
        <v>1</v>
      </c>
      <c r="AJ1351" s="11" t="s">
        <v>31</v>
      </c>
      <c r="AK1351">
        <v>2000</v>
      </c>
      <c r="AL1351" t="s">
        <v>784</v>
      </c>
      <c r="AM1351" t="s">
        <v>103</v>
      </c>
      <c r="AN1351" t="s">
        <v>130</v>
      </c>
      <c r="AO1351" t="s">
        <v>795</v>
      </c>
      <c r="AP1351">
        <v>7</v>
      </c>
      <c r="AQ1351" t="s">
        <v>33</v>
      </c>
      <c r="AR1351" t="s">
        <v>33</v>
      </c>
      <c r="AS1351" s="6">
        <f>LOG(AVERAGE(10^8, 10^9))</f>
        <v>8.7403626894942441</v>
      </c>
      <c r="AT1351" s="3">
        <f>IFERROR(AS1351-AU1351,"NA")</f>
        <v>6.5483626894942439</v>
      </c>
      <c r="AU1351" s="6">
        <v>2.1920000000000002</v>
      </c>
      <c r="AV1351" t="b">
        <v>1</v>
      </c>
      <c r="AW1351" t="s">
        <v>29</v>
      </c>
      <c r="AX1351" t="s">
        <v>30</v>
      </c>
      <c r="AY1351" t="s">
        <v>708</v>
      </c>
      <c r="AZ1351" t="s">
        <v>33</v>
      </c>
      <c r="BA1351" s="18" t="s">
        <v>798</v>
      </c>
      <c r="BB1351" s="3" t="b">
        <v>0</v>
      </c>
      <c r="BC1351" t="s">
        <v>81</v>
      </c>
      <c r="BD1351">
        <v>24</v>
      </c>
      <c r="BE1351" t="s">
        <v>80</v>
      </c>
      <c r="BF1351">
        <v>24</v>
      </c>
      <c r="BG1351" t="s">
        <v>568</v>
      </c>
      <c r="BH1351" t="s">
        <v>31</v>
      </c>
      <c r="BI1351" t="s">
        <v>31</v>
      </c>
      <c r="BJ1351" s="3">
        <f t="shared" si="680"/>
        <v>2.1920000000000002</v>
      </c>
      <c r="BK1351" s="3">
        <f t="shared" si="679"/>
        <v>0.34084054981233158</v>
      </c>
      <c r="BL1351">
        <v>2</v>
      </c>
      <c r="BM1351" s="3">
        <f t="shared" si="669"/>
        <v>1.5688010462662605</v>
      </c>
      <c r="BN1351" t="s">
        <v>33</v>
      </c>
      <c r="BO1351" s="3">
        <f t="shared" si="695"/>
        <v>37.051094890510953</v>
      </c>
      <c r="BP1351" t="s">
        <v>33</v>
      </c>
      <c r="BQ1351" t="s">
        <v>33</v>
      </c>
      <c r="BR1351" t="s">
        <v>33</v>
      </c>
      <c r="BS1351" t="s">
        <v>33</v>
      </c>
      <c r="BT1351" t="s">
        <v>32</v>
      </c>
      <c r="BU1351" t="s">
        <v>709</v>
      </c>
      <c r="BV1351">
        <v>2024</v>
      </c>
      <c r="BW1351" t="s">
        <v>710</v>
      </c>
      <c r="BX1351" t="s">
        <v>78</v>
      </c>
      <c r="BY1351" t="s">
        <v>711</v>
      </c>
      <c r="CA1351" t="str">
        <f t="shared" si="696"/>
        <v>low acid</v>
      </c>
    </row>
    <row r="1352" spans="1:79">
      <c r="A1352" t="s">
        <v>583</v>
      </c>
      <c r="B1352" t="s">
        <v>566</v>
      </c>
      <c r="C1352" t="s">
        <v>563</v>
      </c>
      <c r="D1352" t="s">
        <v>33</v>
      </c>
      <c r="E1352" t="s">
        <v>77</v>
      </c>
      <c r="F1352" t="s">
        <v>32</v>
      </c>
      <c r="G1352" t="s">
        <v>33</v>
      </c>
      <c r="H1352">
        <v>20</v>
      </c>
      <c r="I1352" t="b">
        <v>1</v>
      </c>
      <c r="J1352" t="s">
        <v>33</v>
      </c>
      <c r="K1352" t="s">
        <v>33</v>
      </c>
      <c r="L1352">
        <v>30</v>
      </c>
      <c r="M1352" s="4">
        <v>2</v>
      </c>
      <c r="N1352" t="e">
        <f>(#REF!*Y1352)/(T1352*X1352*O1352)</f>
        <v>#REF!</v>
      </c>
      <c r="O1352">
        <v>2</v>
      </c>
      <c r="P1352" t="s">
        <v>33</v>
      </c>
      <c r="Q1352" s="1">
        <f>IFERROR(X1352/Z1352, "NA")</f>
        <v>30</v>
      </c>
      <c r="R1352" t="s">
        <v>183</v>
      </c>
      <c r="S1352" t="s">
        <v>613</v>
      </c>
      <c r="T1352">
        <v>1</v>
      </c>
      <c r="U1352">
        <v>5</v>
      </c>
      <c r="V1352" t="s">
        <v>33</v>
      </c>
      <c r="W1352">
        <v>0.71</v>
      </c>
      <c r="X1352">
        <f t="shared" si="697"/>
        <v>0.71</v>
      </c>
      <c r="Y1352">
        <v>0.1</v>
      </c>
      <c r="Z1352" s="3">
        <f t="shared" si="693"/>
        <v>2.3666666666666666E-2</v>
      </c>
      <c r="AA1352" t="s">
        <v>33</v>
      </c>
      <c r="AB1352">
        <f>IFERROR(((X1352*M1352)/Z1352), "NA")</f>
        <v>60</v>
      </c>
      <c r="AC1352" s="1" t="str">
        <f t="shared" si="691"/>
        <v>NA</v>
      </c>
      <c r="AE1352" s="3">
        <f t="shared" si="692"/>
        <v>507.59999999999997</v>
      </c>
      <c r="AF1352">
        <v>120</v>
      </c>
      <c r="AG1352" s="1" t="str">
        <f>IFERROR((N1352*P1352*Q1352), "NA")</f>
        <v>NA</v>
      </c>
      <c r="AH1352" s="1" t="str">
        <f>IFERROR((AG1352*U1352*AI1352), "NA")</f>
        <v>NA</v>
      </c>
      <c r="AI1352" s="1">
        <v>1</v>
      </c>
      <c r="AJ1352" s="11" t="s">
        <v>31</v>
      </c>
      <c r="AK1352">
        <v>4700</v>
      </c>
      <c r="AL1352" t="s">
        <v>562</v>
      </c>
      <c r="AM1352" s="3" t="s">
        <v>786</v>
      </c>
      <c r="AN1352" t="s">
        <v>186</v>
      </c>
      <c r="AO1352" t="s">
        <v>793</v>
      </c>
      <c r="AP1352" t="s">
        <v>33</v>
      </c>
      <c r="AQ1352" t="s">
        <v>33</v>
      </c>
      <c r="AR1352" t="s">
        <v>33</v>
      </c>
      <c r="AS1352">
        <v>8</v>
      </c>
      <c r="AT1352">
        <f>AS1352-AU1352</f>
        <v>6.55</v>
      </c>
      <c r="AU1352" s="6">
        <v>1.45</v>
      </c>
      <c r="AV1352" t="b">
        <v>1</v>
      </c>
      <c r="AW1352" t="s">
        <v>617</v>
      </c>
      <c r="AX1352" t="s">
        <v>33</v>
      </c>
      <c r="AY1352" t="s">
        <v>622</v>
      </c>
      <c r="AZ1352" t="s">
        <v>619</v>
      </c>
      <c r="BA1352" s="18" t="s">
        <v>802</v>
      </c>
      <c r="BB1352" s="3" t="b">
        <v>0</v>
      </c>
      <c r="BC1352" t="s">
        <v>81</v>
      </c>
      <c r="BD1352">
        <v>18</v>
      </c>
      <c r="BE1352" t="s">
        <v>80</v>
      </c>
      <c r="BF1352">
        <v>24</v>
      </c>
      <c r="BG1352" t="s">
        <v>696</v>
      </c>
      <c r="BH1352" t="s">
        <v>32</v>
      </c>
      <c r="BI1352" t="s">
        <v>31</v>
      </c>
      <c r="BJ1352">
        <f t="shared" si="680"/>
        <v>1.45</v>
      </c>
      <c r="BK1352" s="3">
        <f t="shared" si="679"/>
        <v>0.16136800223497488</v>
      </c>
      <c r="BL1352">
        <v>2</v>
      </c>
      <c r="BM1352" s="3">
        <f t="shared" si="669"/>
        <v>2.5441536111876921</v>
      </c>
      <c r="BN1352" t="s">
        <v>33</v>
      </c>
      <c r="BO1352" s="3">
        <f t="shared" si="695"/>
        <v>350.06896551724134</v>
      </c>
      <c r="BP1352" t="s">
        <v>33</v>
      </c>
      <c r="BQ1352" t="s">
        <v>33</v>
      </c>
      <c r="BR1352" t="s">
        <v>33</v>
      </c>
      <c r="BS1352" t="s">
        <v>33</v>
      </c>
      <c r="BT1352" t="s">
        <v>31</v>
      </c>
      <c r="BU1352" t="s">
        <v>338</v>
      </c>
      <c r="BV1352">
        <v>2005</v>
      </c>
      <c r="BW1352" t="s">
        <v>342</v>
      </c>
      <c r="BX1352" t="s">
        <v>78</v>
      </c>
      <c r="BY1352" s="13" t="s">
        <v>673</v>
      </c>
      <c r="CA1352" t="str">
        <f t="shared" si="696"/>
        <v>low acid</v>
      </c>
    </row>
    <row r="1353" spans="1:79">
      <c r="A1353" t="s">
        <v>589</v>
      </c>
      <c r="B1353" t="s">
        <v>566</v>
      </c>
      <c r="C1353" t="s">
        <v>563</v>
      </c>
      <c r="D1353" t="s">
        <v>33</v>
      </c>
      <c r="E1353" t="s">
        <v>77</v>
      </c>
      <c r="F1353" t="s">
        <v>33</v>
      </c>
      <c r="G1353" t="s">
        <v>33</v>
      </c>
      <c r="H1353">
        <v>35</v>
      </c>
      <c r="I1353" t="b">
        <v>0</v>
      </c>
      <c r="J1353" t="s">
        <v>33</v>
      </c>
      <c r="K1353" t="s">
        <v>33</v>
      </c>
      <c r="L1353">
        <v>15</v>
      </c>
      <c r="M1353" s="4">
        <v>1</v>
      </c>
      <c r="N1353" t="e">
        <f>(#REF!*Y1353)/(T1353*X1353*O1353)</f>
        <v>#REF!</v>
      </c>
      <c r="O1353">
        <v>2</v>
      </c>
      <c r="P1353" t="s">
        <v>33</v>
      </c>
      <c r="Q1353" s="1">
        <f>IFERROR(X1353/Z1353, "NA")</f>
        <v>44.95</v>
      </c>
      <c r="R1353" t="s">
        <v>183</v>
      </c>
      <c r="S1353" t="s">
        <v>613</v>
      </c>
      <c r="T1353">
        <v>1</v>
      </c>
      <c r="U1353">
        <v>2.5</v>
      </c>
      <c r="V1353" t="s">
        <v>33</v>
      </c>
      <c r="W1353">
        <v>0.50249999999999995</v>
      </c>
      <c r="X1353">
        <f t="shared" si="697"/>
        <v>0.50249999999999995</v>
      </c>
      <c r="Y1353" t="s">
        <v>33</v>
      </c>
      <c r="Z1353" s="3">
        <f t="shared" si="693"/>
        <v>1.1179087875417128E-2</v>
      </c>
      <c r="AA1353" t="s">
        <v>33</v>
      </c>
      <c r="AB1353">
        <f>IFERROR(((X1353*M1353)/Z1353), "NA")</f>
        <v>44.95</v>
      </c>
      <c r="AC1353" s="1" t="str">
        <f t="shared" si="691"/>
        <v>NA</v>
      </c>
      <c r="AE1353" s="3">
        <f>IFERROR(((L1353^2)*M1353*O1353*AK1353*10^-6*Q1353*T1353*AI1353), "NA")</f>
        <v>40.454999999999998</v>
      </c>
      <c r="AF1353">
        <v>89.9</v>
      </c>
      <c r="AG1353" s="1" t="str">
        <f>IFERROR((N1353*P1353*Q1353), "NA")</f>
        <v>NA</v>
      </c>
      <c r="AH1353" s="1" t="str">
        <f>IFERROR((AG1353*U1353*AI1353), "NA")</f>
        <v>NA</v>
      </c>
      <c r="AI1353" s="1">
        <v>1</v>
      </c>
      <c r="AJ1353" s="11" t="s">
        <v>31</v>
      </c>
      <c r="AK1353">
        <v>2000</v>
      </c>
      <c r="AL1353" t="s">
        <v>616</v>
      </c>
      <c r="AM1353" s="3" t="s">
        <v>103</v>
      </c>
      <c r="AN1353" t="s">
        <v>130</v>
      </c>
      <c r="AO1353" t="s">
        <v>795</v>
      </c>
      <c r="AP1353">
        <v>7</v>
      </c>
      <c r="AQ1353" t="s">
        <v>33</v>
      </c>
      <c r="AR1353" t="s">
        <v>33</v>
      </c>
      <c r="AS1353">
        <v>9</v>
      </c>
      <c r="AT1353">
        <f>AS1353-AU1353</f>
        <v>6.55</v>
      </c>
      <c r="AU1353" s="6">
        <v>2.4500000000000002</v>
      </c>
      <c r="AV1353" t="b">
        <v>1</v>
      </c>
      <c r="AW1353" t="s">
        <v>617</v>
      </c>
      <c r="AX1353" t="s">
        <v>33</v>
      </c>
      <c r="AY1353" t="s">
        <v>628</v>
      </c>
      <c r="AZ1353" t="s">
        <v>619</v>
      </c>
      <c r="BA1353" s="18" t="s">
        <v>802</v>
      </c>
      <c r="BB1353" s="3" t="b">
        <v>0</v>
      </c>
      <c r="BC1353" t="s">
        <v>81</v>
      </c>
      <c r="BD1353">
        <v>24</v>
      </c>
      <c r="BE1353" t="s">
        <v>80</v>
      </c>
      <c r="BF1353">
        <v>24</v>
      </c>
      <c r="BG1353" t="s">
        <v>644</v>
      </c>
      <c r="BH1353" t="s">
        <v>31</v>
      </c>
      <c r="BI1353" t="s">
        <v>31</v>
      </c>
      <c r="BJ1353">
        <f t="shared" si="680"/>
        <v>2.4500000000000002</v>
      </c>
      <c r="BK1353" s="3">
        <f t="shared" si="679"/>
        <v>0.38916608436453248</v>
      </c>
      <c r="BL1353">
        <v>2</v>
      </c>
      <c r="BM1353" s="3">
        <f t="shared" si="669"/>
        <v>1.2178061211440399</v>
      </c>
      <c r="BN1353" t="s">
        <v>33</v>
      </c>
      <c r="BO1353" s="3">
        <f t="shared" si="695"/>
        <v>16.512244897959182</v>
      </c>
      <c r="BP1353" t="s">
        <v>33</v>
      </c>
      <c r="BQ1353" t="s">
        <v>33</v>
      </c>
      <c r="BR1353" t="s">
        <v>33</v>
      </c>
      <c r="BS1353" t="s">
        <v>33</v>
      </c>
      <c r="BT1353" t="s">
        <v>31</v>
      </c>
      <c r="BU1353" s="15" t="s">
        <v>655</v>
      </c>
      <c r="BV1353">
        <v>2003</v>
      </c>
      <c r="BW1353" t="s">
        <v>656</v>
      </c>
      <c r="BX1353" t="s">
        <v>78</v>
      </c>
      <c r="BY1353" s="13" t="s">
        <v>677</v>
      </c>
      <c r="CA1353" t="str">
        <f t="shared" si="696"/>
        <v>low acid</v>
      </c>
    </row>
    <row r="1354" spans="1:79">
      <c r="A1354" t="s">
        <v>589</v>
      </c>
      <c r="B1354" t="s">
        <v>566</v>
      </c>
      <c r="C1354" t="s">
        <v>563</v>
      </c>
      <c r="D1354" t="s">
        <v>33</v>
      </c>
      <c r="E1354" t="s">
        <v>77</v>
      </c>
      <c r="F1354" t="s">
        <v>33</v>
      </c>
      <c r="G1354" t="s">
        <v>33</v>
      </c>
      <c r="H1354">
        <v>35</v>
      </c>
      <c r="I1354" t="b">
        <v>0</v>
      </c>
      <c r="J1354" t="s">
        <v>33</v>
      </c>
      <c r="K1354" t="s">
        <v>33</v>
      </c>
      <c r="L1354">
        <v>19</v>
      </c>
      <c r="M1354" s="4">
        <v>1</v>
      </c>
      <c r="N1354" t="e">
        <f>(#REF!*Y1354)/(T1354*X1354*O1354)</f>
        <v>#REF!</v>
      </c>
      <c r="O1354">
        <v>2</v>
      </c>
      <c r="P1354" t="s">
        <v>33</v>
      </c>
      <c r="Q1354" s="1">
        <f>IFERROR(X1354/Z1354, "NA")</f>
        <v>15.3</v>
      </c>
      <c r="R1354" t="s">
        <v>183</v>
      </c>
      <c r="S1354" t="s">
        <v>613</v>
      </c>
      <c r="T1354">
        <v>1</v>
      </c>
      <c r="U1354">
        <v>2.5</v>
      </c>
      <c r="V1354" t="s">
        <v>33</v>
      </c>
      <c r="W1354">
        <v>0.50249999999999995</v>
      </c>
      <c r="X1354">
        <f t="shared" si="697"/>
        <v>0.50249999999999995</v>
      </c>
      <c r="Y1354" t="s">
        <v>33</v>
      </c>
      <c r="Z1354" s="3">
        <f t="shared" si="693"/>
        <v>3.2843137254901955E-2</v>
      </c>
      <c r="AA1354" t="s">
        <v>33</v>
      </c>
      <c r="AB1354">
        <f>IFERROR(((X1354*M1354)/Z1354), "NA")</f>
        <v>15.3</v>
      </c>
      <c r="AC1354" s="1" t="str">
        <f t="shared" si="691"/>
        <v>NA</v>
      </c>
      <c r="AE1354" s="3">
        <f t="shared" si="692"/>
        <v>22.0932</v>
      </c>
      <c r="AF1354">
        <v>30.6</v>
      </c>
      <c r="AG1354" s="1" t="str">
        <f>IFERROR((N1354*P1354*Q1354), "NA")</f>
        <v>NA</v>
      </c>
      <c r="AH1354" s="1" t="str">
        <f>IFERROR((AG1354*U1354*AI1354), "NA")</f>
        <v>NA</v>
      </c>
      <c r="AI1354" s="1">
        <v>1</v>
      </c>
      <c r="AJ1354" s="11" t="s">
        <v>31</v>
      </c>
      <c r="AK1354">
        <v>2000</v>
      </c>
      <c r="AL1354" t="s">
        <v>616</v>
      </c>
      <c r="AM1354" s="3" t="s">
        <v>103</v>
      </c>
      <c r="AN1354" t="s">
        <v>130</v>
      </c>
      <c r="AO1354" t="s">
        <v>795</v>
      </c>
      <c r="AP1354">
        <v>7</v>
      </c>
      <c r="AQ1354" t="s">
        <v>33</v>
      </c>
      <c r="AR1354" t="s">
        <v>33</v>
      </c>
      <c r="AS1354">
        <v>9</v>
      </c>
      <c r="AT1354">
        <f>AS1354-AU1354</f>
        <v>6.55</v>
      </c>
      <c r="AU1354" s="6">
        <v>2.4500000000000002</v>
      </c>
      <c r="AV1354" t="b">
        <v>1</v>
      </c>
      <c r="AW1354" t="s">
        <v>617</v>
      </c>
      <c r="AX1354" t="s">
        <v>33</v>
      </c>
      <c r="AY1354" t="s">
        <v>628</v>
      </c>
      <c r="AZ1354" t="s">
        <v>619</v>
      </c>
      <c r="BA1354" s="18" t="s">
        <v>802</v>
      </c>
      <c r="BB1354" s="3" t="b">
        <v>0</v>
      </c>
      <c r="BC1354" t="s">
        <v>81</v>
      </c>
      <c r="BD1354">
        <v>24</v>
      </c>
      <c r="BE1354" t="s">
        <v>80</v>
      </c>
      <c r="BF1354">
        <v>24</v>
      </c>
      <c r="BG1354" t="s">
        <v>644</v>
      </c>
      <c r="BH1354" t="s">
        <v>31</v>
      </c>
      <c r="BI1354" t="s">
        <v>31</v>
      </c>
      <c r="BJ1354">
        <f t="shared" si="680"/>
        <v>2.4500000000000002</v>
      </c>
      <c r="BK1354" s="3">
        <f t="shared" si="679"/>
        <v>0.38916608436453248</v>
      </c>
      <c r="BL1354">
        <v>2</v>
      </c>
      <c r="BM1354" s="3">
        <f t="shared" si="669"/>
        <v>0.95509253968668661</v>
      </c>
      <c r="BN1354" t="s">
        <v>33</v>
      </c>
      <c r="BO1354" s="3">
        <f t="shared" si="695"/>
        <v>9.0176326530612236</v>
      </c>
      <c r="BP1354" t="s">
        <v>33</v>
      </c>
      <c r="BQ1354" t="s">
        <v>33</v>
      </c>
      <c r="BR1354" t="s">
        <v>33</v>
      </c>
      <c r="BS1354" t="s">
        <v>33</v>
      </c>
      <c r="BT1354" t="s">
        <v>31</v>
      </c>
      <c r="BU1354" s="15" t="s">
        <v>655</v>
      </c>
      <c r="BV1354">
        <v>2003</v>
      </c>
      <c r="BW1354" t="s">
        <v>656</v>
      </c>
      <c r="BX1354" t="s">
        <v>78</v>
      </c>
      <c r="BY1354" s="13" t="s">
        <v>677</v>
      </c>
      <c r="CA1354" t="str">
        <f t="shared" si="696"/>
        <v>low acid</v>
      </c>
    </row>
    <row r="1355" spans="1:79">
      <c r="A1355" t="s">
        <v>582</v>
      </c>
      <c r="B1355" t="s">
        <v>566</v>
      </c>
      <c r="C1355" t="s">
        <v>563</v>
      </c>
      <c r="D1355" t="s">
        <v>606</v>
      </c>
      <c r="E1355" t="s">
        <v>77</v>
      </c>
      <c r="F1355" t="s">
        <v>32</v>
      </c>
      <c r="G1355">
        <v>25</v>
      </c>
      <c r="H1355" t="s">
        <v>33</v>
      </c>
      <c r="I1355" t="b">
        <v>0</v>
      </c>
      <c r="J1355" t="s">
        <v>33</v>
      </c>
      <c r="K1355" t="s">
        <v>33</v>
      </c>
      <c r="L1355">
        <v>25</v>
      </c>
      <c r="M1355" s="4">
        <v>1000</v>
      </c>
      <c r="N1355" t="e">
        <f>(#REF!*Y1355)/(T1355*X1355*O1355)</f>
        <v>#REF!</v>
      </c>
      <c r="O1355">
        <v>40</v>
      </c>
      <c r="P1355" t="s">
        <v>33</v>
      </c>
      <c r="Q1355" s="1">
        <f>IFERROR(X1355/Z1355, "NA")</f>
        <v>3.0000000000000002E-2</v>
      </c>
      <c r="R1355" t="s">
        <v>183</v>
      </c>
      <c r="S1355" t="s">
        <v>613</v>
      </c>
      <c r="T1355">
        <v>1</v>
      </c>
      <c r="U1355">
        <v>3</v>
      </c>
      <c r="V1355" t="s">
        <v>33</v>
      </c>
      <c r="W1355">
        <v>0.02</v>
      </c>
      <c r="X1355">
        <f t="shared" si="697"/>
        <v>0.02</v>
      </c>
      <c r="Y1355">
        <v>0.66666700000000001</v>
      </c>
      <c r="Z1355" s="3">
        <f t="shared" si="693"/>
        <v>0.66666666666666663</v>
      </c>
      <c r="AA1355" t="s">
        <v>33</v>
      </c>
      <c r="AB1355">
        <f>IFERROR(((X1355*M1355)/Z1355), "NA")</f>
        <v>30</v>
      </c>
      <c r="AC1355" s="1" t="str">
        <f t="shared" si="691"/>
        <v>NA</v>
      </c>
      <c r="AE1355" s="3">
        <f t="shared" si="692"/>
        <v>135</v>
      </c>
      <c r="AF1355">
        <v>1200</v>
      </c>
      <c r="AG1355" s="1" t="str">
        <f>IFERROR((N1355*P1355*Q1355), "NA")</f>
        <v>NA</v>
      </c>
      <c r="AH1355" s="1" t="str">
        <f>IFERROR((AG1355*U1355*AI1355), "NA")</f>
        <v>NA</v>
      </c>
      <c r="AI1355" s="1">
        <v>1</v>
      </c>
      <c r="AJ1355" s="11" t="s">
        <v>31</v>
      </c>
      <c r="AK1355">
        <v>180</v>
      </c>
      <c r="AL1355" t="s">
        <v>614</v>
      </c>
      <c r="AM1355" s="3" t="s">
        <v>103</v>
      </c>
      <c r="AN1355" t="s">
        <v>130</v>
      </c>
      <c r="AO1355" t="s">
        <v>795</v>
      </c>
      <c r="AP1355">
        <v>6.9</v>
      </c>
      <c r="AQ1355" t="s">
        <v>33</v>
      </c>
      <c r="AR1355" t="s">
        <v>33</v>
      </c>
      <c r="AS1355">
        <v>9</v>
      </c>
      <c r="AT1355">
        <f>AS1355-AU1355</f>
        <v>6.55</v>
      </c>
      <c r="AU1355" s="6">
        <v>2.4500000000000002</v>
      </c>
      <c r="AV1355" t="b">
        <v>1</v>
      </c>
      <c r="AW1355" t="s">
        <v>617</v>
      </c>
      <c r="AX1355" t="s">
        <v>33</v>
      </c>
      <c r="AY1355" t="s">
        <v>620</v>
      </c>
      <c r="AZ1355" t="s">
        <v>621</v>
      </c>
      <c r="BA1355" s="18" t="s">
        <v>802</v>
      </c>
      <c r="BB1355" s="3" t="b">
        <v>0</v>
      </c>
      <c r="BC1355" t="s">
        <v>81</v>
      </c>
      <c r="BD1355">
        <v>48</v>
      </c>
      <c r="BE1355" t="s">
        <v>80</v>
      </c>
      <c r="BF1355">
        <v>48</v>
      </c>
      <c r="BG1355" t="s">
        <v>569</v>
      </c>
      <c r="BH1355" t="s">
        <v>31</v>
      </c>
      <c r="BI1355" t="s">
        <v>31</v>
      </c>
      <c r="BJ1355">
        <f t="shared" si="680"/>
        <v>2.4500000000000002</v>
      </c>
      <c r="BK1355" s="3">
        <f t="shared" si="679"/>
        <v>0.38916608436453248</v>
      </c>
      <c r="BL1355">
        <v>2</v>
      </c>
      <c r="BM1355" s="3">
        <f t="shared" si="669"/>
        <v>1.7411676841304737</v>
      </c>
      <c r="BN1355" t="s">
        <v>33</v>
      </c>
      <c r="BO1355" s="3">
        <f t="shared" si="695"/>
        <v>55.102040816326529</v>
      </c>
      <c r="BP1355" t="s">
        <v>33</v>
      </c>
      <c r="BQ1355" t="s">
        <v>33</v>
      </c>
      <c r="BR1355" t="s">
        <v>33</v>
      </c>
      <c r="BS1355" t="s">
        <v>33</v>
      </c>
      <c r="BT1355" t="s">
        <v>32</v>
      </c>
      <c r="BU1355" t="s">
        <v>649</v>
      </c>
      <c r="BV1355" s="14">
        <v>2016</v>
      </c>
      <c r="BW1355" t="s">
        <v>650</v>
      </c>
      <c r="BX1355" t="s">
        <v>78</v>
      </c>
      <c r="BY1355" s="13" t="s">
        <v>672</v>
      </c>
      <c r="CA1355" t="str">
        <f t="shared" si="696"/>
        <v>low acid</v>
      </c>
    </row>
    <row r="1356" spans="1:79">
      <c r="A1356" t="s">
        <v>722</v>
      </c>
      <c r="B1356" t="s">
        <v>566</v>
      </c>
      <c r="C1356" t="s">
        <v>563</v>
      </c>
      <c r="D1356" t="s">
        <v>699</v>
      </c>
      <c r="E1356" t="s">
        <v>77</v>
      </c>
      <c r="F1356" t="s">
        <v>32</v>
      </c>
      <c r="G1356">
        <v>20</v>
      </c>
      <c r="H1356">
        <v>42.5</v>
      </c>
      <c r="I1356" t="b">
        <v>1</v>
      </c>
      <c r="J1356" t="s">
        <v>33</v>
      </c>
      <c r="K1356" t="s">
        <v>33</v>
      </c>
      <c r="L1356">
        <v>20</v>
      </c>
      <c r="M1356" s="4">
        <v>47</v>
      </c>
      <c r="N1356" s="3">
        <f>IFERROR(AF1356/((T1356*X1356/Y1356)*O1356*AI1356),"NA")</f>
        <v>46.759259259259245</v>
      </c>
      <c r="O1356">
        <v>5</v>
      </c>
      <c r="P1356">
        <v>0.43</v>
      </c>
      <c r="Q1356" s="8">
        <f>IFERROR(X1356/Y1356, "NA")</f>
        <v>0.43200000000000011</v>
      </c>
      <c r="R1356" t="s">
        <v>183</v>
      </c>
      <c r="S1356" t="s">
        <v>612</v>
      </c>
      <c r="T1356" s="11">
        <v>1</v>
      </c>
      <c r="U1356">
        <v>4</v>
      </c>
      <c r="V1356" t="s">
        <v>33</v>
      </c>
      <c r="W1356">
        <f>0.4*3*0.5</f>
        <v>0.60000000000000009</v>
      </c>
      <c r="X1356" s="9">
        <f t="shared" si="697"/>
        <v>0.60000000000000009</v>
      </c>
      <c r="Y1356" s="6">
        <f>5000/3600</f>
        <v>1.3888888888888888</v>
      </c>
      <c r="Z1356" s="3">
        <f t="shared" si="693"/>
        <v>1.3960396039603959</v>
      </c>
      <c r="AA1356" t="s">
        <v>33</v>
      </c>
      <c r="AB1356" s="4">
        <f>IFERROR(((X1356*M1356)/Y1356), "NA")</f>
        <v>20.304000000000002</v>
      </c>
      <c r="AC1356" s="4">
        <f t="shared" si="691"/>
        <v>20.21</v>
      </c>
      <c r="AD1356" s="4">
        <f>AB1356*T1356*AI1356</f>
        <v>20.304000000000002</v>
      </c>
      <c r="AE1356" s="3">
        <f t="shared" si="692"/>
        <v>81.216000000000022</v>
      </c>
      <c r="AF1356">
        <v>101</v>
      </c>
      <c r="AG1356" s="4">
        <f>IFERROR((M1356*O1356*P1356), "NA")</f>
        <v>101.05</v>
      </c>
      <c r="AH1356" s="4">
        <f>IFERROR((AG1356*T1356*AI1356), "NA")</f>
        <v>101.05</v>
      </c>
      <c r="AI1356">
        <v>1</v>
      </c>
      <c r="AJ1356" s="11" t="s">
        <v>31</v>
      </c>
      <c r="AK1356">
        <v>2000</v>
      </c>
      <c r="AL1356" t="s">
        <v>784</v>
      </c>
      <c r="AM1356" t="s">
        <v>103</v>
      </c>
      <c r="AN1356" t="s">
        <v>130</v>
      </c>
      <c r="AO1356" t="s">
        <v>795</v>
      </c>
      <c r="AP1356">
        <v>7</v>
      </c>
      <c r="AQ1356" t="s">
        <v>33</v>
      </c>
      <c r="AR1356" t="s">
        <v>33</v>
      </c>
      <c r="AS1356" s="6">
        <f>LOG(AVERAGE(10^8, 10^9))</f>
        <v>8.7403626894942441</v>
      </c>
      <c r="AT1356" s="3">
        <f>IFERROR(AS1356-AU1356,"NA")</f>
        <v>6.5533626894942447</v>
      </c>
      <c r="AU1356" s="6">
        <v>2.1869999999999998</v>
      </c>
      <c r="AV1356" t="b">
        <v>1</v>
      </c>
      <c r="AW1356" t="s">
        <v>123</v>
      </c>
      <c r="AX1356" t="s">
        <v>88</v>
      </c>
      <c r="AY1356" t="s">
        <v>731</v>
      </c>
      <c r="AZ1356" t="s">
        <v>33</v>
      </c>
      <c r="BA1356" s="18" t="s">
        <v>579</v>
      </c>
      <c r="BB1356" s="3" t="b">
        <v>1</v>
      </c>
      <c r="BC1356" t="s">
        <v>81</v>
      </c>
      <c r="BD1356">
        <v>24</v>
      </c>
      <c r="BE1356" t="s">
        <v>80</v>
      </c>
      <c r="BF1356">
        <v>48</v>
      </c>
      <c r="BG1356" t="s">
        <v>395</v>
      </c>
      <c r="BH1356" t="s">
        <v>31</v>
      </c>
      <c r="BI1356" t="s">
        <v>31</v>
      </c>
      <c r="BJ1356" s="3">
        <f t="shared" si="680"/>
        <v>2.1869999999999998</v>
      </c>
      <c r="BK1356" s="3">
        <f t="shared" si="679"/>
        <v>0.33984878303763705</v>
      </c>
      <c r="BL1356">
        <v>2</v>
      </c>
      <c r="BM1356" s="3">
        <f t="shared" si="669"/>
        <v>1.5697928130409551</v>
      </c>
      <c r="BN1356" t="s">
        <v>33</v>
      </c>
      <c r="BO1356" s="3">
        <f t="shared" si="695"/>
        <v>37.135802469135818</v>
      </c>
      <c r="BP1356" t="s">
        <v>33</v>
      </c>
      <c r="BQ1356" t="s">
        <v>33</v>
      </c>
      <c r="BR1356" t="s">
        <v>33</v>
      </c>
      <c r="BS1356" t="s">
        <v>33</v>
      </c>
      <c r="BT1356" t="s">
        <v>32</v>
      </c>
      <c r="BU1356" t="s">
        <v>709</v>
      </c>
      <c r="BV1356">
        <v>2024</v>
      </c>
      <c r="BW1356" t="s">
        <v>710</v>
      </c>
      <c r="BX1356" t="s">
        <v>78</v>
      </c>
      <c r="BY1356" t="s">
        <v>711</v>
      </c>
      <c r="CA1356" t="str">
        <f t="shared" si="696"/>
        <v>low acid</v>
      </c>
    </row>
    <row r="1357" spans="1:79">
      <c r="A1357" t="s">
        <v>343</v>
      </c>
      <c r="B1357" t="s">
        <v>566</v>
      </c>
      <c r="C1357" t="s">
        <v>563</v>
      </c>
      <c r="D1357" t="s">
        <v>33</v>
      </c>
      <c r="E1357" t="s">
        <v>77</v>
      </c>
      <c r="F1357" t="s">
        <v>32</v>
      </c>
      <c r="G1357">
        <v>10</v>
      </c>
      <c r="H1357">
        <v>13</v>
      </c>
      <c r="I1357" t="b">
        <v>0</v>
      </c>
      <c r="J1357" t="s">
        <v>33</v>
      </c>
      <c r="K1357" t="s">
        <v>33</v>
      </c>
      <c r="L1357">
        <v>20</v>
      </c>
      <c r="M1357" s="4">
        <v>2</v>
      </c>
      <c r="N1357" s="3">
        <f>IFERROR(AF1357/((T1357*X1357/Y1357)*O1357*AI1357),"NA")</f>
        <v>2.1126760563380285</v>
      </c>
      <c r="O1357">
        <v>2</v>
      </c>
      <c r="P1357" t="s">
        <v>33</v>
      </c>
      <c r="Q1357" s="8">
        <f t="shared" ref="Q1357:Q1393" si="698">IFERROR(X1357/Z1357, "NA")</f>
        <v>7.5</v>
      </c>
      <c r="R1357" t="s">
        <v>183</v>
      </c>
      <c r="S1357" t="s">
        <v>613</v>
      </c>
      <c r="T1357" s="11">
        <v>1</v>
      </c>
      <c r="U1357">
        <v>5</v>
      </c>
      <c r="V1357" t="s">
        <v>33</v>
      </c>
      <c r="W1357">
        <v>0.71</v>
      </c>
      <c r="X1357" s="8">
        <f t="shared" si="697"/>
        <v>0.71</v>
      </c>
      <c r="Y1357">
        <f>6/60</f>
        <v>0.1</v>
      </c>
      <c r="Z1357" s="3">
        <f t="shared" si="693"/>
        <v>9.4666666666666663E-2</v>
      </c>
      <c r="AA1357">
        <v>15</v>
      </c>
      <c r="AB1357" s="6">
        <f>IFERROR(((X1357*M1357)/Z1357), "NA")</f>
        <v>15</v>
      </c>
      <c r="AC1357" t="str">
        <f t="shared" si="691"/>
        <v>NA</v>
      </c>
      <c r="AD1357" s="4">
        <f>AB1357*T1357*AI1357</f>
        <v>90</v>
      </c>
      <c r="AE1357" s="3">
        <f t="shared" si="692"/>
        <v>338.4</v>
      </c>
      <c r="AF1357">
        <v>180</v>
      </c>
      <c r="AG1357" t="str">
        <f>IFERROR((M1357*O1357*P1357), "NA")</f>
        <v>NA</v>
      </c>
      <c r="AH1357" t="str">
        <f>IFERROR((AG1357*T1357*AI1357), "NA")</f>
        <v>NA</v>
      </c>
      <c r="AI1357">
        <v>6</v>
      </c>
      <c r="AJ1357" s="11" t="s">
        <v>32</v>
      </c>
      <c r="AK1357">
        <v>4700</v>
      </c>
      <c r="AL1357" t="s">
        <v>562</v>
      </c>
      <c r="AM1357" s="3" t="s">
        <v>786</v>
      </c>
      <c r="AN1357" t="s">
        <v>186</v>
      </c>
      <c r="AO1357" t="s">
        <v>793</v>
      </c>
      <c r="AP1357" t="s">
        <v>33</v>
      </c>
      <c r="AQ1357" t="s">
        <v>33</v>
      </c>
      <c r="AR1357" t="s">
        <v>33</v>
      </c>
      <c r="AS1357" s="6">
        <f>LOG(10^8)</f>
        <v>8</v>
      </c>
      <c r="AT1357" s="3">
        <f>IFERROR(AS1357-AU1357,"NA")</f>
        <v>6.569</v>
      </c>
      <c r="AU1357" s="6">
        <v>1.431</v>
      </c>
      <c r="AV1357" t="b">
        <v>1</v>
      </c>
      <c r="AW1357" t="s">
        <v>29</v>
      </c>
      <c r="AX1357" t="s">
        <v>30</v>
      </c>
      <c r="AY1357" t="s">
        <v>33</v>
      </c>
      <c r="AZ1357" t="s">
        <v>134</v>
      </c>
      <c r="BA1357" s="18" t="s">
        <v>798</v>
      </c>
      <c r="BB1357" t="b">
        <v>0</v>
      </c>
      <c r="BC1357" t="s">
        <v>81</v>
      </c>
      <c r="BD1357">
        <v>18</v>
      </c>
      <c r="BE1357" t="s">
        <v>80</v>
      </c>
      <c r="BF1357" s="11">
        <v>21</v>
      </c>
      <c r="BG1357" t="s">
        <v>694</v>
      </c>
      <c r="BH1357" t="s">
        <v>31</v>
      </c>
      <c r="BI1357" t="s">
        <v>31</v>
      </c>
      <c r="BJ1357" s="3">
        <f t="shared" si="680"/>
        <v>1.431</v>
      </c>
      <c r="BK1357" s="3">
        <f t="shared" si="679"/>
        <v>0.15563963375977638</v>
      </c>
      <c r="BL1357">
        <v>2</v>
      </c>
      <c r="BM1357" s="3">
        <f t="shared" si="669"/>
        <v>2.3737907206072095</v>
      </c>
      <c r="BN1357" t="s">
        <v>33</v>
      </c>
      <c r="BO1357" s="3">
        <f t="shared" si="695"/>
        <v>236.47798742138363</v>
      </c>
      <c r="BP1357" t="s">
        <v>33</v>
      </c>
      <c r="BQ1357" t="s">
        <v>33</v>
      </c>
      <c r="BR1357" t="s">
        <v>33</v>
      </c>
      <c r="BS1357" t="s">
        <v>33</v>
      </c>
      <c r="BT1357" t="s">
        <v>31</v>
      </c>
      <c r="BU1357" t="s">
        <v>338</v>
      </c>
      <c r="BV1357">
        <v>2005</v>
      </c>
      <c r="BW1357" s="2" t="s">
        <v>342</v>
      </c>
      <c r="BX1357" t="s">
        <v>78</v>
      </c>
      <c r="BY1357" t="s">
        <v>340</v>
      </c>
      <c r="BZ1357" t="s">
        <v>33</v>
      </c>
      <c r="CA1357" t="str">
        <f t="shared" si="696"/>
        <v>low acid</v>
      </c>
    </row>
    <row r="1358" spans="1:79">
      <c r="A1358" t="s">
        <v>584</v>
      </c>
      <c r="B1358" t="s">
        <v>566</v>
      </c>
      <c r="C1358" t="s">
        <v>563</v>
      </c>
      <c r="D1358" t="s">
        <v>607</v>
      </c>
      <c r="E1358" t="s">
        <v>77</v>
      </c>
      <c r="F1358" t="s">
        <v>33</v>
      </c>
      <c r="G1358">
        <v>20</v>
      </c>
      <c r="H1358">
        <v>35</v>
      </c>
      <c r="I1358" t="b">
        <v>0</v>
      </c>
      <c r="J1358">
        <v>1000</v>
      </c>
      <c r="K1358">
        <v>200</v>
      </c>
      <c r="L1358">
        <v>15</v>
      </c>
      <c r="M1358" s="4">
        <v>1</v>
      </c>
      <c r="N1358" t="e">
        <f>(#REF!*Y1358)/(T1358*X1358*O1358)</f>
        <v>#REF!</v>
      </c>
      <c r="O1358">
        <v>3</v>
      </c>
      <c r="P1358" t="s">
        <v>33</v>
      </c>
      <c r="Q1358" s="1">
        <f t="shared" si="698"/>
        <v>25.000000000000004</v>
      </c>
      <c r="R1358" t="s">
        <v>183</v>
      </c>
      <c r="S1358" t="s">
        <v>33</v>
      </c>
      <c r="T1358">
        <v>1</v>
      </c>
      <c r="U1358">
        <v>2.5</v>
      </c>
      <c r="V1358" t="s">
        <v>33</v>
      </c>
      <c r="W1358">
        <v>0.50249999999999995</v>
      </c>
      <c r="X1358">
        <f t="shared" si="697"/>
        <v>0.50249999999999995</v>
      </c>
      <c r="Y1358" t="s">
        <v>33</v>
      </c>
      <c r="Z1358" s="3">
        <f t="shared" si="693"/>
        <v>2.0099999999999996E-2</v>
      </c>
      <c r="AA1358" t="s">
        <v>33</v>
      </c>
      <c r="AB1358">
        <f>IFERROR(((X1358*M1358)/Z1358), "NA")</f>
        <v>25.000000000000004</v>
      </c>
      <c r="AC1358" s="1" t="str">
        <f t="shared" si="691"/>
        <v>NA</v>
      </c>
      <c r="AE1358" s="3">
        <f t="shared" si="692"/>
        <v>16.875</v>
      </c>
      <c r="AF1358">
        <v>75</v>
      </c>
      <c r="AG1358" s="1" t="str">
        <f>IFERROR((N1358*P1358*Q1358), "NA")</f>
        <v>NA</v>
      </c>
      <c r="AH1358" s="1" t="str">
        <f>IFERROR((AG1358*U1358*AI1358), "NA")</f>
        <v>NA</v>
      </c>
      <c r="AI1358" s="1">
        <v>1</v>
      </c>
      <c r="AJ1358" s="11" t="s">
        <v>31</v>
      </c>
      <c r="AK1358">
        <v>1000</v>
      </c>
      <c r="AL1358" t="s">
        <v>614</v>
      </c>
      <c r="AM1358" s="3" t="s">
        <v>103</v>
      </c>
      <c r="AN1358" t="s">
        <v>305</v>
      </c>
      <c r="AO1358" t="s">
        <v>790</v>
      </c>
      <c r="AP1358">
        <v>3.5</v>
      </c>
      <c r="AQ1358" t="s">
        <v>33</v>
      </c>
      <c r="AR1358" t="s">
        <v>33</v>
      </c>
      <c r="AS1358">
        <v>8</v>
      </c>
      <c r="AT1358">
        <f>AS1358-AU1358</f>
        <v>6.58</v>
      </c>
      <c r="AU1358" s="6">
        <v>1.42</v>
      </c>
      <c r="AV1358" t="b">
        <v>1</v>
      </c>
      <c r="AW1358" t="s">
        <v>617</v>
      </c>
      <c r="AX1358" t="s">
        <v>33</v>
      </c>
      <c r="AY1358" t="s">
        <v>623</v>
      </c>
      <c r="AZ1358" t="s">
        <v>621</v>
      </c>
      <c r="BA1358" s="18" t="s">
        <v>802</v>
      </c>
      <c r="BB1358" s="3" t="b">
        <v>0</v>
      </c>
      <c r="BC1358" t="s">
        <v>81</v>
      </c>
      <c r="BD1358">
        <v>18</v>
      </c>
      <c r="BE1358" t="s">
        <v>80</v>
      </c>
      <c r="BF1358">
        <v>24</v>
      </c>
      <c r="BG1358" t="s">
        <v>642</v>
      </c>
      <c r="BH1358" t="s">
        <v>32</v>
      </c>
      <c r="BI1358" t="s">
        <v>31</v>
      </c>
      <c r="BJ1358">
        <f t="shared" si="680"/>
        <v>1.42</v>
      </c>
      <c r="BK1358" s="3">
        <f t="shared" si="679"/>
        <v>0.15228834438305647</v>
      </c>
      <c r="BL1358">
        <v>2</v>
      </c>
      <c r="BM1358" s="3">
        <f t="shared" si="669"/>
        <v>1.0749554371200061</v>
      </c>
      <c r="BN1358" t="s">
        <v>33</v>
      </c>
      <c r="BO1358" s="3">
        <f t="shared" si="695"/>
        <v>11.88380281690141</v>
      </c>
      <c r="BP1358" t="s">
        <v>33</v>
      </c>
      <c r="BQ1358" t="s">
        <v>33</v>
      </c>
      <c r="BR1358" t="s">
        <v>33</v>
      </c>
      <c r="BS1358" t="s">
        <v>33</v>
      </c>
      <c r="BT1358" t="s">
        <v>31</v>
      </c>
      <c r="BU1358" t="s">
        <v>255</v>
      </c>
      <c r="BV1358">
        <v>2010</v>
      </c>
      <c r="BW1358" t="s">
        <v>651</v>
      </c>
      <c r="BX1358" t="s">
        <v>78</v>
      </c>
      <c r="BY1358" s="13" t="s">
        <v>674</v>
      </c>
      <c r="CA1358" t="str">
        <f t="shared" si="696"/>
        <v>high acid</v>
      </c>
    </row>
    <row r="1359" spans="1:79">
      <c r="A1359" t="s">
        <v>487</v>
      </c>
      <c r="B1359" t="s">
        <v>566</v>
      </c>
      <c r="C1359" t="s">
        <v>564</v>
      </c>
      <c r="D1359" t="s">
        <v>321</v>
      </c>
      <c r="E1359" t="s">
        <v>77</v>
      </c>
      <c r="F1359" t="s">
        <v>32</v>
      </c>
      <c r="G1359">
        <v>4</v>
      </c>
      <c r="H1359" t="s">
        <v>33</v>
      </c>
      <c r="I1359" t="b">
        <v>0</v>
      </c>
      <c r="J1359" t="s">
        <v>33</v>
      </c>
      <c r="K1359" t="s">
        <v>33</v>
      </c>
      <c r="L1359">
        <v>15</v>
      </c>
      <c r="M1359" s="4">
        <v>10</v>
      </c>
      <c r="N1359" s="3">
        <f>IFERROR(AF1359/((T1359*X1359/Y1359)*O1359*AI1359),"NA")</f>
        <v>10.000000000000002</v>
      </c>
      <c r="O1359">
        <v>1.5</v>
      </c>
      <c r="P1359" s="3">
        <f>6/(52.5/60)</f>
        <v>6.8571428571428568</v>
      </c>
      <c r="Q1359" s="8">
        <f t="shared" si="698"/>
        <v>6.8571428571428568</v>
      </c>
      <c r="R1359" t="s">
        <v>278</v>
      </c>
      <c r="S1359" t="s">
        <v>613</v>
      </c>
      <c r="T1359" s="11">
        <v>1</v>
      </c>
      <c r="U1359">
        <v>100</v>
      </c>
      <c r="V1359" t="s">
        <v>33</v>
      </c>
      <c r="W1359">
        <v>6</v>
      </c>
      <c r="X1359" s="9">
        <f t="shared" si="697"/>
        <v>6</v>
      </c>
      <c r="Y1359" s="6">
        <f>52.5/60</f>
        <v>0.875</v>
      </c>
      <c r="Z1359" s="3">
        <f t="shared" si="693"/>
        <v>0.875</v>
      </c>
      <c r="AA1359" t="s">
        <v>33</v>
      </c>
      <c r="AB1359" s="4">
        <f>IFERROR(((X1359*M1359)/Y1359), "NA")</f>
        <v>68.571428571428569</v>
      </c>
      <c r="AC1359" s="4">
        <f t="shared" si="691"/>
        <v>68.571428571428569</v>
      </c>
      <c r="AD1359" s="4">
        <f>AB1359*T1359*AI1359</f>
        <v>621</v>
      </c>
      <c r="AE1359" s="3">
        <f t="shared" si="692"/>
        <v>1068.8962499999998</v>
      </c>
      <c r="AF1359">
        <f>621*O1359</f>
        <v>931.5</v>
      </c>
      <c r="AG1359" s="4">
        <f>IFERROR((M1359*O1359*P1359), "NA")</f>
        <v>102.85714285714285</v>
      </c>
      <c r="AH1359" s="4">
        <f>IFERROR((AG1359*T1359*AI1359), "NA")</f>
        <v>931.5</v>
      </c>
      <c r="AI1359" s="3">
        <f>AF1359/(AG1359*T1359)</f>
        <v>9.0562500000000004</v>
      </c>
      <c r="AJ1359" s="11" t="s">
        <v>32</v>
      </c>
      <c r="AK1359">
        <v>5100</v>
      </c>
      <c r="AL1359" t="s">
        <v>319</v>
      </c>
      <c r="AM1359" t="s">
        <v>86</v>
      </c>
      <c r="AN1359" t="s">
        <v>186</v>
      </c>
      <c r="AO1359" t="s">
        <v>794</v>
      </c>
      <c r="AP1359">
        <v>6.05</v>
      </c>
      <c r="AQ1359" t="s">
        <v>33</v>
      </c>
      <c r="AR1359" t="s">
        <v>33</v>
      </c>
      <c r="AS1359" s="6">
        <f>LOG((10^7+10^8)/2)</f>
        <v>7.7403626894942441</v>
      </c>
      <c r="AT1359" s="3">
        <f>IFERROR(AS1359-AU1359,"NA")</f>
        <v>6.5813626894942443</v>
      </c>
      <c r="AU1359" s="6">
        <v>1.159</v>
      </c>
      <c r="AV1359" t="b">
        <v>1</v>
      </c>
      <c r="AW1359" t="s">
        <v>29</v>
      </c>
      <c r="AX1359" t="s">
        <v>30</v>
      </c>
      <c r="AY1359" t="s">
        <v>320</v>
      </c>
      <c r="AZ1359" t="s">
        <v>33</v>
      </c>
      <c r="BA1359" s="18" t="s">
        <v>798</v>
      </c>
      <c r="BB1359" s="3" t="b">
        <v>0</v>
      </c>
      <c r="BC1359" t="s">
        <v>81</v>
      </c>
      <c r="BD1359">
        <v>12</v>
      </c>
      <c r="BE1359" t="s">
        <v>80</v>
      </c>
      <c r="BF1359" t="s">
        <v>33</v>
      </c>
      <c r="BG1359" t="s">
        <v>488</v>
      </c>
      <c r="BH1359" t="s">
        <v>31</v>
      </c>
      <c r="BI1359" t="s">
        <v>31</v>
      </c>
      <c r="BJ1359" s="3">
        <f t="shared" si="680"/>
        <v>1.159</v>
      </c>
      <c r="BK1359" s="3">
        <f t="shared" si="679"/>
        <v>6.4083435963596003E-2</v>
      </c>
      <c r="BL1359">
        <v>2</v>
      </c>
      <c r="BM1359" s="3">
        <f t="shared" si="669"/>
        <v>2.9648521174779643</v>
      </c>
      <c r="BN1359" t="s">
        <v>33</v>
      </c>
      <c r="BO1359" s="3">
        <f t="shared" si="695"/>
        <v>922.25733390854168</v>
      </c>
      <c r="BP1359" t="s">
        <v>33</v>
      </c>
      <c r="BQ1359" t="s">
        <v>33</v>
      </c>
      <c r="BR1359" t="s">
        <v>33</v>
      </c>
      <c r="BS1359" t="s">
        <v>33</v>
      </c>
      <c r="BT1359" t="s">
        <v>31</v>
      </c>
      <c r="BU1359" t="s">
        <v>318</v>
      </c>
      <c r="BV1359">
        <v>2005</v>
      </c>
      <c r="BW1359" t="s">
        <v>489</v>
      </c>
      <c r="BX1359" t="s">
        <v>78</v>
      </c>
      <c r="BY1359" t="s">
        <v>33</v>
      </c>
      <c r="BZ1359" t="s">
        <v>490</v>
      </c>
      <c r="CA1359" t="str">
        <f t="shared" si="696"/>
        <v>low acid</v>
      </c>
    </row>
    <row r="1360" spans="1:79">
      <c r="A1360" t="s">
        <v>237</v>
      </c>
      <c r="B1360" t="s">
        <v>565</v>
      </c>
      <c r="C1360" t="s">
        <v>563</v>
      </c>
      <c r="D1360" t="s">
        <v>118</v>
      </c>
      <c r="E1360" t="s">
        <v>77</v>
      </c>
      <c r="F1360" t="s">
        <v>32</v>
      </c>
      <c r="G1360">
        <v>4</v>
      </c>
      <c r="H1360">
        <v>32.5</v>
      </c>
      <c r="I1360" t="b">
        <v>0</v>
      </c>
      <c r="J1360" t="s">
        <v>33</v>
      </c>
      <c r="K1360" t="s">
        <v>33</v>
      </c>
      <c r="L1360">
        <v>15</v>
      </c>
      <c r="M1360" s="4">
        <v>200</v>
      </c>
      <c r="N1360" s="3">
        <f>IFERROR(AF1360/((T1360*X1360/Y1360)*O1360*AI1360),"NA")</f>
        <v>772.75686432737871</v>
      </c>
      <c r="O1360">
        <v>4</v>
      </c>
      <c r="P1360" t="s">
        <v>33</v>
      </c>
      <c r="Q1360" s="9">
        <f t="shared" si="698"/>
        <v>4.6874999999999993E-2</v>
      </c>
      <c r="R1360" t="s">
        <v>183</v>
      </c>
      <c r="S1360" t="s">
        <v>613</v>
      </c>
      <c r="T1360" s="11">
        <v>8</v>
      </c>
      <c r="U1360">
        <v>2.92</v>
      </c>
      <c r="V1360">
        <v>2.2999999999999998</v>
      </c>
      <c r="W1360">
        <v>1.2E-2</v>
      </c>
      <c r="X1360" s="8">
        <f>IFERROR(((PI())*(((V1360*10^-1)/2)^2)*(U1360*10^-1)), "NA")</f>
        <v>1.2131888350367701E-2</v>
      </c>
      <c r="Y1360" s="6">
        <f>60/60</f>
        <v>1</v>
      </c>
      <c r="Z1360" s="3">
        <f t="shared" si="693"/>
        <v>0.25881361814117765</v>
      </c>
      <c r="AA1360" t="s">
        <v>33</v>
      </c>
      <c r="AB1360" s="6">
        <f t="shared" ref="AB1360:AB1380" si="699">IFERROR(((X1360*M1360)/Z1360), "NA")</f>
        <v>9.3749999999999982</v>
      </c>
      <c r="AC1360" t="str">
        <f t="shared" si="691"/>
        <v>NA</v>
      </c>
      <c r="AD1360" s="4">
        <f>AB1360*T1360*AI1360</f>
        <v>74.999999999999986</v>
      </c>
      <c r="AE1360" s="3">
        <f t="shared" si="692"/>
        <v>286.19999999999993</v>
      </c>
      <c r="AF1360">
        <v>300</v>
      </c>
      <c r="AG1360" t="str">
        <f>IFERROR((M1360*O1360*P1360), "NA")</f>
        <v>NA</v>
      </c>
      <c r="AH1360" t="str">
        <f>IFERROR((AG1360*T1360*AI1360), "NA")</f>
        <v>NA</v>
      </c>
      <c r="AI1360">
        <v>1</v>
      </c>
      <c r="AJ1360" t="s">
        <v>31</v>
      </c>
      <c r="AK1360">
        <v>4240</v>
      </c>
      <c r="AL1360" t="s">
        <v>238</v>
      </c>
      <c r="AM1360" t="s">
        <v>86</v>
      </c>
      <c r="AN1360" t="s">
        <v>205</v>
      </c>
      <c r="AO1360" t="s">
        <v>789</v>
      </c>
      <c r="AP1360">
        <v>3.56</v>
      </c>
      <c r="AQ1360" t="s">
        <v>33</v>
      </c>
      <c r="AR1360" t="s">
        <v>33</v>
      </c>
      <c r="AS1360">
        <f>LOG(10^8)</f>
        <v>8</v>
      </c>
      <c r="AT1360" s="3">
        <f>IFERROR(AS1360-AU1360,"NA")</f>
        <v>6.5860000000000003</v>
      </c>
      <c r="AU1360" s="6">
        <v>1.4139999999999999</v>
      </c>
      <c r="AV1360" t="b">
        <v>1</v>
      </c>
      <c r="AW1360" t="s">
        <v>172</v>
      </c>
      <c r="AX1360" t="s">
        <v>173</v>
      </c>
      <c r="AY1360" t="s">
        <v>239</v>
      </c>
      <c r="AZ1360" t="s">
        <v>33</v>
      </c>
      <c r="BA1360" s="18" t="s">
        <v>799</v>
      </c>
      <c r="BB1360" t="b">
        <v>0</v>
      </c>
      <c r="BC1360" t="s">
        <v>81</v>
      </c>
      <c r="BD1360">
        <v>48</v>
      </c>
      <c r="BE1360" t="s">
        <v>80</v>
      </c>
      <c r="BF1360" s="11">
        <v>120</v>
      </c>
      <c r="BG1360" t="s">
        <v>571</v>
      </c>
      <c r="BH1360" t="s">
        <v>31</v>
      </c>
      <c r="BI1360" t="s">
        <v>31</v>
      </c>
      <c r="BJ1360" s="3">
        <f t="shared" si="680"/>
        <v>1.4139999999999999</v>
      </c>
      <c r="BK1360" s="3">
        <f t="shared" si="679"/>
        <v>0.15044940946088059</v>
      </c>
      <c r="BL1360">
        <v>2</v>
      </c>
      <c r="BM1360" s="3">
        <f t="shared" si="669"/>
        <v>2.306220219962877</v>
      </c>
      <c r="BN1360" t="s">
        <v>33</v>
      </c>
      <c r="BO1360" s="3">
        <f t="shared" si="695"/>
        <v>202.40452616690237</v>
      </c>
      <c r="BP1360" t="s">
        <v>33</v>
      </c>
      <c r="BQ1360" t="s">
        <v>33</v>
      </c>
      <c r="BR1360" t="s">
        <v>33</v>
      </c>
      <c r="BS1360" t="s">
        <v>33</v>
      </c>
      <c r="BT1360" t="s">
        <v>31</v>
      </c>
      <c r="BU1360" t="s">
        <v>240</v>
      </c>
      <c r="BV1360">
        <v>2004</v>
      </c>
      <c r="BW1360" t="s">
        <v>241</v>
      </c>
      <c r="BX1360" t="s">
        <v>78</v>
      </c>
      <c r="BY1360" t="s">
        <v>33</v>
      </c>
      <c r="BZ1360" t="s">
        <v>33</v>
      </c>
      <c r="CA1360" t="str">
        <f t="shared" si="696"/>
        <v>high acid</v>
      </c>
    </row>
    <row r="1361" spans="1:79">
      <c r="A1361" t="s">
        <v>341</v>
      </c>
      <c r="B1361" t="s">
        <v>566</v>
      </c>
      <c r="C1361" t="s">
        <v>563</v>
      </c>
      <c r="D1361" t="s">
        <v>336</v>
      </c>
      <c r="E1361" t="s">
        <v>77</v>
      </c>
      <c r="F1361" t="s">
        <v>32</v>
      </c>
      <c r="G1361">
        <v>10</v>
      </c>
      <c r="H1361">
        <v>13</v>
      </c>
      <c r="I1361" t="b">
        <v>0</v>
      </c>
      <c r="J1361" t="s">
        <v>33</v>
      </c>
      <c r="K1361" t="s">
        <v>33</v>
      </c>
      <c r="L1361">
        <v>30</v>
      </c>
      <c r="M1361" s="4">
        <v>2</v>
      </c>
      <c r="N1361" s="3">
        <f>IFERROR(AF1361/((T1361*X1361/Y1361)*O1361*AI1361),"NA")</f>
        <v>2.1126760563380285</v>
      </c>
      <c r="O1361">
        <v>2</v>
      </c>
      <c r="P1361" t="s">
        <v>33</v>
      </c>
      <c r="Q1361" s="8">
        <f t="shared" si="698"/>
        <v>7.5</v>
      </c>
      <c r="R1361" t="s">
        <v>183</v>
      </c>
      <c r="S1361" t="s">
        <v>613</v>
      </c>
      <c r="T1361" s="11">
        <v>1</v>
      </c>
      <c r="U1361">
        <v>5</v>
      </c>
      <c r="V1361" t="s">
        <v>33</v>
      </c>
      <c r="W1361">
        <v>0.71</v>
      </c>
      <c r="X1361" s="8">
        <f>W1361</f>
        <v>0.71</v>
      </c>
      <c r="Y1361">
        <f>6/60</f>
        <v>0.1</v>
      </c>
      <c r="Z1361" s="3">
        <f t="shared" si="693"/>
        <v>9.4666666666666663E-2</v>
      </c>
      <c r="AA1361">
        <v>15</v>
      </c>
      <c r="AB1361" s="6">
        <f t="shared" si="699"/>
        <v>15</v>
      </c>
      <c r="AC1361" t="str">
        <f t="shared" si="691"/>
        <v>NA</v>
      </c>
      <c r="AD1361" s="4">
        <f>AB1361*T1361*AI1361</f>
        <v>60</v>
      </c>
      <c r="AE1361" s="3">
        <f t="shared" si="692"/>
        <v>550.79999999999995</v>
      </c>
      <c r="AF1361">
        <f>AI1361*AA1361*O1361</f>
        <v>120</v>
      </c>
      <c r="AG1361" t="str">
        <f>IFERROR((M1361*O1361*P1361), "NA")</f>
        <v>NA</v>
      </c>
      <c r="AH1361" t="str">
        <f>IFERROR((AG1361*T1361*AI1361), "NA")</f>
        <v>NA</v>
      </c>
      <c r="AI1361">
        <v>4</v>
      </c>
      <c r="AJ1361" s="11" t="s">
        <v>32</v>
      </c>
      <c r="AK1361">
        <v>5100</v>
      </c>
      <c r="AL1361" t="s">
        <v>561</v>
      </c>
      <c r="AM1361" s="3" t="s">
        <v>786</v>
      </c>
      <c r="AN1361" t="s">
        <v>186</v>
      </c>
      <c r="AO1361" t="s">
        <v>793</v>
      </c>
      <c r="AP1361" t="s">
        <v>33</v>
      </c>
      <c r="AQ1361" t="s">
        <v>33</v>
      </c>
      <c r="AR1361" t="s">
        <v>33</v>
      </c>
      <c r="AS1361" s="6">
        <f>LOG(10^8)</f>
        <v>8</v>
      </c>
      <c r="AT1361" s="3">
        <f>IFERROR(AS1361-AU1361,"NA")</f>
        <v>6.5979999999999999</v>
      </c>
      <c r="AU1361" s="6">
        <v>1.4019999999999999</v>
      </c>
      <c r="AV1361" t="b">
        <v>1</v>
      </c>
      <c r="AW1361" t="s">
        <v>29</v>
      </c>
      <c r="AX1361" t="s">
        <v>30</v>
      </c>
      <c r="AY1361" t="s">
        <v>33</v>
      </c>
      <c r="AZ1361" t="s">
        <v>134</v>
      </c>
      <c r="BA1361" s="18" t="s">
        <v>798</v>
      </c>
      <c r="BB1361" t="b">
        <v>0</v>
      </c>
      <c r="BC1361" t="s">
        <v>81</v>
      </c>
      <c r="BD1361">
        <v>18</v>
      </c>
      <c r="BE1361" t="s">
        <v>80</v>
      </c>
      <c r="BF1361" s="11">
        <v>24</v>
      </c>
      <c r="BG1361" t="s">
        <v>694</v>
      </c>
      <c r="BH1361" t="s">
        <v>31</v>
      </c>
      <c r="BI1361" t="s">
        <v>31</v>
      </c>
      <c r="BJ1361" s="3">
        <f t="shared" si="680"/>
        <v>1.4019999999999999</v>
      </c>
      <c r="BK1361" s="3">
        <f t="shared" si="679"/>
        <v>0.14674801363063983</v>
      </c>
      <c r="BL1361">
        <v>2</v>
      </c>
      <c r="BM1361" s="3">
        <f t="shared" si="669"/>
        <v>2.5942459179542463</v>
      </c>
      <c r="BN1361" t="s">
        <v>33</v>
      </c>
      <c r="BO1361" s="3">
        <f t="shared" si="695"/>
        <v>392.86733238231096</v>
      </c>
      <c r="BP1361" t="s">
        <v>33</v>
      </c>
      <c r="BQ1361" t="s">
        <v>33</v>
      </c>
      <c r="BR1361" t="s">
        <v>33</v>
      </c>
      <c r="BS1361" t="s">
        <v>33</v>
      </c>
      <c r="BT1361" t="s">
        <v>31</v>
      </c>
      <c r="BU1361" t="s">
        <v>338</v>
      </c>
      <c r="BV1361">
        <v>2006</v>
      </c>
      <c r="BW1361" t="s">
        <v>339</v>
      </c>
      <c r="BX1361" t="s">
        <v>78</v>
      </c>
      <c r="BY1361" t="s">
        <v>340</v>
      </c>
      <c r="BZ1361" t="s">
        <v>337</v>
      </c>
      <c r="CA1361" t="str">
        <f t="shared" si="696"/>
        <v>low acid</v>
      </c>
    </row>
    <row r="1362" spans="1:79">
      <c r="A1362" t="s">
        <v>586</v>
      </c>
      <c r="B1362" t="s">
        <v>565</v>
      </c>
      <c r="C1362" t="s">
        <v>563</v>
      </c>
      <c r="D1362" t="s">
        <v>118</v>
      </c>
      <c r="E1362" t="s">
        <v>77</v>
      </c>
      <c r="F1362" t="s">
        <v>32</v>
      </c>
      <c r="G1362">
        <v>40</v>
      </c>
      <c r="H1362">
        <v>40</v>
      </c>
      <c r="I1362" t="b">
        <v>1</v>
      </c>
      <c r="J1362" t="s">
        <v>33</v>
      </c>
      <c r="K1362" t="s">
        <v>33</v>
      </c>
      <c r="L1362">
        <v>30</v>
      </c>
      <c r="M1362" s="4">
        <v>100</v>
      </c>
      <c r="N1362" t="e">
        <f>(#REF!*Y1362)/(T1362*X1362*O1362)</f>
        <v>#REF!</v>
      </c>
      <c r="O1362">
        <v>2</v>
      </c>
      <c r="P1362" t="s">
        <v>33</v>
      </c>
      <c r="Q1362" s="1">
        <f t="shared" si="698"/>
        <v>0.16666666666666666</v>
      </c>
      <c r="R1362" t="s">
        <v>183</v>
      </c>
      <c r="S1362" t="s">
        <v>613</v>
      </c>
      <c r="T1362">
        <v>6</v>
      </c>
      <c r="U1362">
        <v>2.92</v>
      </c>
      <c r="V1362">
        <v>2.2999999999999998</v>
      </c>
      <c r="W1362" t="s">
        <v>33</v>
      </c>
      <c r="X1362">
        <f>IFERROR(((PI())*(((V1362*10^-1)/2)^2)*(U1362*10^-1)), "NA")</f>
        <v>1.2131888350367701E-2</v>
      </c>
      <c r="Y1362">
        <v>1.4</v>
      </c>
      <c r="Z1362" s="3">
        <f t="shared" si="693"/>
        <v>7.2791330102206203E-2</v>
      </c>
      <c r="AA1362" t="s">
        <v>33</v>
      </c>
      <c r="AB1362">
        <f t="shared" si="699"/>
        <v>16.666666666666668</v>
      </c>
      <c r="AC1362" s="1" t="str">
        <f t="shared" si="691"/>
        <v>NA</v>
      </c>
      <c r="AE1362" s="3">
        <f t="shared" si="692"/>
        <v>1116</v>
      </c>
      <c r="AF1362">
        <v>200</v>
      </c>
      <c r="AG1362" s="1" t="str">
        <f>IFERROR((N1362*P1362*Q1362), "NA")</f>
        <v>NA</v>
      </c>
      <c r="AH1362" s="1" t="str">
        <f>IFERROR((AG1362*U1362*AI1362), "NA")</f>
        <v>NA</v>
      </c>
      <c r="AI1362" s="1">
        <v>1</v>
      </c>
      <c r="AJ1362" s="11" t="s">
        <v>31</v>
      </c>
      <c r="AK1362">
        <v>6200</v>
      </c>
      <c r="AL1362" t="s">
        <v>561</v>
      </c>
      <c r="AM1362" s="3" t="s">
        <v>786</v>
      </c>
      <c r="AN1362" t="s">
        <v>186</v>
      </c>
      <c r="AO1362" t="s">
        <v>793</v>
      </c>
      <c r="AP1362">
        <v>7.6</v>
      </c>
      <c r="AQ1362" t="s">
        <v>33</v>
      </c>
      <c r="AR1362" t="s">
        <v>33</v>
      </c>
      <c r="AS1362">
        <v>8</v>
      </c>
      <c r="AT1362">
        <f>AS1362-AU1362</f>
        <v>6.6</v>
      </c>
      <c r="AU1362" s="6">
        <v>1.4</v>
      </c>
      <c r="AV1362" t="b">
        <v>1</v>
      </c>
      <c r="AW1362" t="s">
        <v>617</v>
      </c>
      <c r="AX1362" t="s">
        <v>624</v>
      </c>
      <c r="AY1362" t="s">
        <v>625</v>
      </c>
      <c r="AZ1362" t="s">
        <v>33</v>
      </c>
      <c r="BA1362" s="18" t="s">
        <v>802</v>
      </c>
      <c r="BB1362" s="3" t="b">
        <v>0</v>
      </c>
      <c r="BC1362" t="s">
        <v>81</v>
      </c>
      <c r="BD1362">
        <v>13</v>
      </c>
      <c r="BE1362" t="s">
        <v>80</v>
      </c>
      <c r="BF1362">
        <v>48</v>
      </c>
      <c r="BG1362" t="s">
        <v>568</v>
      </c>
      <c r="BH1362" t="s">
        <v>31</v>
      </c>
      <c r="BI1362" t="s">
        <v>31</v>
      </c>
      <c r="BJ1362">
        <f t="shared" si="680"/>
        <v>1.4</v>
      </c>
      <c r="BK1362" s="3">
        <f t="shared" si="679"/>
        <v>0.14612803567823801</v>
      </c>
      <c r="BL1362">
        <v>2</v>
      </c>
      <c r="BM1362" s="3">
        <f t="shared" si="669"/>
        <v>2.9015361589233222</v>
      </c>
      <c r="BN1362" t="s">
        <v>33</v>
      </c>
      <c r="BO1362" s="3">
        <f t="shared" si="695"/>
        <v>797.14285714285722</v>
      </c>
      <c r="BP1362" t="s">
        <v>33</v>
      </c>
      <c r="BQ1362" t="s">
        <v>33</v>
      </c>
      <c r="BR1362" t="s">
        <v>33</v>
      </c>
      <c r="BS1362" t="s">
        <v>33</v>
      </c>
      <c r="BT1362" t="s">
        <v>31</v>
      </c>
      <c r="BU1362" t="s">
        <v>344</v>
      </c>
      <c r="BV1362">
        <v>2007</v>
      </c>
      <c r="BW1362" t="s">
        <v>345</v>
      </c>
      <c r="BX1362" t="s">
        <v>78</v>
      </c>
      <c r="BY1362" s="13" t="s">
        <v>676</v>
      </c>
      <c r="CA1362" t="str">
        <f t="shared" si="696"/>
        <v>low acid</v>
      </c>
    </row>
    <row r="1363" spans="1:79">
      <c r="A1363" t="s">
        <v>605</v>
      </c>
      <c r="B1363" t="s">
        <v>565</v>
      </c>
      <c r="C1363" t="s">
        <v>563</v>
      </c>
      <c r="D1363" t="s">
        <v>118</v>
      </c>
      <c r="E1363" t="s">
        <v>77</v>
      </c>
      <c r="F1363" t="s">
        <v>33</v>
      </c>
      <c r="G1363" t="s">
        <v>33</v>
      </c>
      <c r="H1363" t="s">
        <v>33</v>
      </c>
      <c r="I1363" t="b">
        <v>0</v>
      </c>
      <c r="J1363" t="s">
        <v>33</v>
      </c>
      <c r="K1363" t="s">
        <v>33</v>
      </c>
      <c r="L1363">
        <v>17</v>
      </c>
      <c r="M1363" s="4">
        <v>500</v>
      </c>
      <c r="N1363" t="e">
        <f>(#REF!*Y1363)/(T1363*X1363*O1363)</f>
        <v>#REF!</v>
      </c>
      <c r="O1363">
        <v>3</v>
      </c>
      <c r="P1363" t="s">
        <v>33</v>
      </c>
      <c r="Q1363" s="1">
        <f t="shared" si="698"/>
        <v>1.4555555555555556E-2</v>
      </c>
      <c r="R1363" t="s">
        <v>183</v>
      </c>
      <c r="S1363" t="s">
        <v>613</v>
      </c>
      <c r="T1363">
        <v>6</v>
      </c>
      <c r="U1363">
        <v>2.9</v>
      </c>
      <c r="V1363">
        <v>2.2999999999999998</v>
      </c>
      <c r="W1363" t="s">
        <v>33</v>
      </c>
      <c r="X1363">
        <f>IFERROR(((PI())*(((V1363*10^-1)/2)^2)*(U1363*10^-1)), "NA")</f>
        <v>1.204879322468025E-2</v>
      </c>
      <c r="Y1363">
        <v>0.83333299999999999</v>
      </c>
      <c r="Z1363" s="3">
        <f t="shared" si="693"/>
        <v>0.82777968719177286</v>
      </c>
      <c r="AA1363" t="s">
        <v>33</v>
      </c>
      <c r="AB1363">
        <f t="shared" si="699"/>
        <v>7.2777777777777786</v>
      </c>
      <c r="AC1363" s="1" t="str">
        <f t="shared" si="691"/>
        <v>NA</v>
      </c>
      <c r="AE1363" s="3">
        <f t="shared" si="692"/>
        <v>146.13574</v>
      </c>
      <c r="AF1363">
        <v>131</v>
      </c>
      <c r="AG1363" s="1" t="str">
        <f>IFERROR((N1363*P1363*Q1363), "NA")</f>
        <v>NA</v>
      </c>
      <c r="AH1363" s="1" t="str">
        <f>IFERROR((AG1363*U1363*AI1363), "NA")</f>
        <v>NA</v>
      </c>
      <c r="AI1363" s="1">
        <v>1</v>
      </c>
      <c r="AJ1363" s="11" t="s">
        <v>31</v>
      </c>
      <c r="AK1363">
        <f>3.86*10^3</f>
        <v>3860</v>
      </c>
      <c r="AL1363" t="s">
        <v>138</v>
      </c>
      <c r="AM1363" t="s">
        <v>86</v>
      </c>
      <c r="AN1363" t="s">
        <v>205</v>
      </c>
      <c r="AO1363" t="s">
        <v>789</v>
      </c>
      <c r="AP1363">
        <v>3.9</v>
      </c>
      <c r="AQ1363" t="s">
        <v>33</v>
      </c>
      <c r="AR1363" t="s">
        <v>33</v>
      </c>
      <c r="AS1363">
        <v>7.78</v>
      </c>
      <c r="AT1363">
        <v>6.6</v>
      </c>
      <c r="AU1363" s="6">
        <f>AS1363-AT1363</f>
        <v>1.1800000000000006</v>
      </c>
      <c r="AV1363" t="b">
        <v>1</v>
      </c>
      <c r="AW1363" t="s">
        <v>632</v>
      </c>
      <c r="AX1363" t="s">
        <v>639</v>
      </c>
      <c r="AY1363" t="s">
        <v>33</v>
      </c>
      <c r="AZ1363" t="s">
        <v>33</v>
      </c>
      <c r="BA1363" s="18" t="s">
        <v>803</v>
      </c>
      <c r="BB1363" s="3" t="b">
        <v>0</v>
      </c>
      <c r="BC1363" t="s">
        <v>81</v>
      </c>
      <c r="BD1363">
        <f>AVERAGE(24, 48)</f>
        <v>36</v>
      </c>
      <c r="BE1363" t="s">
        <v>80</v>
      </c>
      <c r="BF1363">
        <v>48</v>
      </c>
      <c r="BG1363" t="s">
        <v>647</v>
      </c>
      <c r="BH1363" t="s">
        <v>31</v>
      </c>
      <c r="BI1363" t="s">
        <v>31</v>
      </c>
      <c r="BJ1363" s="3">
        <f t="shared" si="680"/>
        <v>1.1800000000000006</v>
      </c>
      <c r="BK1363" s="3">
        <f t="shared" si="679"/>
        <v>7.1882007306125609E-2</v>
      </c>
      <c r="BL1363">
        <v>2</v>
      </c>
      <c r="BM1363" s="3">
        <f t="shared" ref="BM1363:BM1426" si="700">IFERROR(LOG(BO1363),"NA")</f>
        <v>2.0928744357779414</v>
      </c>
      <c r="BN1363" t="s">
        <v>33</v>
      </c>
      <c r="BO1363" s="3">
        <f t="shared" si="695"/>
        <v>123.84384745762705</v>
      </c>
      <c r="BP1363" t="s">
        <v>33</v>
      </c>
      <c r="BQ1363" t="s">
        <v>33</v>
      </c>
      <c r="BR1363" t="s">
        <v>33</v>
      </c>
      <c r="BS1363" t="s">
        <v>33</v>
      </c>
      <c r="BT1363" t="s">
        <v>31</v>
      </c>
      <c r="BU1363" s="13" t="s">
        <v>135</v>
      </c>
      <c r="BV1363" s="14">
        <v>2009</v>
      </c>
      <c r="BW1363" s="13" t="s">
        <v>136</v>
      </c>
      <c r="BX1363" t="s">
        <v>78</v>
      </c>
      <c r="BY1363" s="13" t="s">
        <v>692</v>
      </c>
      <c r="CA1363" t="str">
        <f t="shared" si="696"/>
        <v>high acid</v>
      </c>
    </row>
    <row r="1364" spans="1:79">
      <c r="A1364" t="s">
        <v>584</v>
      </c>
      <c r="B1364" t="s">
        <v>566</v>
      </c>
      <c r="C1364" t="s">
        <v>563</v>
      </c>
      <c r="D1364" t="s">
        <v>607</v>
      </c>
      <c r="E1364" t="s">
        <v>77</v>
      </c>
      <c r="F1364" t="s">
        <v>33</v>
      </c>
      <c r="G1364">
        <v>20</v>
      </c>
      <c r="H1364">
        <v>35</v>
      </c>
      <c r="I1364" t="b">
        <v>0</v>
      </c>
      <c r="J1364">
        <v>1000</v>
      </c>
      <c r="K1364">
        <v>200</v>
      </c>
      <c r="L1364">
        <v>25</v>
      </c>
      <c r="M1364" s="4">
        <v>1</v>
      </c>
      <c r="N1364" t="e">
        <f>(#REF!*Y1364)/(T1364*X1364*O1364)</f>
        <v>#REF!</v>
      </c>
      <c r="O1364">
        <v>3</v>
      </c>
      <c r="P1364" t="s">
        <v>33</v>
      </c>
      <c r="Q1364" s="1">
        <f t="shared" si="698"/>
        <v>25.000000000000004</v>
      </c>
      <c r="R1364" t="s">
        <v>183</v>
      </c>
      <c r="S1364" t="s">
        <v>33</v>
      </c>
      <c r="T1364">
        <v>1</v>
      </c>
      <c r="U1364">
        <v>2.5</v>
      </c>
      <c r="V1364" t="s">
        <v>33</v>
      </c>
      <c r="W1364">
        <v>0.50249999999999995</v>
      </c>
      <c r="X1364">
        <f>W1364</f>
        <v>0.50249999999999995</v>
      </c>
      <c r="Y1364" t="s">
        <v>33</v>
      </c>
      <c r="Z1364" s="3">
        <f t="shared" si="693"/>
        <v>2.0099999999999996E-2</v>
      </c>
      <c r="AA1364" t="s">
        <v>33</v>
      </c>
      <c r="AB1364">
        <f t="shared" si="699"/>
        <v>25.000000000000004</v>
      </c>
      <c r="AC1364" s="1" t="str">
        <f t="shared" si="691"/>
        <v>NA</v>
      </c>
      <c r="AE1364" s="3">
        <f t="shared" si="692"/>
        <v>46.875000000000007</v>
      </c>
      <c r="AF1364">
        <v>75</v>
      </c>
      <c r="AG1364" s="1" t="str">
        <f>IFERROR((N1364*P1364*Q1364), "NA")</f>
        <v>NA</v>
      </c>
      <c r="AH1364" s="1" t="str">
        <f>IFERROR((AG1364*U1364*AI1364), "NA")</f>
        <v>NA</v>
      </c>
      <c r="AI1364" s="1">
        <v>1</v>
      </c>
      <c r="AJ1364" s="11" t="s">
        <v>31</v>
      </c>
      <c r="AK1364">
        <v>1000</v>
      </c>
      <c r="AL1364" t="s">
        <v>614</v>
      </c>
      <c r="AM1364" s="3" t="s">
        <v>103</v>
      </c>
      <c r="AN1364" t="s">
        <v>130</v>
      </c>
      <c r="AO1364" t="s">
        <v>795</v>
      </c>
      <c r="AP1364">
        <v>7</v>
      </c>
      <c r="AQ1364" t="s">
        <v>33</v>
      </c>
      <c r="AR1364" t="s">
        <v>33</v>
      </c>
      <c r="AS1364">
        <v>8</v>
      </c>
      <c r="AT1364">
        <f>AS1364-AU1364</f>
        <v>6.61</v>
      </c>
      <c r="AU1364" s="6">
        <v>1.39</v>
      </c>
      <c r="AV1364" t="b">
        <v>1</v>
      </c>
      <c r="AW1364" t="s">
        <v>617</v>
      </c>
      <c r="AX1364" t="s">
        <v>33</v>
      </c>
      <c r="AY1364" t="s">
        <v>623</v>
      </c>
      <c r="AZ1364" t="s">
        <v>621</v>
      </c>
      <c r="BA1364" s="18" t="s">
        <v>802</v>
      </c>
      <c r="BB1364" s="3" t="b">
        <v>0</v>
      </c>
      <c r="BC1364" t="s">
        <v>81</v>
      </c>
      <c r="BD1364">
        <v>18</v>
      </c>
      <c r="BE1364" t="s">
        <v>80</v>
      </c>
      <c r="BF1364">
        <v>24</v>
      </c>
      <c r="BG1364" t="s">
        <v>569</v>
      </c>
      <c r="BH1364" t="s">
        <v>31</v>
      </c>
      <c r="BI1364" t="s">
        <v>31</v>
      </c>
      <c r="BJ1364">
        <f t="shared" si="680"/>
        <v>1.39</v>
      </c>
      <c r="BK1364" s="3">
        <f t="shared" si="679"/>
        <v>0.14301480025409505</v>
      </c>
      <c r="BL1364">
        <v>2</v>
      </c>
      <c r="BM1364" s="3">
        <f t="shared" si="700"/>
        <v>1.5279264804816803</v>
      </c>
      <c r="BN1364" t="s">
        <v>33</v>
      </c>
      <c r="BO1364" s="3">
        <f t="shared" si="695"/>
        <v>33.723021582733821</v>
      </c>
      <c r="BP1364" t="s">
        <v>33</v>
      </c>
      <c r="BQ1364" t="s">
        <v>33</v>
      </c>
      <c r="BR1364" t="s">
        <v>33</v>
      </c>
      <c r="BS1364" t="s">
        <v>33</v>
      </c>
      <c r="BT1364" t="s">
        <v>31</v>
      </c>
      <c r="BU1364" t="s">
        <v>255</v>
      </c>
      <c r="BV1364">
        <v>2010</v>
      </c>
      <c r="BW1364" t="s">
        <v>651</v>
      </c>
      <c r="BX1364" t="s">
        <v>78</v>
      </c>
      <c r="BY1364" s="13" t="s">
        <v>674</v>
      </c>
      <c r="CA1364" t="str">
        <f t="shared" si="696"/>
        <v>low acid</v>
      </c>
    </row>
    <row r="1365" spans="1:79">
      <c r="A1365" t="s">
        <v>254</v>
      </c>
      <c r="B1365" t="s">
        <v>566</v>
      </c>
      <c r="C1365" t="s">
        <v>563</v>
      </c>
      <c r="D1365" t="s">
        <v>33</v>
      </c>
      <c r="E1365" t="s">
        <v>77</v>
      </c>
      <c r="F1365" t="s">
        <v>32</v>
      </c>
      <c r="G1365">
        <v>20</v>
      </c>
      <c r="H1365">
        <v>39.1</v>
      </c>
      <c r="I1365" t="b">
        <v>1</v>
      </c>
      <c r="J1365" t="s">
        <v>33</v>
      </c>
      <c r="K1365" t="s">
        <v>33</v>
      </c>
      <c r="L1365">
        <v>25</v>
      </c>
      <c r="M1365" s="4">
        <v>52</v>
      </c>
      <c r="N1365" s="3">
        <f>IFERROR(AF1365/((T1365*X1365/Y1365)*O1365*AI1365),"NA")</f>
        <v>19.988242210464435</v>
      </c>
      <c r="O1365">
        <v>3</v>
      </c>
      <c r="P1365" t="s">
        <v>33</v>
      </c>
      <c r="Q1365" s="8">
        <f t="shared" si="698"/>
        <v>0.30512820512820515</v>
      </c>
      <c r="R1365" t="s">
        <v>183</v>
      </c>
      <c r="S1365" t="s">
        <v>612</v>
      </c>
      <c r="T1365" s="11">
        <v>1</v>
      </c>
      <c r="U1365">
        <v>4.5</v>
      </c>
      <c r="V1365" t="s">
        <v>33</v>
      </c>
      <c r="W1365" t="s">
        <v>33</v>
      </c>
      <c r="X1365">
        <f>U1365*0.1*1.47</f>
        <v>0.66149999999999998</v>
      </c>
      <c r="Y1365" s="6">
        <f>3000/3600</f>
        <v>0.83333333333333337</v>
      </c>
      <c r="Z1365" s="3">
        <f t="shared" si="693"/>
        <v>2.1679411764705878</v>
      </c>
      <c r="AA1365" t="s">
        <v>33</v>
      </c>
      <c r="AB1365" s="6">
        <f t="shared" si="699"/>
        <v>15.866666666666667</v>
      </c>
      <c r="AC1365" t="str">
        <f t="shared" si="691"/>
        <v>NA</v>
      </c>
      <c r="AD1365" s="4">
        <f>IFERROR(AB1365*T1365*AI1365, "NA")</f>
        <v>15.866666666666667</v>
      </c>
      <c r="AE1365" s="3">
        <f t="shared" si="692"/>
        <v>80.325000000000003</v>
      </c>
      <c r="AF1365">
        <v>47.6</v>
      </c>
      <c r="AG1365" t="str">
        <f>IFERROR((M1365*O1365*P1365), "NA")</f>
        <v>NA</v>
      </c>
      <c r="AH1365" t="str">
        <f>IFERROR((AG1365*T1365*AI1365), "NA")</f>
        <v>NA</v>
      </c>
      <c r="AI1365" s="11">
        <v>1</v>
      </c>
      <c r="AJ1365" t="s">
        <v>31</v>
      </c>
      <c r="AK1365" s="11">
        <v>2700</v>
      </c>
      <c r="AL1365" t="s">
        <v>149</v>
      </c>
      <c r="AM1365" t="s">
        <v>86</v>
      </c>
      <c r="AN1365" t="s">
        <v>205</v>
      </c>
      <c r="AO1365" t="s">
        <v>789</v>
      </c>
      <c r="AP1365">
        <v>3.5</v>
      </c>
      <c r="AQ1365" t="s">
        <v>33</v>
      </c>
      <c r="AR1365" t="s">
        <v>33</v>
      </c>
      <c r="AS1365" s="6">
        <f>LOG(10^8)</f>
        <v>8</v>
      </c>
      <c r="AT1365" s="3">
        <f>IFERROR(AS1365-AU1365,"NA")</f>
        <v>6.61</v>
      </c>
      <c r="AU1365" s="6">
        <v>1.39</v>
      </c>
      <c r="AV1365" t="b">
        <v>1</v>
      </c>
      <c r="AW1365" t="s">
        <v>29</v>
      </c>
      <c r="AX1365" t="s">
        <v>30</v>
      </c>
      <c r="AY1365" t="s">
        <v>33</v>
      </c>
      <c r="AZ1365" t="s">
        <v>134</v>
      </c>
      <c r="BA1365" s="18" t="s">
        <v>798</v>
      </c>
      <c r="BB1365" t="b">
        <v>0</v>
      </c>
      <c r="BC1365" t="s">
        <v>81</v>
      </c>
      <c r="BD1365">
        <v>12</v>
      </c>
      <c r="BE1365" t="s">
        <v>80</v>
      </c>
      <c r="BF1365" s="11">
        <v>48</v>
      </c>
      <c r="BG1365" t="s">
        <v>569</v>
      </c>
      <c r="BH1365" t="s">
        <v>31</v>
      </c>
      <c r="BI1365" t="s">
        <v>31</v>
      </c>
      <c r="BJ1365" s="3">
        <f t="shared" si="680"/>
        <v>1.39</v>
      </c>
      <c r="BK1365" s="3">
        <f t="shared" si="679"/>
        <v>0.14301480025409505</v>
      </c>
      <c r="BL1365">
        <v>2</v>
      </c>
      <c r="BM1365" s="3">
        <f t="shared" si="700"/>
        <v>1.7618359339694607</v>
      </c>
      <c r="BN1365" t="s">
        <v>33</v>
      </c>
      <c r="BO1365" s="3">
        <f t="shared" si="695"/>
        <v>57.787769784172667</v>
      </c>
      <c r="BP1365" t="s">
        <v>33</v>
      </c>
      <c r="BQ1365" t="s">
        <v>33</v>
      </c>
      <c r="BR1365" t="s">
        <v>33</v>
      </c>
      <c r="BS1365" t="s">
        <v>33</v>
      </c>
      <c r="BT1365" t="s">
        <v>32</v>
      </c>
      <c r="BU1365" t="s">
        <v>255</v>
      </c>
      <c r="BV1365">
        <v>2011</v>
      </c>
      <c r="BW1365" s="2" t="s">
        <v>256</v>
      </c>
      <c r="BX1365" t="s">
        <v>78</v>
      </c>
      <c r="BY1365" t="s">
        <v>33</v>
      </c>
      <c r="BZ1365" t="s">
        <v>33</v>
      </c>
      <c r="CA1365" t="str">
        <f t="shared" si="696"/>
        <v>high acid</v>
      </c>
    </row>
    <row r="1366" spans="1:79">
      <c r="A1366" t="s">
        <v>391</v>
      </c>
      <c r="B1366" t="s">
        <v>565</v>
      </c>
      <c r="C1366" t="s">
        <v>563</v>
      </c>
      <c r="D1366" t="s">
        <v>118</v>
      </c>
      <c r="E1366" t="s">
        <v>77</v>
      </c>
      <c r="F1366" t="s">
        <v>32</v>
      </c>
      <c r="G1366">
        <v>25</v>
      </c>
      <c r="H1366">
        <v>36</v>
      </c>
      <c r="I1366" t="b">
        <v>0</v>
      </c>
      <c r="J1366" t="s">
        <v>33</v>
      </c>
      <c r="K1366" t="s">
        <v>33</v>
      </c>
      <c r="L1366">
        <v>30</v>
      </c>
      <c r="M1366" s="4">
        <v>200</v>
      </c>
      <c r="N1366" s="3" t="str">
        <f>IFERROR(AF1366/((T1366*X1366/Y1366)*O1366*AI1366),"NA")</f>
        <v>NA</v>
      </c>
      <c r="O1366">
        <v>4</v>
      </c>
      <c r="P1366" t="s">
        <v>33</v>
      </c>
      <c r="Q1366" s="8">
        <f t="shared" si="698"/>
        <v>2.3437500000000003E-2</v>
      </c>
      <c r="R1366" t="s">
        <v>183</v>
      </c>
      <c r="S1366" t="s">
        <v>612</v>
      </c>
      <c r="T1366" s="11">
        <v>8</v>
      </c>
      <c r="U1366">
        <v>2.9</v>
      </c>
      <c r="V1366">
        <v>2.2999999999999998</v>
      </c>
      <c r="W1366">
        <v>1.2E-2</v>
      </c>
      <c r="X1366" s="8">
        <f>IFERROR(((PI())*(((V1366*10^-1)/2)^2)*(U1366*10^-1)), "NA")</f>
        <v>1.204879322468025E-2</v>
      </c>
      <c r="Y1366" t="s">
        <v>33</v>
      </c>
      <c r="Z1366" s="3">
        <f t="shared" si="693"/>
        <v>0.51408184425302395</v>
      </c>
      <c r="AA1366" t="s">
        <v>33</v>
      </c>
      <c r="AB1366" s="6">
        <f t="shared" si="699"/>
        <v>4.6875</v>
      </c>
      <c r="AC1366" t="str">
        <f t="shared" si="691"/>
        <v>NA</v>
      </c>
      <c r="AD1366" s="4">
        <f>AB1366*T1366*AI1366</f>
        <v>37.5</v>
      </c>
      <c r="AE1366" s="3">
        <f t="shared" si="692"/>
        <v>572.4</v>
      </c>
      <c r="AF1366">
        <v>150</v>
      </c>
      <c r="AG1366" t="str">
        <f>IFERROR((M1366*O1366*P1366), "NA")</f>
        <v>NA</v>
      </c>
      <c r="AH1366" t="str">
        <f>IFERROR((AG1366*T1366*AI1366), "NA")</f>
        <v>NA</v>
      </c>
      <c r="AI1366">
        <v>1</v>
      </c>
      <c r="AJ1366" t="s">
        <v>31</v>
      </c>
      <c r="AK1366">
        <v>4240</v>
      </c>
      <c r="AL1366" t="s">
        <v>238</v>
      </c>
      <c r="AM1366" t="s">
        <v>86</v>
      </c>
      <c r="AN1366" t="s">
        <v>205</v>
      </c>
      <c r="AO1366" t="s">
        <v>789</v>
      </c>
      <c r="AP1366">
        <v>3.56</v>
      </c>
      <c r="AQ1366" t="s">
        <v>33</v>
      </c>
      <c r="AR1366" t="s">
        <v>33</v>
      </c>
      <c r="AS1366" s="6">
        <f>LOG(10^8)</f>
        <v>8</v>
      </c>
      <c r="AT1366" s="3">
        <f>IFERROR(AS1366-AU1366,"NA")</f>
        <v>6.6189999999999998</v>
      </c>
      <c r="AU1366" s="6">
        <v>1.381</v>
      </c>
      <c r="AV1366" t="b">
        <v>1</v>
      </c>
      <c r="AW1366" t="s">
        <v>123</v>
      </c>
      <c r="AX1366" t="s">
        <v>393</v>
      </c>
      <c r="AY1366" t="s">
        <v>394</v>
      </c>
      <c r="AZ1366" t="s">
        <v>33</v>
      </c>
      <c r="BA1366" s="18" t="s">
        <v>579</v>
      </c>
      <c r="BB1366" t="b">
        <v>1</v>
      </c>
      <c r="BC1366" t="s">
        <v>81</v>
      </c>
      <c r="BD1366">
        <v>72</v>
      </c>
      <c r="BE1366" t="s">
        <v>80</v>
      </c>
      <c r="BF1366" s="11">
        <v>72</v>
      </c>
      <c r="BG1366" t="s">
        <v>395</v>
      </c>
      <c r="BH1366" t="s">
        <v>31</v>
      </c>
      <c r="BI1366" t="s">
        <v>31</v>
      </c>
      <c r="BJ1366" s="3">
        <f t="shared" si="680"/>
        <v>1.381</v>
      </c>
      <c r="BK1366" s="3">
        <f t="shared" si="679"/>
        <v>0.1401936785786313</v>
      </c>
      <c r="BL1366">
        <v>2</v>
      </c>
      <c r="BM1366" s="3">
        <f t="shared" si="700"/>
        <v>2.6175059465091075</v>
      </c>
      <c r="BN1366" t="s">
        <v>33</v>
      </c>
      <c r="BO1366" s="3">
        <f t="shared" si="695"/>
        <v>414.48225923244024</v>
      </c>
      <c r="BP1366" t="s">
        <v>33</v>
      </c>
      <c r="BQ1366" t="s">
        <v>33</v>
      </c>
      <c r="BR1366" t="s">
        <v>33</v>
      </c>
      <c r="BS1366" t="s">
        <v>33</v>
      </c>
      <c r="BT1366" t="s">
        <v>31</v>
      </c>
      <c r="BU1366" t="s">
        <v>240</v>
      </c>
      <c r="BV1366">
        <v>2005</v>
      </c>
      <c r="BW1366" t="s">
        <v>396</v>
      </c>
      <c r="BX1366" t="s">
        <v>78</v>
      </c>
      <c r="BY1366" t="s">
        <v>33</v>
      </c>
      <c r="BZ1366" t="s">
        <v>33</v>
      </c>
      <c r="CA1366" t="str">
        <f t="shared" si="696"/>
        <v>high acid</v>
      </c>
    </row>
    <row r="1367" spans="1:79">
      <c r="A1367" t="s">
        <v>392</v>
      </c>
      <c r="B1367" t="s">
        <v>565</v>
      </c>
      <c r="C1367" t="s">
        <v>563</v>
      </c>
      <c r="D1367" t="s">
        <v>118</v>
      </c>
      <c r="E1367" t="s">
        <v>77</v>
      </c>
      <c r="F1367" t="s">
        <v>32</v>
      </c>
      <c r="G1367">
        <v>25</v>
      </c>
      <c r="H1367">
        <v>36</v>
      </c>
      <c r="I1367" t="b">
        <v>0</v>
      </c>
      <c r="J1367" t="s">
        <v>33</v>
      </c>
      <c r="K1367" t="s">
        <v>33</v>
      </c>
      <c r="L1367">
        <v>30</v>
      </c>
      <c r="M1367" s="4">
        <v>200</v>
      </c>
      <c r="N1367" s="3" t="str">
        <f>IFERROR(AF1367/((T1367*X1367/Y1367)*O1367*AI1367),"NA")</f>
        <v>NA</v>
      </c>
      <c r="O1367">
        <v>4</v>
      </c>
      <c r="P1367" t="s">
        <v>33</v>
      </c>
      <c r="Q1367" s="8">
        <f t="shared" si="698"/>
        <v>2.3437500000000003E-2</v>
      </c>
      <c r="R1367" t="s">
        <v>183</v>
      </c>
      <c r="S1367" t="s">
        <v>613</v>
      </c>
      <c r="T1367" s="11">
        <v>8</v>
      </c>
      <c r="U1367">
        <v>2.9</v>
      </c>
      <c r="V1367">
        <v>2.2999999999999998</v>
      </c>
      <c r="W1367">
        <v>1.2E-2</v>
      </c>
      <c r="X1367" s="8">
        <f>IFERROR(((PI())*(((V1367*10^-1)/2)^2)*(U1367*10^-1)), "NA")</f>
        <v>1.204879322468025E-2</v>
      </c>
      <c r="Y1367" t="s">
        <v>33</v>
      </c>
      <c r="Z1367" s="3">
        <f t="shared" si="693"/>
        <v>0.51408184425302395</v>
      </c>
      <c r="AA1367" t="s">
        <v>33</v>
      </c>
      <c r="AB1367" s="6">
        <f t="shared" si="699"/>
        <v>4.6875</v>
      </c>
      <c r="AC1367" t="str">
        <f t="shared" si="691"/>
        <v>NA</v>
      </c>
      <c r="AD1367" s="4">
        <f>AB1367*T1367*AI1367</f>
        <v>37.5</v>
      </c>
      <c r="AE1367" s="3">
        <f t="shared" si="692"/>
        <v>572.4</v>
      </c>
      <c r="AF1367">
        <v>150</v>
      </c>
      <c r="AG1367" t="str">
        <f>IFERROR((M1367*O1367*P1367), "NA")</f>
        <v>NA</v>
      </c>
      <c r="AH1367" t="str">
        <f>IFERROR((AG1367*T1367*AI1367), "NA")</f>
        <v>NA</v>
      </c>
      <c r="AI1367">
        <v>1</v>
      </c>
      <c r="AJ1367" t="s">
        <v>31</v>
      </c>
      <c r="AK1367">
        <v>4240</v>
      </c>
      <c r="AL1367" t="s">
        <v>238</v>
      </c>
      <c r="AM1367" t="s">
        <v>86</v>
      </c>
      <c r="AN1367" t="s">
        <v>205</v>
      </c>
      <c r="AO1367" t="s">
        <v>789</v>
      </c>
      <c r="AP1367">
        <v>3.56</v>
      </c>
      <c r="AQ1367" t="s">
        <v>33</v>
      </c>
      <c r="AR1367" t="s">
        <v>33</v>
      </c>
      <c r="AS1367" s="6">
        <f>LOG(10^8)</f>
        <v>8</v>
      </c>
      <c r="AT1367" s="3">
        <f>IFERROR(AS1367-AU1367,"NA")</f>
        <v>6.6240000000000006</v>
      </c>
      <c r="AU1367" s="6">
        <v>1.3759999999999999</v>
      </c>
      <c r="AV1367" t="b">
        <v>1</v>
      </c>
      <c r="AW1367" t="s">
        <v>123</v>
      </c>
      <c r="AX1367" t="s">
        <v>393</v>
      </c>
      <c r="AY1367" t="s">
        <v>394</v>
      </c>
      <c r="AZ1367" t="s">
        <v>33</v>
      </c>
      <c r="BA1367" s="18" t="s">
        <v>579</v>
      </c>
      <c r="BB1367" t="b">
        <v>1</v>
      </c>
      <c r="BC1367" t="s">
        <v>81</v>
      </c>
      <c r="BD1367">
        <v>72</v>
      </c>
      <c r="BE1367" t="s">
        <v>80</v>
      </c>
      <c r="BF1367" s="11">
        <v>72</v>
      </c>
      <c r="BG1367" t="s">
        <v>395</v>
      </c>
      <c r="BH1367" t="s">
        <v>31</v>
      </c>
      <c r="BI1367" t="s">
        <v>31</v>
      </c>
      <c r="BJ1367" s="3">
        <f t="shared" si="680"/>
        <v>1.3759999999999999</v>
      </c>
      <c r="BK1367" s="3">
        <f t="shared" si="679"/>
        <v>0.13861843389949247</v>
      </c>
      <c r="BL1367">
        <v>2</v>
      </c>
      <c r="BM1367" s="3">
        <f t="shared" si="700"/>
        <v>2.6190811911882461</v>
      </c>
      <c r="BN1367" t="s">
        <v>33</v>
      </c>
      <c r="BO1367" s="3">
        <f t="shared" si="695"/>
        <v>415.98837209302326</v>
      </c>
      <c r="BP1367" t="s">
        <v>33</v>
      </c>
      <c r="BQ1367" t="s">
        <v>33</v>
      </c>
      <c r="BR1367" t="s">
        <v>33</v>
      </c>
      <c r="BS1367" t="s">
        <v>33</v>
      </c>
      <c r="BT1367" t="s">
        <v>31</v>
      </c>
      <c r="BU1367" t="s">
        <v>240</v>
      </c>
      <c r="BV1367">
        <v>2005</v>
      </c>
      <c r="BW1367" t="s">
        <v>396</v>
      </c>
      <c r="BX1367" t="s">
        <v>78</v>
      </c>
      <c r="BY1367" t="s">
        <v>33</v>
      </c>
      <c r="BZ1367" t="s">
        <v>33</v>
      </c>
      <c r="CA1367" t="str">
        <f t="shared" si="696"/>
        <v>high acid</v>
      </c>
    </row>
    <row r="1368" spans="1:79">
      <c r="A1368" t="s">
        <v>583</v>
      </c>
      <c r="B1368" t="s">
        <v>566</v>
      </c>
      <c r="C1368" t="s">
        <v>563</v>
      </c>
      <c r="D1368" t="s">
        <v>33</v>
      </c>
      <c r="E1368" t="s">
        <v>77</v>
      </c>
      <c r="F1368" t="s">
        <v>32</v>
      </c>
      <c r="G1368" t="s">
        <v>33</v>
      </c>
      <c r="H1368">
        <v>10</v>
      </c>
      <c r="I1368" t="b">
        <v>1</v>
      </c>
      <c r="J1368" t="s">
        <v>33</v>
      </c>
      <c r="K1368" t="s">
        <v>33</v>
      </c>
      <c r="L1368">
        <v>30</v>
      </c>
      <c r="M1368" s="4">
        <v>2</v>
      </c>
      <c r="N1368" t="e">
        <f>(#REF!*Y1368)/(T1368*X1368*O1368)</f>
        <v>#REF!</v>
      </c>
      <c r="O1368">
        <v>2</v>
      </c>
      <c r="P1368" t="s">
        <v>33</v>
      </c>
      <c r="Q1368" s="1">
        <f t="shared" si="698"/>
        <v>52.5</v>
      </c>
      <c r="R1368" t="s">
        <v>183</v>
      </c>
      <c r="S1368" t="s">
        <v>613</v>
      </c>
      <c r="T1368">
        <v>1</v>
      </c>
      <c r="U1368">
        <v>5</v>
      </c>
      <c r="V1368" t="s">
        <v>33</v>
      </c>
      <c r="W1368">
        <v>0.71</v>
      </c>
      <c r="X1368">
        <f>W1368</f>
        <v>0.71</v>
      </c>
      <c r="Y1368">
        <v>0.1</v>
      </c>
      <c r="Z1368" s="3">
        <f t="shared" si="693"/>
        <v>1.3523809523809523E-2</v>
      </c>
      <c r="AA1368" t="s">
        <v>33</v>
      </c>
      <c r="AB1368">
        <f t="shared" si="699"/>
        <v>105</v>
      </c>
      <c r="AC1368" s="1" t="str">
        <f t="shared" si="691"/>
        <v>NA</v>
      </c>
      <c r="AE1368" s="3">
        <f t="shared" si="692"/>
        <v>888.3</v>
      </c>
      <c r="AF1368">
        <v>210</v>
      </c>
      <c r="AG1368" s="1" t="str">
        <f>IFERROR((N1368*P1368*Q1368), "NA")</f>
        <v>NA</v>
      </c>
      <c r="AH1368" s="1" t="str">
        <f>IFERROR((AG1368*U1368*AI1368), "NA")</f>
        <v>NA</v>
      </c>
      <c r="AI1368" s="1">
        <v>1</v>
      </c>
      <c r="AJ1368" s="11" t="s">
        <v>31</v>
      </c>
      <c r="AK1368">
        <v>4700</v>
      </c>
      <c r="AL1368" t="s">
        <v>562</v>
      </c>
      <c r="AM1368" s="3" t="s">
        <v>786</v>
      </c>
      <c r="AN1368" t="s">
        <v>186</v>
      </c>
      <c r="AO1368" t="s">
        <v>793</v>
      </c>
      <c r="AP1368" t="s">
        <v>33</v>
      </c>
      <c r="AQ1368" t="s">
        <v>33</v>
      </c>
      <c r="AR1368" t="s">
        <v>33</v>
      </c>
      <c r="AS1368">
        <v>8</v>
      </c>
      <c r="AT1368">
        <f>AS1368-AU1368</f>
        <v>6.63</v>
      </c>
      <c r="AU1368" s="6">
        <v>1.37</v>
      </c>
      <c r="AV1368" t="b">
        <v>1</v>
      </c>
      <c r="AW1368" t="s">
        <v>617</v>
      </c>
      <c r="AX1368" t="s">
        <v>33</v>
      </c>
      <c r="AY1368" t="s">
        <v>622</v>
      </c>
      <c r="AZ1368" t="s">
        <v>619</v>
      </c>
      <c r="BA1368" s="18" t="s">
        <v>802</v>
      </c>
      <c r="BB1368" s="3" t="b">
        <v>0</v>
      </c>
      <c r="BC1368" t="s">
        <v>81</v>
      </c>
      <c r="BD1368">
        <v>18</v>
      </c>
      <c r="BE1368" t="s">
        <v>80</v>
      </c>
      <c r="BF1368">
        <v>24</v>
      </c>
      <c r="BG1368" t="s">
        <v>696</v>
      </c>
      <c r="BH1368" t="s">
        <v>32</v>
      </c>
      <c r="BI1368" t="s">
        <v>31</v>
      </c>
      <c r="BJ1368">
        <f t="shared" si="680"/>
        <v>1.37</v>
      </c>
      <c r="BK1368" s="3">
        <f t="shared" si="679"/>
        <v>0.13672056715640679</v>
      </c>
      <c r="BL1368">
        <v>2</v>
      </c>
      <c r="BM1368" s="3">
        <f t="shared" si="700"/>
        <v>2.8118390949525547</v>
      </c>
      <c r="BN1368" t="s">
        <v>33</v>
      </c>
      <c r="BO1368" s="3">
        <f t="shared" si="695"/>
        <v>648.39416058394147</v>
      </c>
      <c r="BP1368" t="s">
        <v>33</v>
      </c>
      <c r="BQ1368" t="s">
        <v>33</v>
      </c>
      <c r="BR1368" t="s">
        <v>33</v>
      </c>
      <c r="BS1368" t="s">
        <v>33</v>
      </c>
      <c r="BT1368" t="s">
        <v>31</v>
      </c>
      <c r="BU1368" t="s">
        <v>338</v>
      </c>
      <c r="BV1368">
        <v>2005</v>
      </c>
      <c r="BW1368" t="s">
        <v>342</v>
      </c>
      <c r="BX1368" t="s">
        <v>78</v>
      </c>
      <c r="BY1368" s="13" t="s">
        <v>673</v>
      </c>
      <c r="CA1368" t="str">
        <f t="shared" si="696"/>
        <v>low acid</v>
      </c>
    </row>
    <row r="1369" spans="1:79">
      <c r="A1369" t="s">
        <v>537</v>
      </c>
      <c r="B1369" t="s">
        <v>565</v>
      </c>
      <c r="C1369" t="s">
        <v>563</v>
      </c>
      <c r="D1369" t="s">
        <v>118</v>
      </c>
      <c r="E1369" t="s">
        <v>77</v>
      </c>
      <c r="F1369" t="s">
        <v>32</v>
      </c>
      <c r="G1369">
        <v>5</v>
      </c>
      <c r="H1369">
        <v>50</v>
      </c>
      <c r="I1369" t="b">
        <v>0</v>
      </c>
      <c r="J1369" t="s">
        <v>33</v>
      </c>
      <c r="K1369" t="s">
        <v>33</v>
      </c>
      <c r="L1369">
        <v>25</v>
      </c>
      <c r="M1369" s="4">
        <v>750</v>
      </c>
      <c r="N1369" s="3">
        <f>IFERROR(AF1369/((T1369*X1369/Y1369)*O1369*AI1369),"NA")</f>
        <v>746.96277313189933</v>
      </c>
      <c r="O1369">
        <v>2</v>
      </c>
      <c r="P1369" t="s">
        <v>33</v>
      </c>
      <c r="Q1369">
        <f t="shared" si="698"/>
        <v>1.2E-2</v>
      </c>
      <c r="R1369" t="s">
        <v>183</v>
      </c>
      <c r="S1369" t="s">
        <v>613</v>
      </c>
      <c r="T1369" s="11">
        <v>6</v>
      </c>
      <c r="U1369">
        <v>2.9</v>
      </c>
      <c r="V1369">
        <v>2.2999999999999998</v>
      </c>
      <c r="W1369" t="s">
        <v>33</v>
      </c>
      <c r="X1369" s="8">
        <f>IFERROR(((PI())*(((V1369*10^-1)/2)^2)*(U1369*10^-1)), "NA")</f>
        <v>1.204879322468025E-2</v>
      </c>
      <c r="Y1369" s="6">
        <f>60/60</f>
        <v>1</v>
      </c>
      <c r="Z1369" s="3">
        <f t="shared" si="693"/>
        <v>1.0040661020566874</v>
      </c>
      <c r="AA1369" t="s">
        <v>33</v>
      </c>
      <c r="AB1369" s="6">
        <f t="shared" si="699"/>
        <v>9</v>
      </c>
      <c r="AC1369" t="str">
        <f t="shared" si="691"/>
        <v>NA</v>
      </c>
      <c r="AD1369" s="4">
        <f>IFERROR(AB1369*T1369*AI1369, "NA")</f>
        <v>54</v>
      </c>
      <c r="AE1369" s="3">
        <f t="shared" si="692"/>
        <v>108.53999999999999</v>
      </c>
      <c r="AF1369">
        <v>108</v>
      </c>
      <c r="AG1369" t="str">
        <f>IFERROR((M1369*O1369*P1369), "NA")</f>
        <v>NA</v>
      </c>
      <c r="AH1369" t="str">
        <f>IFERROR((AG1369*T1369*AI1369), "NA")</f>
        <v>NA</v>
      </c>
      <c r="AI1369" s="11">
        <v>1</v>
      </c>
      <c r="AJ1369" t="s">
        <v>31</v>
      </c>
      <c r="AK1369">
        <v>1608</v>
      </c>
      <c r="AL1369" t="s">
        <v>149</v>
      </c>
      <c r="AM1369" t="s">
        <v>86</v>
      </c>
      <c r="AN1369" t="s">
        <v>205</v>
      </c>
      <c r="AO1369" t="s">
        <v>789</v>
      </c>
      <c r="AP1369">
        <v>3.41</v>
      </c>
      <c r="AQ1369" t="s">
        <v>33</v>
      </c>
      <c r="AR1369" t="s">
        <v>33</v>
      </c>
      <c r="AS1369" s="3">
        <v>9</v>
      </c>
      <c r="AT1369" s="3">
        <f>IFERROR(AS1369-AU1369,"NA")</f>
        <v>6.63</v>
      </c>
      <c r="AU1369" s="6">
        <v>2.37</v>
      </c>
      <c r="AV1369" t="b">
        <v>1</v>
      </c>
      <c r="AW1369" t="s">
        <v>29</v>
      </c>
      <c r="AX1369" t="s">
        <v>30</v>
      </c>
      <c r="AY1369" t="s">
        <v>33</v>
      </c>
      <c r="AZ1369" t="s">
        <v>134</v>
      </c>
      <c r="BA1369" s="18" t="s">
        <v>798</v>
      </c>
      <c r="BB1369" t="b">
        <v>0</v>
      </c>
      <c r="BC1369" t="s">
        <v>81</v>
      </c>
      <c r="BD1369">
        <f>18</f>
        <v>18</v>
      </c>
      <c r="BE1369" t="s">
        <v>80</v>
      </c>
      <c r="BF1369" s="11">
        <v>24</v>
      </c>
      <c r="BG1369" t="s">
        <v>262</v>
      </c>
      <c r="BH1369" t="s">
        <v>31</v>
      </c>
      <c r="BI1369" t="s">
        <v>31</v>
      </c>
      <c r="BJ1369" s="3">
        <f t="shared" si="680"/>
        <v>2.37</v>
      </c>
      <c r="BK1369" s="3">
        <f t="shared" si="679"/>
        <v>0.37474834601010387</v>
      </c>
      <c r="BL1369">
        <v>2</v>
      </c>
      <c r="BM1369" s="3">
        <f t="shared" si="700"/>
        <v>1.6608414712333535</v>
      </c>
      <c r="BN1369" t="s">
        <v>33</v>
      </c>
      <c r="BO1369" s="3">
        <f t="shared" si="695"/>
        <v>45.797468354430372</v>
      </c>
      <c r="BP1369" t="s">
        <v>33</v>
      </c>
      <c r="BQ1369" t="s">
        <v>33</v>
      </c>
      <c r="BR1369" t="s">
        <v>33</v>
      </c>
      <c r="BS1369" t="s">
        <v>33</v>
      </c>
      <c r="BT1369" t="s">
        <v>31</v>
      </c>
      <c r="BU1369" t="s">
        <v>190</v>
      </c>
      <c r="BV1369">
        <v>2021</v>
      </c>
      <c r="BW1369" s="5" t="s">
        <v>191</v>
      </c>
      <c r="BX1369" t="s">
        <v>78</v>
      </c>
      <c r="BY1369" t="s">
        <v>33</v>
      </c>
      <c r="BZ1369" t="s">
        <v>150</v>
      </c>
      <c r="CA1369" t="str">
        <f t="shared" si="696"/>
        <v>high acid</v>
      </c>
    </row>
    <row r="1370" spans="1:79">
      <c r="A1370" t="s">
        <v>397</v>
      </c>
      <c r="B1370" t="s">
        <v>565</v>
      </c>
      <c r="C1370" t="s">
        <v>563</v>
      </c>
      <c r="D1370" t="s">
        <v>118</v>
      </c>
      <c r="E1370" t="s">
        <v>77</v>
      </c>
      <c r="F1370" t="s">
        <v>32</v>
      </c>
      <c r="G1370">
        <v>25</v>
      </c>
      <c r="H1370">
        <v>34.9</v>
      </c>
      <c r="I1370" t="b">
        <v>1</v>
      </c>
      <c r="J1370" t="s">
        <v>33</v>
      </c>
      <c r="K1370" t="s">
        <v>33</v>
      </c>
      <c r="L1370">
        <v>30</v>
      </c>
      <c r="M1370" s="4">
        <v>350</v>
      </c>
      <c r="N1370" s="3" t="str">
        <f>IFERROR(AF1370/((T1370*X1370/Y1370)*O1370*AI1370),"NA")</f>
        <v>NA</v>
      </c>
      <c r="O1370">
        <v>4</v>
      </c>
      <c r="P1370" t="s">
        <v>33</v>
      </c>
      <c r="Q1370" s="8">
        <f t="shared" si="698"/>
        <v>2.6785714285714284E-2</v>
      </c>
      <c r="R1370" t="s">
        <v>183</v>
      </c>
      <c r="S1370" t="s">
        <v>613</v>
      </c>
      <c r="T1370" s="11">
        <v>8</v>
      </c>
      <c r="U1370">
        <v>2.9</v>
      </c>
      <c r="V1370">
        <v>2.2999999999999998</v>
      </c>
      <c r="W1370">
        <v>1.2E-2</v>
      </c>
      <c r="X1370" s="8">
        <f>IFERROR(((PI())*(((V1370*10^-1)/2)^2)*(U1370*10^-1)), "NA")</f>
        <v>1.204879322468025E-2</v>
      </c>
      <c r="Y1370" t="s">
        <v>33</v>
      </c>
      <c r="Z1370" s="3">
        <f t="shared" si="693"/>
        <v>0.44982161372139606</v>
      </c>
      <c r="AA1370" t="s">
        <v>33</v>
      </c>
      <c r="AB1370" s="6">
        <f t="shared" si="699"/>
        <v>9.375</v>
      </c>
      <c r="AC1370" t="str">
        <f t="shared" si="691"/>
        <v>NA</v>
      </c>
      <c r="AD1370" s="4">
        <f>AB1370*T1370*AI1370</f>
        <v>75</v>
      </c>
      <c r="AE1370" s="3">
        <f t="shared" si="692"/>
        <v>1144.8</v>
      </c>
      <c r="AF1370">
        <v>300</v>
      </c>
      <c r="AG1370" t="str">
        <f>IFERROR((M1370*O1370*P1370), "NA")</f>
        <v>NA</v>
      </c>
      <c r="AH1370" t="str">
        <f>IFERROR((AG1370*T1370*AI1370), "NA")</f>
        <v>NA</v>
      </c>
      <c r="AI1370">
        <v>1</v>
      </c>
      <c r="AJ1370" t="s">
        <v>31</v>
      </c>
      <c r="AK1370">
        <v>4240</v>
      </c>
      <c r="AL1370" t="s">
        <v>238</v>
      </c>
      <c r="AM1370" t="s">
        <v>86</v>
      </c>
      <c r="AN1370" t="s">
        <v>205</v>
      </c>
      <c r="AO1370" t="s">
        <v>789</v>
      </c>
      <c r="AP1370">
        <v>3.56</v>
      </c>
      <c r="AQ1370" t="s">
        <v>33</v>
      </c>
      <c r="AR1370" t="s">
        <v>33</v>
      </c>
      <c r="AS1370" s="6">
        <f>LOG(10^8)</f>
        <v>8</v>
      </c>
      <c r="AT1370" s="3">
        <f>IFERROR(AS1370-AU1370,"NA")</f>
        <v>6.6310000000000002</v>
      </c>
      <c r="AU1370" s="6">
        <v>1.369</v>
      </c>
      <c r="AV1370" t="b">
        <v>1</v>
      </c>
      <c r="AW1370" t="s">
        <v>123</v>
      </c>
      <c r="AX1370" t="s">
        <v>393</v>
      </c>
      <c r="AY1370" t="s">
        <v>394</v>
      </c>
      <c r="AZ1370" t="s">
        <v>33</v>
      </c>
      <c r="BA1370" s="18" t="s">
        <v>579</v>
      </c>
      <c r="BB1370" t="b">
        <v>1</v>
      </c>
      <c r="BC1370" t="s">
        <v>81</v>
      </c>
      <c r="BD1370">
        <v>72</v>
      </c>
      <c r="BE1370" t="s">
        <v>80</v>
      </c>
      <c r="BF1370" s="11">
        <v>72</v>
      </c>
      <c r="BG1370" t="s">
        <v>395</v>
      </c>
      <c r="BH1370" t="s">
        <v>31</v>
      </c>
      <c r="BI1370" t="s">
        <v>31</v>
      </c>
      <c r="BJ1370" s="3">
        <f t="shared" si="680"/>
        <v>1.369</v>
      </c>
      <c r="BK1370" s="3">
        <f t="shared" si="679"/>
        <v>0.13640344813399</v>
      </c>
      <c r="BL1370">
        <v>2</v>
      </c>
      <c r="BM1370" s="3">
        <f t="shared" si="700"/>
        <v>2.9223261726177299</v>
      </c>
      <c r="BN1370" t="s">
        <v>33</v>
      </c>
      <c r="BO1370" s="3">
        <f t="shared" si="695"/>
        <v>836.23082542001453</v>
      </c>
      <c r="BP1370" t="s">
        <v>33</v>
      </c>
      <c r="BQ1370" t="s">
        <v>33</v>
      </c>
      <c r="BR1370" t="s">
        <v>33</v>
      </c>
      <c r="BS1370" t="s">
        <v>33</v>
      </c>
      <c r="BT1370" t="s">
        <v>31</v>
      </c>
      <c r="BU1370" t="s">
        <v>240</v>
      </c>
      <c r="BV1370">
        <v>2005</v>
      </c>
      <c r="BW1370" t="s">
        <v>396</v>
      </c>
      <c r="BX1370" t="s">
        <v>78</v>
      </c>
      <c r="BY1370" t="s">
        <v>33</v>
      </c>
      <c r="BZ1370" t="s">
        <v>33</v>
      </c>
      <c r="CA1370" t="str">
        <f t="shared" si="696"/>
        <v>high acid</v>
      </c>
    </row>
    <row r="1371" spans="1:79">
      <c r="A1371" t="s">
        <v>376</v>
      </c>
      <c r="B1371" t="s">
        <v>566</v>
      </c>
      <c r="C1371" t="s">
        <v>563</v>
      </c>
      <c r="D1371" t="s">
        <v>369</v>
      </c>
      <c r="E1371" t="s">
        <v>77</v>
      </c>
      <c r="F1371" t="s">
        <v>32</v>
      </c>
      <c r="G1371">
        <v>8</v>
      </c>
      <c r="H1371">
        <v>105.7</v>
      </c>
      <c r="I1371" t="b">
        <v>1</v>
      </c>
      <c r="J1371">
        <v>40500</v>
      </c>
      <c r="K1371">
        <v>300</v>
      </c>
      <c r="L1371">
        <v>59.9</v>
      </c>
      <c r="M1371" s="4">
        <v>500</v>
      </c>
      <c r="N1371" s="3" t="str">
        <f>IFERROR(AF1371/((T1371*X1371/Y1371)*O1371*AI1371),"NA")</f>
        <v>NA</v>
      </c>
      <c r="O1371">
        <v>0.1</v>
      </c>
      <c r="P1371">
        <v>5</v>
      </c>
      <c r="Q1371" s="8">
        <f t="shared" si="698"/>
        <v>5</v>
      </c>
      <c r="R1371" t="s">
        <v>278</v>
      </c>
      <c r="S1371" t="s">
        <v>613</v>
      </c>
      <c r="T1371" s="11">
        <v>1</v>
      </c>
      <c r="U1371">
        <v>4</v>
      </c>
      <c r="V1371" t="s">
        <v>33</v>
      </c>
      <c r="W1371">
        <v>0.92</v>
      </c>
      <c r="X1371" s="8">
        <f>230*0.01*0.1*U1371</f>
        <v>0.92000000000000015</v>
      </c>
      <c r="Y1371" s="9">
        <f>11/60</f>
        <v>0.18333333333333332</v>
      </c>
      <c r="Z1371" s="3">
        <f>IFERROR(X1371*M1371*O1371*T1371*AI1371/AH1371, "NA")</f>
        <v>0.18400000000000002</v>
      </c>
      <c r="AA1371" t="s">
        <v>33</v>
      </c>
      <c r="AB1371" s="6">
        <f t="shared" si="699"/>
        <v>2500</v>
      </c>
      <c r="AC1371">
        <f t="shared" si="691"/>
        <v>2500</v>
      </c>
      <c r="AD1371" s="4">
        <f>AB1371*T1371*AI1371</f>
        <v>2500</v>
      </c>
      <c r="AE1371" s="3">
        <f t="shared" si="692"/>
        <v>2152.806</v>
      </c>
      <c r="AF1371" t="s">
        <v>33</v>
      </c>
      <c r="AG1371">
        <f>IFERROR((M1371*O1371*P1371), "NA")</f>
        <v>250</v>
      </c>
      <c r="AH1371">
        <f>IFERROR((AG1371*T1371*AI1371), "NA")</f>
        <v>250</v>
      </c>
      <c r="AI1371">
        <v>1</v>
      </c>
      <c r="AJ1371" t="s">
        <v>31</v>
      </c>
      <c r="AK1371">
        <v>2400</v>
      </c>
      <c r="AL1371" t="s">
        <v>548</v>
      </c>
      <c r="AM1371" t="s">
        <v>103</v>
      </c>
      <c r="AN1371" t="s">
        <v>33</v>
      </c>
      <c r="AO1371" t="str">
        <f>AN1371</f>
        <v>NA</v>
      </c>
      <c r="AP1371" t="s">
        <v>33</v>
      </c>
      <c r="AQ1371" t="s">
        <v>33</v>
      </c>
      <c r="AR1371" t="s">
        <v>33</v>
      </c>
      <c r="AS1371" s="6">
        <f>LOG(9.7*10^10)</f>
        <v>10.986771734266245</v>
      </c>
      <c r="AT1371" s="3">
        <f>IFERROR(AS1371-AU1371,"NA")</f>
        <v>6.6347717342662449</v>
      </c>
      <c r="AU1371" s="6">
        <f>4.492-0.14</f>
        <v>4.3520000000000003</v>
      </c>
      <c r="AV1371" t="b">
        <v>1</v>
      </c>
      <c r="AW1371" t="s">
        <v>372</v>
      </c>
      <c r="AX1371" t="s">
        <v>373</v>
      </c>
      <c r="AY1371" t="s">
        <v>33</v>
      </c>
      <c r="AZ1371" t="s">
        <v>33</v>
      </c>
      <c r="BA1371" s="18" t="s">
        <v>797</v>
      </c>
      <c r="BB1371" t="b">
        <v>0</v>
      </c>
      <c r="BC1371" t="s">
        <v>374</v>
      </c>
      <c r="BD1371" t="s">
        <v>33</v>
      </c>
      <c r="BE1371" t="s">
        <v>33</v>
      </c>
      <c r="BF1371" s="11">
        <v>24</v>
      </c>
      <c r="BG1371" t="s">
        <v>33</v>
      </c>
      <c r="BH1371" t="s">
        <v>33</v>
      </c>
      <c r="BI1371" t="s">
        <v>31</v>
      </c>
      <c r="BJ1371" s="3">
        <f t="shared" si="680"/>
        <v>4.3520000000000003</v>
      </c>
      <c r="BK1371" s="3">
        <f t="shared" si="679"/>
        <v>0.63868888669012347</v>
      </c>
      <c r="BL1371">
        <v>2</v>
      </c>
      <c r="BM1371" s="3">
        <f t="shared" si="700"/>
        <v>2.6943160084721427</v>
      </c>
      <c r="BN1371" t="s">
        <v>33</v>
      </c>
      <c r="BO1371" s="3">
        <f t="shared" si="695"/>
        <v>494.67049632352939</v>
      </c>
      <c r="BP1371" t="s">
        <v>33</v>
      </c>
      <c r="BQ1371" t="s">
        <v>33</v>
      </c>
      <c r="BR1371" t="s">
        <v>33</v>
      </c>
      <c r="BS1371" t="s">
        <v>33</v>
      </c>
      <c r="BT1371" t="s">
        <v>31</v>
      </c>
      <c r="BU1371" t="s">
        <v>371</v>
      </c>
      <c r="BV1371">
        <v>2008</v>
      </c>
      <c r="BW1371" t="s">
        <v>380</v>
      </c>
      <c r="BX1371" t="s">
        <v>78</v>
      </c>
      <c r="BY1371" t="s">
        <v>370</v>
      </c>
      <c r="CA1371" t="str">
        <f t="shared" si="696"/>
        <v>NA</v>
      </c>
    </row>
    <row r="1372" spans="1:79">
      <c r="A1372" t="s">
        <v>597</v>
      </c>
      <c r="B1372" t="s">
        <v>565</v>
      </c>
      <c r="C1372" t="s">
        <v>563</v>
      </c>
      <c r="D1372" t="s">
        <v>33</v>
      </c>
      <c r="E1372" t="s">
        <v>77</v>
      </c>
      <c r="F1372" t="s">
        <v>33</v>
      </c>
      <c r="G1372">
        <v>20</v>
      </c>
      <c r="H1372">
        <v>35</v>
      </c>
      <c r="I1372" t="b">
        <v>0</v>
      </c>
      <c r="J1372" t="s">
        <v>33</v>
      </c>
      <c r="K1372" t="s">
        <v>33</v>
      </c>
      <c r="L1372">
        <v>12</v>
      </c>
      <c r="M1372" s="4">
        <v>1</v>
      </c>
      <c r="N1372" t="e">
        <f>(#REF!*Y1372)/(T1372*X1372*O1372)</f>
        <v>#REF!</v>
      </c>
      <c r="O1372">
        <v>2</v>
      </c>
      <c r="P1372" t="s">
        <v>33</v>
      </c>
      <c r="Q1372" s="1">
        <f t="shared" si="698"/>
        <v>48.19</v>
      </c>
      <c r="R1372" t="s">
        <v>183</v>
      </c>
      <c r="S1372" t="s">
        <v>33</v>
      </c>
      <c r="T1372">
        <v>1</v>
      </c>
      <c r="U1372">
        <v>2.5</v>
      </c>
      <c r="V1372" t="s">
        <v>33</v>
      </c>
      <c r="W1372">
        <v>0.50249999999999995</v>
      </c>
      <c r="X1372">
        <f>W1372</f>
        <v>0.50249999999999995</v>
      </c>
      <c r="Y1372" t="s">
        <v>33</v>
      </c>
      <c r="Z1372" s="3">
        <f t="shared" ref="Z1372:Z1381" si="701">IFERROR(X1372*M1372*O1372*T1372*AI1372/AF1372, "NA")</f>
        <v>1.0427474579788338E-2</v>
      </c>
      <c r="AA1372" t="s">
        <v>33</v>
      </c>
      <c r="AB1372">
        <f t="shared" si="699"/>
        <v>48.19</v>
      </c>
      <c r="AC1372" s="1" t="str">
        <f t="shared" si="691"/>
        <v>NA</v>
      </c>
      <c r="AE1372" s="3">
        <f t="shared" si="692"/>
        <v>27.757439999999995</v>
      </c>
      <c r="AF1372">
        <v>96.38</v>
      </c>
      <c r="AG1372" s="1" t="str">
        <f>IFERROR((N1372*P1372*Q1372), "NA")</f>
        <v>NA</v>
      </c>
      <c r="AH1372" s="1" t="str">
        <f>IFERROR((AG1372*U1372*AI1372), "NA")</f>
        <v>NA</v>
      </c>
      <c r="AI1372" s="1">
        <v>1</v>
      </c>
      <c r="AJ1372" s="11" t="s">
        <v>31</v>
      </c>
      <c r="AK1372">
        <v>2000</v>
      </c>
      <c r="AL1372" t="s">
        <v>784</v>
      </c>
      <c r="AM1372" s="3" t="s">
        <v>103</v>
      </c>
      <c r="AN1372" t="s">
        <v>130</v>
      </c>
      <c r="AO1372" t="s">
        <v>795</v>
      </c>
      <c r="AP1372">
        <v>7</v>
      </c>
      <c r="AQ1372" t="s">
        <v>33</v>
      </c>
      <c r="AR1372" t="s">
        <v>33</v>
      </c>
      <c r="AS1372">
        <v>9</v>
      </c>
      <c r="AT1372">
        <f>AS1372-AU1372</f>
        <v>6.6400000000000006</v>
      </c>
      <c r="AU1372" s="6">
        <v>2.36</v>
      </c>
      <c r="AV1372" t="b">
        <v>1</v>
      </c>
      <c r="AW1372" t="s">
        <v>617</v>
      </c>
      <c r="AX1372" t="s">
        <v>635</v>
      </c>
      <c r="AY1372" t="s">
        <v>636</v>
      </c>
      <c r="AZ1372" t="s">
        <v>33</v>
      </c>
      <c r="BA1372" s="18" t="s">
        <v>802</v>
      </c>
      <c r="BB1372" s="3" t="b">
        <v>0</v>
      </c>
      <c r="BC1372" t="s">
        <v>81</v>
      </c>
      <c r="BD1372">
        <v>24</v>
      </c>
      <c r="BE1372" t="s">
        <v>80</v>
      </c>
      <c r="BF1372">
        <v>24</v>
      </c>
      <c r="BG1372" t="s">
        <v>644</v>
      </c>
      <c r="BH1372" t="s">
        <v>31</v>
      </c>
      <c r="BI1372" t="s">
        <v>31</v>
      </c>
      <c r="BJ1372">
        <f t="shared" si="680"/>
        <v>2.36</v>
      </c>
      <c r="BK1372" s="3">
        <f t="shared" si="679"/>
        <v>0.37291200297010657</v>
      </c>
      <c r="BL1372">
        <v>2</v>
      </c>
      <c r="BM1372" s="3">
        <f t="shared" si="700"/>
        <v>1.0704674067543138</v>
      </c>
      <c r="BN1372" t="s">
        <v>33</v>
      </c>
      <c r="BO1372" s="3">
        <f t="shared" si="695"/>
        <v>11.761627118644066</v>
      </c>
      <c r="BP1372" t="s">
        <v>33</v>
      </c>
      <c r="BQ1372" t="s">
        <v>33</v>
      </c>
      <c r="BR1372" t="s">
        <v>33</v>
      </c>
      <c r="BS1372" t="s">
        <v>33</v>
      </c>
      <c r="BT1372" t="s">
        <v>31</v>
      </c>
      <c r="BU1372" t="s">
        <v>664</v>
      </c>
      <c r="BV1372">
        <v>2000</v>
      </c>
      <c r="BW1372" t="s">
        <v>665</v>
      </c>
      <c r="BX1372" t="s">
        <v>78</v>
      </c>
      <c r="BY1372" s="13" t="s">
        <v>685</v>
      </c>
      <c r="CA1372" t="str">
        <f t="shared" si="696"/>
        <v>low acid</v>
      </c>
    </row>
    <row r="1373" spans="1:79">
      <c r="A1373" t="s">
        <v>597</v>
      </c>
      <c r="B1373" t="s">
        <v>565</v>
      </c>
      <c r="C1373" t="s">
        <v>563</v>
      </c>
      <c r="D1373" t="s">
        <v>33</v>
      </c>
      <c r="E1373" t="s">
        <v>77</v>
      </c>
      <c r="F1373" t="s">
        <v>33</v>
      </c>
      <c r="G1373">
        <v>20</v>
      </c>
      <c r="H1373">
        <v>35</v>
      </c>
      <c r="I1373" t="b">
        <v>0</v>
      </c>
      <c r="J1373" t="s">
        <v>33</v>
      </c>
      <c r="K1373" t="s">
        <v>33</v>
      </c>
      <c r="L1373">
        <v>22</v>
      </c>
      <c r="M1373" s="4">
        <v>1</v>
      </c>
      <c r="N1373" t="e">
        <f>(#REF!*Y1373)/(T1373*X1373*O1373)</f>
        <v>#REF!</v>
      </c>
      <c r="O1373">
        <v>2</v>
      </c>
      <c r="P1373" t="s">
        <v>33</v>
      </c>
      <c r="Q1373" s="1">
        <f t="shared" si="698"/>
        <v>100.00000000000001</v>
      </c>
      <c r="R1373" t="s">
        <v>183</v>
      </c>
      <c r="S1373" t="s">
        <v>33</v>
      </c>
      <c r="T1373">
        <v>1</v>
      </c>
      <c r="U1373">
        <v>2.5</v>
      </c>
      <c r="V1373" t="s">
        <v>33</v>
      </c>
      <c r="W1373">
        <v>0.50249999999999995</v>
      </c>
      <c r="X1373">
        <f>W1373</f>
        <v>0.50249999999999995</v>
      </c>
      <c r="Y1373" t="s">
        <v>33</v>
      </c>
      <c r="Z1373" s="3">
        <f t="shared" si="701"/>
        <v>5.0249999999999991E-3</v>
      </c>
      <c r="AA1373" t="s">
        <v>33</v>
      </c>
      <c r="AB1373">
        <f t="shared" si="699"/>
        <v>100.00000000000001</v>
      </c>
      <c r="AC1373" s="1" t="str">
        <f t="shared" si="691"/>
        <v>NA</v>
      </c>
      <c r="AE1373" s="3">
        <f t="shared" si="692"/>
        <v>193.60000000000002</v>
      </c>
      <c r="AF1373">
        <v>200</v>
      </c>
      <c r="AG1373" s="1" t="str">
        <f>IFERROR((N1373*P1373*Q1373), "NA")</f>
        <v>NA</v>
      </c>
      <c r="AH1373" s="1" t="str">
        <f>IFERROR((AG1373*U1373*AI1373), "NA")</f>
        <v>NA</v>
      </c>
      <c r="AI1373" s="1">
        <v>1</v>
      </c>
      <c r="AJ1373" s="11" t="s">
        <v>31</v>
      </c>
      <c r="AK1373">
        <v>2000</v>
      </c>
      <c r="AL1373" t="s">
        <v>784</v>
      </c>
      <c r="AM1373" s="3" t="s">
        <v>103</v>
      </c>
      <c r="AN1373" t="s">
        <v>130</v>
      </c>
      <c r="AO1373" t="s">
        <v>795</v>
      </c>
      <c r="AP1373">
        <v>7</v>
      </c>
      <c r="AQ1373" t="s">
        <v>33</v>
      </c>
      <c r="AR1373" t="s">
        <v>33</v>
      </c>
      <c r="AS1373">
        <v>9</v>
      </c>
      <c r="AT1373">
        <f>AS1373-AU1373</f>
        <v>6.65</v>
      </c>
      <c r="AU1373" s="6">
        <v>2.35</v>
      </c>
      <c r="AV1373" t="b">
        <v>1</v>
      </c>
      <c r="AW1373" t="s">
        <v>617</v>
      </c>
      <c r="AX1373" t="s">
        <v>635</v>
      </c>
      <c r="AY1373" t="s">
        <v>636</v>
      </c>
      <c r="AZ1373" t="s">
        <v>33</v>
      </c>
      <c r="BA1373" s="18" t="s">
        <v>802</v>
      </c>
      <c r="BB1373" s="3" t="b">
        <v>0</v>
      </c>
      <c r="BC1373" t="s">
        <v>81</v>
      </c>
      <c r="BD1373">
        <v>24</v>
      </c>
      <c r="BE1373" t="s">
        <v>80</v>
      </c>
      <c r="BF1373">
        <v>24</v>
      </c>
      <c r="BG1373" t="s">
        <v>644</v>
      </c>
      <c r="BH1373" t="s">
        <v>31</v>
      </c>
      <c r="BI1373" t="s">
        <v>31</v>
      </c>
      <c r="BJ1373">
        <f t="shared" si="680"/>
        <v>2.35</v>
      </c>
      <c r="BK1373" s="3">
        <f t="shared" si="679"/>
        <v>0.37106786227173627</v>
      </c>
      <c r="BL1373">
        <v>2</v>
      </c>
      <c r="BM1373" s="3">
        <f t="shared" si="700"/>
        <v>1.9158374907006386</v>
      </c>
      <c r="BN1373" t="s">
        <v>33</v>
      </c>
      <c r="BO1373" s="3">
        <f t="shared" si="695"/>
        <v>82.382978723404264</v>
      </c>
      <c r="BP1373" t="s">
        <v>33</v>
      </c>
      <c r="BQ1373" t="s">
        <v>33</v>
      </c>
      <c r="BR1373" t="s">
        <v>33</v>
      </c>
      <c r="BS1373" t="s">
        <v>33</v>
      </c>
      <c r="BT1373" t="s">
        <v>31</v>
      </c>
      <c r="BU1373" t="s">
        <v>664</v>
      </c>
      <c r="BV1373">
        <v>2000</v>
      </c>
      <c r="BW1373" t="s">
        <v>665</v>
      </c>
      <c r="BX1373" t="s">
        <v>78</v>
      </c>
      <c r="BY1373" s="13" t="s">
        <v>685</v>
      </c>
      <c r="CA1373" t="str">
        <f t="shared" si="696"/>
        <v>low acid</v>
      </c>
    </row>
    <row r="1374" spans="1:79">
      <c r="A1374" t="s">
        <v>584</v>
      </c>
      <c r="B1374" t="s">
        <v>566</v>
      </c>
      <c r="C1374" t="s">
        <v>563</v>
      </c>
      <c r="D1374" t="s">
        <v>607</v>
      </c>
      <c r="E1374" t="s">
        <v>77</v>
      </c>
      <c r="F1374" t="s">
        <v>33</v>
      </c>
      <c r="G1374">
        <v>20</v>
      </c>
      <c r="H1374">
        <v>35</v>
      </c>
      <c r="I1374" t="b">
        <v>0</v>
      </c>
      <c r="J1374">
        <v>1000</v>
      </c>
      <c r="K1374">
        <v>200</v>
      </c>
      <c r="L1374">
        <v>25</v>
      </c>
      <c r="M1374" s="4">
        <v>1</v>
      </c>
      <c r="N1374" t="e">
        <f>(#REF!*Y1374)/(T1374*X1374*O1374)</f>
        <v>#REF!</v>
      </c>
      <c r="O1374">
        <v>3</v>
      </c>
      <c r="P1374" t="s">
        <v>33</v>
      </c>
      <c r="Q1374" s="1">
        <f t="shared" si="698"/>
        <v>9</v>
      </c>
      <c r="R1374" t="s">
        <v>183</v>
      </c>
      <c r="S1374" t="s">
        <v>33</v>
      </c>
      <c r="T1374">
        <v>1</v>
      </c>
      <c r="U1374">
        <v>2.5</v>
      </c>
      <c r="V1374" t="s">
        <v>33</v>
      </c>
      <c r="W1374">
        <v>0.50249999999999995</v>
      </c>
      <c r="X1374">
        <f>W1374</f>
        <v>0.50249999999999995</v>
      </c>
      <c r="Y1374" t="s">
        <v>33</v>
      </c>
      <c r="Z1374" s="3">
        <f t="shared" si="701"/>
        <v>5.5833333333333325E-2</v>
      </c>
      <c r="AA1374" t="s">
        <v>33</v>
      </c>
      <c r="AB1374">
        <f t="shared" si="699"/>
        <v>9</v>
      </c>
      <c r="AC1374" s="1" t="str">
        <f t="shared" si="691"/>
        <v>NA</v>
      </c>
      <c r="AE1374" s="3">
        <f t="shared" si="692"/>
        <v>16.875</v>
      </c>
      <c r="AF1374">
        <v>27</v>
      </c>
      <c r="AG1374" s="1" t="str">
        <f>IFERROR((N1374*P1374*Q1374), "NA")</f>
        <v>NA</v>
      </c>
      <c r="AH1374" s="1" t="str">
        <f>IFERROR((AG1374*U1374*AI1374), "NA")</f>
        <v>NA</v>
      </c>
      <c r="AI1374" s="1">
        <v>1</v>
      </c>
      <c r="AJ1374" s="11" t="s">
        <v>31</v>
      </c>
      <c r="AK1374">
        <v>1000</v>
      </c>
      <c r="AL1374" t="s">
        <v>614</v>
      </c>
      <c r="AM1374" s="3" t="s">
        <v>103</v>
      </c>
      <c r="AN1374" t="s">
        <v>130</v>
      </c>
      <c r="AO1374" t="s">
        <v>795</v>
      </c>
      <c r="AP1374">
        <v>7</v>
      </c>
      <c r="AQ1374" t="s">
        <v>33</v>
      </c>
      <c r="AR1374" t="s">
        <v>33</v>
      </c>
      <c r="AS1374">
        <v>8</v>
      </c>
      <c r="AT1374">
        <f>AS1374-AU1374</f>
        <v>6.66</v>
      </c>
      <c r="AU1374" s="6">
        <v>1.34</v>
      </c>
      <c r="AV1374" t="b">
        <v>1</v>
      </c>
      <c r="AW1374" t="s">
        <v>617</v>
      </c>
      <c r="AX1374" t="s">
        <v>33</v>
      </c>
      <c r="AY1374" t="s">
        <v>623</v>
      </c>
      <c r="AZ1374" t="s">
        <v>621</v>
      </c>
      <c r="BA1374" s="18" t="s">
        <v>802</v>
      </c>
      <c r="BB1374" s="3" t="b">
        <v>0</v>
      </c>
      <c r="BC1374" t="s">
        <v>81</v>
      </c>
      <c r="BD1374">
        <v>18</v>
      </c>
      <c r="BE1374" t="s">
        <v>80</v>
      </c>
      <c r="BF1374">
        <v>24</v>
      </c>
      <c r="BG1374" t="s">
        <v>569</v>
      </c>
      <c r="BH1374" t="s">
        <v>31</v>
      </c>
      <c r="BI1374" t="s">
        <v>31</v>
      </c>
      <c r="BJ1374">
        <f t="shared" si="680"/>
        <v>1.34</v>
      </c>
      <c r="BK1374" s="3">
        <f t="shared" si="679"/>
        <v>0.12710479836480765</v>
      </c>
      <c r="BL1374">
        <v>2</v>
      </c>
      <c r="BM1374" s="3">
        <f t="shared" si="700"/>
        <v>1.1001389831382549</v>
      </c>
      <c r="BN1374" t="s">
        <v>33</v>
      </c>
      <c r="BO1374" s="3">
        <f t="shared" si="695"/>
        <v>12.593283582089551</v>
      </c>
      <c r="BP1374" t="s">
        <v>33</v>
      </c>
      <c r="BQ1374" t="s">
        <v>33</v>
      </c>
      <c r="BR1374" t="s">
        <v>33</v>
      </c>
      <c r="BS1374" t="s">
        <v>33</v>
      </c>
      <c r="BT1374" t="s">
        <v>31</v>
      </c>
      <c r="BU1374" t="s">
        <v>255</v>
      </c>
      <c r="BV1374">
        <v>2010</v>
      </c>
      <c r="BW1374" s="2" t="s">
        <v>651</v>
      </c>
      <c r="BX1374" t="s">
        <v>78</v>
      </c>
      <c r="BY1374" s="13" t="s">
        <v>674</v>
      </c>
      <c r="CA1374" t="str">
        <f t="shared" si="696"/>
        <v>low acid</v>
      </c>
    </row>
    <row r="1375" spans="1:79">
      <c r="A1375" t="s">
        <v>584</v>
      </c>
      <c r="B1375" t="s">
        <v>566</v>
      </c>
      <c r="C1375" t="s">
        <v>563</v>
      </c>
      <c r="D1375" t="s">
        <v>607</v>
      </c>
      <c r="E1375" t="s">
        <v>77</v>
      </c>
      <c r="F1375" t="s">
        <v>33</v>
      </c>
      <c r="G1375">
        <v>20</v>
      </c>
      <c r="H1375">
        <v>35</v>
      </c>
      <c r="I1375" t="b">
        <v>0</v>
      </c>
      <c r="J1375">
        <v>1000</v>
      </c>
      <c r="K1375">
        <v>200</v>
      </c>
      <c r="L1375">
        <v>20</v>
      </c>
      <c r="M1375" s="4">
        <v>1</v>
      </c>
      <c r="N1375" t="e">
        <f>(#REF!*Y1375)/(T1375*X1375*O1375)</f>
        <v>#REF!</v>
      </c>
      <c r="O1375">
        <v>3</v>
      </c>
      <c r="P1375" t="s">
        <v>33</v>
      </c>
      <c r="Q1375" s="1">
        <f t="shared" si="698"/>
        <v>10</v>
      </c>
      <c r="R1375" t="s">
        <v>183</v>
      </c>
      <c r="S1375" t="s">
        <v>33</v>
      </c>
      <c r="T1375">
        <v>1</v>
      </c>
      <c r="U1375">
        <v>2.5</v>
      </c>
      <c r="V1375" t="s">
        <v>33</v>
      </c>
      <c r="W1375">
        <v>0.50249999999999995</v>
      </c>
      <c r="X1375">
        <f>W1375</f>
        <v>0.50249999999999995</v>
      </c>
      <c r="Y1375" t="s">
        <v>33</v>
      </c>
      <c r="Z1375" s="3">
        <f t="shared" si="701"/>
        <v>5.0249999999999996E-2</v>
      </c>
      <c r="AA1375" t="s">
        <v>33</v>
      </c>
      <c r="AB1375">
        <f t="shared" si="699"/>
        <v>10</v>
      </c>
      <c r="AC1375" s="1" t="str">
        <f t="shared" ref="AC1375:AC1406" si="702">IFERROR(M1375*P1375,"NA")</f>
        <v>NA</v>
      </c>
      <c r="AE1375" s="3">
        <f t="shared" ref="AE1375:AE1406" si="703">IFERROR(((L1375^2)*M1375*O1375*AK1375*10^-6*Q1375*T1375*AI1375), "NA")</f>
        <v>12</v>
      </c>
      <c r="AF1375">
        <v>30</v>
      </c>
      <c r="AG1375" s="1" t="str">
        <f>IFERROR((N1375*P1375*Q1375), "NA")</f>
        <v>NA</v>
      </c>
      <c r="AH1375" s="1" t="str">
        <f>IFERROR((AG1375*U1375*AI1375), "NA")</f>
        <v>NA</v>
      </c>
      <c r="AI1375" s="1">
        <v>1</v>
      </c>
      <c r="AJ1375" s="11" t="s">
        <v>31</v>
      </c>
      <c r="AK1375">
        <v>1000</v>
      </c>
      <c r="AL1375" t="s">
        <v>614</v>
      </c>
      <c r="AM1375" s="3" t="s">
        <v>103</v>
      </c>
      <c r="AN1375" t="s">
        <v>305</v>
      </c>
      <c r="AO1375" t="s">
        <v>790</v>
      </c>
      <c r="AP1375">
        <v>3.5</v>
      </c>
      <c r="AQ1375" t="s">
        <v>33</v>
      </c>
      <c r="AR1375" t="s">
        <v>33</v>
      </c>
      <c r="AS1375">
        <v>8</v>
      </c>
      <c r="AT1375">
        <f>AS1375-AU1375</f>
        <v>6.66</v>
      </c>
      <c r="AU1375" s="6">
        <v>1.34</v>
      </c>
      <c r="AV1375" t="b">
        <v>1</v>
      </c>
      <c r="AW1375" t="s">
        <v>617</v>
      </c>
      <c r="AX1375" t="s">
        <v>33</v>
      </c>
      <c r="AY1375" t="s">
        <v>623</v>
      </c>
      <c r="AZ1375" t="s">
        <v>621</v>
      </c>
      <c r="BA1375" s="18" t="s">
        <v>802</v>
      </c>
      <c r="BB1375" s="3" t="b">
        <v>0</v>
      </c>
      <c r="BC1375" t="s">
        <v>81</v>
      </c>
      <c r="BD1375">
        <v>18</v>
      </c>
      <c r="BE1375" t="s">
        <v>80</v>
      </c>
      <c r="BF1375">
        <v>24</v>
      </c>
      <c r="BG1375" t="s">
        <v>569</v>
      </c>
      <c r="BH1375" t="s">
        <v>31</v>
      </c>
      <c r="BI1375" t="s">
        <v>31</v>
      </c>
      <c r="BJ1375">
        <f t="shared" si="680"/>
        <v>1.34</v>
      </c>
      <c r="BK1375" s="3">
        <f t="shared" si="679"/>
        <v>0.12710479836480765</v>
      </c>
      <c r="BL1375">
        <v>2</v>
      </c>
      <c r="BM1375" s="3">
        <f t="shared" si="700"/>
        <v>0.95207644768281718</v>
      </c>
      <c r="BN1375" t="s">
        <v>33</v>
      </c>
      <c r="BO1375" s="3">
        <f t="shared" si="695"/>
        <v>8.9552238805970141</v>
      </c>
      <c r="BP1375" t="s">
        <v>33</v>
      </c>
      <c r="BQ1375" t="s">
        <v>33</v>
      </c>
      <c r="BR1375" t="s">
        <v>33</v>
      </c>
      <c r="BS1375" t="s">
        <v>33</v>
      </c>
      <c r="BT1375" t="s">
        <v>31</v>
      </c>
      <c r="BU1375" t="s">
        <v>255</v>
      </c>
      <c r="BV1375">
        <v>2010</v>
      </c>
      <c r="BW1375" t="s">
        <v>651</v>
      </c>
      <c r="BX1375" t="s">
        <v>78</v>
      </c>
      <c r="BY1375" s="13" t="s">
        <v>674</v>
      </c>
      <c r="CA1375" t="str">
        <f t="shared" si="696"/>
        <v>high acid</v>
      </c>
    </row>
    <row r="1376" spans="1:79">
      <c r="A1376" t="s">
        <v>237</v>
      </c>
      <c r="B1376" t="s">
        <v>565</v>
      </c>
      <c r="C1376" t="s">
        <v>563</v>
      </c>
      <c r="D1376" t="s">
        <v>118</v>
      </c>
      <c r="E1376" t="s">
        <v>77</v>
      </c>
      <c r="F1376" t="s">
        <v>32</v>
      </c>
      <c r="G1376">
        <v>4</v>
      </c>
      <c r="H1376">
        <v>32.5</v>
      </c>
      <c r="I1376" t="b">
        <v>0</v>
      </c>
      <c r="J1376" t="s">
        <v>33</v>
      </c>
      <c r="K1376" t="s">
        <v>33</v>
      </c>
      <c r="L1376">
        <v>25</v>
      </c>
      <c r="M1376" s="4">
        <v>200</v>
      </c>
      <c r="N1376" s="3">
        <f>IFERROR(AF1376/((T1376*X1376/Y1376)*O1376*AI1376),"NA")</f>
        <v>386.37843216368935</v>
      </c>
      <c r="O1376">
        <v>4</v>
      </c>
      <c r="P1376" t="s">
        <v>33</v>
      </c>
      <c r="Q1376" s="9">
        <f t="shared" si="698"/>
        <v>2.3437499999999997E-2</v>
      </c>
      <c r="R1376" t="s">
        <v>183</v>
      </c>
      <c r="S1376" t="s">
        <v>612</v>
      </c>
      <c r="T1376" s="11">
        <v>8</v>
      </c>
      <c r="U1376">
        <v>2.92</v>
      </c>
      <c r="V1376">
        <v>2.2999999999999998</v>
      </c>
      <c r="W1376">
        <v>1.2E-2</v>
      </c>
      <c r="X1376" s="8">
        <f>IFERROR(((PI())*(((V1376*10^-1)/2)^2)*(U1376*10^-1)), "NA")</f>
        <v>1.2131888350367701E-2</v>
      </c>
      <c r="Y1376" s="6">
        <f>60/60</f>
        <v>1</v>
      </c>
      <c r="Z1376" s="3">
        <f t="shared" si="701"/>
        <v>0.5176272362823553</v>
      </c>
      <c r="AA1376" t="s">
        <v>33</v>
      </c>
      <c r="AB1376" s="6">
        <f t="shared" si="699"/>
        <v>4.6874999999999991</v>
      </c>
      <c r="AC1376" t="str">
        <f t="shared" si="702"/>
        <v>NA</v>
      </c>
      <c r="AD1376" s="4">
        <f>AB1376*T1376*AI1376</f>
        <v>37.499999999999993</v>
      </c>
      <c r="AE1376" s="3">
        <f t="shared" si="703"/>
        <v>397.49999999999994</v>
      </c>
      <c r="AF1376">
        <v>150</v>
      </c>
      <c r="AG1376" t="str">
        <f>IFERROR((M1376*O1376*P1376), "NA")</f>
        <v>NA</v>
      </c>
      <c r="AH1376" t="str">
        <f>IFERROR((AG1376*T1376*AI1376), "NA")</f>
        <v>NA</v>
      </c>
      <c r="AI1376">
        <v>1</v>
      </c>
      <c r="AJ1376" t="s">
        <v>31</v>
      </c>
      <c r="AK1376">
        <v>4240</v>
      </c>
      <c r="AL1376" t="s">
        <v>238</v>
      </c>
      <c r="AM1376" t="s">
        <v>86</v>
      </c>
      <c r="AN1376" t="s">
        <v>205</v>
      </c>
      <c r="AO1376" t="s">
        <v>789</v>
      </c>
      <c r="AP1376">
        <v>3.56</v>
      </c>
      <c r="AQ1376" t="s">
        <v>33</v>
      </c>
      <c r="AR1376" t="s">
        <v>33</v>
      </c>
      <c r="AS1376">
        <f>LOG(10^8)</f>
        <v>8</v>
      </c>
      <c r="AT1376" s="3">
        <f>IFERROR(AS1376-AU1376,"NA")</f>
        <v>6.6660000000000004</v>
      </c>
      <c r="AU1376" s="6">
        <v>1.3340000000000001</v>
      </c>
      <c r="AV1376" t="b">
        <v>1</v>
      </c>
      <c r="AW1376" t="s">
        <v>172</v>
      </c>
      <c r="AX1376" t="s">
        <v>173</v>
      </c>
      <c r="AY1376" t="s">
        <v>239</v>
      </c>
      <c r="AZ1376" t="s">
        <v>33</v>
      </c>
      <c r="BA1376" s="18" t="s">
        <v>799</v>
      </c>
      <c r="BB1376" t="b">
        <v>0</v>
      </c>
      <c r="BC1376" t="s">
        <v>81</v>
      </c>
      <c r="BD1376">
        <v>48</v>
      </c>
      <c r="BE1376" t="s">
        <v>80</v>
      </c>
      <c r="BF1376" s="11">
        <v>120</v>
      </c>
      <c r="BG1376" t="s">
        <v>571</v>
      </c>
      <c r="BH1376" t="s">
        <v>31</v>
      </c>
      <c r="BI1376" t="s">
        <v>31</v>
      </c>
      <c r="BJ1376" s="3">
        <f t="shared" si="680"/>
        <v>1.3340000000000001</v>
      </c>
      <c r="BK1376" s="3">
        <f t="shared" si="679"/>
        <v>0.12515582958053018</v>
      </c>
      <c r="BL1376">
        <v>2</v>
      </c>
      <c r="BM1376" s="3">
        <f t="shared" si="700"/>
        <v>2.4741813034119589</v>
      </c>
      <c r="BN1376" t="s">
        <v>33</v>
      </c>
      <c r="BO1376" s="3">
        <f t="shared" si="695"/>
        <v>297.97601199400293</v>
      </c>
      <c r="BP1376" t="s">
        <v>33</v>
      </c>
      <c r="BQ1376" t="s">
        <v>33</v>
      </c>
      <c r="BR1376" t="s">
        <v>33</v>
      </c>
      <c r="BS1376" t="s">
        <v>33</v>
      </c>
      <c r="BT1376" t="s">
        <v>31</v>
      </c>
      <c r="BU1376" t="s">
        <v>240</v>
      </c>
      <c r="BV1376">
        <v>2004</v>
      </c>
      <c r="BW1376" t="s">
        <v>241</v>
      </c>
      <c r="BX1376" t="s">
        <v>78</v>
      </c>
      <c r="BY1376" t="s">
        <v>33</v>
      </c>
      <c r="BZ1376" t="s">
        <v>33</v>
      </c>
      <c r="CA1376" t="str">
        <f t="shared" si="696"/>
        <v>high acid</v>
      </c>
    </row>
    <row r="1377" spans="1:79">
      <c r="A1377" t="s">
        <v>587</v>
      </c>
      <c r="B1377" t="s">
        <v>565</v>
      </c>
      <c r="C1377" t="s">
        <v>563</v>
      </c>
      <c r="D1377" t="s">
        <v>118</v>
      </c>
      <c r="E1377" t="s">
        <v>77</v>
      </c>
      <c r="F1377" t="s">
        <v>32</v>
      </c>
      <c r="G1377">
        <v>40</v>
      </c>
      <c r="H1377">
        <v>40</v>
      </c>
      <c r="I1377" t="b">
        <v>1</v>
      </c>
      <c r="J1377" t="s">
        <v>33</v>
      </c>
      <c r="K1377" t="s">
        <v>33</v>
      </c>
      <c r="L1377">
        <v>30</v>
      </c>
      <c r="M1377" s="4">
        <v>100</v>
      </c>
      <c r="N1377" t="e">
        <f>(#REF!*Y1377)/(T1377*X1377*O1377)</f>
        <v>#REF!</v>
      </c>
      <c r="O1377">
        <v>2</v>
      </c>
      <c r="P1377" t="s">
        <v>33</v>
      </c>
      <c r="Q1377" s="1">
        <f t="shared" si="698"/>
        <v>0.16666666666666666</v>
      </c>
      <c r="R1377" t="s">
        <v>183</v>
      </c>
      <c r="S1377" t="s">
        <v>613</v>
      </c>
      <c r="T1377">
        <v>6</v>
      </c>
      <c r="U1377">
        <v>2.92</v>
      </c>
      <c r="V1377">
        <v>2.2999999999999998</v>
      </c>
      <c r="W1377" t="s">
        <v>33</v>
      </c>
      <c r="X1377">
        <f>IFERROR(((PI())*(((V1377*10^-1)/2)^2)*(U1377*10^-1)), "NA")</f>
        <v>1.2131888350367701E-2</v>
      </c>
      <c r="Y1377">
        <v>1.4</v>
      </c>
      <c r="Z1377" s="3">
        <f t="shared" si="701"/>
        <v>7.2791330102206203E-2</v>
      </c>
      <c r="AA1377" t="s">
        <v>33</v>
      </c>
      <c r="AB1377">
        <f t="shared" si="699"/>
        <v>16.666666666666668</v>
      </c>
      <c r="AC1377" s="1" t="str">
        <f t="shared" si="702"/>
        <v>NA</v>
      </c>
      <c r="AE1377" s="3">
        <f t="shared" si="703"/>
        <v>1116</v>
      </c>
      <c r="AF1377">
        <v>200</v>
      </c>
      <c r="AG1377" s="1" t="str">
        <f>IFERROR((N1377*P1377*Q1377), "NA")</f>
        <v>NA</v>
      </c>
      <c r="AH1377" s="1" t="str">
        <f>IFERROR((AG1377*U1377*AI1377), "NA")</f>
        <v>NA</v>
      </c>
      <c r="AI1377" s="1">
        <v>1</v>
      </c>
      <c r="AJ1377" s="11" t="s">
        <v>31</v>
      </c>
      <c r="AK1377">
        <v>6200</v>
      </c>
      <c r="AL1377" t="s">
        <v>561</v>
      </c>
      <c r="AM1377" s="3" t="s">
        <v>786</v>
      </c>
      <c r="AN1377" t="s">
        <v>186</v>
      </c>
      <c r="AO1377" t="s">
        <v>793</v>
      </c>
      <c r="AP1377">
        <v>7.6</v>
      </c>
      <c r="AQ1377" t="s">
        <v>33</v>
      </c>
      <c r="AR1377" t="s">
        <v>33</v>
      </c>
      <c r="AS1377">
        <v>8</v>
      </c>
      <c r="AT1377">
        <f>AS1377-AU1377</f>
        <v>6.67</v>
      </c>
      <c r="AU1377" s="6">
        <v>1.33</v>
      </c>
      <c r="AV1377" t="b">
        <v>1</v>
      </c>
      <c r="AW1377" t="s">
        <v>626</v>
      </c>
      <c r="AX1377" t="s">
        <v>627</v>
      </c>
      <c r="AY1377" t="s">
        <v>622</v>
      </c>
      <c r="AZ1377" t="s">
        <v>33</v>
      </c>
      <c r="BA1377" s="18" t="s">
        <v>800</v>
      </c>
      <c r="BB1377" s="3" t="b">
        <v>0</v>
      </c>
      <c r="BC1377" t="s">
        <v>81</v>
      </c>
      <c r="BD1377">
        <v>13</v>
      </c>
      <c r="BE1377" t="s">
        <v>80</v>
      </c>
      <c r="BF1377">
        <v>48</v>
      </c>
      <c r="BG1377" t="s">
        <v>568</v>
      </c>
      <c r="BH1377" t="s">
        <v>31</v>
      </c>
      <c r="BI1377" t="s">
        <v>31</v>
      </c>
      <c r="BJ1377">
        <f t="shared" si="680"/>
        <v>1.33</v>
      </c>
      <c r="BK1377" s="3">
        <f t="shared" si="679"/>
        <v>0.12385164096708581</v>
      </c>
      <c r="BL1377">
        <v>2</v>
      </c>
      <c r="BM1377" s="3">
        <f t="shared" si="700"/>
        <v>2.9238125536344741</v>
      </c>
      <c r="BN1377" t="s">
        <v>33</v>
      </c>
      <c r="BO1377" s="3">
        <f t="shared" si="695"/>
        <v>839.0977443609022</v>
      </c>
      <c r="BP1377" t="s">
        <v>33</v>
      </c>
      <c r="BQ1377" t="s">
        <v>33</v>
      </c>
      <c r="BR1377" t="s">
        <v>33</v>
      </c>
      <c r="BS1377" t="s">
        <v>33</v>
      </c>
      <c r="BT1377" t="s">
        <v>31</v>
      </c>
      <c r="BU1377" t="s">
        <v>344</v>
      </c>
      <c r="BV1377">
        <v>2007</v>
      </c>
      <c r="BW1377" t="s">
        <v>345</v>
      </c>
      <c r="BX1377" t="s">
        <v>78</v>
      </c>
      <c r="BY1377" s="13" t="s">
        <v>676</v>
      </c>
      <c r="CA1377" t="str">
        <f t="shared" si="696"/>
        <v>low acid</v>
      </c>
    </row>
    <row r="1378" spans="1:79">
      <c r="A1378" t="s">
        <v>589</v>
      </c>
      <c r="B1378" t="s">
        <v>566</v>
      </c>
      <c r="C1378" t="s">
        <v>563</v>
      </c>
      <c r="D1378" t="s">
        <v>33</v>
      </c>
      <c r="E1378" t="s">
        <v>77</v>
      </c>
      <c r="F1378" t="s">
        <v>33</v>
      </c>
      <c r="G1378" t="s">
        <v>33</v>
      </c>
      <c r="H1378">
        <v>35</v>
      </c>
      <c r="I1378" t="b">
        <v>0</v>
      </c>
      <c r="J1378" t="s">
        <v>33</v>
      </c>
      <c r="K1378" t="s">
        <v>33</v>
      </c>
      <c r="L1378">
        <v>9</v>
      </c>
      <c r="M1378" s="4">
        <v>1</v>
      </c>
      <c r="N1378" t="e">
        <f>(#REF!*Y1378)/(T1378*X1378*O1378)</f>
        <v>#REF!</v>
      </c>
      <c r="O1378">
        <v>2</v>
      </c>
      <c r="P1378" t="s">
        <v>33</v>
      </c>
      <c r="Q1378" s="1">
        <f t="shared" si="698"/>
        <v>398</v>
      </c>
      <c r="R1378" t="s">
        <v>183</v>
      </c>
      <c r="S1378" t="s">
        <v>613</v>
      </c>
      <c r="T1378">
        <v>1</v>
      </c>
      <c r="U1378">
        <v>2.5</v>
      </c>
      <c r="V1378" t="s">
        <v>33</v>
      </c>
      <c r="W1378">
        <v>0.50249999999999995</v>
      </c>
      <c r="X1378">
        <f>W1378</f>
        <v>0.50249999999999995</v>
      </c>
      <c r="Y1378" t="s">
        <v>33</v>
      </c>
      <c r="Z1378" s="3">
        <f t="shared" si="701"/>
        <v>1.2625628140703516E-3</v>
      </c>
      <c r="AA1378" t="s">
        <v>33</v>
      </c>
      <c r="AB1378">
        <f t="shared" si="699"/>
        <v>398</v>
      </c>
      <c r="AC1378" s="1" t="str">
        <f t="shared" si="702"/>
        <v>NA</v>
      </c>
      <c r="AE1378" s="3">
        <f t="shared" si="703"/>
        <v>128.952</v>
      </c>
      <c r="AF1378">
        <v>796</v>
      </c>
      <c r="AG1378" s="1" t="str">
        <f>IFERROR((N1378*P1378*Q1378), "NA")</f>
        <v>NA</v>
      </c>
      <c r="AH1378" s="1" t="str">
        <f>IFERROR((AG1378*U1378*AI1378), "NA")</f>
        <v>NA</v>
      </c>
      <c r="AI1378" s="1">
        <v>1</v>
      </c>
      <c r="AJ1378" s="11" t="s">
        <v>31</v>
      </c>
      <c r="AK1378">
        <v>2000</v>
      </c>
      <c r="AL1378" t="s">
        <v>616</v>
      </c>
      <c r="AM1378" s="3" t="s">
        <v>103</v>
      </c>
      <c r="AN1378" t="s">
        <v>130</v>
      </c>
      <c r="AO1378" t="s">
        <v>795</v>
      </c>
      <c r="AP1378">
        <v>7</v>
      </c>
      <c r="AQ1378" t="s">
        <v>33</v>
      </c>
      <c r="AR1378" t="s">
        <v>33</v>
      </c>
      <c r="AS1378">
        <v>9</v>
      </c>
      <c r="AT1378">
        <f>AS1378-AU1378</f>
        <v>6.67</v>
      </c>
      <c r="AU1378" s="6">
        <v>2.33</v>
      </c>
      <c r="AV1378" t="b">
        <v>1</v>
      </c>
      <c r="AW1378" t="s">
        <v>617</v>
      </c>
      <c r="AX1378" t="s">
        <v>33</v>
      </c>
      <c r="AY1378" t="s">
        <v>629</v>
      </c>
      <c r="AZ1378" t="s">
        <v>630</v>
      </c>
      <c r="BA1378" s="18" t="s">
        <v>802</v>
      </c>
      <c r="BB1378" s="3" t="b">
        <v>0</v>
      </c>
      <c r="BC1378" t="s">
        <v>81</v>
      </c>
      <c r="BD1378">
        <v>24</v>
      </c>
      <c r="BE1378" t="s">
        <v>80</v>
      </c>
      <c r="BF1378">
        <v>24</v>
      </c>
      <c r="BG1378" t="s">
        <v>644</v>
      </c>
      <c r="BH1378" t="s">
        <v>31</v>
      </c>
      <c r="BI1378" t="s">
        <v>31</v>
      </c>
      <c r="BJ1378">
        <f t="shared" si="680"/>
        <v>2.33</v>
      </c>
      <c r="BK1378" s="3">
        <f t="shared" si="679"/>
        <v>0.36735592102601899</v>
      </c>
      <c r="BL1378">
        <v>2</v>
      </c>
      <c r="BM1378" s="3">
        <f t="shared" si="700"/>
        <v>1.743072161254281</v>
      </c>
      <c r="BN1378" t="s">
        <v>33</v>
      </c>
      <c r="BO1378" s="3">
        <f t="shared" si="695"/>
        <v>55.34420600858369</v>
      </c>
      <c r="BP1378" t="s">
        <v>33</v>
      </c>
      <c r="BQ1378" t="s">
        <v>33</v>
      </c>
      <c r="BR1378" t="s">
        <v>33</v>
      </c>
      <c r="BS1378" t="s">
        <v>33</v>
      </c>
      <c r="BT1378" t="s">
        <v>31</v>
      </c>
      <c r="BU1378" s="15" t="s">
        <v>655</v>
      </c>
      <c r="BV1378">
        <v>2003</v>
      </c>
      <c r="BW1378" t="s">
        <v>656</v>
      </c>
      <c r="BX1378" t="s">
        <v>78</v>
      </c>
      <c r="BY1378" s="13" t="s">
        <v>677</v>
      </c>
      <c r="CA1378" t="str">
        <f t="shared" si="696"/>
        <v>low acid</v>
      </c>
    </row>
    <row r="1379" spans="1:79">
      <c r="A1379" t="s">
        <v>343</v>
      </c>
      <c r="B1379" t="s">
        <v>566</v>
      </c>
      <c r="C1379" t="s">
        <v>563</v>
      </c>
      <c r="D1379" t="s">
        <v>33</v>
      </c>
      <c r="E1379" t="s">
        <v>77</v>
      </c>
      <c r="F1379" t="s">
        <v>32</v>
      </c>
      <c r="G1379">
        <v>10</v>
      </c>
      <c r="H1379">
        <v>13</v>
      </c>
      <c r="I1379" t="b">
        <v>0</v>
      </c>
      <c r="J1379" t="s">
        <v>33</v>
      </c>
      <c r="K1379" t="s">
        <v>33</v>
      </c>
      <c r="L1379">
        <v>30</v>
      </c>
      <c r="M1379" s="4">
        <v>2</v>
      </c>
      <c r="N1379" s="3">
        <f>IFERROR(AF1379/((T1379*X1379/Y1379)*O1379*AI1379),"NA")</f>
        <v>2.1126760563380285</v>
      </c>
      <c r="O1379">
        <v>2</v>
      </c>
      <c r="P1379" t="s">
        <v>33</v>
      </c>
      <c r="Q1379" s="8">
        <f t="shared" si="698"/>
        <v>7.5</v>
      </c>
      <c r="R1379" t="s">
        <v>183</v>
      </c>
      <c r="S1379" t="s">
        <v>613</v>
      </c>
      <c r="T1379" s="11">
        <v>1</v>
      </c>
      <c r="U1379">
        <v>5</v>
      </c>
      <c r="V1379" t="s">
        <v>33</v>
      </c>
      <c r="W1379">
        <v>0.71</v>
      </c>
      <c r="X1379" s="8">
        <f>W1379</f>
        <v>0.71</v>
      </c>
      <c r="Y1379">
        <f>6/60</f>
        <v>0.1</v>
      </c>
      <c r="Z1379" s="3">
        <f t="shared" si="701"/>
        <v>9.4666666666666663E-2</v>
      </c>
      <c r="AA1379">
        <v>15</v>
      </c>
      <c r="AB1379" s="6">
        <f t="shared" si="699"/>
        <v>15</v>
      </c>
      <c r="AC1379" t="str">
        <f t="shared" si="702"/>
        <v>NA</v>
      </c>
      <c r="AD1379" s="4">
        <f>AB1379*T1379*AI1379</f>
        <v>90</v>
      </c>
      <c r="AE1379" s="3">
        <f t="shared" si="703"/>
        <v>761.4</v>
      </c>
      <c r="AF1379">
        <v>180</v>
      </c>
      <c r="AG1379" t="str">
        <f>IFERROR((M1379*O1379*P1379), "NA")</f>
        <v>NA</v>
      </c>
      <c r="AH1379" t="str">
        <f>IFERROR((AG1379*T1379*AI1379), "NA")</f>
        <v>NA</v>
      </c>
      <c r="AI1379">
        <v>6</v>
      </c>
      <c r="AJ1379" s="11" t="s">
        <v>32</v>
      </c>
      <c r="AK1379">
        <v>4700</v>
      </c>
      <c r="AL1379" t="s">
        <v>562</v>
      </c>
      <c r="AM1379" s="3" t="s">
        <v>786</v>
      </c>
      <c r="AN1379" t="s">
        <v>186</v>
      </c>
      <c r="AO1379" t="s">
        <v>793</v>
      </c>
      <c r="AP1379" t="s">
        <v>33</v>
      </c>
      <c r="AQ1379" t="s">
        <v>33</v>
      </c>
      <c r="AR1379" t="s">
        <v>33</v>
      </c>
      <c r="AS1379" s="6">
        <f>LOG(10^8)</f>
        <v>8</v>
      </c>
      <c r="AT1379" s="3">
        <f>IFERROR(AS1379-AU1379,"NA")</f>
        <v>6.6749999999999998</v>
      </c>
      <c r="AU1379" s="6">
        <v>1.325</v>
      </c>
      <c r="AV1379" t="b">
        <v>1</v>
      </c>
      <c r="AW1379" t="s">
        <v>29</v>
      </c>
      <c r="AX1379" t="s">
        <v>30</v>
      </c>
      <c r="AY1379" t="s">
        <v>33</v>
      </c>
      <c r="AZ1379" t="s">
        <v>134</v>
      </c>
      <c r="BA1379" s="18" t="s">
        <v>798</v>
      </c>
      <c r="BB1379" t="b">
        <v>0</v>
      </c>
      <c r="BC1379" t="s">
        <v>81</v>
      </c>
      <c r="BD1379">
        <v>18</v>
      </c>
      <c r="BE1379" t="s">
        <v>80</v>
      </c>
      <c r="BF1379" s="11">
        <v>21</v>
      </c>
      <c r="BG1379" t="s">
        <v>694</v>
      </c>
      <c r="BH1379" t="s">
        <v>31</v>
      </c>
      <c r="BI1379" t="s">
        <v>31</v>
      </c>
      <c r="BJ1379" s="3">
        <f t="shared" si="680"/>
        <v>1.325</v>
      </c>
      <c r="BK1379" s="3">
        <f t="shared" si="679"/>
        <v>0.12221587827282664</v>
      </c>
      <c r="BL1379">
        <v>2</v>
      </c>
      <c r="BM1379" s="3">
        <f t="shared" si="700"/>
        <v>2.7593969942055216</v>
      </c>
      <c r="BN1379" t="s">
        <v>33</v>
      </c>
      <c r="BO1379" s="3">
        <f t="shared" si="695"/>
        <v>574.64150943396226</v>
      </c>
      <c r="BP1379" t="s">
        <v>33</v>
      </c>
      <c r="BQ1379" t="s">
        <v>33</v>
      </c>
      <c r="BR1379" t="s">
        <v>33</v>
      </c>
      <c r="BS1379" t="s">
        <v>33</v>
      </c>
      <c r="BT1379" t="s">
        <v>31</v>
      </c>
      <c r="BU1379" t="s">
        <v>338</v>
      </c>
      <c r="BV1379">
        <v>2005</v>
      </c>
      <c r="BW1379" s="2" t="s">
        <v>342</v>
      </c>
      <c r="BX1379" t="s">
        <v>78</v>
      </c>
      <c r="BY1379" t="s">
        <v>340</v>
      </c>
      <c r="BZ1379" t="s">
        <v>33</v>
      </c>
      <c r="CA1379" t="str">
        <f t="shared" si="696"/>
        <v>low acid</v>
      </c>
    </row>
    <row r="1380" spans="1:79">
      <c r="A1380" t="s">
        <v>237</v>
      </c>
      <c r="B1380" t="s">
        <v>565</v>
      </c>
      <c r="C1380" t="s">
        <v>563</v>
      </c>
      <c r="D1380" t="s">
        <v>118</v>
      </c>
      <c r="E1380" t="s">
        <v>77</v>
      </c>
      <c r="F1380" t="s">
        <v>32</v>
      </c>
      <c r="G1380">
        <v>4</v>
      </c>
      <c r="H1380">
        <v>32.5</v>
      </c>
      <c r="I1380" t="b">
        <v>0</v>
      </c>
      <c r="J1380" t="s">
        <v>33</v>
      </c>
      <c r="K1380" t="s">
        <v>33</v>
      </c>
      <c r="L1380">
        <v>30</v>
      </c>
      <c r="M1380" s="4">
        <v>200</v>
      </c>
      <c r="N1380" s="3">
        <f>IFERROR(AF1380/((T1380*X1380/Y1380)*O1380*AI1380),"NA")</f>
        <v>386.37843216368935</v>
      </c>
      <c r="O1380">
        <v>4</v>
      </c>
      <c r="P1380" t="s">
        <v>33</v>
      </c>
      <c r="Q1380" s="9">
        <f t="shared" si="698"/>
        <v>2.3437499999999997E-2</v>
      </c>
      <c r="R1380" t="s">
        <v>183</v>
      </c>
      <c r="S1380" t="s">
        <v>612</v>
      </c>
      <c r="T1380" s="11">
        <v>8</v>
      </c>
      <c r="U1380">
        <v>2.92</v>
      </c>
      <c r="V1380">
        <v>2.2999999999999998</v>
      </c>
      <c r="W1380">
        <v>1.2E-2</v>
      </c>
      <c r="X1380" s="8">
        <f>IFERROR(((PI())*(((V1380*10^-1)/2)^2)*(U1380*10^-1)), "NA")</f>
        <v>1.2131888350367701E-2</v>
      </c>
      <c r="Y1380" s="6">
        <f>60/60</f>
        <v>1</v>
      </c>
      <c r="Z1380" s="3">
        <f t="shared" si="701"/>
        <v>0.5176272362823553</v>
      </c>
      <c r="AA1380" t="s">
        <v>33</v>
      </c>
      <c r="AB1380" s="6">
        <f t="shared" si="699"/>
        <v>4.6874999999999991</v>
      </c>
      <c r="AC1380" t="str">
        <f t="shared" si="702"/>
        <v>NA</v>
      </c>
      <c r="AD1380" s="4">
        <f>AB1380*T1380*AI1380</f>
        <v>37.499999999999993</v>
      </c>
      <c r="AE1380" s="3">
        <f t="shared" si="703"/>
        <v>572.39999999999986</v>
      </c>
      <c r="AF1380">
        <v>150</v>
      </c>
      <c r="AG1380" t="str">
        <f>IFERROR((M1380*O1380*P1380), "NA")</f>
        <v>NA</v>
      </c>
      <c r="AH1380" t="str">
        <f>IFERROR((AG1380*T1380*AI1380), "NA")</f>
        <v>NA</v>
      </c>
      <c r="AI1380">
        <v>1</v>
      </c>
      <c r="AJ1380" t="s">
        <v>31</v>
      </c>
      <c r="AK1380">
        <v>4240</v>
      </c>
      <c r="AL1380" t="s">
        <v>238</v>
      </c>
      <c r="AM1380" t="s">
        <v>86</v>
      </c>
      <c r="AN1380" t="s">
        <v>205</v>
      </c>
      <c r="AO1380" t="s">
        <v>789</v>
      </c>
      <c r="AP1380">
        <v>3.56</v>
      </c>
      <c r="AQ1380" t="s">
        <v>33</v>
      </c>
      <c r="AR1380" t="s">
        <v>33</v>
      </c>
      <c r="AS1380">
        <f>LOG(10^8)</f>
        <v>8</v>
      </c>
      <c r="AT1380" s="3">
        <f>IFERROR(AS1380-AU1380,"NA")</f>
        <v>6.6820000000000004</v>
      </c>
      <c r="AU1380" s="6">
        <v>1.3180000000000001</v>
      </c>
      <c r="AV1380" t="b">
        <v>1</v>
      </c>
      <c r="AW1380" t="s">
        <v>172</v>
      </c>
      <c r="AX1380" t="s">
        <v>173</v>
      </c>
      <c r="AY1380" t="s">
        <v>239</v>
      </c>
      <c r="AZ1380" t="s">
        <v>33</v>
      </c>
      <c r="BA1380" s="18" t="s">
        <v>799</v>
      </c>
      <c r="BB1380" t="b">
        <v>0</v>
      </c>
      <c r="BC1380" t="s">
        <v>81</v>
      </c>
      <c r="BD1380">
        <v>48</v>
      </c>
      <c r="BE1380" t="s">
        <v>80</v>
      </c>
      <c r="BF1380" s="11">
        <v>120</v>
      </c>
      <c r="BG1380" t="s">
        <v>571</v>
      </c>
      <c r="BH1380" t="s">
        <v>31</v>
      </c>
      <c r="BI1380" t="s">
        <v>31</v>
      </c>
      <c r="BJ1380" s="3">
        <f t="shared" si="680"/>
        <v>1.3180000000000001</v>
      </c>
      <c r="BK1380" s="3">
        <f t="shared" si="679"/>
        <v>0.11991541025799107</v>
      </c>
      <c r="BL1380">
        <v>2</v>
      </c>
      <c r="BM1380" s="3">
        <f t="shared" si="700"/>
        <v>2.6377842148297477</v>
      </c>
      <c r="BN1380" t="s">
        <v>33</v>
      </c>
      <c r="BO1380" s="3">
        <f t="shared" si="695"/>
        <v>434.29438543247335</v>
      </c>
      <c r="BP1380" t="s">
        <v>33</v>
      </c>
      <c r="BQ1380" t="s">
        <v>33</v>
      </c>
      <c r="BR1380" t="s">
        <v>33</v>
      </c>
      <c r="BS1380" t="s">
        <v>33</v>
      </c>
      <c r="BT1380" t="s">
        <v>31</v>
      </c>
      <c r="BU1380" t="s">
        <v>240</v>
      </c>
      <c r="BV1380">
        <v>2004</v>
      </c>
      <c r="BW1380" t="s">
        <v>241</v>
      </c>
      <c r="BX1380" t="s">
        <v>78</v>
      </c>
      <c r="BY1380" t="s">
        <v>33</v>
      </c>
      <c r="BZ1380" t="s">
        <v>33</v>
      </c>
      <c r="CA1380" t="str">
        <f t="shared" si="696"/>
        <v>high acid</v>
      </c>
    </row>
    <row r="1381" spans="1:79">
      <c r="A1381" t="s">
        <v>496</v>
      </c>
      <c r="B1381" t="s">
        <v>566</v>
      </c>
      <c r="C1381" t="s">
        <v>563</v>
      </c>
      <c r="D1381" t="s">
        <v>279</v>
      </c>
      <c r="E1381" t="s">
        <v>77</v>
      </c>
      <c r="F1381" t="s">
        <v>32</v>
      </c>
      <c r="G1381">
        <v>15</v>
      </c>
      <c r="H1381">
        <v>35</v>
      </c>
      <c r="I1381" t="b">
        <v>0</v>
      </c>
      <c r="J1381" t="s">
        <v>33</v>
      </c>
      <c r="K1381" t="s">
        <v>33</v>
      </c>
      <c r="L1381">
        <v>20</v>
      </c>
      <c r="M1381" s="4">
        <v>1000</v>
      </c>
      <c r="N1381" s="3">
        <f>IFERROR(AF1381/((T1381*X1381/Y1381)*O1381*AI1381),"NA")</f>
        <v>999.99999999999989</v>
      </c>
      <c r="O1381">
        <v>20</v>
      </c>
      <c r="P1381">
        <f>0.02/0.5</f>
        <v>0.04</v>
      </c>
      <c r="Q1381" s="8">
        <f t="shared" si="698"/>
        <v>3.95840674352314E-2</v>
      </c>
      <c r="R1381" t="s">
        <v>183</v>
      </c>
      <c r="S1381" t="s">
        <v>613</v>
      </c>
      <c r="T1381" s="11">
        <v>1</v>
      </c>
      <c r="U1381">
        <v>2.8</v>
      </c>
      <c r="V1381">
        <v>3</v>
      </c>
      <c r="W1381">
        <v>0.02</v>
      </c>
      <c r="X1381" s="9">
        <f>IFERROR(((PI())*(((V1381*10^-1)/2)^2)*(U1381*10^-1)), "NA")</f>
        <v>1.97920337176157E-2</v>
      </c>
      <c r="Y1381">
        <v>0.5</v>
      </c>
      <c r="Z1381" s="3">
        <f t="shared" si="701"/>
        <v>0.5</v>
      </c>
      <c r="AA1381" t="s">
        <v>33</v>
      </c>
      <c r="AB1381" s="4">
        <f>IFERROR(((X1381*M1381)/Y1381), "NA")</f>
        <v>39.584067435231397</v>
      </c>
      <c r="AC1381" s="4">
        <f t="shared" si="702"/>
        <v>40</v>
      </c>
      <c r="AD1381" s="4">
        <f>IFERROR(AB1381*T1381*AI1381, "NA")</f>
        <v>39.584067435231397</v>
      </c>
      <c r="AE1381" s="3">
        <f t="shared" si="703"/>
        <v>57.001057106733214</v>
      </c>
      <c r="AF1381" s="4">
        <f>AI1381*T1381*AB1381*O1381</f>
        <v>791.68134870462791</v>
      </c>
      <c r="AG1381" s="4">
        <f>IFERROR((M1381*O1381*P1381), "NA")</f>
        <v>800</v>
      </c>
      <c r="AH1381" s="4">
        <f>IFERROR((AG1381*T1381*AI1381), "NA")</f>
        <v>800</v>
      </c>
      <c r="AI1381" s="11">
        <v>1</v>
      </c>
      <c r="AJ1381" t="s">
        <v>31</v>
      </c>
      <c r="AK1381" s="11">
        <v>180</v>
      </c>
      <c r="AL1381" t="s">
        <v>492</v>
      </c>
      <c r="AM1381" t="s">
        <v>103</v>
      </c>
      <c r="AN1381" t="s">
        <v>130</v>
      </c>
      <c r="AO1381" t="s">
        <v>795</v>
      </c>
      <c r="AP1381" t="s">
        <v>33</v>
      </c>
      <c r="AQ1381" t="s">
        <v>33</v>
      </c>
      <c r="AR1381" t="s">
        <v>33</v>
      </c>
      <c r="AS1381" s="6">
        <f>LOG(10^9)</f>
        <v>9</v>
      </c>
      <c r="AT1381" s="3">
        <f>IFERROR(AS1381-AU1381,"NA")</f>
        <v>6.694</v>
      </c>
      <c r="AU1381" s="6">
        <v>2.306</v>
      </c>
      <c r="AV1381" t="b">
        <v>1</v>
      </c>
      <c r="AW1381" t="s">
        <v>29</v>
      </c>
      <c r="AX1381" t="s">
        <v>30</v>
      </c>
      <c r="AY1381" t="s">
        <v>33</v>
      </c>
      <c r="AZ1381" t="s">
        <v>33</v>
      </c>
      <c r="BA1381" s="18" t="s">
        <v>798</v>
      </c>
      <c r="BB1381" t="b">
        <v>0</v>
      </c>
      <c r="BC1381" t="s">
        <v>81</v>
      </c>
      <c r="BD1381" t="s">
        <v>33</v>
      </c>
      <c r="BE1381" t="s">
        <v>159</v>
      </c>
      <c r="BF1381" s="11">
        <v>24</v>
      </c>
      <c r="BG1381" t="s">
        <v>569</v>
      </c>
      <c r="BH1381" t="s">
        <v>31</v>
      </c>
      <c r="BI1381" t="s">
        <v>31</v>
      </c>
      <c r="BJ1381" s="3">
        <f t="shared" si="680"/>
        <v>2.306</v>
      </c>
      <c r="BK1381" s="3">
        <f t="shared" si="679"/>
        <v>0.36285930295868024</v>
      </c>
      <c r="BL1381">
        <v>2</v>
      </c>
      <c r="BM1381" s="3">
        <f t="shared" si="700"/>
        <v>1.3930236069482662</v>
      </c>
      <c r="BN1381" t="s">
        <v>33</v>
      </c>
      <c r="BO1381" s="3">
        <f t="shared" si="695"/>
        <v>24.718585041948486</v>
      </c>
      <c r="BP1381" t="s">
        <v>33</v>
      </c>
      <c r="BQ1381" t="s">
        <v>33</v>
      </c>
      <c r="BR1381" t="s">
        <v>33</v>
      </c>
      <c r="BS1381" t="s">
        <v>33</v>
      </c>
      <c r="BT1381" t="s">
        <v>32</v>
      </c>
      <c r="BU1381" t="s">
        <v>497</v>
      </c>
      <c r="BV1381" s="11">
        <v>2017</v>
      </c>
      <c r="BW1381" t="s">
        <v>498</v>
      </c>
      <c r="BX1381" t="s">
        <v>78</v>
      </c>
      <c r="BY1381" t="s">
        <v>499</v>
      </c>
      <c r="BZ1381" t="s">
        <v>500</v>
      </c>
      <c r="CA1381" t="str">
        <f t="shared" si="696"/>
        <v>low acid</v>
      </c>
    </row>
    <row r="1382" spans="1:79">
      <c r="A1382" t="s">
        <v>594</v>
      </c>
      <c r="B1382" t="s">
        <v>566</v>
      </c>
      <c r="C1382" t="s">
        <v>563</v>
      </c>
      <c r="D1382" t="s">
        <v>33</v>
      </c>
      <c r="E1382" t="s">
        <v>77</v>
      </c>
      <c r="F1382" t="s">
        <v>32</v>
      </c>
      <c r="G1382" t="s">
        <v>33</v>
      </c>
      <c r="H1382">
        <v>10</v>
      </c>
      <c r="I1382" t="b">
        <v>1</v>
      </c>
      <c r="J1382" t="s">
        <v>33</v>
      </c>
      <c r="K1382" t="s">
        <v>33</v>
      </c>
      <c r="L1382">
        <v>30</v>
      </c>
      <c r="M1382" s="4">
        <v>2</v>
      </c>
      <c r="N1382" t="e">
        <f>(#REF!*Y1382)/(T1382*X1382*O1382)</f>
        <v>#REF!</v>
      </c>
      <c r="O1382">
        <v>2</v>
      </c>
      <c r="P1382" t="s">
        <v>33</v>
      </c>
      <c r="Q1382" s="1">
        <f t="shared" si="698"/>
        <v>7.1</v>
      </c>
      <c r="R1382" t="s">
        <v>183</v>
      </c>
      <c r="S1382" t="s">
        <v>613</v>
      </c>
      <c r="T1382">
        <v>1</v>
      </c>
      <c r="U1382">
        <v>5</v>
      </c>
      <c r="V1382" t="s">
        <v>33</v>
      </c>
      <c r="W1382">
        <v>0.71</v>
      </c>
      <c r="X1382">
        <f>W1382</f>
        <v>0.71</v>
      </c>
      <c r="Y1382">
        <v>0.1</v>
      </c>
      <c r="Z1382" s="3">
        <f>Y1382</f>
        <v>0.1</v>
      </c>
      <c r="AA1382" s="3">
        <v>14.8409893992932</v>
      </c>
      <c r="AB1382">
        <f>IFERROR(((X1382*M1382)/Y1382), "NA")</f>
        <v>14.2</v>
      </c>
      <c r="AC1382" s="1" t="str">
        <f t="shared" si="702"/>
        <v>NA</v>
      </c>
      <c r="AE1382" s="3">
        <f t="shared" si="703"/>
        <v>391.06799999999998</v>
      </c>
      <c r="AF1382" t="s">
        <v>33</v>
      </c>
      <c r="AG1382" s="1">
        <f>IFERROR((M1382*O1382*Q1382), "NA")</f>
        <v>28.4</v>
      </c>
      <c r="AH1382" s="1">
        <f>IFERROR((AG1382*U1382*AI1382), "NA")</f>
        <v>426</v>
      </c>
      <c r="AI1382" s="1">
        <v>3</v>
      </c>
      <c r="AJ1382" s="11" t="s">
        <v>31</v>
      </c>
      <c r="AK1382">
        <f>5100</f>
        <v>5100</v>
      </c>
      <c r="AL1382" t="s">
        <v>561</v>
      </c>
      <c r="AM1382" s="3" t="s">
        <v>786</v>
      </c>
      <c r="AN1382" t="s">
        <v>186</v>
      </c>
      <c r="AO1382" t="s">
        <v>793</v>
      </c>
      <c r="AP1382" t="s">
        <v>33</v>
      </c>
      <c r="AQ1382" t="s">
        <v>33</v>
      </c>
      <c r="AR1382" t="s">
        <v>33</v>
      </c>
      <c r="AS1382">
        <v>8</v>
      </c>
      <c r="AT1382">
        <f>AS1382-AU1382</f>
        <v>6.7</v>
      </c>
      <c r="AU1382" s="6">
        <v>1.3</v>
      </c>
      <c r="AV1382" t="b">
        <v>1</v>
      </c>
      <c r="AW1382" t="s">
        <v>617</v>
      </c>
      <c r="AX1382" t="s">
        <v>624</v>
      </c>
      <c r="AY1382" t="s">
        <v>622</v>
      </c>
      <c r="AZ1382" t="s">
        <v>33</v>
      </c>
      <c r="BA1382" s="18" t="s">
        <v>802</v>
      </c>
      <c r="BB1382" s="3" t="b">
        <v>0</v>
      </c>
      <c r="BC1382" t="s">
        <v>81</v>
      </c>
      <c r="BD1382">
        <v>18</v>
      </c>
      <c r="BE1382" t="s">
        <v>80</v>
      </c>
      <c r="BF1382">
        <v>24</v>
      </c>
      <c r="BG1382" t="s">
        <v>696</v>
      </c>
      <c r="BH1382" t="s">
        <v>32</v>
      </c>
      <c r="BI1382" t="s">
        <v>31</v>
      </c>
      <c r="BJ1382">
        <f t="shared" si="680"/>
        <v>1.3</v>
      </c>
      <c r="BK1382" s="3">
        <f t="shared" si="679"/>
        <v>0.11394335230683679</v>
      </c>
      <c r="BL1382">
        <v>2</v>
      </c>
      <c r="BM1382" s="3">
        <f t="shared" si="700"/>
        <v>2.4783089279971247</v>
      </c>
      <c r="BN1382" t="s">
        <v>33</v>
      </c>
      <c r="BO1382" s="3">
        <f t="shared" si="695"/>
        <v>300.82153846153847</v>
      </c>
      <c r="BP1382" t="s">
        <v>33</v>
      </c>
      <c r="BQ1382" t="s">
        <v>33</v>
      </c>
      <c r="BR1382" t="s">
        <v>33</v>
      </c>
      <c r="BS1382" t="s">
        <v>33</v>
      </c>
      <c r="BT1382" t="s">
        <v>31</v>
      </c>
      <c r="BU1382" t="s">
        <v>338</v>
      </c>
      <c r="BV1382">
        <v>2006</v>
      </c>
      <c r="BW1382" t="s">
        <v>339</v>
      </c>
      <c r="BX1382" t="s">
        <v>78</v>
      </c>
      <c r="BY1382" s="13" t="s">
        <v>682</v>
      </c>
      <c r="CA1382" t="str">
        <f t="shared" si="696"/>
        <v>low acid</v>
      </c>
    </row>
    <row r="1383" spans="1:79">
      <c r="A1383" t="s">
        <v>232</v>
      </c>
      <c r="B1383" t="s">
        <v>565</v>
      </c>
      <c r="C1383" t="s">
        <v>563</v>
      </c>
      <c r="D1383" t="s">
        <v>33</v>
      </c>
      <c r="E1383" t="s">
        <v>77</v>
      </c>
      <c r="F1383" t="s">
        <v>32</v>
      </c>
      <c r="G1383">
        <v>30</v>
      </c>
      <c r="H1383">
        <v>61</v>
      </c>
      <c r="I1383" t="b">
        <v>1</v>
      </c>
      <c r="J1383" t="s">
        <v>33</v>
      </c>
      <c r="K1383" t="s">
        <v>33</v>
      </c>
      <c r="L1383">
        <v>30</v>
      </c>
      <c r="M1383" s="4">
        <v>250</v>
      </c>
      <c r="N1383" s="3">
        <f>IFERROR(AF1383/((T1383*X1383/Y1383)*O1383*AI1383),"NA")</f>
        <v>260.5243209473274</v>
      </c>
      <c r="O1383">
        <v>4</v>
      </c>
      <c r="P1383" t="s">
        <v>33</v>
      </c>
      <c r="Q1383" s="8">
        <f t="shared" si="698"/>
        <v>1.3333333333333332E-2</v>
      </c>
      <c r="R1383" t="s">
        <v>183</v>
      </c>
      <c r="S1383" t="s">
        <v>613</v>
      </c>
      <c r="T1383" s="11">
        <v>6</v>
      </c>
      <c r="U1383">
        <v>2.2999999999999998</v>
      </c>
      <c r="V1383">
        <v>2.2000000000000002</v>
      </c>
      <c r="W1383" t="s">
        <v>33</v>
      </c>
      <c r="X1383" s="8">
        <f>IFERROR(((PI())*(((V1383*10^-1)/2)^2)*(U1383*10^-1)), "NA")</f>
        <v>8.7430523549403959E-3</v>
      </c>
      <c r="Y1383" s="6">
        <f>41/60</f>
        <v>0.68333333333333335</v>
      </c>
      <c r="Z1383" s="3">
        <f t="shared" ref="Z1383:Z1398" si="704">IFERROR(X1383*M1383*O1383*T1383*AI1383/AF1383, "NA")</f>
        <v>0.65572892662052973</v>
      </c>
      <c r="AA1383" s="3">
        <f>20/6</f>
        <v>3.3333333333333335</v>
      </c>
      <c r="AB1383" s="6">
        <f t="shared" ref="AB1383:AB1390" si="705">IFERROR(((X1383*M1383)/Z1383), "NA")</f>
        <v>3.333333333333333</v>
      </c>
      <c r="AC1383" t="str">
        <f t="shared" si="702"/>
        <v>NA</v>
      </c>
      <c r="AD1383" s="4">
        <f>AB1383*T1383*AI1383</f>
        <v>20</v>
      </c>
      <c r="AE1383" s="3">
        <f t="shared" si="703"/>
        <v>288</v>
      </c>
      <c r="AF1383">
        <v>80</v>
      </c>
      <c r="AG1383" t="str">
        <f>IFERROR((M1383*O1383*P1383), "NA")</f>
        <v>NA</v>
      </c>
      <c r="AH1383" t="str">
        <f>IFERROR((AG1383*T1383*AI1383), "NA")</f>
        <v>NA</v>
      </c>
      <c r="AI1383">
        <v>1</v>
      </c>
      <c r="AJ1383" t="s">
        <v>31</v>
      </c>
      <c r="AK1383">
        <v>4000</v>
      </c>
      <c r="AL1383" t="s">
        <v>546</v>
      </c>
      <c r="AM1383" t="s">
        <v>103</v>
      </c>
      <c r="AN1383" t="s">
        <v>130</v>
      </c>
      <c r="AO1383" t="s">
        <v>795</v>
      </c>
      <c r="AP1383">
        <v>5</v>
      </c>
      <c r="AQ1383" t="s">
        <v>33</v>
      </c>
      <c r="AR1383" t="s">
        <v>33</v>
      </c>
      <c r="AS1383" s="6">
        <v>8.3000000000000007</v>
      </c>
      <c r="AT1383" s="3">
        <f>IFERROR(AS1383-AU1383,"NA")</f>
        <v>6.7000000000000011</v>
      </c>
      <c r="AU1383" s="6">
        <v>1.6</v>
      </c>
      <c r="AV1383" t="b">
        <v>1</v>
      </c>
      <c r="AW1383" t="s">
        <v>233</v>
      </c>
      <c r="AX1383" t="s">
        <v>234</v>
      </c>
      <c r="AY1383" t="s">
        <v>235</v>
      </c>
      <c r="AZ1383" t="s">
        <v>33</v>
      </c>
      <c r="BA1383" s="18" t="s">
        <v>579</v>
      </c>
      <c r="BB1383" t="b">
        <v>1</v>
      </c>
      <c r="BC1383" t="s">
        <v>81</v>
      </c>
      <c r="BD1383">
        <v>17</v>
      </c>
      <c r="BE1383" t="s">
        <v>80</v>
      </c>
      <c r="BF1383" s="11">
        <v>120</v>
      </c>
      <c r="BG1383" t="s">
        <v>395</v>
      </c>
      <c r="BH1383" t="s">
        <v>31</v>
      </c>
      <c r="BI1383" t="s">
        <v>32</v>
      </c>
      <c r="BJ1383" s="3">
        <f t="shared" si="680"/>
        <v>1.6</v>
      </c>
      <c r="BK1383" s="3">
        <f t="shared" si="679"/>
        <v>0.20411998265592479</v>
      </c>
      <c r="BL1383">
        <v>2</v>
      </c>
      <c r="BM1383" s="3">
        <f t="shared" si="700"/>
        <v>2.255272505103306</v>
      </c>
      <c r="BN1383" t="s">
        <v>33</v>
      </c>
      <c r="BO1383" s="3">
        <f t="shared" si="695"/>
        <v>180</v>
      </c>
      <c r="BP1383" t="s">
        <v>33</v>
      </c>
      <c r="BQ1383" t="s">
        <v>33</v>
      </c>
      <c r="BR1383" t="s">
        <v>33</v>
      </c>
      <c r="BS1383" t="s">
        <v>33</v>
      </c>
      <c r="BT1383" t="s">
        <v>31</v>
      </c>
      <c r="BU1383" t="s">
        <v>227</v>
      </c>
      <c r="BV1383">
        <v>2001</v>
      </c>
      <c r="BW1383" t="s">
        <v>228</v>
      </c>
      <c r="BX1383" t="s">
        <v>78</v>
      </c>
      <c r="BY1383" t="s">
        <v>33</v>
      </c>
      <c r="BZ1383" t="s">
        <v>33</v>
      </c>
      <c r="CA1383" t="str">
        <f t="shared" si="696"/>
        <v>low acid</v>
      </c>
    </row>
    <row r="1384" spans="1:79">
      <c r="A1384" t="s">
        <v>392</v>
      </c>
      <c r="B1384" t="s">
        <v>565</v>
      </c>
      <c r="C1384" t="s">
        <v>563</v>
      </c>
      <c r="D1384" t="s">
        <v>118</v>
      </c>
      <c r="E1384" t="s">
        <v>77</v>
      </c>
      <c r="F1384" t="s">
        <v>32</v>
      </c>
      <c r="G1384">
        <v>25</v>
      </c>
      <c r="H1384">
        <v>36</v>
      </c>
      <c r="I1384" t="b">
        <v>0</v>
      </c>
      <c r="J1384" t="s">
        <v>33</v>
      </c>
      <c r="K1384" t="s">
        <v>33</v>
      </c>
      <c r="L1384">
        <v>15</v>
      </c>
      <c r="M1384" s="4">
        <v>200</v>
      </c>
      <c r="N1384" s="3" t="str">
        <f>IFERROR(AF1384/((T1384*X1384/Y1384)*O1384*AI1384),"NA")</f>
        <v>NA</v>
      </c>
      <c r="O1384">
        <v>4</v>
      </c>
      <c r="P1384" t="s">
        <v>33</v>
      </c>
      <c r="Q1384" s="8">
        <f t="shared" si="698"/>
        <v>4.6875000000000007E-2</v>
      </c>
      <c r="R1384" t="s">
        <v>183</v>
      </c>
      <c r="S1384" t="s">
        <v>613</v>
      </c>
      <c r="T1384" s="11">
        <v>8</v>
      </c>
      <c r="U1384">
        <v>2.9</v>
      </c>
      <c r="V1384">
        <v>2.2999999999999998</v>
      </c>
      <c r="W1384">
        <v>1.2E-2</v>
      </c>
      <c r="X1384" s="8">
        <f>IFERROR(((PI())*(((V1384*10^-1)/2)^2)*(U1384*10^-1)), "NA")</f>
        <v>1.204879322468025E-2</v>
      </c>
      <c r="Y1384" t="s">
        <v>33</v>
      </c>
      <c r="Z1384" s="3">
        <f t="shared" si="704"/>
        <v>0.25704092212651197</v>
      </c>
      <c r="AA1384" t="s">
        <v>33</v>
      </c>
      <c r="AB1384" s="6">
        <f t="shared" si="705"/>
        <v>9.375</v>
      </c>
      <c r="AC1384" t="str">
        <f t="shared" si="702"/>
        <v>NA</v>
      </c>
      <c r="AD1384" s="4">
        <f>AB1384*T1384*AI1384</f>
        <v>75</v>
      </c>
      <c r="AE1384" s="3">
        <f t="shared" si="703"/>
        <v>286.2</v>
      </c>
      <c r="AF1384">
        <v>300</v>
      </c>
      <c r="AG1384" t="str">
        <f>IFERROR((M1384*O1384*P1384), "NA")</f>
        <v>NA</v>
      </c>
      <c r="AH1384" t="str">
        <f>IFERROR((AG1384*T1384*AI1384), "NA")</f>
        <v>NA</v>
      </c>
      <c r="AI1384">
        <v>1</v>
      </c>
      <c r="AJ1384" t="s">
        <v>31</v>
      </c>
      <c r="AK1384">
        <v>4240</v>
      </c>
      <c r="AL1384" t="s">
        <v>238</v>
      </c>
      <c r="AM1384" t="s">
        <v>86</v>
      </c>
      <c r="AN1384" t="s">
        <v>205</v>
      </c>
      <c r="AO1384" t="s">
        <v>789</v>
      </c>
      <c r="AP1384">
        <v>3.56</v>
      </c>
      <c r="AQ1384" t="s">
        <v>33</v>
      </c>
      <c r="AR1384" t="s">
        <v>33</v>
      </c>
      <c r="AS1384" s="6">
        <f>LOG(10^8)</f>
        <v>8</v>
      </c>
      <c r="AT1384" s="3">
        <f>IFERROR(AS1384-AU1384,"NA")</f>
        <v>6.7010000000000005</v>
      </c>
      <c r="AU1384" s="6">
        <v>1.2989999999999999</v>
      </c>
      <c r="AV1384" t="b">
        <v>1</v>
      </c>
      <c r="AW1384" t="s">
        <v>123</v>
      </c>
      <c r="AX1384" t="s">
        <v>393</v>
      </c>
      <c r="AY1384" t="s">
        <v>394</v>
      </c>
      <c r="AZ1384" t="s">
        <v>33</v>
      </c>
      <c r="BA1384" s="18" t="s">
        <v>579</v>
      </c>
      <c r="BB1384" t="b">
        <v>1</v>
      </c>
      <c r="BC1384" t="s">
        <v>81</v>
      </c>
      <c r="BD1384">
        <v>72</v>
      </c>
      <c r="BE1384" t="s">
        <v>80</v>
      </c>
      <c r="BF1384" s="11">
        <v>72</v>
      </c>
      <c r="BG1384" t="s">
        <v>395</v>
      </c>
      <c r="BH1384" t="s">
        <v>31</v>
      </c>
      <c r="BI1384" t="s">
        <v>31</v>
      </c>
      <c r="BJ1384" s="3">
        <f t="shared" si="680"/>
        <v>1.2989999999999999</v>
      </c>
      <c r="BK1384" s="3">
        <f t="shared" si="679"/>
        <v>0.11360915107302785</v>
      </c>
      <c r="BL1384">
        <v>2</v>
      </c>
      <c r="BM1384" s="3">
        <f t="shared" si="700"/>
        <v>2.3430604783507296</v>
      </c>
      <c r="BN1384" t="s">
        <v>33</v>
      </c>
      <c r="BO1384" s="3">
        <f t="shared" si="695"/>
        <v>220.32332563510394</v>
      </c>
      <c r="BP1384" t="s">
        <v>33</v>
      </c>
      <c r="BQ1384" t="s">
        <v>33</v>
      </c>
      <c r="BR1384" t="s">
        <v>33</v>
      </c>
      <c r="BS1384" t="s">
        <v>33</v>
      </c>
      <c r="BT1384" t="s">
        <v>31</v>
      </c>
      <c r="BU1384" t="s">
        <v>240</v>
      </c>
      <c r="BV1384">
        <v>2005</v>
      </c>
      <c r="BW1384" t="s">
        <v>396</v>
      </c>
      <c r="BX1384" t="s">
        <v>78</v>
      </c>
      <c r="BY1384" t="s">
        <v>33</v>
      </c>
      <c r="BZ1384" t="s">
        <v>33</v>
      </c>
      <c r="CA1384" t="str">
        <f t="shared" si="696"/>
        <v>high acid</v>
      </c>
    </row>
    <row r="1385" spans="1:79">
      <c r="A1385" t="s">
        <v>584</v>
      </c>
      <c r="B1385" t="s">
        <v>566</v>
      </c>
      <c r="C1385" t="s">
        <v>563</v>
      </c>
      <c r="D1385" t="s">
        <v>607</v>
      </c>
      <c r="E1385" t="s">
        <v>77</v>
      </c>
      <c r="F1385" t="s">
        <v>33</v>
      </c>
      <c r="G1385">
        <v>20</v>
      </c>
      <c r="H1385">
        <v>35</v>
      </c>
      <c r="I1385" t="b">
        <v>0</v>
      </c>
      <c r="J1385">
        <v>1000</v>
      </c>
      <c r="K1385">
        <v>200</v>
      </c>
      <c r="L1385">
        <v>15</v>
      </c>
      <c r="M1385" s="4">
        <v>1</v>
      </c>
      <c r="N1385" t="e">
        <f>(#REF!*Y1385)/(T1385*X1385*O1385)</f>
        <v>#REF!</v>
      </c>
      <c r="O1385">
        <v>3</v>
      </c>
      <c r="P1385" t="s">
        <v>33</v>
      </c>
      <c r="Q1385" s="1">
        <f t="shared" si="698"/>
        <v>166.66666666666666</v>
      </c>
      <c r="R1385" t="s">
        <v>183</v>
      </c>
      <c r="S1385" t="s">
        <v>33</v>
      </c>
      <c r="T1385">
        <v>1</v>
      </c>
      <c r="U1385">
        <v>2.5</v>
      </c>
      <c r="V1385" t="s">
        <v>33</v>
      </c>
      <c r="W1385">
        <v>0.50249999999999995</v>
      </c>
      <c r="X1385">
        <f>W1385</f>
        <v>0.50249999999999995</v>
      </c>
      <c r="Y1385" t="s">
        <v>33</v>
      </c>
      <c r="Z1385" s="3">
        <f t="shared" si="704"/>
        <v>3.0149999999999999E-3</v>
      </c>
      <c r="AA1385" t="s">
        <v>33</v>
      </c>
      <c r="AB1385">
        <f t="shared" si="705"/>
        <v>166.66666666666666</v>
      </c>
      <c r="AC1385" s="1" t="str">
        <f t="shared" si="702"/>
        <v>NA</v>
      </c>
      <c r="AE1385" s="3">
        <f t="shared" si="703"/>
        <v>112.49999999999999</v>
      </c>
      <c r="AF1385">
        <v>500</v>
      </c>
      <c r="AG1385" s="1" t="str">
        <f>IFERROR((N1385*P1385*Q1385), "NA")</f>
        <v>NA</v>
      </c>
      <c r="AH1385" s="1" t="str">
        <f>IFERROR((AG1385*U1385*AI1385), "NA")</f>
        <v>NA</v>
      </c>
      <c r="AI1385" s="1">
        <v>1</v>
      </c>
      <c r="AJ1385" s="11" t="s">
        <v>31</v>
      </c>
      <c r="AK1385">
        <v>1000</v>
      </c>
      <c r="AL1385" t="s">
        <v>614</v>
      </c>
      <c r="AM1385" s="3" t="s">
        <v>103</v>
      </c>
      <c r="AN1385" t="s">
        <v>305</v>
      </c>
      <c r="AO1385" t="s">
        <v>790</v>
      </c>
      <c r="AP1385">
        <v>3.5</v>
      </c>
      <c r="AQ1385" t="s">
        <v>33</v>
      </c>
      <c r="AR1385" t="s">
        <v>33</v>
      </c>
      <c r="AS1385">
        <v>8</v>
      </c>
      <c r="AT1385">
        <f>AS1385-AU1385</f>
        <v>6.72</v>
      </c>
      <c r="AU1385" s="6">
        <v>1.28</v>
      </c>
      <c r="AV1385" t="b">
        <v>1</v>
      </c>
      <c r="AW1385" t="s">
        <v>617</v>
      </c>
      <c r="AX1385" t="s">
        <v>33</v>
      </c>
      <c r="AY1385" t="s">
        <v>623</v>
      </c>
      <c r="AZ1385" t="s">
        <v>621</v>
      </c>
      <c r="BA1385" s="18" t="s">
        <v>802</v>
      </c>
      <c r="BB1385" s="3" t="b">
        <v>0</v>
      </c>
      <c r="BC1385" t="s">
        <v>81</v>
      </c>
      <c r="BD1385">
        <v>18</v>
      </c>
      <c r="BE1385" t="s">
        <v>80</v>
      </c>
      <c r="BF1385">
        <v>24</v>
      </c>
      <c r="BG1385" t="s">
        <v>569</v>
      </c>
      <c r="BH1385" t="s">
        <v>31</v>
      </c>
      <c r="BI1385" t="s">
        <v>31</v>
      </c>
      <c r="BJ1385">
        <f t="shared" si="680"/>
        <v>1.28</v>
      </c>
      <c r="BK1385" s="3">
        <f t="shared" si="679"/>
        <v>0.10720996964786837</v>
      </c>
      <c r="BL1385">
        <v>2</v>
      </c>
      <c r="BM1385" s="3">
        <f t="shared" si="700"/>
        <v>1.9439425527995129</v>
      </c>
      <c r="BN1385" t="s">
        <v>33</v>
      </c>
      <c r="BO1385" s="3">
        <f t="shared" si="695"/>
        <v>87.890624999999986</v>
      </c>
      <c r="BP1385" t="s">
        <v>33</v>
      </c>
      <c r="BQ1385" t="s">
        <v>33</v>
      </c>
      <c r="BR1385" t="s">
        <v>33</v>
      </c>
      <c r="BS1385" t="s">
        <v>33</v>
      </c>
      <c r="BT1385" t="s">
        <v>31</v>
      </c>
      <c r="BU1385" t="s">
        <v>255</v>
      </c>
      <c r="BV1385">
        <v>2010</v>
      </c>
      <c r="BW1385" t="s">
        <v>651</v>
      </c>
      <c r="BX1385" t="s">
        <v>78</v>
      </c>
      <c r="BY1385" s="13" t="s">
        <v>674</v>
      </c>
      <c r="CA1385" t="str">
        <f t="shared" si="696"/>
        <v>high acid</v>
      </c>
    </row>
    <row r="1386" spans="1:79">
      <c r="A1386" t="s">
        <v>597</v>
      </c>
      <c r="B1386" t="s">
        <v>565</v>
      </c>
      <c r="C1386" t="s">
        <v>563</v>
      </c>
      <c r="D1386" t="s">
        <v>33</v>
      </c>
      <c r="E1386" t="s">
        <v>77</v>
      </c>
      <c r="F1386" t="s">
        <v>33</v>
      </c>
      <c r="G1386">
        <v>20</v>
      </c>
      <c r="H1386">
        <v>35</v>
      </c>
      <c r="I1386" t="b">
        <v>0</v>
      </c>
      <c r="J1386" t="s">
        <v>33</v>
      </c>
      <c r="K1386" t="s">
        <v>33</v>
      </c>
      <c r="L1386">
        <v>15</v>
      </c>
      <c r="M1386" s="4">
        <v>1</v>
      </c>
      <c r="N1386" t="e">
        <f>(#REF!*Y1386)/(T1386*X1386*O1386)</f>
        <v>#REF!</v>
      </c>
      <c r="O1386">
        <v>2</v>
      </c>
      <c r="P1386" t="s">
        <v>33</v>
      </c>
      <c r="Q1386" s="1">
        <f t="shared" si="698"/>
        <v>1000.0000000000001</v>
      </c>
      <c r="R1386" t="s">
        <v>183</v>
      </c>
      <c r="S1386" t="s">
        <v>33</v>
      </c>
      <c r="T1386">
        <v>1</v>
      </c>
      <c r="U1386">
        <v>2.5</v>
      </c>
      <c r="V1386" t="s">
        <v>33</v>
      </c>
      <c r="W1386">
        <v>0.50249999999999995</v>
      </c>
      <c r="X1386">
        <f>W1386</f>
        <v>0.50249999999999995</v>
      </c>
      <c r="Y1386" t="s">
        <v>33</v>
      </c>
      <c r="Z1386" s="3">
        <f t="shared" si="704"/>
        <v>5.0249999999999991E-4</v>
      </c>
      <c r="AA1386" t="s">
        <v>33</v>
      </c>
      <c r="AB1386">
        <f t="shared" si="705"/>
        <v>1000.0000000000001</v>
      </c>
      <c r="AC1386" s="1" t="str">
        <f t="shared" si="702"/>
        <v>NA</v>
      </c>
      <c r="AE1386" s="3">
        <f t="shared" si="703"/>
        <v>900</v>
      </c>
      <c r="AF1386">
        <v>2000</v>
      </c>
      <c r="AG1386" s="1" t="str">
        <f>IFERROR((N1386*P1386*Q1386), "NA")</f>
        <v>NA</v>
      </c>
      <c r="AH1386" s="1" t="str">
        <f>IFERROR((AG1386*U1386*AI1386), "NA")</f>
        <v>NA</v>
      </c>
      <c r="AI1386" s="1">
        <v>1</v>
      </c>
      <c r="AJ1386" s="11" t="s">
        <v>31</v>
      </c>
      <c r="AK1386">
        <v>2000</v>
      </c>
      <c r="AL1386" t="s">
        <v>784</v>
      </c>
      <c r="AM1386" s="3" t="s">
        <v>103</v>
      </c>
      <c r="AN1386" t="s">
        <v>130</v>
      </c>
      <c r="AO1386" t="s">
        <v>795</v>
      </c>
      <c r="AP1386">
        <v>7</v>
      </c>
      <c r="AQ1386" t="s">
        <v>33</v>
      </c>
      <c r="AR1386" t="s">
        <v>33</v>
      </c>
      <c r="AS1386">
        <v>9</v>
      </c>
      <c r="AT1386">
        <f>AS1386-AU1386</f>
        <v>6.73</v>
      </c>
      <c r="AU1386" s="6">
        <v>2.27</v>
      </c>
      <c r="AV1386" t="b">
        <v>1</v>
      </c>
      <c r="AW1386" t="s">
        <v>617</v>
      </c>
      <c r="AX1386" t="s">
        <v>635</v>
      </c>
      <c r="AY1386" t="s">
        <v>636</v>
      </c>
      <c r="AZ1386" t="s">
        <v>33</v>
      </c>
      <c r="BA1386" s="18" t="s">
        <v>802</v>
      </c>
      <c r="BB1386" s="3" t="b">
        <v>0</v>
      </c>
      <c r="BC1386" t="s">
        <v>81</v>
      </c>
      <c r="BD1386">
        <v>24</v>
      </c>
      <c r="BE1386" t="s">
        <v>80</v>
      </c>
      <c r="BF1386">
        <v>24</v>
      </c>
      <c r="BG1386" t="s">
        <v>644</v>
      </c>
      <c r="BH1386" t="s">
        <v>31</v>
      </c>
      <c r="BI1386" t="s">
        <v>31</v>
      </c>
      <c r="BJ1386">
        <f t="shared" si="680"/>
        <v>2.27</v>
      </c>
      <c r="BK1386" s="3">
        <f t="shared" si="679"/>
        <v>0.35602585719312274</v>
      </c>
      <c r="BL1386">
        <v>2</v>
      </c>
      <c r="BM1386" s="3">
        <f t="shared" si="700"/>
        <v>2.5982166522462022</v>
      </c>
      <c r="BN1386" t="s">
        <v>33</v>
      </c>
      <c r="BO1386" s="3">
        <f t="shared" si="695"/>
        <v>396.47577092511011</v>
      </c>
      <c r="BP1386" t="s">
        <v>33</v>
      </c>
      <c r="BQ1386" t="s">
        <v>33</v>
      </c>
      <c r="BR1386" t="s">
        <v>33</v>
      </c>
      <c r="BS1386" t="s">
        <v>33</v>
      </c>
      <c r="BT1386" t="s">
        <v>31</v>
      </c>
      <c r="BU1386" t="s">
        <v>664</v>
      </c>
      <c r="BV1386">
        <v>2000</v>
      </c>
      <c r="BW1386" t="s">
        <v>665</v>
      </c>
      <c r="BX1386" t="s">
        <v>78</v>
      </c>
      <c r="BY1386" s="13" t="s">
        <v>685</v>
      </c>
      <c r="CA1386" t="str">
        <f t="shared" si="696"/>
        <v>low acid</v>
      </c>
    </row>
    <row r="1387" spans="1:79">
      <c r="A1387" t="s">
        <v>583</v>
      </c>
      <c r="B1387" t="s">
        <v>566</v>
      </c>
      <c r="C1387" t="s">
        <v>563</v>
      </c>
      <c r="D1387" t="s">
        <v>33</v>
      </c>
      <c r="E1387" t="s">
        <v>77</v>
      </c>
      <c r="F1387" t="s">
        <v>32</v>
      </c>
      <c r="G1387" t="s">
        <v>33</v>
      </c>
      <c r="H1387">
        <v>10</v>
      </c>
      <c r="I1387" t="b">
        <v>1</v>
      </c>
      <c r="J1387" t="s">
        <v>33</v>
      </c>
      <c r="K1387" t="s">
        <v>33</v>
      </c>
      <c r="L1387">
        <v>30</v>
      </c>
      <c r="M1387" s="4">
        <v>2</v>
      </c>
      <c r="N1387" t="e">
        <f>(#REF!*Y1387)/(T1387*X1387*O1387)</f>
        <v>#REF!</v>
      </c>
      <c r="O1387">
        <v>2</v>
      </c>
      <c r="P1387" t="s">
        <v>33</v>
      </c>
      <c r="Q1387" s="1">
        <f t="shared" si="698"/>
        <v>45</v>
      </c>
      <c r="R1387" t="s">
        <v>183</v>
      </c>
      <c r="S1387" t="s">
        <v>613</v>
      </c>
      <c r="T1387">
        <v>1</v>
      </c>
      <c r="U1387">
        <v>5</v>
      </c>
      <c r="V1387" t="s">
        <v>33</v>
      </c>
      <c r="W1387">
        <v>0.71</v>
      </c>
      <c r="X1387">
        <f>W1387</f>
        <v>0.71</v>
      </c>
      <c r="Y1387">
        <v>0.1</v>
      </c>
      <c r="Z1387" s="3">
        <f t="shared" si="704"/>
        <v>1.5777777777777776E-2</v>
      </c>
      <c r="AA1387" t="s">
        <v>33</v>
      </c>
      <c r="AB1387">
        <f t="shared" si="705"/>
        <v>90</v>
      </c>
      <c r="AC1387" s="1" t="str">
        <f t="shared" si="702"/>
        <v>NA</v>
      </c>
      <c r="AE1387" s="3">
        <f t="shared" si="703"/>
        <v>761.39999999999986</v>
      </c>
      <c r="AF1387">
        <v>180</v>
      </c>
      <c r="AG1387" s="1" t="str">
        <f>IFERROR((N1387*P1387*Q1387), "NA")</f>
        <v>NA</v>
      </c>
      <c r="AH1387" s="1" t="str">
        <f>IFERROR((AG1387*U1387*AI1387), "NA")</f>
        <v>NA</v>
      </c>
      <c r="AI1387" s="1">
        <v>1</v>
      </c>
      <c r="AJ1387" s="11" t="s">
        <v>31</v>
      </c>
      <c r="AK1387">
        <v>4700</v>
      </c>
      <c r="AL1387" t="s">
        <v>562</v>
      </c>
      <c r="AM1387" s="3" t="s">
        <v>786</v>
      </c>
      <c r="AN1387" t="s">
        <v>186</v>
      </c>
      <c r="AO1387" t="s">
        <v>793</v>
      </c>
      <c r="AP1387" t="s">
        <v>33</v>
      </c>
      <c r="AQ1387" t="s">
        <v>33</v>
      </c>
      <c r="AR1387" t="s">
        <v>33</v>
      </c>
      <c r="AS1387">
        <v>8</v>
      </c>
      <c r="AT1387">
        <f>AS1387-AU1387</f>
        <v>6.74</v>
      </c>
      <c r="AU1387" s="6">
        <v>1.26</v>
      </c>
      <c r="AV1387" t="b">
        <v>1</v>
      </c>
      <c r="AW1387" t="s">
        <v>617</v>
      </c>
      <c r="AX1387" t="s">
        <v>33</v>
      </c>
      <c r="AY1387" t="s">
        <v>622</v>
      </c>
      <c r="AZ1387" t="s">
        <v>619</v>
      </c>
      <c r="BA1387" s="18" t="s">
        <v>802</v>
      </c>
      <c r="BB1387" s="3" t="b">
        <v>0</v>
      </c>
      <c r="BC1387" t="s">
        <v>81</v>
      </c>
      <c r="BD1387">
        <v>18</v>
      </c>
      <c r="BE1387" t="s">
        <v>80</v>
      </c>
      <c r="BF1387">
        <v>24</v>
      </c>
      <c r="BG1387" t="s">
        <v>696</v>
      </c>
      <c r="BH1387" t="s">
        <v>32</v>
      </c>
      <c r="BI1387" t="s">
        <v>31</v>
      </c>
      <c r="BJ1387">
        <f t="shared" si="680"/>
        <v>1.26</v>
      </c>
      <c r="BK1387" s="3">
        <f t="shared" si="679"/>
        <v>0.10037054511756291</v>
      </c>
      <c r="BL1387">
        <v>2</v>
      </c>
      <c r="BM1387" s="3">
        <f t="shared" si="700"/>
        <v>2.7812423273607854</v>
      </c>
      <c r="BN1387" t="s">
        <v>33</v>
      </c>
      <c r="BO1387" s="3">
        <f t="shared" si="695"/>
        <v>604.28571428571422</v>
      </c>
      <c r="BP1387" t="s">
        <v>33</v>
      </c>
      <c r="BQ1387" t="s">
        <v>33</v>
      </c>
      <c r="BR1387" t="s">
        <v>33</v>
      </c>
      <c r="BS1387" t="s">
        <v>33</v>
      </c>
      <c r="BT1387" t="s">
        <v>31</v>
      </c>
      <c r="BU1387" t="s">
        <v>338</v>
      </c>
      <c r="BV1387">
        <v>2005</v>
      </c>
      <c r="BW1387" t="s">
        <v>342</v>
      </c>
      <c r="BX1387" t="s">
        <v>78</v>
      </c>
      <c r="BY1387" s="13" t="s">
        <v>673</v>
      </c>
      <c r="CA1387" t="str">
        <f t="shared" si="696"/>
        <v>low acid</v>
      </c>
    </row>
    <row r="1388" spans="1:79">
      <c r="A1388" t="s">
        <v>583</v>
      </c>
      <c r="B1388" t="s">
        <v>566</v>
      </c>
      <c r="C1388" t="s">
        <v>563</v>
      </c>
      <c r="D1388" t="s">
        <v>33</v>
      </c>
      <c r="E1388" t="s">
        <v>77</v>
      </c>
      <c r="F1388" t="s">
        <v>32</v>
      </c>
      <c r="G1388" t="s">
        <v>33</v>
      </c>
      <c r="H1388">
        <v>30</v>
      </c>
      <c r="I1388" t="b">
        <v>1</v>
      </c>
      <c r="J1388" t="s">
        <v>33</v>
      </c>
      <c r="K1388" t="s">
        <v>33</v>
      </c>
      <c r="L1388">
        <v>30</v>
      </c>
      <c r="M1388" s="4">
        <v>2</v>
      </c>
      <c r="N1388" t="e">
        <f>(#REF!*Y1388)/(T1388*X1388*O1388)</f>
        <v>#REF!</v>
      </c>
      <c r="O1388">
        <v>2</v>
      </c>
      <c r="P1388" t="s">
        <v>33</v>
      </c>
      <c r="Q1388" s="1">
        <f t="shared" si="698"/>
        <v>15</v>
      </c>
      <c r="R1388" t="s">
        <v>183</v>
      </c>
      <c r="S1388" t="s">
        <v>613</v>
      </c>
      <c r="T1388">
        <v>1</v>
      </c>
      <c r="U1388">
        <v>5</v>
      </c>
      <c r="V1388" t="s">
        <v>33</v>
      </c>
      <c r="W1388">
        <v>0.71</v>
      </c>
      <c r="X1388">
        <f>W1388</f>
        <v>0.71</v>
      </c>
      <c r="Y1388">
        <v>0.1</v>
      </c>
      <c r="Z1388" s="3">
        <f t="shared" si="704"/>
        <v>4.7333333333333331E-2</v>
      </c>
      <c r="AA1388" t="s">
        <v>33</v>
      </c>
      <c r="AB1388">
        <f t="shared" si="705"/>
        <v>30</v>
      </c>
      <c r="AC1388" s="1" t="str">
        <f t="shared" si="702"/>
        <v>NA</v>
      </c>
      <c r="AE1388" s="3">
        <f t="shared" si="703"/>
        <v>253.79999999999998</v>
      </c>
      <c r="AF1388">
        <v>60</v>
      </c>
      <c r="AG1388" s="1" t="str">
        <f>IFERROR((N1388*P1388*Q1388), "NA")</f>
        <v>NA</v>
      </c>
      <c r="AH1388" s="1" t="str">
        <f>IFERROR((AG1388*U1388*AI1388), "NA")</f>
        <v>NA</v>
      </c>
      <c r="AI1388" s="1">
        <v>1</v>
      </c>
      <c r="AJ1388" s="11" t="s">
        <v>31</v>
      </c>
      <c r="AK1388">
        <v>4700</v>
      </c>
      <c r="AL1388" t="s">
        <v>562</v>
      </c>
      <c r="AM1388" s="3" t="s">
        <v>786</v>
      </c>
      <c r="AN1388" t="s">
        <v>186</v>
      </c>
      <c r="AO1388" t="s">
        <v>793</v>
      </c>
      <c r="AP1388" t="s">
        <v>33</v>
      </c>
      <c r="AQ1388" t="s">
        <v>33</v>
      </c>
      <c r="AR1388" t="s">
        <v>33</v>
      </c>
      <c r="AS1388">
        <v>8</v>
      </c>
      <c r="AT1388">
        <f>AS1388-AU1388</f>
        <v>6.74</v>
      </c>
      <c r="AU1388" s="6">
        <v>1.26</v>
      </c>
      <c r="AV1388" t="b">
        <v>1</v>
      </c>
      <c r="AW1388" t="s">
        <v>617</v>
      </c>
      <c r="AX1388" t="s">
        <v>33</v>
      </c>
      <c r="AY1388" t="s">
        <v>622</v>
      </c>
      <c r="AZ1388" t="s">
        <v>619</v>
      </c>
      <c r="BA1388" s="18" t="s">
        <v>802</v>
      </c>
      <c r="BB1388" s="3" t="b">
        <v>0</v>
      </c>
      <c r="BC1388" t="s">
        <v>81</v>
      </c>
      <c r="BD1388">
        <v>18</v>
      </c>
      <c r="BE1388" t="s">
        <v>80</v>
      </c>
      <c r="BF1388">
        <v>24</v>
      </c>
      <c r="BG1388" t="s">
        <v>696</v>
      </c>
      <c r="BH1388" t="s">
        <v>32</v>
      </c>
      <c r="BI1388" t="s">
        <v>31</v>
      </c>
      <c r="BJ1388">
        <f t="shared" si="680"/>
        <v>1.26</v>
      </c>
      <c r="BK1388" s="3">
        <f t="shared" ref="BK1388:BK1451" si="706">LOG10(BJ1388)</f>
        <v>0.10037054511756291</v>
      </c>
      <c r="BL1388">
        <v>2</v>
      </c>
      <c r="BM1388" s="3">
        <f t="shared" si="700"/>
        <v>2.3041210726411232</v>
      </c>
      <c r="BN1388" t="s">
        <v>33</v>
      </c>
      <c r="BO1388" s="3">
        <f t="shared" si="695"/>
        <v>201.42857142857142</v>
      </c>
      <c r="BP1388" t="s">
        <v>33</v>
      </c>
      <c r="BQ1388" t="s">
        <v>33</v>
      </c>
      <c r="BR1388" t="s">
        <v>33</v>
      </c>
      <c r="BS1388" t="s">
        <v>33</v>
      </c>
      <c r="BT1388" t="s">
        <v>31</v>
      </c>
      <c r="BU1388" t="s">
        <v>338</v>
      </c>
      <c r="BV1388">
        <v>2005</v>
      </c>
      <c r="BW1388" t="s">
        <v>342</v>
      </c>
      <c r="BX1388" t="s">
        <v>78</v>
      </c>
      <c r="BY1388" s="13" t="s">
        <v>673</v>
      </c>
      <c r="CA1388" t="str">
        <f t="shared" si="696"/>
        <v>low acid</v>
      </c>
    </row>
    <row r="1389" spans="1:79">
      <c r="A1389" t="s">
        <v>539</v>
      </c>
      <c r="B1389" t="s">
        <v>566</v>
      </c>
      <c r="C1389" t="s">
        <v>563</v>
      </c>
      <c r="D1389" t="s">
        <v>33</v>
      </c>
      <c r="E1389" t="s">
        <v>77</v>
      </c>
      <c r="F1389" t="s">
        <v>32</v>
      </c>
      <c r="G1389">
        <v>20</v>
      </c>
      <c r="H1389">
        <v>39.65</v>
      </c>
      <c r="I1389" t="b">
        <v>1</v>
      </c>
      <c r="J1389" t="s">
        <v>33</v>
      </c>
      <c r="K1389" t="s">
        <v>33</v>
      </c>
      <c r="L1389">
        <v>20</v>
      </c>
      <c r="M1389" s="4">
        <v>52</v>
      </c>
      <c r="N1389" s="3">
        <f>IFERROR(AF1389/((T1389*X1389/Y1389)*O1389*AI1389),"NA")</f>
        <v>31.955992273452591</v>
      </c>
      <c r="O1389">
        <v>3</v>
      </c>
      <c r="P1389" t="s">
        <v>33</v>
      </c>
      <c r="Q1389" s="8">
        <f t="shared" si="698"/>
        <v>0.48782051282051286</v>
      </c>
      <c r="R1389" t="s">
        <v>183</v>
      </c>
      <c r="S1389" t="s">
        <v>612</v>
      </c>
      <c r="T1389" s="11">
        <v>1</v>
      </c>
      <c r="U1389">
        <v>4.5</v>
      </c>
      <c r="V1389" t="s">
        <v>33</v>
      </c>
      <c r="W1389" t="s">
        <v>33</v>
      </c>
      <c r="X1389">
        <f>U1389*0.1*1.47</f>
        <v>0.66149999999999998</v>
      </c>
      <c r="Y1389" s="6">
        <f>3000/3600</f>
        <v>0.83333333333333337</v>
      </c>
      <c r="Z1389" s="3">
        <f t="shared" si="704"/>
        <v>1.3560315374507226</v>
      </c>
      <c r="AA1389" t="s">
        <v>33</v>
      </c>
      <c r="AB1389" s="6">
        <f t="shared" si="705"/>
        <v>25.366666666666667</v>
      </c>
      <c r="AC1389" t="str">
        <f t="shared" si="702"/>
        <v>NA</v>
      </c>
      <c r="AD1389" s="4">
        <f>IFERROR(AB1389*T1389*AI1389, "NA")</f>
        <v>25.366666666666667</v>
      </c>
      <c r="AE1389" s="3">
        <f t="shared" si="703"/>
        <v>82.188000000000002</v>
      </c>
      <c r="AF1389">
        <v>76.099999999999994</v>
      </c>
      <c r="AG1389" t="str">
        <f>IFERROR((M1389*O1389*P1389), "NA")</f>
        <v>NA</v>
      </c>
      <c r="AH1389" t="str">
        <f>IFERROR((AG1389*T1389*AI1389), "NA")</f>
        <v>NA</v>
      </c>
      <c r="AI1389" s="11">
        <v>1</v>
      </c>
      <c r="AJ1389" t="s">
        <v>31</v>
      </c>
      <c r="AK1389" s="11">
        <v>2700</v>
      </c>
      <c r="AL1389" t="s">
        <v>149</v>
      </c>
      <c r="AM1389" t="s">
        <v>86</v>
      </c>
      <c r="AN1389" t="s">
        <v>205</v>
      </c>
      <c r="AO1389" t="s">
        <v>789</v>
      </c>
      <c r="AP1389">
        <v>3.5</v>
      </c>
      <c r="AQ1389" t="s">
        <v>33</v>
      </c>
      <c r="AR1389" t="s">
        <v>33</v>
      </c>
      <c r="AS1389" s="6">
        <f>LOG(10^8)</f>
        <v>8</v>
      </c>
      <c r="AT1389" s="3">
        <f>IFERROR(AS1389-AU1389,"NA")</f>
        <v>6.74</v>
      </c>
      <c r="AU1389" s="6">
        <v>1.26</v>
      </c>
      <c r="AV1389" t="b">
        <v>1</v>
      </c>
      <c r="AW1389" t="s">
        <v>29</v>
      </c>
      <c r="AX1389" t="s">
        <v>30</v>
      </c>
      <c r="AY1389" t="s">
        <v>33</v>
      </c>
      <c r="AZ1389" t="s">
        <v>134</v>
      </c>
      <c r="BA1389" s="18" t="s">
        <v>798</v>
      </c>
      <c r="BB1389" t="b">
        <v>0</v>
      </c>
      <c r="BC1389" t="s">
        <v>81</v>
      </c>
      <c r="BD1389">
        <v>12</v>
      </c>
      <c r="BE1389" t="s">
        <v>80</v>
      </c>
      <c r="BF1389" s="11">
        <v>48</v>
      </c>
      <c r="BG1389" t="s">
        <v>569</v>
      </c>
      <c r="BH1389" t="s">
        <v>31</v>
      </c>
      <c r="BI1389" t="s">
        <v>31</v>
      </c>
      <c r="BJ1389" s="3">
        <f t="shared" ref="BJ1389:BJ1452" si="707">AU1389</f>
        <v>1.26</v>
      </c>
      <c r="BK1389" s="3">
        <f t="shared" si="706"/>
        <v>0.10037054511756291</v>
      </c>
      <c r="BL1389">
        <v>2</v>
      </c>
      <c r="BM1389" s="3">
        <f t="shared" si="700"/>
        <v>1.8144378671399597</v>
      </c>
      <c r="BN1389" t="s">
        <v>33</v>
      </c>
      <c r="BO1389" s="3">
        <f t="shared" si="695"/>
        <v>65.228571428571428</v>
      </c>
      <c r="BP1389" t="s">
        <v>33</v>
      </c>
      <c r="BQ1389" t="s">
        <v>33</v>
      </c>
      <c r="BR1389" t="s">
        <v>33</v>
      </c>
      <c r="BS1389" t="s">
        <v>33</v>
      </c>
      <c r="BT1389" t="s">
        <v>32</v>
      </c>
      <c r="BU1389" t="s">
        <v>255</v>
      </c>
      <c r="BV1389">
        <v>2011</v>
      </c>
      <c r="BW1389" s="2" t="s">
        <v>256</v>
      </c>
      <c r="BX1389" t="s">
        <v>78</v>
      </c>
      <c r="BY1389" t="s">
        <v>33</v>
      </c>
      <c r="BZ1389" t="s">
        <v>33</v>
      </c>
      <c r="CA1389" t="str">
        <f t="shared" si="696"/>
        <v>high acid</v>
      </c>
    </row>
    <row r="1390" spans="1:79">
      <c r="A1390" t="s">
        <v>537</v>
      </c>
      <c r="B1390" t="s">
        <v>565</v>
      </c>
      <c r="C1390" t="s">
        <v>563</v>
      </c>
      <c r="D1390" t="s">
        <v>118</v>
      </c>
      <c r="E1390" t="s">
        <v>77</v>
      </c>
      <c r="F1390" t="s">
        <v>32</v>
      </c>
      <c r="G1390">
        <v>5</v>
      </c>
      <c r="H1390">
        <v>50</v>
      </c>
      <c r="I1390" t="b">
        <v>0</v>
      </c>
      <c r="J1390" t="s">
        <v>33</v>
      </c>
      <c r="K1390" t="s">
        <v>33</v>
      </c>
      <c r="L1390">
        <v>25</v>
      </c>
      <c r="M1390" s="4">
        <v>500</v>
      </c>
      <c r="N1390" s="3">
        <f>IFERROR(AF1390/((T1390*X1390/Y1390)*O1390*AI1390),"NA")</f>
        <v>497.97518208793286</v>
      </c>
      <c r="O1390">
        <v>2</v>
      </c>
      <c r="P1390" t="s">
        <v>33</v>
      </c>
      <c r="Q1390">
        <f t="shared" si="698"/>
        <v>1.2E-2</v>
      </c>
      <c r="R1390" t="s">
        <v>183</v>
      </c>
      <c r="S1390" t="s">
        <v>613</v>
      </c>
      <c r="T1390" s="11">
        <v>6</v>
      </c>
      <c r="U1390">
        <v>2.9</v>
      </c>
      <c r="V1390">
        <v>2.2999999999999998</v>
      </c>
      <c r="W1390" t="s">
        <v>33</v>
      </c>
      <c r="X1390" s="8">
        <f>IFERROR(((PI())*(((V1390*10^-1)/2)^2)*(U1390*10^-1)), "NA")</f>
        <v>1.204879322468025E-2</v>
      </c>
      <c r="Y1390" s="6">
        <f>60/60</f>
        <v>1</v>
      </c>
      <c r="Z1390" s="3">
        <f t="shared" si="704"/>
        <v>1.0040661020566874</v>
      </c>
      <c r="AA1390" t="s">
        <v>33</v>
      </c>
      <c r="AB1390" s="6">
        <f t="shared" si="705"/>
        <v>6.0000000000000009</v>
      </c>
      <c r="AC1390" t="str">
        <f t="shared" si="702"/>
        <v>NA</v>
      </c>
      <c r="AD1390" s="4">
        <f>IFERROR(AB1390*T1390*AI1390, "NA")</f>
        <v>36.000000000000007</v>
      </c>
      <c r="AE1390" s="3">
        <f t="shared" si="703"/>
        <v>72.36</v>
      </c>
      <c r="AF1390">
        <v>72</v>
      </c>
      <c r="AG1390" t="str">
        <f>IFERROR((M1390*O1390*P1390), "NA")</f>
        <v>NA</v>
      </c>
      <c r="AH1390" t="str">
        <f>IFERROR((AG1390*T1390*AI1390), "NA")</f>
        <v>NA</v>
      </c>
      <c r="AI1390" s="11">
        <v>1</v>
      </c>
      <c r="AJ1390" t="s">
        <v>31</v>
      </c>
      <c r="AK1390">
        <v>1608</v>
      </c>
      <c r="AL1390" t="s">
        <v>149</v>
      </c>
      <c r="AM1390" t="s">
        <v>86</v>
      </c>
      <c r="AN1390" t="s">
        <v>205</v>
      </c>
      <c r="AO1390" t="s">
        <v>789</v>
      </c>
      <c r="AP1390">
        <v>3.41</v>
      </c>
      <c r="AQ1390" t="s">
        <v>33</v>
      </c>
      <c r="AR1390" t="s">
        <v>33</v>
      </c>
      <c r="AS1390" s="3">
        <v>9</v>
      </c>
      <c r="AT1390" s="3">
        <f>IFERROR(AS1390-AU1390,"NA")</f>
        <v>6.74</v>
      </c>
      <c r="AU1390" s="6">
        <v>2.2599999999999998</v>
      </c>
      <c r="AV1390" t="b">
        <v>1</v>
      </c>
      <c r="AW1390" t="s">
        <v>29</v>
      </c>
      <c r="AX1390" t="s">
        <v>30</v>
      </c>
      <c r="AY1390" t="s">
        <v>33</v>
      </c>
      <c r="AZ1390" t="s">
        <v>134</v>
      </c>
      <c r="BA1390" s="18" t="s">
        <v>798</v>
      </c>
      <c r="BB1390" t="b">
        <v>0</v>
      </c>
      <c r="BC1390" t="s">
        <v>81</v>
      </c>
      <c r="BD1390">
        <f>18</f>
        <v>18</v>
      </c>
      <c r="BE1390" t="s">
        <v>80</v>
      </c>
      <c r="BF1390" s="11">
        <v>24</v>
      </c>
      <c r="BG1390" t="s">
        <v>262</v>
      </c>
      <c r="BH1390" t="s">
        <v>31</v>
      </c>
      <c r="BI1390" t="s">
        <v>31</v>
      </c>
      <c r="BJ1390" s="3">
        <f t="shared" si="707"/>
        <v>2.2599999999999998</v>
      </c>
      <c r="BK1390" s="3">
        <f t="shared" si="706"/>
        <v>0.35410843914740087</v>
      </c>
      <c r="BL1390">
        <v>2</v>
      </c>
      <c r="BM1390" s="3">
        <f t="shared" si="700"/>
        <v>1.5053901190403753</v>
      </c>
      <c r="BN1390" t="s">
        <v>33</v>
      </c>
      <c r="BO1390" s="3">
        <f t="shared" si="695"/>
        <v>32.017699115044252</v>
      </c>
      <c r="BP1390" t="s">
        <v>33</v>
      </c>
      <c r="BQ1390" t="s">
        <v>33</v>
      </c>
      <c r="BR1390" t="s">
        <v>33</v>
      </c>
      <c r="BS1390" t="s">
        <v>33</v>
      </c>
      <c r="BT1390" t="s">
        <v>31</v>
      </c>
      <c r="BU1390" t="s">
        <v>190</v>
      </c>
      <c r="BV1390">
        <v>2021</v>
      </c>
      <c r="BW1390" s="5" t="s">
        <v>191</v>
      </c>
      <c r="BX1390" t="s">
        <v>78</v>
      </c>
      <c r="BY1390" t="s">
        <v>33</v>
      </c>
      <c r="BZ1390" t="s">
        <v>150</v>
      </c>
      <c r="CA1390" t="str">
        <f t="shared" si="696"/>
        <v>high acid</v>
      </c>
    </row>
    <row r="1391" spans="1:79">
      <c r="A1391" t="s">
        <v>487</v>
      </c>
      <c r="B1391" t="s">
        <v>566</v>
      </c>
      <c r="C1391" t="s">
        <v>564</v>
      </c>
      <c r="D1391" t="s">
        <v>321</v>
      </c>
      <c r="E1391" t="s">
        <v>77</v>
      </c>
      <c r="F1391" t="s">
        <v>32</v>
      </c>
      <c r="G1391">
        <v>4</v>
      </c>
      <c r="H1391" t="s">
        <v>33</v>
      </c>
      <c r="I1391" t="b">
        <v>0</v>
      </c>
      <c r="J1391" t="s">
        <v>33</v>
      </c>
      <c r="K1391" t="s">
        <v>33</v>
      </c>
      <c r="L1391">
        <v>15</v>
      </c>
      <c r="M1391" s="4">
        <v>10</v>
      </c>
      <c r="N1391" s="3">
        <f>IFERROR(AF1391/((T1391*X1391/Y1391)*O1391*AI1391),"NA")</f>
        <v>10</v>
      </c>
      <c r="O1391">
        <v>1.5</v>
      </c>
      <c r="P1391" s="3">
        <f>6/(52.5/60)</f>
        <v>6.8571428571428568</v>
      </c>
      <c r="Q1391" s="8">
        <f t="shared" si="698"/>
        <v>6.8571428571428568</v>
      </c>
      <c r="R1391" t="s">
        <v>278</v>
      </c>
      <c r="S1391" t="s">
        <v>613</v>
      </c>
      <c r="T1391" s="11">
        <v>1</v>
      </c>
      <c r="U1391">
        <v>100</v>
      </c>
      <c r="V1391" t="s">
        <v>33</v>
      </c>
      <c r="W1391">
        <v>6</v>
      </c>
      <c r="X1391" s="9">
        <f>W1391</f>
        <v>6</v>
      </c>
      <c r="Y1391" s="6">
        <f>52.5/60</f>
        <v>0.875</v>
      </c>
      <c r="Z1391" s="3">
        <f t="shared" si="704"/>
        <v>0.875</v>
      </c>
      <c r="AA1391" t="s">
        <v>33</v>
      </c>
      <c r="AB1391" s="4">
        <f>IFERROR(((X1391*M1391)/Y1391), "NA")</f>
        <v>68.571428571428569</v>
      </c>
      <c r="AC1391" s="4">
        <f t="shared" si="702"/>
        <v>68.571428571428569</v>
      </c>
      <c r="AD1391" s="4">
        <f>AB1391*T1391*AI1391</f>
        <v>414</v>
      </c>
      <c r="AE1391" s="3">
        <f t="shared" si="703"/>
        <v>712.59749999999997</v>
      </c>
      <c r="AF1391">
        <f>414*O1391</f>
        <v>621</v>
      </c>
      <c r="AG1391" s="4">
        <f>IFERROR((M1391*O1391*P1391), "NA")</f>
        <v>102.85714285714285</v>
      </c>
      <c r="AH1391" s="4">
        <f>IFERROR((AG1391*T1391*AI1391), "NA")</f>
        <v>621</v>
      </c>
      <c r="AI1391" s="3">
        <f>AF1391/(AG1391*T1391)</f>
        <v>6.0375000000000005</v>
      </c>
      <c r="AJ1391" s="11" t="s">
        <v>32</v>
      </c>
      <c r="AK1391">
        <v>5100</v>
      </c>
      <c r="AL1391" t="s">
        <v>319</v>
      </c>
      <c r="AM1391" t="s">
        <v>86</v>
      </c>
      <c r="AN1391" t="s">
        <v>186</v>
      </c>
      <c r="AO1391" t="s">
        <v>794</v>
      </c>
      <c r="AP1391">
        <v>6.05</v>
      </c>
      <c r="AQ1391" t="s">
        <v>33</v>
      </c>
      <c r="AR1391" t="s">
        <v>33</v>
      </c>
      <c r="AS1391" s="6">
        <f>LOG((10^7+10^8)/2)</f>
        <v>7.7403626894942441</v>
      </c>
      <c r="AT1391" s="3">
        <f>IFERROR(AS1391-AU1391,"NA")</f>
        <v>6.7463626894942443</v>
      </c>
      <c r="AU1391" s="6">
        <v>0.99399999999999999</v>
      </c>
      <c r="AV1391" t="b">
        <v>1</v>
      </c>
      <c r="AW1391" t="s">
        <v>29</v>
      </c>
      <c r="AX1391" t="s">
        <v>30</v>
      </c>
      <c r="AY1391" t="s">
        <v>320</v>
      </c>
      <c r="AZ1391" t="s">
        <v>33</v>
      </c>
      <c r="BA1391" s="18" t="s">
        <v>798</v>
      </c>
      <c r="BB1391" s="3" t="b">
        <v>0</v>
      </c>
      <c r="BC1391" t="s">
        <v>81</v>
      </c>
      <c r="BD1391">
        <v>12</v>
      </c>
      <c r="BE1391" t="s">
        <v>80</v>
      </c>
      <c r="BF1391" t="s">
        <v>33</v>
      </c>
      <c r="BG1391" t="s">
        <v>488</v>
      </c>
      <c r="BH1391" t="s">
        <v>31</v>
      </c>
      <c r="BI1391" t="s">
        <v>31</v>
      </c>
      <c r="BJ1391" s="3">
        <f t="shared" si="707"/>
        <v>0.99399999999999999</v>
      </c>
      <c r="BK1391" s="3">
        <f t="shared" si="706"/>
        <v>-2.6136156026866902E-3</v>
      </c>
      <c r="BL1391">
        <v>2</v>
      </c>
      <c r="BM1391" s="3">
        <f t="shared" si="700"/>
        <v>2.8554579099885657</v>
      </c>
      <c r="BN1391" t="s">
        <v>33</v>
      </c>
      <c r="BO1391" s="3">
        <f t="shared" si="695"/>
        <v>716.89889336016097</v>
      </c>
      <c r="BP1391" t="s">
        <v>33</v>
      </c>
      <c r="BQ1391" t="s">
        <v>33</v>
      </c>
      <c r="BR1391" t="s">
        <v>33</v>
      </c>
      <c r="BS1391" t="s">
        <v>33</v>
      </c>
      <c r="BT1391" t="s">
        <v>31</v>
      </c>
      <c r="BU1391" t="s">
        <v>318</v>
      </c>
      <c r="BV1391">
        <v>2005</v>
      </c>
      <c r="BW1391" t="s">
        <v>489</v>
      </c>
      <c r="BX1391" t="s">
        <v>78</v>
      </c>
      <c r="BY1391" t="s">
        <v>33</v>
      </c>
      <c r="BZ1391" t="s">
        <v>490</v>
      </c>
      <c r="CA1391" t="str">
        <f t="shared" si="696"/>
        <v>low acid</v>
      </c>
    </row>
    <row r="1392" spans="1:79">
      <c r="A1392" t="s">
        <v>391</v>
      </c>
      <c r="B1392" t="s">
        <v>565</v>
      </c>
      <c r="C1392" t="s">
        <v>563</v>
      </c>
      <c r="D1392" t="s">
        <v>118</v>
      </c>
      <c r="E1392" t="s">
        <v>77</v>
      </c>
      <c r="F1392" t="s">
        <v>32</v>
      </c>
      <c r="G1392">
        <v>25</v>
      </c>
      <c r="H1392">
        <v>36</v>
      </c>
      <c r="I1392" t="b">
        <v>0</v>
      </c>
      <c r="J1392" t="s">
        <v>33</v>
      </c>
      <c r="K1392" t="s">
        <v>33</v>
      </c>
      <c r="L1392">
        <v>15</v>
      </c>
      <c r="M1392" s="4">
        <v>200</v>
      </c>
      <c r="N1392" s="3" t="str">
        <f>IFERROR(AF1392/((T1392*X1392/Y1392)*O1392*AI1392),"NA")</f>
        <v>NA</v>
      </c>
      <c r="O1392">
        <v>4</v>
      </c>
      <c r="P1392" t="s">
        <v>33</v>
      </c>
      <c r="Q1392" s="8">
        <f t="shared" si="698"/>
        <v>9.3750000000000014E-2</v>
      </c>
      <c r="R1392" t="s">
        <v>183</v>
      </c>
      <c r="S1392" t="s">
        <v>612</v>
      </c>
      <c r="T1392" s="11">
        <v>8</v>
      </c>
      <c r="U1392">
        <v>2.9</v>
      </c>
      <c r="V1392">
        <v>2.2999999999999998</v>
      </c>
      <c r="W1392">
        <v>1.2E-2</v>
      </c>
      <c r="X1392" s="8">
        <f>IFERROR(((PI())*(((V1392*10^-1)/2)^2)*(U1392*10^-1)), "NA")</f>
        <v>1.204879322468025E-2</v>
      </c>
      <c r="Y1392" t="s">
        <v>33</v>
      </c>
      <c r="Z1392" s="3">
        <f t="shared" si="704"/>
        <v>0.12852046106325599</v>
      </c>
      <c r="AA1392" t="s">
        <v>33</v>
      </c>
      <c r="AB1392" s="6">
        <f>IFERROR(((X1392*M1392)/Z1392), "NA")</f>
        <v>18.75</v>
      </c>
      <c r="AC1392" t="str">
        <f t="shared" si="702"/>
        <v>NA</v>
      </c>
      <c r="AD1392" s="4">
        <f>AB1392*T1392*AI1392</f>
        <v>150</v>
      </c>
      <c r="AE1392" s="3">
        <f t="shared" si="703"/>
        <v>572.4</v>
      </c>
      <c r="AF1392">
        <v>600</v>
      </c>
      <c r="AG1392" t="str">
        <f>IFERROR((M1392*O1392*P1392), "NA")</f>
        <v>NA</v>
      </c>
      <c r="AH1392" t="str">
        <f>IFERROR((AG1392*T1392*AI1392), "NA")</f>
        <v>NA</v>
      </c>
      <c r="AI1392">
        <v>1</v>
      </c>
      <c r="AJ1392" t="s">
        <v>31</v>
      </c>
      <c r="AK1392">
        <v>4240</v>
      </c>
      <c r="AL1392" t="s">
        <v>238</v>
      </c>
      <c r="AM1392" t="s">
        <v>86</v>
      </c>
      <c r="AN1392" t="s">
        <v>205</v>
      </c>
      <c r="AO1392" t="s">
        <v>789</v>
      </c>
      <c r="AP1392">
        <v>3.56</v>
      </c>
      <c r="AQ1392" t="s">
        <v>33</v>
      </c>
      <c r="AR1392" t="s">
        <v>33</v>
      </c>
      <c r="AS1392" s="6">
        <f>LOG(10^8)</f>
        <v>8</v>
      </c>
      <c r="AT1392" s="3">
        <f>IFERROR(AS1392-AU1392,"NA")</f>
        <v>6.7530000000000001</v>
      </c>
      <c r="AU1392" s="6">
        <v>1.2470000000000001</v>
      </c>
      <c r="AV1392" t="b">
        <v>1</v>
      </c>
      <c r="AW1392" t="s">
        <v>123</v>
      </c>
      <c r="AX1392" t="s">
        <v>393</v>
      </c>
      <c r="AY1392" t="s">
        <v>394</v>
      </c>
      <c r="AZ1392" t="s">
        <v>33</v>
      </c>
      <c r="BA1392" s="18" t="s">
        <v>579</v>
      </c>
      <c r="BB1392" t="b">
        <v>1</v>
      </c>
      <c r="BC1392" t="s">
        <v>81</v>
      </c>
      <c r="BD1392">
        <v>72</v>
      </c>
      <c r="BE1392" t="s">
        <v>80</v>
      </c>
      <c r="BF1392" s="11">
        <v>72</v>
      </c>
      <c r="BG1392" t="s">
        <v>395</v>
      </c>
      <c r="BH1392" t="s">
        <v>31</v>
      </c>
      <c r="BI1392" t="s">
        <v>31</v>
      </c>
      <c r="BJ1392" s="3">
        <f t="shared" si="707"/>
        <v>1.2470000000000001</v>
      </c>
      <c r="BK1392" s="3">
        <f t="shared" si="706"/>
        <v>9.5866453478542654E-2</v>
      </c>
      <c r="BL1392">
        <v>2</v>
      </c>
      <c r="BM1392" s="3">
        <f t="shared" si="700"/>
        <v>2.6618331716091963</v>
      </c>
      <c r="BN1392" t="s">
        <v>33</v>
      </c>
      <c r="BO1392" s="3">
        <f t="shared" si="695"/>
        <v>459.02165196471526</v>
      </c>
      <c r="BP1392" t="s">
        <v>33</v>
      </c>
      <c r="BQ1392" t="s">
        <v>33</v>
      </c>
      <c r="BR1392" t="s">
        <v>33</v>
      </c>
      <c r="BS1392" t="s">
        <v>33</v>
      </c>
      <c r="BT1392" t="s">
        <v>31</v>
      </c>
      <c r="BU1392" t="s">
        <v>240</v>
      </c>
      <c r="BV1392">
        <v>2005</v>
      </c>
      <c r="BW1392" t="s">
        <v>396</v>
      </c>
      <c r="BX1392" t="s">
        <v>78</v>
      </c>
      <c r="BY1392" t="s">
        <v>33</v>
      </c>
      <c r="BZ1392" t="s">
        <v>33</v>
      </c>
      <c r="CA1392" t="str">
        <f t="shared" si="696"/>
        <v>high acid</v>
      </c>
    </row>
    <row r="1393" spans="1:79">
      <c r="A1393" t="s">
        <v>583</v>
      </c>
      <c r="B1393" t="s">
        <v>566</v>
      </c>
      <c r="C1393" t="s">
        <v>563</v>
      </c>
      <c r="D1393" t="s">
        <v>33</v>
      </c>
      <c r="E1393" t="s">
        <v>77</v>
      </c>
      <c r="F1393" t="s">
        <v>32</v>
      </c>
      <c r="G1393" t="s">
        <v>33</v>
      </c>
      <c r="H1393">
        <v>20</v>
      </c>
      <c r="I1393" t="b">
        <v>1</v>
      </c>
      <c r="J1393" t="s">
        <v>33</v>
      </c>
      <c r="K1393" t="s">
        <v>33</v>
      </c>
      <c r="L1393">
        <v>20</v>
      </c>
      <c r="M1393" s="4">
        <v>2</v>
      </c>
      <c r="N1393" t="e">
        <f>(#REF!*Y1393)/(T1393*X1393*O1393)</f>
        <v>#REF!</v>
      </c>
      <c r="O1393">
        <v>2</v>
      </c>
      <c r="P1393" t="s">
        <v>33</v>
      </c>
      <c r="Q1393" s="1">
        <f t="shared" si="698"/>
        <v>30</v>
      </c>
      <c r="R1393" t="s">
        <v>183</v>
      </c>
      <c r="S1393" t="s">
        <v>613</v>
      </c>
      <c r="T1393">
        <v>1</v>
      </c>
      <c r="U1393">
        <v>5</v>
      </c>
      <c r="V1393" t="s">
        <v>33</v>
      </c>
      <c r="W1393">
        <v>0.71</v>
      </c>
      <c r="X1393">
        <f>W1393</f>
        <v>0.71</v>
      </c>
      <c r="Y1393">
        <v>0.1</v>
      </c>
      <c r="Z1393" s="3">
        <f t="shared" si="704"/>
        <v>2.3666666666666666E-2</v>
      </c>
      <c r="AA1393" t="s">
        <v>33</v>
      </c>
      <c r="AB1393">
        <f>IFERROR(((X1393*M1393)/Z1393), "NA")</f>
        <v>60</v>
      </c>
      <c r="AC1393" s="1" t="str">
        <f t="shared" si="702"/>
        <v>NA</v>
      </c>
      <c r="AE1393" s="3">
        <f t="shared" si="703"/>
        <v>225.6</v>
      </c>
      <c r="AF1393">
        <v>120</v>
      </c>
      <c r="AG1393" s="1" t="str">
        <f>IFERROR((N1393*P1393*Q1393), "NA")</f>
        <v>NA</v>
      </c>
      <c r="AH1393" s="1" t="str">
        <f>IFERROR((AG1393*U1393*AI1393), "NA")</f>
        <v>NA</v>
      </c>
      <c r="AI1393" s="1">
        <v>1</v>
      </c>
      <c r="AJ1393" s="11" t="s">
        <v>31</v>
      </c>
      <c r="AK1393">
        <v>4700</v>
      </c>
      <c r="AL1393" t="s">
        <v>562</v>
      </c>
      <c r="AM1393" s="3" t="s">
        <v>786</v>
      </c>
      <c r="AN1393" t="s">
        <v>186</v>
      </c>
      <c r="AO1393" t="s">
        <v>793</v>
      </c>
      <c r="AP1393" t="s">
        <v>33</v>
      </c>
      <c r="AQ1393" t="s">
        <v>33</v>
      </c>
      <c r="AR1393" t="s">
        <v>33</v>
      </c>
      <c r="AS1393">
        <v>8</v>
      </c>
      <c r="AT1393">
        <f>AS1393-AU1393</f>
        <v>6.76</v>
      </c>
      <c r="AU1393" s="6">
        <v>1.24</v>
      </c>
      <c r="AV1393" t="b">
        <v>1</v>
      </c>
      <c r="AW1393" t="s">
        <v>617</v>
      </c>
      <c r="AX1393" t="s">
        <v>33</v>
      </c>
      <c r="AY1393" t="s">
        <v>622</v>
      </c>
      <c r="AZ1393" t="s">
        <v>619</v>
      </c>
      <c r="BA1393" s="18" t="s">
        <v>802</v>
      </c>
      <c r="BB1393" s="3" t="b">
        <v>0</v>
      </c>
      <c r="BC1393" t="s">
        <v>81</v>
      </c>
      <c r="BD1393">
        <v>18</v>
      </c>
      <c r="BE1393" t="s">
        <v>80</v>
      </c>
      <c r="BF1393">
        <v>24</v>
      </c>
      <c r="BG1393" t="s">
        <v>696</v>
      </c>
      <c r="BH1393" t="s">
        <v>32</v>
      </c>
      <c r="BI1393" t="s">
        <v>31</v>
      </c>
      <c r="BJ1393">
        <f t="shared" si="707"/>
        <v>1.24</v>
      </c>
      <c r="BK1393" s="3">
        <f t="shared" si="706"/>
        <v>9.3421685162235063E-2</v>
      </c>
      <c r="BL1393">
        <v>2</v>
      </c>
      <c r="BM1393" s="3">
        <f t="shared" si="700"/>
        <v>2.2599174101490695</v>
      </c>
      <c r="BN1393" t="s">
        <v>33</v>
      </c>
      <c r="BO1393" s="3">
        <f t="shared" si="695"/>
        <v>181.93548387096774</v>
      </c>
      <c r="BP1393" t="s">
        <v>33</v>
      </c>
      <c r="BQ1393" t="s">
        <v>33</v>
      </c>
      <c r="BR1393" t="s">
        <v>33</v>
      </c>
      <c r="BS1393" t="s">
        <v>33</v>
      </c>
      <c r="BT1393" t="s">
        <v>31</v>
      </c>
      <c r="BU1393" t="s">
        <v>338</v>
      </c>
      <c r="BV1393">
        <v>2005</v>
      </c>
      <c r="BW1393" t="s">
        <v>342</v>
      </c>
      <c r="BX1393" t="s">
        <v>78</v>
      </c>
      <c r="BY1393" s="13" t="s">
        <v>673</v>
      </c>
      <c r="CA1393" t="str">
        <f t="shared" si="696"/>
        <v>low acid</v>
      </c>
    </row>
    <row r="1394" spans="1:79">
      <c r="A1394" t="s">
        <v>712</v>
      </c>
      <c r="B1394" t="s">
        <v>566</v>
      </c>
      <c r="C1394" t="s">
        <v>563</v>
      </c>
      <c r="D1394" t="s">
        <v>699</v>
      </c>
      <c r="E1394" t="s">
        <v>77</v>
      </c>
      <c r="F1394" t="s">
        <v>32</v>
      </c>
      <c r="G1394">
        <v>20</v>
      </c>
      <c r="H1394">
        <v>64</v>
      </c>
      <c r="I1394" t="b">
        <v>1</v>
      </c>
      <c r="J1394" t="s">
        <v>33</v>
      </c>
      <c r="K1394" t="s">
        <v>33</v>
      </c>
      <c r="L1394">
        <v>20</v>
      </c>
      <c r="M1394" s="4">
        <v>64</v>
      </c>
      <c r="N1394" s="3">
        <f>IFERROR(AF1394/((T1394*X1394/Y1394)*O1394*AI1394),"NA")</f>
        <v>63.657407407407391</v>
      </c>
      <c r="O1394">
        <v>5</v>
      </c>
      <c r="P1394">
        <v>0.43</v>
      </c>
      <c r="Q1394" s="8">
        <f>IFERROR(X1394/Y1394, "NA")</f>
        <v>0.43200000000000011</v>
      </c>
      <c r="R1394" t="s">
        <v>183</v>
      </c>
      <c r="S1394" t="s">
        <v>612</v>
      </c>
      <c r="T1394" s="11">
        <v>1</v>
      </c>
      <c r="U1394">
        <v>4</v>
      </c>
      <c r="V1394" t="s">
        <v>33</v>
      </c>
      <c r="W1394">
        <f>0.4*3*0.5</f>
        <v>0.60000000000000009</v>
      </c>
      <c r="X1394" s="9">
        <f>W1394</f>
        <v>0.60000000000000009</v>
      </c>
      <c r="Y1394" s="6">
        <f>5000/3600</f>
        <v>1.3888888888888888</v>
      </c>
      <c r="Z1394" s="3">
        <f t="shared" si="704"/>
        <v>1.3963636363636365</v>
      </c>
      <c r="AA1394" t="s">
        <v>33</v>
      </c>
      <c r="AB1394" s="4">
        <f>IFERROR(((X1394*M1394)/Y1394), "NA")</f>
        <v>27.648000000000007</v>
      </c>
      <c r="AC1394" s="4">
        <f t="shared" si="702"/>
        <v>27.52</v>
      </c>
      <c r="AD1394" s="4">
        <f>AB1394*T1394*AI1394</f>
        <v>27.648000000000007</v>
      </c>
      <c r="AE1394" s="3">
        <f t="shared" si="703"/>
        <v>110.59200000000003</v>
      </c>
      <c r="AF1394">
        <v>137.5</v>
      </c>
      <c r="AG1394" s="4">
        <f>IFERROR((M1394*O1394*P1394), "NA")</f>
        <v>137.6</v>
      </c>
      <c r="AH1394" s="4">
        <f>IFERROR((AG1394*T1394*AI1394), "NA")</f>
        <v>137.6</v>
      </c>
      <c r="AI1394">
        <v>1</v>
      </c>
      <c r="AJ1394" s="11" t="s">
        <v>31</v>
      </c>
      <c r="AK1394">
        <v>2000</v>
      </c>
      <c r="AL1394" t="s">
        <v>784</v>
      </c>
      <c r="AM1394" t="s">
        <v>103</v>
      </c>
      <c r="AN1394" t="s">
        <v>130</v>
      </c>
      <c r="AO1394" t="s">
        <v>795</v>
      </c>
      <c r="AP1394">
        <v>7</v>
      </c>
      <c r="AQ1394" t="s">
        <v>33</v>
      </c>
      <c r="AR1394" t="s">
        <v>33</v>
      </c>
      <c r="AS1394" s="6">
        <f>LOG(AVERAGE(10^8, 10^9))</f>
        <v>8.7403626894942441</v>
      </c>
      <c r="AT1394" s="3">
        <f>IFERROR(AS1394-AU1394,"NA")</f>
        <v>6.761362689494244</v>
      </c>
      <c r="AU1394" s="6">
        <v>1.9790000000000001</v>
      </c>
      <c r="AV1394" t="b">
        <v>1</v>
      </c>
      <c r="AW1394" t="s">
        <v>92</v>
      </c>
      <c r="AX1394" t="s">
        <v>93</v>
      </c>
      <c r="AY1394" t="s">
        <v>94</v>
      </c>
      <c r="AZ1394" t="s">
        <v>33</v>
      </c>
      <c r="BA1394" s="18" t="s">
        <v>801</v>
      </c>
      <c r="BB1394" s="3" t="b">
        <v>0</v>
      </c>
      <c r="BC1394" t="s">
        <v>81</v>
      </c>
      <c r="BD1394">
        <v>24</v>
      </c>
      <c r="BE1394" t="s">
        <v>80</v>
      </c>
      <c r="BF1394">
        <v>24</v>
      </c>
      <c r="BG1394" t="s">
        <v>568</v>
      </c>
      <c r="BH1394" t="s">
        <v>31</v>
      </c>
      <c r="BI1394" t="s">
        <v>31</v>
      </c>
      <c r="BJ1394" s="3">
        <f t="shared" si="707"/>
        <v>1.9790000000000001</v>
      </c>
      <c r="BK1394" s="3">
        <f t="shared" si="706"/>
        <v>0.29644579420639627</v>
      </c>
      <c r="BL1394">
        <v>2</v>
      </c>
      <c r="BM1394" s="3">
        <f t="shared" si="700"/>
        <v>1.7472779179203655</v>
      </c>
      <c r="BN1394" t="s">
        <v>33</v>
      </c>
      <c r="BO1394" s="3">
        <f t="shared" si="695"/>
        <v>55.882769075290561</v>
      </c>
      <c r="BP1394" t="s">
        <v>33</v>
      </c>
      <c r="BQ1394" t="s">
        <v>33</v>
      </c>
      <c r="BR1394" t="s">
        <v>33</v>
      </c>
      <c r="BS1394" t="s">
        <v>33</v>
      </c>
      <c r="BT1394" t="s">
        <v>32</v>
      </c>
      <c r="BU1394" t="s">
        <v>709</v>
      </c>
      <c r="BV1394">
        <v>2024</v>
      </c>
      <c r="BW1394" t="s">
        <v>710</v>
      </c>
      <c r="BX1394" t="s">
        <v>78</v>
      </c>
      <c r="BY1394" t="s">
        <v>711</v>
      </c>
      <c r="CA1394" t="str">
        <f t="shared" si="696"/>
        <v>low acid</v>
      </c>
    </row>
    <row r="1395" spans="1:79">
      <c r="A1395" t="s">
        <v>224</v>
      </c>
      <c r="B1395" t="s">
        <v>565</v>
      </c>
      <c r="C1395" t="s">
        <v>563</v>
      </c>
      <c r="D1395" t="s">
        <v>118</v>
      </c>
      <c r="E1395" t="s">
        <v>77</v>
      </c>
      <c r="F1395" t="s">
        <v>32</v>
      </c>
      <c r="G1395">
        <v>5</v>
      </c>
      <c r="H1395">
        <v>30.3</v>
      </c>
      <c r="I1395" t="b">
        <v>0</v>
      </c>
      <c r="J1395" t="s">
        <v>33</v>
      </c>
      <c r="K1395" t="s">
        <v>33</v>
      </c>
      <c r="L1395">
        <v>35</v>
      </c>
      <c r="M1395" s="4">
        <v>250</v>
      </c>
      <c r="N1395" s="3">
        <f>IFERROR(AF1395/((T1395*X1395/Y1395)*O1395*AI1395),"NA")</f>
        <v>2146.5468453538301</v>
      </c>
      <c r="O1395">
        <v>4</v>
      </c>
      <c r="P1395" t="s">
        <v>33</v>
      </c>
      <c r="Q1395">
        <f>IFERROR(X1395/Z1395, "NA")</f>
        <v>6.25E-2</v>
      </c>
      <c r="R1395" t="s">
        <v>183</v>
      </c>
      <c r="S1395" t="s">
        <v>613</v>
      </c>
      <c r="T1395" s="11">
        <v>8</v>
      </c>
      <c r="U1395">
        <v>2.92</v>
      </c>
      <c r="V1395">
        <v>2.2999999999999998</v>
      </c>
      <c r="W1395">
        <v>1.21E-2</v>
      </c>
      <c r="X1395" s="8">
        <f>IFERROR(((PI())*(((V1395*10^-1)/2)^2)*(U1395*10^-1)), "NA")</f>
        <v>1.2131888350367701E-2</v>
      </c>
      <c r="Y1395" s="6">
        <f>100/60</f>
        <v>1.6666666666666667</v>
      </c>
      <c r="Z1395" s="3">
        <f t="shared" si="704"/>
        <v>0.19411021360588321</v>
      </c>
      <c r="AA1395" t="s">
        <v>33</v>
      </c>
      <c r="AB1395" s="6">
        <f>IFERROR(((X1395*M1395)/Z1395), "NA")</f>
        <v>15.625</v>
      </c>
      <c r="AC1395" t="str">
        <f t="shared" si="702"/>
        <v>NA</v>
      </c>
      <c r="AD1395" s="4">
        <f>AB1395*T1395*AI1395</f>
        <v>125</v>
      </c>
      <c r="AE1395" s="3">
        <f t="shared" si="703"/>
        <v>2241.75</v>
      </c>
      <c r="AF1395">
        <v>500</v>
      </c>
      <c r="AG1395" t="str">
        <f>IFERROR((M1395*O1395*P1395), "NA")</f>
        <v>NA</v>
      </c>
      <c r="AH1395" t="str">
        <f>IFERROR((AG1395*T1395*AI1395), "NA")</f>
        <v>NA</v>
      </c>
      <c r="AI1395">
        <v>1</v>
      </c>
      <c r="AJ1395" t="s">
        <v>31</v>
      </c>
      <c r="AK1395">
        <v>3660</v>
      </c>
      <c r="AL1395" t="s">
        <v>541</v>
      </c>
      <c r="AM1395" t="s">
        <v>86</v>
      </c>
      <c r="AN1395" t="s">
        <v>186</v>
      </c>
      <c r="AO1395" t="s">
        <v>794</v>
      </c>
      <c r="AP1395">
        <v>5.46</v>
      </c>
      <c r="AQ1395" t="s">
        <v>33</v>
      </c>
      <c r="AR1395" t="s">
        <v>33</v>
      </c>
      <c r="AS1395" s="6">
        <f>LOG((10^7+10^8)/2)</f>
        <v>7.7403626894942441</v>
      </c>
      <c r="AT1395" s="3">
        <f>IFERROR(AS1395-AU1395,"NA")</f>
        <v>6.7633626894942438</v>
      </c>
      <c r="AU1395" s="6">
        <v>0.97699999999999998</v>
      </c>
      <c r="AV1395" t="b">
        <v>1</v>
      </c>
      <c r="AW1395" t="s">
        <v>92</v>
      </c>
      <c r="AX1395" t="s">
        <v>93</v>
      </c>
      <c r="AY1395" s="10">
        <v>1131</v>
      </c>
      <c r="AZ1395" t="s">
        <v>33</v>
      </c>
      <c r="BA1395" s="18" t="s">
        <v>801</v>
      </c>
      <c r="BB1395" t="b">
        <v>0</v>
      </c>
      <c r="BC1395" t="s">
        <v>81</v>
      </c>
      <c r="BD1395">
        <f>(16+14)/2</f>
        <v>15</v>
      </c>
      <c r="BE1395" t="s">
        <v>80</v>
      </c>
      <c r="BF1395" t="s">
        <v>33</v>
      </c>
      <c r="BG1395" t="s">
        <v>573</v>
      </c>
      <c r="BH1395" t="s">
        <v>31</v>
      </c>
      <c r="BI1395" t="s">
        <v>31</v>
      </c>
      <c r="BJ1395" s="3">
        <f t="shared" si="707"/>
        <v>0.97699999999999998</v>
      </c>
      <c r="BK1395" s="3">
        <f t="shared" si="706"/>
        <v>-1.0105436281226938E-2</v>
      </c>
      <c r="BL1395">
        <v>2</v>
      </c>
      <c r="BM1395" s="3">
        <f t="shared" si="700"/>
        <v>3.3606926147122076</v>
      </c>
      <c r="BN1395" t="s">
        <v>33</v>
      </c>
      <c r="BO1395" s="3">
        <f t="shared" si="695"/>
        <v>2294.5240532241555</v>
      </c>
      <c r="BP1395" t="s">
        <v>33</v>
      </c>
      <c r="BQ1395" t="s">
        <v>33</v>
      </c>
      <c r="BR1395" t="s">
        <v>33</v>
      </c>
      <c r="BS1395" t="s">
        <v>33</v>
      </c>
      <c r="BT1395" t="s">
        <v>31</v>
      </c>
      <c r="BU1395" t="s">
        <v>219</v>
      </c>
      <c r="BV1395">
        <v>2007</v>
      </c>
      <c r="BW1395" t="s">
        <v>218</v>
      </c>
      <c r="BX1395" t="s">
        <v>78</v>
      </c>
      <c r="BY1395" t="s">
        <v>33</v>
      </c>
      <c r="BZ1395" t="s">
        <v>33</v>
      </c>
      <c r="CA1395" t="str">
        <f t="shared" si="696"/>
        <v>low acid</v>
      </c>
    </row>
    <row r="1396" spans="1:79">
      <c r="A1396" t="s">
        <v>224</v>
      </c>
      <c r="B1396" t="s">
        <v>565</v>
      </c>
      <c r="C1396" t="s">
        <v>563</v>
      </c>
      <c r="D1396" t="s">
        <v>118</v>
      </c>
      <c r="E1396" t="s">
        <v>77</v>
      </c>
      <c r="F1396" t="s">
        <v>32</v>
      </c>
      <c r="G1396">
        <v>5</v>
      </c>
      <c r="H1396">
        <v>30.3</v>
      </c>
      <c r="I1396" t="b">
        <v>0</v>
      </c>
      <c r="J1396" t="s">
        <v>33</v>
      </c>
      <c r="K1396" t="s">
        <v>33</v>
      </c>
      <c r="L1396">
        <v>35</v>
      </c>
      <c r="M1396" s="4">
        <v>175</v>
      </c>
      <c r="N1396" s="3">
        <f>IFERROR(AF1396/((T1396*X1396/Y1396)*O1396*AI1396),"NA")</f>
        <v>2146.5468453538301</v>
      </c>
      <c r="O1396">
        <v>4</v>
      </c>
      <c r="P1396" t="s">
        <v>33</v>
      </c>
      <c r="Q1396" s="8">
        <f>IFERROR(X1396/Z1396, "NA")</f>
        <v>8.9285714285714288E-2</v>
      </c>
      <c r="R1396" t="s">
        <v>183</v>
      </c>
      <c r="S1396" t="s">
        <v>613</v>
      </c>
      <c r="T1396" s="11">
        <v>8</v>
      </c>
      <c r="U1396">
        <v>2.92</v>
      </c>
      <c r="V1396">
        <v>2.2999999999999998</v>
      </c>
      <c r="W1396">
        <v>1.21E-2</v>
      </c>
      <c r="X1396" s="8">
        <f>IFERROR(((PI())*(((V1396*10^-1)/2)^2)*(U1396*10^-1)), "NA")</f>
        <v>1.2131888350367701E-2</v>
      </c>
      <c r="Y1396" s="6">
        <f>100/60</f>
        <v>1.6666666666666667</v>
      </c>
      <c r="Z1396" s="3">
        <f t="shared" si="704"/>
        <v>0.13587714952411825</v>
      </c>
      <c r="AA1396" t="s">
        <v>33</v>
      </c>
      <c r="AB1396" s="6">
        <f>IFERROR(((X1396*M1396)/Z1396), "NA")</f>
        <v>15.624999999999998</v>
      </c>
      <c r="AC1396" t="str">
        <f t="shared" si="702"/>
        <v>NA</v>
      </c>
      <c r="AD1396" s="4">
        <f>AB1396*T1396*AI1396</f>
        <v>124.99999999999999</v>
      </c>
      <c r="AE1396" s="3">
        <f t="shared" si="703"/>
        <v>2241.75</v>
      </c>
      <c r="AF1396">
        <v>500</v>
      </c>
      <c r="AG1396" t="str">
        <f>IFERROR((M1396*O1396*P1396), "NA")</f>
        <v>NA</v>
      </c>
      <c r="AH1396" t="str">
        <f>IFERROR((AG1396*T1396*AI1396), "NA")</f>
        <v>NA</v>
      </c>
      <c r="AI1396">
        <v>1</v>
      </c>
      <c r="AJ1396" t="s">
        <v>31</v>
      </c>
      <c r="AK1396">
        <v>3660</v>
      </c>
      <c r="AL1396" t="s">
        <v>541</v>
      </c>
      <c r="AM1396" t="s">
        <v>86</v>
      </c>
      <c r="AN1396" t="s">
        <v>186</v>
      </c>
      <c r="AO1396" t="s">
        <v>794</v>
      </c>
      <c r="AP1396">
        <v>5.46</v>
      </c>
      <c r="AQ1396" t="s">
        <v>33</v>
      </c>
      <c r="AR1396" t="s">
        <v>33</v>
      </c>
      <c r="AS1396" s="6">
        <f>LOG((10^7+10^8)/2)</f>
        <v>7.7403626894942441</v>
      </c>
      <c r="AT1396" s="3">
        <f>IFERROR(AS1396-AU1396,"NA")</f>
        <v>6.7633626894942438</v>
      </c>
      <c r="AU1396" s="6">
        <v>0.97699999999999998</v>
      </c>
      <c r="AV1396" t="b">
        <v>1</v>
      </c>
      <c r="AW1396" t="s">
        <v>92</v>
      </c>
      <c r="AX1396" t="s">
        <v>93</v>
      </c>
      <c r="AY1396" s="10">
        <v>1131</v>
      </c>
      <c r="AZ1396" t="s">
        <v>33</v>
      </c>
      <c r="BA1396" s="18" t="s">
        <v>801</v>
      </c>
      <c r="BB1396" t="b">
        <v>0</v>
      </c>
      <c r="BC1396" t="s">
        <v>81</v>
      </c>
      <c r="BD1396">
        <f>(16+14)/2</f>
        <v>15</v>
      </c>
      <c r="BE1396" t="s">
        <v>80</v>
      </c>
      <c r="BF1396" t="s">
        <v>33</v>
      </c>
      <c r="BG1396" t="s">
        <v>573</v>
      </c>
      <c r="BH1396" t="s">
        <v>31</v>
      </c>
      <c r="BI1396" t="s">
        <v>31</v>
      </c>
      <c r="BJ1396" s="3">
        <f t="shared" si="707"/>
        <v>0.97699999999999998</v>
      </c>
      <c r="BK1396" s="3">
        <f t="shared" si="706"/>
        <v>-1.0105436281226938E-2</v>
      </c>
      <c r="BL1396">
        <v>2</v>
      </c>
      <c r="BM1396" s="3">
        <f t="shared" si="700"/>
        <v>3.3606926147122076</v>
      </c>
      <c r="BN1396" t="s">
        <v>33</v>
      </c>
      <c r="BO1396" s="3">
        <f t="shared" si="695"/>
        <v>2294.5240532241555</v>
      </c>
      <c r="BP1396" t="s">
        <v>33</v>
      </c>
      <c r="BQ1396" t="s">
        <v>33</v>
      </c>
      <c r="BR1396" t="s">
        <v>33</v>
      </c>
      <c r="BS1396" t="s">
        <v>33</v>
      </c>
      <c r="BT1396" t="s">
        <v>31</v>
      </c>
      <c r="BU1396" t="s">
        <v>219</v>
      </c>
      <c r="BV1396">
        <v>2007</v>
      </c>
      <c r="BW1396" t="s">
        <v>218</v>
      </c>
      <c r="BX1396" t="s">
        <v>78</v>
      </c>
      <c r="BY1396" t="s">
        <v>33</v>
      </c>
      <c r="BZ1396" t="s">
        <v>33</v>
      </c>
      <c r="CA1396" t="str">
        <f t="shared" si="696"/>
        <v>low acid</v>
      </c>
    </row>
    <row r="1397" spans="1:79">
      <c r="A1397" t="s">
        <v>179</v>
      </c>
      <c r="B1397" t="s">
        <v>565</v>
      </c>
      <c r="C1397" t="s">
        <v>563</v>
      </c>
      <c r="D1397" t="s">
        <v>118</v>
      </c>
      <c r="E1397" t="s">
        <v>77</v>
      </c>
      <c r="F1397" t="s">
        <v>32</v>
      </c>
      <c r="G1397">
        <v>22</v>
      </c>
      <c r="H1397">
        <v>35</v>
      </c>
      <c r="I1397" t="b">
        <v>0</v>
      </c>
      <c r="J1397" t="s">
        <v>33</v>
      </c>
      <c r="K1397" t="s">
        <v>33</v>
      </c>
      <c r="L1397">
        <v>10</v>
      </c>
      <c r="M1397" s="4">
        <v>1000</v>
      </c>
      <c r="N1397" s="3">
        <f>IFERROR(AF1397/((T1397*X1397/Y1397)*O1397*AI1397),"NA")</f>
        <v>1000.1191061872564</v>
      </c>
      <c r="O1397">
        <v>3</v>
      </c>
      <c r="P1397" t="s">
        <v>33</v>
      </c>
      <c r="Q1397" s="8">
        <f>IFERROR(X1397/Z1397, "NA")</f>
        <v>1.2133333333333333E-2</v>
      </c>
      <c r="R1397" t="s">
        <v>183</v>
      </c>
      <c r="S1397" t="s">
        <v>613</v>
      </c>
      <c r="T1397" s="11">
        <v>4</v>
      </c>
      <c r="U1397">
        <v>2.92</v>
      </c>
      <c r="V1397">
        <v>2.2999999999999998</v>
      </c>
      <c r="W1397" t="s">
        <v>33</v>
      </c>
      <c r="X1397" s="8">
        <f>IFERROR(((PI())*(((V1397*10^-1)/2)^2)*(U1397*10^-1)), "NA")</f>
        <v>1.2131888350367701E-2</v>
      </c>
      <c r="Y1397">
        <v>1</v>
      </c>
      <c r="Z1397" s="3">
        <f t="shared" si="704"/>
        <v>0.99988090799733798</v>
      </c>
      <c r="AA1397">
        <v>12</v>
      </c>
      <c r="AB1397" s="6">
        <f>IFERROR(((X1397*M1397)/Z1397), "NA")</f>
        <v>12.133333333333333</v>
      </c>
      <c r="AC1397" t="str">
        <f t="shared" si="702"/>
        <v>NA</v>
      </c>
      <c r="AD1397" s="4">
        <f>IFERROR(AB1397*T1397*AI1397, "NA")</f>
        <v>48.533333333333331</v>
      </c>
      <c r="AE1397" s="3">
        <f t="shared" si="703"/>
        <v>29.119999999999997</v>
      </c>
      <c r="AF1397">
        <v>145.6</v>
      </c>
      <c r="AG1397" t="str">
        <f>IFERROR((M1397*O1397*P1397), "NA")</f>
        <v>NA</v>
      </c>
      <c r="AH1397" t="str">
        <f>IFERROR((AG1397*T1397*AI1397), "NA")</f>
        <v>NA</v>
      </c>
      <c r="AI1397" s="11">
        <v>1</v>
      </c>
      <c r="AJ1397" t="s">
        <v>31</v>
      </c>
      <c r="AK1397">
        <v>2000</v>
      </c>
      <c r="AL1397" t="s">
        <v>114</v>
      </c>
      <c r="AM1397" t="s">
        <v>103</v>
      </c>
      <c r="AN1397" t="s">
        <v>130</v>
      </c>
      <c r="AO1397" t="s">
        <v>795</v>
      </c>
      <c r="AP1397" t="s">
        <v>33</v>
      </c>
      <c r="AQ1397" t="s">
        <v>33</v>
      </c>
      <c r="AR1397" t="s">
        <v>33</v>
      </c>
      <c r="AS1397" s="6">
        <f>LOG(3*10^7)</f>
        <v>7.4771212547196626</v>
      </c>
      <c r="AT1397" s="3">
        <f>IFERROR(AS1397-AU1397,"NA")</f>
        <v>6.7771212547196624</v>
      </c>
      <c r="AU1397" s="6">
        <v>0.7</v>
      </c>
      <c r="AV1397" t="b">
        <v>1</v>
      </c>
      <c r="AW1397" t="s">
        <v>123</v>
      </c>
      <c r="AX1397" t="s">
        <v>180</v>
      </c>
      <c r="AY1397" t="s">
        <v>129</v>
      </c>
      <c r="AZ1397" t="s">
        <v>33</v>
      </c>
      <c r="BA1397" s="18" t="s">
        <v>579</v>
      </c>
      <c r="BB1397" t="b">
        <v>1</v>
      </c>
      <c r="BC1397" t="s">
        <v>81</v>
      </c>
      <c r="BD1397" t="s">
        <v>33</v>
      </c>
      <c r="BE1397" t="s">
        <v>33</v>
      </c>
      <c r="BF1397" s="11">
        <v>48</v>
      </c>
      <c r="BG1397" t="s">
        <v>568</v>
      </c>
      <c r="BH1397" t="s">
        <v>31</v>
      </c>
      <c r="BI1397" t="s">
        <v>31</v>
      </c>
      <c r="BJ1397" s="3">
        <f t="shared" si="707"/>
        <v>0.7</v>
      </c>
      <c r="BK1397" s="3">
        <f t="shared" si="706"/>
        <v>-0.15490195998574319</v>
      </c>
      <c r="BL1397">
        <v>2</v>
      </c>
      <c r="BM1397" s="3">
        <f t="shared" si="700"/>
        <v>1.6190933306267428</v>
      </c>
      <c r="BN1397" t="s">
        <v>33</v>
      </c>
      <c r="BO1397" s="3">
        <f t="shared" si="695"/>
        <v>41.6</v>
      </c>
      <c r="BP1397" t="s">
        <v>33</v>
      </c>
      <c r="BQ1397" t="s">
        <v>33</v>
      </c>
      <c r="BR1397" t="s">
        <v>33</v>
      </c>
      <c r="BS1397" t="s">
        <v>33</v>
      </c>
      <c r="BT1397" t="s">
        <v>32</v>
      </c>
      <c r="BU1397" t="s">
        <v>177</v>
      </c>
      <c r="BV1397">
        <v>2001</v>
      </c>
      <c r="BW1397" s="2" t="s">
        <v>178</v>
      </c>
      <c r="BX1397" t="s">
        <v>78</v>
      </c>
      <c r="BY1397" t="s">
        <v>33</v>
      </c>
      <c r="BZ1397" t="s">
        <v>33</v>
      </c>
      <c r="CA1397" t="str">
        <f t="shared" si="696"/>
        <v>low acid</v>
      </c>
    </row>
    <row r="1398" spans="1:79">
      <c r="A1398" t="s">
        <v>722</v>
      </c>
      <c r="B1398" t="s">
        <v>566</v>
      </c>
      <c r="C1398" t="s">
        <v>563</v>
      </c>
      <c r="D1398" t="s">
        <v>699</v>
      </c>
      <c r="E1398" t="s">
        <v>77</v>
      </c>
      <c r="F1398" t="s">
        <v>32</v>
      </c>
      <c r="G1398">
        <v>20</v>
      </c>
      <c r="H1398">
        <v>41</v>
      </c>
      <c r="I1398" t="b">
        <v>1</v>
      </c>
      <c r="J1398" t="s">
        <v>33</v>
      </c>
      <c r="K1398" t="s">
        <v>33</v>
      </c>
      <c r="L1398">
        <v>20</v>
      </c>
      <c r="M1398" s="4">
        <v>30</v>
      </c>
      <c r="N1398" s="3">
        <f>IFERROR(AF1398/((T1398*X1398/Y1398)*O1398*AI1398),"NA")</f>
        <v>29.861111111111104</v>
      </c>
      <c r="O1398">
        <v>5</v>
      </c>
      <c r="P1398">
        <v>0.43</v>
      </c>
      <c r="Q1398" s="8">
        <f>IFERROR(X1398/Y1398, "NA")</f>
        <v>0.43200000000000011</v>
      </c>
      <c r="R1398" t="s">
        <v>183</v>
      </c>
      <c r="S1398" t="s">
        <v>612</v>
      </c>
      <c r="T1398" s="11">
        <v>1</v>
      </c>
      <c r="U1398">
        <v>4</v>
      </c>
      <c r="V1398" t="s">
        <v>33</v>
      </c>
      <c r="W1398">
        <f>0.4*3*0.5</f>
        <v>0.60000000000000009</v>
      </c>
      <c r="X1398" s="9">
        <f>W1398</f>
        <v>0.60000000000000009</v>
      </c>
      <c r="Y1398" s="6">
        <f>5000/3600</f>
        <v>1.3888888888888888</v>
      </c>
      <c r="Z1398" s="3">
        <f t="shared" si="704"/>
        <v>1.3953488372093026</v>
      </c>
      <c r="AA1398" t="s">
        <v>33</v>
      </c>
      <c r="AB1398" s="4">
        <f>IFERROR(((X1398*M1398)/Y1398), "NA")</f>
        <v>12.960000000000003</v>
      </c>
      <c r="AC1398" s="4">
        <f t="shared" si="702"/>
        <v>12.9</v>
      </c>
      <c r="AD1398" s="4">
        <f>AB1398*T1398*AI1398</f>
        <v>12.960000000000003</v>
      </c>
      <c r="AE1398" s="3">
        <f t="shared" si="703"/>
        <v>51.840000000000011</v>
      </c>
      <c r="AF1398">
        <v>64.5</v>
      </c>
      <c r="AG1398" s="4">
        <f>IFERROR((M1398*O1398*P1398), "NA")</f>
        <v>64.5</v>
      </c>
      <c r="AH1398" s="4">
        <f>IFERROR((AG1398*T1398*AI1398), "NA")</f>
        <v>64.5</v>
      </c>
      <c r="AI1398">
        <v>1</v>
      </c>
      <c r="AJ1398" s="11" t="s">
        <v>31</v>
      </c>
      <c r="AK1398">
        <v>2000</v>
      </c>
      <c r="AL1398" t="s">
        <v>784</v>
      </c>
      <c r="AM1398" t="s">
        <v>103</v>
      </c>
      <c r="AN1398" t="s">
        <v>130</v>
      </c>
      <c r="AO1398" t="s">
        <v>795</v>
      </c>
      <c r="AP1398">
        <v>7</v>
      </c>
      <c r="AQ1398" t="s">
        <v>33</v>
      </c>
      <c r="AR1398" t="s">
        <v>33</v>
      </c>
      <c r="AS1398" s="6">
        <f>LOG(AVERAGE(10^8, 10^9))</f>
        <v>8.7403626894942441</v>
      </c>
      <c r="AT1398" s="3">
        <f>IFERROR(AS1398-AU1398,"NA")</f>
        <v>6.7793626894942438</v>
      </c>
      <c r="AU1398" s="6">
        <v>1.9610000000000001</v>
      </c>
      <c r="AV1398" t="b">
        <v>1</v>
      </c>
      <c r="AW1398" t="s">
        <v>123</v>
      </c>
      <c r="AX1398" t="s">
        <v>88</v>
      </c>
      <c r="AY1398" t="s">
        <v>726</v>
      </c>
      <c r="AZ1398" t="s">
        <v>33</v>
      </c>
      <c r="BA1398" s="18" t="s">
        <v>579</v>
      </c>
      <c r="BB1398" s="3" t="b">
        <v>1</v>
      </c>
      <c r="BC1398" t="s">
        <v>81</v>
      </c>
      <c r="BD1398">
        <v>24</v>
      </c>
      <c r="BE1398" t="s">
        <v>80</v>
      </c>
      <c r="BF1398">
        <v>48</v>
      </c>
      <c r="BG1398" t="s">
        <v>395</v>
      </c>
      <c r="BH1398" t="s">
        <v>31</v>
      </c>
      <c r="BI1398" t="s">
        <v>31</v>
      </c>
      <c r="BJ1398" s="3">
        <f t="shared" si="707"/>
        <v>1.9610000000000001</v>
      </c>
      <c r="BK1398" s="3">
        <f t="shared" si="706"/>
        <v>0.29247759366778409</v>
      </c>
      <c r="BL1398">
        <v>2</v>
      </c>
      <c r="BM1398" s="3">
        <f t="shared" si="700"/>
        <v>1.4221873991947529</v>
      </c>
      <c r="BN1398" t="s">
        <v>33</v>
      </c>
      <c r="BO1398" s="3">
        <f t="shared" si="695"/>
        <v>26.43549209586946</v>
      </c>
      <c r="BP1398" t="s">
        <v>33</v>
      </c>
      <c r="BQ1398" t="s">
        <v>33</v>
      </c>
      <c r="BR1398" t="s">
        <v>33</v>
      </c>
      <c r="BS1398" t="s">
        <v>33</v>
      </c>
      <c r="BT1398" t="s">
        <v>32</v>
      </c>
      <c r="BU1398" t="s">
        <v>709</v>
      </c>
      <c r="BV1398">
        <v>2024</v>
      </c>
      <c r="BW1398" t="s">
        <v>710</v>
      </c>
      <c r="BX1398" t="s">
        <v>78</v>
      </c>
      <c r="BY1398" t="s">
        <v>711</v>
      </c>
      <c r="CA1398" t="str">
        <f t="shared" si="696"/>
        <v>low acid</v>
      </c>
    </row>
    <row r="1399" spans="1:79">
      <c r="A1399" t="s">
        <v>594</v>
      </c>
      <c r="B1399" t="s">
        <v>566</v>
      </c>
      <c r="C1399" t="s">
        <v>563</v>
      </c>
      <c r="D1399" t="s">
        <v>33</v>
      </c>
      <c r="E1399" t="s">
        <v>77</v>
      </c>
      <c r="F1399" t="s">
        <v>32</v>
      </c>
      <c r="G1399" t="s">
        <v>33</v>
      </c>
      <c r="H1399">
        <v>20</v>
      </c>
      <c r="I1399" t="b">
        <v>1</v>
      </c>
      <c r="J1399" t="s">
        <v>33</v>
      </c>
      <c r="K1399" t="s">
        <v>33</v>
      </c>
      <c r="L1399">
        <v>30</v>
      </c>
      <c r="M1399" s="4">
        <v>2</v>
      </c>
      <c r="N1399" t="e">
        <f>(#REF!*Y1399)/(T1399*X1399*O1399)</f>
        <v>#REF!</v>
      </c>
      <c r="O1399">
        <v>2</v>
      </c>
      <c r="P1399" t="s">
        <v>33</v>
      </c>
      <c r="Q1399" s="1">
        <f>IFERROR(X1399/Z1399, "NA")</f>
        <v>7.1</v>
      </c>
      <c r="R1399" t="s">
        <v>183</v>
      </c>
      <c r="S1399" t="s">
        <v>613</v>
      </c>
      <c r="T1399">
        <v>1</v>
      </c>
      <c r="U1399">
        <v>5</v>
      </c>
      <c r="V1399" t="s">
        <v>33</v>
      </c>
      <c r="W1399">
        <v>0.71</v>
      </c>
      <c r="X1399">
        <f>W1399</f>
        <v>0.71</v>
      </c>
      <c r="Y1399">
        <v>0.1</v>
      </c>
      <c r="Z1399" s="3">
        <f>Y1399</f>
        <v>0.1</v>
      </c>
      <c r="AA1399" s="3">
        <v>14.8409893992932</v>
      </c>
      <c r="AB1399">
        <f>IFERROR(((X1399*M1399)/Y1399), "NA")</f>
        <v>14.2</v>
      </c>
      <c r="AC1399" s="1" t="str">
        <f t="shared" si="702"/>
        <v>NA</v>
      </c>
      <c r="AE1399" s="3">
        <f t="shared" si="703"/>
        <v>490.75199999999995</v>
      </c>
      <c r="AF1399" t="s">
        <v>33</v>
      </c>
      <c r="AG1399" s="1">
        <f>IFERROR((M1399*O1399*Q1399), "NA")</f>
        <v>28.4</v>
      </c>
      <c r="AH1399" s="1">
        <f>IFERROR((AG1399*U1399*AI1399), "NA")</f>
        <v>426</v>
      </c>
      <c r="AI1399" s="1">
        <v>3</v>
      </c>
      <c r="AJ1399" s="11" t="s">
        <v>31</v>
      </c>
      <c r="AK1399">
        <f>AVERAGE(5100, 7700)</f>
        <v>6400</v>
      </c>
      <c r="AL1399" t="s">
        <v>561</v>
      </c>
      <c r="AM1399" s="3" t="s">
        <v>786</v>
      </c>
      <c r="AN1399" t="s">
        <v>186</v>
      </c>
      <c r="AO1399" t="s">
        <v>793</v>
      </c>
      <c r="AP1399" t="s">
        <v>33</v>
      </c>
      <c r="AQ1399" t="s">
        <v>33</v>
      </c>
      <c r="AR1399" t="s">
        <v>33</v>
      </c>
      <c r="AS1399">
        <v>8</v>
      </c>
      <c r="AT1399">
        <f>AS1399-AU1399</f>
        <v>6.78</v>
      </c>
      <c r="AU1399" s="6">
        <v>1.22</v>
      </c>
      <c r="AV1399" t="b">
        <v>1</v>
      </c>
      <c r="AW1399" t="s">
        <v>617</v>
      </c>
      <c r="AX1399" t="s">
        <v>624</v>
      </c>
      <c r="AY1399" t="s">
        <v>622</v>
      </c>
      <c r="AZ1399" t="s">
        <v>33</v>
      </c>
      <c r="BA1399" s="18" t="s">
        <v>802</v>
      </c>
      <c r="BB1399" s="3" t="b">
        <v>0</v>
      </c>
      <c r="BC1399" t="s">
        <v>81</v>
      </c>
      <c r="BD1399">
        <v>18</v>
      </c>
      <c r="BE1399" t="s">
        <v>80</v>
      </c>
      <c r="BF1399">
        <v>24</v>
      </c>
      <c r="BG1399" t="s">
        <v>696</v>
      </c>
      <c r="BH1399" t="s">
        <v>32</v>
      </c>
      <c r="BI1399" t="s">
        <v>31</v>
      </c>
      <c r="BJ1399">
        <f t="shared" si="707"/>
        <v>1.22</v>
      </c>
      <c r="BK1399" s="3">
        <f t="shared" si="706"/>
        <v>8.6359830674748214E-2</v>
      </c>
      <c r="BL1399">
        <v>2</v>
      </c>
      <c r="BM1399" s="3">
        <f t="shared" si="700"/>
        <v>2.604502247515164</v>
      </c>
      <c r="BN1399" t="s">
        <v>33</v>
      </c>
      <c r="BO1399" s="3">
        <f t="shared" si="695"/>
        <v>402.25573770491798</v>
      </c>
      <c r="BP1399" t="s">
        <v>33</v>
      </c>
      <c r="BQ1399" t="s">
        <v>33</v>
      </c>
      <c r="BR1399" t="s">
        <v>33</v>
      </c>
      <c r="BS1399" t="s">
        <v>33</v>
      </c>
      <c r="BT1399" t="s">
        <v>31</v>
      </c>
      <c r="BU1399" t="s">
        <v>338</v>
      </c>
      <c r="BV1399">
        <v>2006</v>
      </c>
      <c r="BW1399" t="s">
        <v>339</v>
      </c>
      <c r="BX1399" t="s">
        <v>78</v>
      </c>
      <c r="BY1399" s="13" t="s">
        <v>682</v>
      </c>
      <c r="CA1399" t="str">
        <f t="shared" si="696"/>
        <v>low acid</v>
      </c>
    </row>
    <row r="1400" spans="1:79">
      <c r="A1400" t="s">
        <v>592</v>
      </c>
      <c r="B1400" t="s">
        <v>566</v>
      </c>
      <c r="C1400" t="s">
        <v>563</v>
      </c>
      <c r="D1400" t="s">
        <v>607</v>
      </c>
      <c r="E1400" t="s">
        <v>77</v>
      </c>
      <c r="F1400" t="s">
        <v>32</v>
      </c>
      <c r="G1400" t="s">
        <v>33</v>
      </c>
      <c r="H1400">
        <v>35</v>
      </c>
      <c r="I1400" t="b">
        <v>0</v>
      </c>
      <c r="J1400">
        <v>30000</v>
      </c>
      <c r="K1400">
        <v>200</v>
      </c>
      <c r="L1400">
        <v>15</v>
      </c>
      <c r="M1400" s="4">
        <v>1</v>
      </c>
      <c r="N1400" t="e">
        <f>(#REF!*Y1400)/(T1400*X1400*O1400)</f>
        <v>#REF!</v>
      </c>
      <c r="O1400">
        <v>3</v>
      </c>
      <c r="P1400" t="s">
        <v>33</v>
      </c>
      <c r="Q1400" s="1">
        <f>IFERROR(X1400/Z1400, "NA")</f>
        <v>168.39999999999998</v>
      </c>
      <c r="R1400" t="s">
        <v>183</v>
      </c>
      <c r="S1400" t="s">
        <v>33</v>
      </c>
      <c r="T1400">
        <v>1</v>
      </c>
      <c r="U1400">
        <v>2.5</v>
      </c>
      <c r="V1400" t="s">
        <v>33</v>
      </c>
      <c r="W1400">
        <v>0.50249999999999995</v>
      </c>
      <c r="X1400">
        <f>W1400</f>
        <v>0.50249999999999995</v>
      </c>
      <c r="Y1400" t="s">
        <v>33</v>
      </c>
      <c r="Z1400" s="3">
        <f t="shared" ref="Z1400:Z1414" si="708">IFERROR(X1400*M1400*O1400*T1400*AI1400/AF1400, "NA")</f>
        <v>2.9839667458432303E-3</v>
      </c>
      <c r="AA1400" t="s">
        <v>33</v>
      </c>
      <c r="AB1400">
        <f>IFERROR(((X1400*M1400)/Z1400), "NA")</f>
        <v>168.39999999999998</v>
      </c>
      <c r="AC1400" s="1" t="str">
        <f t="shared" si="702"/>
        <v>NA</v>
      </c>
      <c r="AE1400" s="3">
        <f t="shared" si="703"/>
        <v>113.66999999999997</v>
      </c>
      <c r="AF1400">
        <v>505.2</v>
      </c>
      <c r="AG1400" s="1" t="str">
        <f>IFERROR((N1400*P1400*Q1400), "NA")</f>
        <v>NA</v>
      </c>
      <c r="AH1400" s="1" t="str">
        <f>IFERROR((AG1400*U1400*AI1400), "NA")</f>
        <v>NA</v>
      </c>
      <c r="AI1400" s="1">
        <v>1</v>
      </c>
      <c r="AJ1400" s="11" t="s">
        <v>31</v>
      </c>
      <c r="AK1400">
        <v>1000</v>
      </c>
      <c r="AL1400" t="s">
        <v>614</v>
      </c>
      <c r="AM1400" s="3" t="s">
        <v>103</v>
      </c>
      <c r="AN1400" t="s">
        <v>305</v>
      </c>
      <c r="AO1400" t="s">
        <v>790</v>
      </c>
      <c r="AP1400">
        <v>3.5</v>
      </c>
      <c r="AQ1400" t="s">
        <v>33</v>
      </c>
      <c r="AR1400" t="s">
        <v>33</v>
      </c>
      <c r="AS1400">
        <v>8</v>
      </c>
      <c r="AT1400">
        <f>AS1400-AU1400</f>
        <v>6.78</v>
      </c>
      <c r="AU1400" s="6">
        <v>1.22</v>
      </c>
      <c r="AV1400" t="b">
        <v>1</v>
      </c>
      <c r="AW1400" t="s">
        <v>626</v>
      </c>
      <c r="AX1400" t="s">
        <v>627</v>
      </c>
      <c r="AY1400" t="s">
        <v>633</v>
      </c>
      <c r="AZ1400" t="s">
        <v>33</v>
      </c>
      <c r="BA1400" s="18" t="s">
        <v>800</v>
      </c>
      <c r="BB1400" s="3" t="b">
        <v>0</v>
      </c>
      <c r="BC1400" t="s">
        <v>81</v>
      </c>
      <c r="BD1400">
        <v>24</v>
      </c>
      <c r="BE1400" t="s">
        <v>80</v>
      </c>
      <c r="BF1400">
        <v>48</v>
      </c>
      <c r="BG1400" t="s">
        <v>569</v>
      </c>
      <c r="BH1400" t="s">
        <v>31</v>
      </c>
      <c r="BI1400" t="s">
        <v>31</v>
      </c>
      <c r="BJ1400">
        <f t="shared" si="707"/>
        <v>1.22</v>
      </c>
      <c r="BK1400" s="3">
        <f t="shared" si="706"/>
        <v>8.6359830674748214E-2</v>
      </c>
      <c r="BL1400">
        <v>2</v>
      </c>
      <c r="BM1400" s="3">
        <f t="shared" si="700"/>
        <v>1.9692860293199073</v>
      </c>
      <c r="BN1400" t="s">
        <v>33</v>
      </c>
      <c r="BO1400" s="3">
        <f t="shared" si="695"/>
        <v>93.172131147540966</v>
      </c>
      <c r="BP1400" t="s">
        <v>33</v>
      </c>
      <c r="BQ1400" t="s">
        <v>33</v>
      </c>
      <c r="BR1400" t="s">
        <v>33</v>
      </c>
      <c r="BS1400" t="s">
        <v>33</v>
      </c>
      <c r="BT1400" t="s">
        <v>31</v>
      </c>
      <c r="BU1400" s="15" t="s">
        <v>255</v>
      </c>
      <c r="BV1400">
        <v>2010</v>
      </c>
      <c r="BW1400" t="s">
        <v>659</v>
      </c>
      <c r="BX1400" t="s">
        <v>78</v>
      </c>
      <c r="BY1400" s="13" t="s">
        <v>680</v>
      </c>
      <c r="CA1400" t="str">
        <f t="shared" si="696"/>
        <v>high acid</v>
      </c>
    </row>
    <row r="1401" spans="1:79">
      <c r="A1401" t="s">
        <v>505</v>
      </c>
      <c r="B1401" t="s">
        <v>565</v>
      </c>
      <c r="C1401" t="s">
        <v>563</v>
      </c>
      <c r="D1401" t="s">
        <v>118</v>
      </c>
      <c r="E1401" t="s">
        <v>77</v>
      </c>
      <c r="F1401" t="s">
        <v>32</v>
      </c>
      <c r="G1401">
        <v>15</v>
      </c>
      <c r="H1401">
        <v>30</v>
      </c>
      <c r="I1401" t="b">
        <v>0</v>
      </c>
      <c r="J1401" t="s">
        <v>33</v>
      </c>
      <c r="K1401" t="s">
        <v>33</v>
      </c>
      <c r="L1401">
        <v>20</v>
      </c>
      <c r="M1401" s="4">
        <v>200</v>
      </c>
      <c r="N1401" s="3" t="str">
        <f>IFERROR(AF1401/((T1401*X1401/Y1401)*O1401*AI1401),"NA")</f>
        <v>NA</v>
      </c>
      <c r="O1401">
        <v>2</v>
      </c>
      <c r="P1401" s="9" t="s">
        <v>33</v>
      </c>
      <c r="Q1401" s="8">
        <f>IFERROR(X1401/Z1401, "NA")</f>
        <v>8.3333333333333329E-2</v>
      </c>
      <c r="R1401" t="s">
        <v>183</v>
      </c>
      <c r="S1401" t="s">
        <v>613</v>
      </c>
      <c r="T1401" s="11">
        <v>6</v>
      </c>
      <c r="U1401">
        <v>2.92</v>
      </c>
      <c r="V1401">
        <v>2.2999999999999998</v>
      </c>
      <c r="W1401" t="s">
        <v>33</v>
      </c>
      <c r="X1401" s="9">
        <f>IFERROR(((PI())*(((V1401*10^-1)/2)^2)*(U1401*10^-1)), "NA")</f>
        <v>1.2131888350367701E-2</v>
      </c>
      <c r="Y1401" s="6" t="s">
        <v>33</v>
      </c>
      <c r="Z1401" s="3">
        <f t="shared" si="708"/>
        <v>0.14558266020441241</v>
      </c>
      <c r="AA1401" t="s">
        <v>33</v>
      </c>
      <c r="AB1401" s="4" t="str">
        <f>IFERROR(((X1401*M1401)/Y1401), "NA")</f>
        <v>NA</v>
      </c>
      <c r="AC1401" s="4" t="str">
        <f t="shared" si="702"/>
        <v>NA</v>
      </c>
      <c r="AD1401" s="4" t="str">
        <f>IFERROR(AB1401*T1401*AI1401, "NA")</f>
        <v>NA</v>
      </c>
      <c r="AE1401" s="3">
        <f t="shared" si="703"/>
        <v>160</v>
      </c>
      <c r="AF1401">
        <v>200</v>
      </c>
      <c r="AG1401" s="4" t="str">
        <f>IFERROR((M1401*O1401*P1401), "NA")</f>
        <v>NA</v>
      </c>
      <c r="AH1401" s="4" t="str">
        <f>IFERROR((AG1401*T1401*AI1401), "NA")</f>
        <v>NA</v>
      </c>
      <c r="AI1401" s="11">
        <v>1</v>
      </c>
      <c r="AJ1401" t="s">
        <v>31</v>
      </c>
      <c r="AK1401">
        <v>2000</v>
      </c>
      <c r="AL1401" t="s">
        <v>506</v>
      </c>
      <c r="AM1401" s="3" t="s">
        <v>103</v>
      </c>
      <c r="AN1401" t="s">
        <v>130</v>
      </c>
      <c r="AO1401" t="s">
        <v>795</v>
      </c>
      <c r="AP1401">
        <v>7.2</v>
      </c>
      <c r="AQ1401" t="s">
        <v>33</v>
      </c>
      <c r="AR1401" t="s">
        <v>33</v>
      </c>
      <c r="AS1401" s="6">
        <f>LOG(10^8)</f>
        <v>8</v>
      </c>
      <c r="AT1401" s="3">
        <f>IFERROR(AS1401-AU1401,"NA")</f>
        <v>6.782</v>
      </c>
      <c r="AU1401" s="6">
        <v>1.218</v>
      </c>
      <c r="AV1401" t="b">
        <v>1</v>
      </c>
      <c r="AW1401" t="s">
        <v>172</v>
      </c>
      <c r="AX1401" t="s">
        <v>173</v>
      </c>
      <c r="AY1401" t="s">
        <v>213</v>
      </c>
      <c r="AZ1401" t="s">
        <v>33</v>
      </c>
      <c r="BA1401" s="18" t="s">
        <v>799</v>
      </c>
      <c r="BB1401" s="3" t="b">
        <v>0</v>
      </c>
      <c r="BC1401" t="s">
        <v>81</v>
      </c>
      <c r="BD1401">
        <v>16</v>
      </c>
      <c r="BE1401" t="s">
        <v>80</v>
      </c>
      <c r="BF1401" s="11">
        <v>48</v>
      </c>
      <c r="BG1401" t="s">
        <v>522</v>
      </c>
      <c r="BH1401" t="s">
        <v>31</v>
      </c>
      <c r="BI1401" t="s">
        <v>31</v>
      </c>
      <c r="BJ1401" s="3">
        <f t="shared" si="707"/>
        <v>1.218</v>
      </c>
      <c r="BK1401" s="3">
        <f t="shared" si="706"/>
        <v>8.5647288296856541E-2</v>
      </c>
      <c r="BL1401">
        <v>2</v>
      </c>
      <c r="BM1401" s="3">
        <f t="shared" si="700"/>
        <v>2.1184726943590682</v>
      </c>
      <c r="BN1401" t="s">
        <v>33</v>
      </c>
      <c r="BO1401" s="3">
        <f t="shared" si="695"/>
        <v>131.36288998357963</v>
      </c>
      <c r="BP1401" t="s">
        <v>33</v>
      </c>
      <c r="BQ1401" t="s">
        <v>33</v>
      </c>
      <c r="BR1401" t="s">
        <v>33</v>
      </c>
      <c r="BS1401" t="s">
        <v>33</v>
      </c>
      <c r="BT1401" t="s">
        <v>31</v>
      </c>
      <c r="BU1401" t="s">
        <v>344</v>
      </c>
      <c r="BV1401">
        <v>2014</v>
      </c>
      <c r="BW1401" t="s">
        <v>507</v>
      </c>
      <c r="BX1401" t="s">
        <v>78</v>
      </c>
      <c r="BY1401" t="s">
        <v>33</v>
      </c>
      <c r="BZ1401" t="s">
        <v>33</v>
      </c>
      <c r="CA1401" t="str">
        <f t="shared" si="696"/>
        <v>low acid</v>
      </c>
    </row>
    <row r="1402" spans="1:79">
      <c r="A1402" t="s">
        <v>583</v>
      </c>
      <c r="B1402" t="s">
        <v>566</v>
      </c>
      <c r="C1402" t="s">
        <v>563</v>
      </c>
      <c r="D1402" t="s">
        <v>33</v>
      </c>
      <c r="E1402" t="s">
        <v>77</v>
      </c>
      <c r="F1402" t="s">
        <v>32</v>
      </c>
      <c r="G1402" t="s">
        <v>33</v>
      </c>
      <c r="H1402">
        <v>30</v>
      </c>
      <c r="I1402" t="b">
        <v>1</v>
      </c>
      <c r="J1402" t="s">
        <v>33</v>
      </c>
      <c r="K1402" t="s">
        <v>33</v>
      </c>
      <c r="L1402">
        <v>20</v>
      </c>
      <c r="M1402" s="4">
        <v>2</v>
      </c>
      <c r="N1402" t="e">
        <f>(#REF!*Y1402)/(T1402*X1402*O1402)</f>
        <v>#REF!</v>
      </c>
      <c r="O1402">
        <v>2</v>
      </c>
      <c r="P1402" t="s">
        <v>33</v>
      </c>
      <c r="Q1402" s="1">
        <f>IFERROR(X1402/Z1402, "NA")</f>
        <v>15</v>
      </c>
      <c r="R1402" t="s">
        <v>183</v>
      </c>
      <c r="S1402" t="s">
        <v>613</v>
      </c>
      <c r="T1402">
        <v>1</v>
      </c>
      <c r="U1402">
        <v>5</v>
      </c>
      <c r="V1402" t="s">
        <v>33</v>
      </c>
      <c r="W1402">
        <v>0.71</v>
      </c>
      <c r="X1402">
        <f>W1402</f>
        <v>0.71</v>
      </c>
      <c r="Y1402">
        <v>0.1</v>
      </c>
      <c r="Z1402" s="3">
        <f t="shared" si="708"/>
        <v>4.7333333333333331E-2</v>
      </c>
      <c r="AA1402" t="s">
        <v>33</v>
      </c>
      <c r="AB1402">
        <f>IFERROR(((X1402*M1402)/Z1402), "NA")</f>
        <v>30</v>
      </c>
      <c r="AC1402" s="1" t="str">
        <f t="shared" si="702"/>
        <v>NA</v>
      </c>
      <c r="AE1402" s="3">
        <f t="shared" si="703"/>
        <v>112.8</v>
      </c>
      <c r="AF1402">
        <v>60</v>
      </c>
      <c r="AG1402" s="1" t="str">
        <f>IFERROR((N1402*P1402*Q1402), "NA")</f>
        <v>NA</v>
      </c>
      <c r="AH1402" s="1" t="str">
        <f>IFERROR((AG1402*U1402*AI1402), "NA")</f>
        <v>NA</v>
      </c>
      <c r="AI1402" s="1">
        <v>1</v>
      </c>
      <c r="AJ1402" s="11" t="s">
        <v>31</v>
      </c>
      <c r="AK1402">
        <v>4700</v>
      </c>
      <c r="AL1402" t="s">
        <v>562</v>
      </c>
      <c r="AM1402" s="3" t="s">
        <v>786</v>
      </c>
      <c r="AN1402" t="s">
        <v>186</v>
      </c>
      <c r="AO1402" t="s">
        <v>793</v>
      </c>
      <c r="AP1402" t="s">
        <v>33</v>
      </c>
      <c r="AQ1402" t="s">
        <v>33</v>
      </c>
      <c r="AR1402" t="s">
        <v>33</v>
      </c>
      <c r="AS1402">
        <v>8</v>
      </c>
      <c r="AT1402">
        <f>AS1402-AU1402</f>
        <v>6.79</v>
      </c>
      <c r="AU1402" s="6">
        <v>1.21</v>
      </c>
      <c r="AV1402" t="b">
        <v>1</v>
      </c>
      <c r="AW1402" t="s">
        <v>617</v>
      </c>
      <c r="AX1402" t="s">
        <v>33</v>
      </c>
      <c r="AY1402" t="s">
        <v>622</v>
      </c>
      <c r="AZ1402" t="s">
        <v>619</v>
      </c>
      <c r="BA1402" s="18" t="s">
        <v>802</v>
      </c>
      <c r="BB1402" s="3" t="b">
        <v>0</v>
      </c>
      <c r="BC1402" t="s">
        <v>81</v>
      </c>
      <c r="BD1402">
        <v>18</v>
      </c>
      <c r="BE1402" t="s">
        <v>80</v>
      </c>
      <c r="BF1402">
        <v>24</v>
      </c>
      <c r="BG1402" t="s">
        <v>696</v>
      </c>
      <c r="BH1402" t="s">
        <v>32</v>
      </c>
      <c r="BI1402" t="s">
        <v>31</v>
      </c>
      <c r="BJ1402">
        <f t="shared" si="707"/>
        <v>1.21</v>
      </c>
      <c r="BK1402" s="3">
        <f t="shared" si="706"/>
        <v>8.2785370316450071E-2</v>
      </c>
      <c r="BL1402">
        <v>2</v>
      </c>
      <c r="BM1402" s="3">
        <f t="shared" si="700"/>
        <v>1.9695237293308734</v>
      </c>
      <c r="BN1402" t="s">
        <v>33</v>
      </c>
      <c r="BO1402" s="3">
        <f t="shared" si="695"/>
        <v>93.223140495867767</v>
      </c>
      <c r="BP1402" t="s">
        <v>33</v>
      </c>
      <c r="BQ1402" t="s">
        <v>33</v>
      </c>
      <c r="BR1402" t="s">
        <v>33</v>
      </c>
      <c r="BS1402" t="s">
        <v>33</v>
      </c>
      <c r="BT1402" t="s">
        <v>31</v>
      </c>
      <c r="BU1402" t="s">
        <v>338</v>
      </c>
      <c r="BV1402">
        <v>2005</v>
      </c>
      <c r="BW1402" t="s">
        <v>342</v>
      </c>
      <c r="BX1402" t="s">
        <v>78</v>
      </c>
      <c r="BY1402" s="13" t="s">
        <v>673</v>
      </c>
      <c r="CA1402" t="str">
        <f t="shared" si="696"/>
        <v>low acid</v>
      </c>
    </row>
    <row r="1403" spans="1:79">
      <c r="A1403" t="s">
        <v>722</v>
      </c>
      <c r="B1403" t="s">
        <v>566</v>
      </c>
      <c r="C1403" t="s">
        <v>563</v>
      </c>
      <c r="D1403" t="s">
        <v>699</v>
      </c>
      <c r="E1403" t="s">
        <v>77</v>
      </c>
      <c r="F1403" t="s">
        <v>32</v>
      </c>
      <c r="G1403">
        <v>20</v>
      </c>
      <c r="H1403">
        <v>41</v>
      </c>
      <c r="I1403" t="b">
        <v>1</v>
      </c>
      <c r="J1403" t="s">
        <v>33</v>
      </c>
      <c r="K1403" t="s">
        <v>33</v>
      </c>
      <c r="L1403">
        <v>20</v>
      </c>
      <c r="M1403" s="4">
        <v>30</v>
      </c>
      <c r="N1403" s="3">
        <f>IFERROR(AF1403/((T1403*X1403/Y1403)*O1403*AI1403),"NA")</f>
        <v>29.861111111111104</v>
      </c>
      <c r="O1403">
        <v>5</v>
      </c>
      <c r="P1403">
        <v>0.43</v>
      </c>
      <c r="Q1403" s="8">
        <f>IFERROR(X1403/Y1403, "NA")</f>
        <v>0.43200000000000011</v>
      </c>
      <c r="R1403" t="s">
        <v>183</v>
      </c>
      <c r="S1403" t="s">
        <v>612</v>
      </c>
      <c r="T1403" s="11">
        <v>1</v>
      </c>
      <c r="U1403">
        <v>4</v>
      </c>
      <c r="V1403" t="s">
        <v>33</v>
      </c>
      <c r="W1403">
        <f>0.4*3*0.5</f>
        <v>0.60000000000000009</v>
      </c>
      <c r="X1403" s="9">
        <f>W1403</f>
        <v>0.60000000000000009</v>
      </c>
      <c r="Y1403" s="6">
        <f>5000/3600</f>
        <v>1.3888888888888888</v>
      </c>
      <c r="Z1403" s="3">
        <f t="shared" si="708"/>
        <v>1.3953488372093026</v>
      </c>
      <c r="AA1403" t="s">
        <v>33</v>
      </c>
      <c r="AB1403" s="4">
        <f>IFERROR(((X1403*M1403)/Y1403), "NA")</f>
        <v>12.960000000000003</v>
      </c>
      <c r="AC1403" s="4">
        <f t="shared" si="702"/>
        <v>12.9</v>
      </c>
      <c r="AD1403" s="4">
        <f>AB1403*T1403*AI1403</f>
        <v>12.960000000000003</v>
      </c>
      <c r="AE1403" s="3">
        <f t="shared" si="703"/>
        <v>51.840000000000011</v>
      </c>
      <c r="AF1403">
        <v>64.5</v>
      </c>
      <c r="AG1403" s="4">
        <f>IFERROR((M1403*O1403*P1403), "NA")</f>
        <v>64.5</v>
      </c>
      <c r="AH1403" s="4">
        <f>IFERROR((AG1403*T1403*AI1403), "NA")</f>
        <v>64.5</v>
      </c>
      <c r="AI1403">
        <v>1</v>
      </c>
      <c r="AJ1403" s="11" t="s">
        <v>31</v>
      </c>
      <c r="AK1403">
        <v>2000</v>
      </c>
      <c r="AL1403" t="s">
        <v>784</v>
      </c>
      <c r="AM1403" t="s">
        <v>103</v>
      </c>
      <c r="AN1403" t="s">
        <v>130</v>
      </c>
      <c r="AO1403" t="s">
        <v>795</v>
      </c>
      <c r="AP1403">
        <v>7</v>
      </c>
      <c r="AQ1403" t="s">
        <v>33</v>
      </c>
      <c r="AR1403" t="s">
        <v>33</v>
      </c>
      <c r="AS1403" s="6">
        <f>LOG(AVERAGE(10^8, 10^9))</f>
        <v>8.7403626894942441</v>
      </c>
      <c r="AT1403" s="3">
        <f>IFERROR(AS1403-AU1403,"NA")</f>
        <v>6.8063626894942439</v>
      </c>
      <c r="AU1403" s="6">
        <v>1.9339999999999999</v>
      </c>
      <c r="AV1403" t="b">
        <v>1</v>
      </c>
      <c r="AW1403" t="s">
        <v>123</v>
      </c>
      <c r="AX1403" t="s">
        <v>88</v>
      </c>
      <c r="AY1403" t="s">
        <v>727</v>
      </c>
      <c r="AZ1403" t="s">
        <v>33</v>
      </c>
      <c r="BA1403" s="18" t="s">
        <v>579</v>
      </c>
      <c r="BB1403" s="3" t="b">
        <v>1</v>
      </c>
      <c r="BC1403" t="s">
        <v>81</v>
      </c>
      <c r="BD1403">
        <v>24</v>
      </c>
      <c r="BE1403" t="s">
        <v>80</v>
      </c>
      <c r="BF1403">
        <v>48</v>
      </c>
      <c r="BG1403" t="s">
        <v>395</v>
      </c>
      <c r="BH1403" t="s">
        <v>31</v>
      </c>
      <c r="BI1403" t="s">
        <v>31</v>
      </c>
      <c r="BJ1403" s="3">
        <f t="shared" si="707"/>
        <v>1.9339999999999999</v>
      </c>
      <c r="BK1403" s="3">
        <f t="shared" si="706"/>
        <v>0.28645646974698286</v>
      </c>
      <c r="BL1403">
        <v>2</v>
      </c>
      <c r="BM1403" s="3">
        <f t="shared" si="700"/>
        <v>1.4282085231155541</v>
      </c>
      <c r="BN1403" t="s">
        <v>33</v>
      </c>
      <c r="BO1403" s="3">
        <f t="shared" si="695"/>
        <v>26.804550155118932</v>
      </c>
      <c r="BP1403" t="s">
        <v>33</v>
      </c>
      <c r="BQ1403" t="s">
        <v>33</v>
      </c>
      <c r="BR1403" t="s">
        <v>33</v>
      </c>
      <c r="BS1403" t="s">
        <v>33</v>
      </c>
      <c r="BT1403" t="s">
        <v>32</v>
      </c>
      <c r="BU1403" t="s">
        <v>709</v>
      </c>
      <c r="BV1403">
        <v>2024</v>
      </c>
      <c r="BW1403" t="s">
        <v>710</v>
      </c>
      <c r="BX1403" t="s">
        <v>78</v>
      </c>
      <c r="BY1403" t="s">
        <v>711</v>
      </c>
      <c r="CA1403" t="str">
        <f t="shared" si="696"/>
        <v>low acid</v>
      </c>
    </row>
    <row r="1404" spans="1:79">
      <c r="A1404" t="s">
        <v>584</v>
      </c>
      <c r="B1404" t="s">
        <v>566</v>
      </c>
      <c r="C1404" t="s">
        <v>563</v>
      </c>
      <c r="D1404" t="s">
        <v>607</v>
      </c>
      <c r="E1404" t="s">
        <v>77</v>
      </c>
      <c r="F1404" t="s">
        <v>33</v>
      </c>
      <c r="G1404">
        <v>20</v>
      </c>
      <c r="H1404">
        <v>35</v>
      </c>
      <c r="I1404" t="b">
        <v>0</v>
      </c>
      <c r="J1404">
        <v>1000</v>
      </c>
      <c r="K1404">
        <v>200</v>
      </c>
      <c r="L1404">
        <v>15</v>
      </c>
      <c r="M1404" s="4">
        <v>1</v>
      </c>
      <c r="N1404" t="e">
        <f>(#REF!*Y1404)/(T1404*X1404*O1404)</f>
        <v>#REF!</v>
      </c>
      <c r="O1404">
        <v>3</v>
      </c>
      <c r="P1404" t="s">
        <v>33</v>
      </c>
      <c r="Q1404" s="1">
        <f t="shared" ref="Q1404:Q1412" si="709">IFERROR(X1404/Z1404, "NA")</f>
        <v>10</v>
      </c>
      <c r="R1404" t="s">
        <v>183</v>
      </c>
      <c r="S1404" t="s">
        <v>33</v>
      </c>
      <c r="T1404">
        <v>1</v>
      </c>
      <c r="U1404">
        <v>2.5</v>
      </c>
      <c r="V1404" t="s">
        <v>33</v>
      </c>
      <c r="W1404">
        <v>0.50249999999999995</v>
      </c>
      <c r="X1404">
        <f>W1404</f>
        <v>0.50249999999999995</v>
      </c>
      <c r="Y1404" t="s">
        <v>33</v>
      </c>
      <c r="Z1404" s="3">
        <f t="shared" si="708"/>
        <v>5.0249999999999996E-2</v>
      </c>
      <c r="AA1404" t="s">
        <v>33</v>
      </c>
      <c r="AB1404">
        <f>IFERROR(((X1404*M1404)/Z1404), "NA")</f>
        <v>10</v>
      </c>
      <c r="AC1404" s="1" t="str">
        <f t="shared" si="702"/>
        <v>NA</v>
      </c>
      <c r="AE1404" s="3">
        <f t="shared" si="703"/>
        <v>6.7499999999999991</v>
      </c>
      <c r="AF1404">
        <v>30</v>
      </c>
      <c r="AG1404" s="1" t="str">
        <f>IFERROR((N1404*P1404*Q1404), "NA")</f>
        <v>NA</v>
      </c>
      <c r="AH1404" s="1" t="str">
        <f>IFERROR((AG1404*U1404*AI1404), "NA")</f>
        <v>NA</v>
      </c>
      <c r="AI1404" s="1">
        <v>1</v>
      </c>
      <c r="AJ1404" s="11" t="s">
        <v>31</v>
      </c>
      <c r="AK1404">
        <v>1000</v>
      </c>
      <c r="AL1404" t="s">
        <v>614</v>
      </c>
      <c r="AM1404" s="3" t="s">
        <v>103</v>
      </c>
      <c r="AN1404" t="s">
        <v>305</v>
      </c>
      <c r="AO1404" t="s">
        <v>790</v>
      </c>
      <c r="AP1404">
        <v>3.5</v>
      </c>
      <c r="AQ1404" t="s">
        <v>33</v>
      </c>
      <c r="AR1404" t="s">
        <v>33</v>
      </c>
      <c r="AS1404">
        <v>8</v>
      </c>
      <c r="AT1404">
        <f>AS1404-AU1404</f>
        <v>6.8100000000000005</v>
      </c>
      <c r="AU1404" s="6">
        <v>1.19</v>
      </c>
      <c r="AV1404" t="b">
        <v>1</v>
      </c>
      <c r="AW1404" t="s">
        <v>617</v>
      </c>
      <c r="AX1404" t="s">
        <v>33</v>
      </c>
      <c r="AY1404" t="s">
        <v>623</v>
      </c>
      <c r="AZ1404" t="s">
        <v>621</v>
      </c>
      <c r="BA1404" s="18" t="s">
        <v>802</v>
      </c>
      <c r="BB1404" s="3" t="b">
        <v>0</v>
      </c>
      <c r="BC1404" t="s">
        <v>81</v>
      </c>
      <c r="BD1404">
        <v>18</v>
      </c>
      <c r="BE1404" t="s">
        <v>80</v>
      </c>
      <c r="BF1404">
        <v>24</v>
      </c>
      <c r="BG1404" t="s">
        <v>642</v>
      </c>
      <c r="BH1404" t="s">
        <v>32</v>
      </c>
      <c r="BI1404" t="s">
        <v>31</v>
      </c>
      <c r="BJ1404">
        <f t="shared" si="707"/>
        <v>1.19</v>
      </c>
      <c r="BK1404" s="3">
        <f t="shared" si="706"/>
        <v>7.554696139253074E-2</v>
      </c>
      <c r="BL1404">
        <v>2</v>
      </c>
      <c r="BM1404" s="3">
        <f t="shared" si="700"/>
        <v>0.75375681143849416</v>
      </c>
      <c r="BN1404" t="s">
        <v>33</v>
      </c>
      <c r="BO1404" s="3">
        <f t="shared" si="695"/>
        <v>5.6722689075630246</v>
      </c>
      <c r="BP1404" t="s">
        <v>33</v>
      </c>
      <c r="BQ1404" t="s">
        <v>33</v>
      </c>
      <c r="BR1404" t="s">
        <v>33</v>
      </c>
      <c r="BS1404" t="s">
        <v>33</v>
      </c>
      <c r="BT1404" t="s">
        <v>31</v>
      </c>
      <c r="BU1404" t="s">
        <v>255</v>
      </c>
      <c r="BV1404">
        <v>2010</v>
      </c>
      <c r="BW1404" t="s">
        <v>651</v>
      </c>
      <c r="BX1404" t="s">
        <v>78</v>
      </c>
      <c r="BY1404" s="13" t="s">
        <v>674</v>
      </c>
      <c r="CA1404" t="str">
        <f t="shared" si="696"/>
        <v>high acid</v>
      </c>
    </row>
    <row r="1405" spans="1:79">
      <c r="A1405" t="s">
        <v>514</v>
      </c>
      <c r="B1405" t="s">
        <v>566</v>
      </c>
      <c r="C1405" t="s">
        <v>563</v>
      </c>
      <c r="D1405" t="s">
        <v>33</v>
      </c>
      <c r="E1405" t="s">
        <v>77</v>
      </c>
      <c r="F1405" t="s">
        <v>31</v>
      </c>
      <c r="G1405">
        <v>22</v>
      </c>
      <c r="H1405" t="s">
        <v>33</v>
      </c>
      <c r="I1405" t="b">
        <v>0</v>
      </c>
      <c r="J1405">
        <v>1500</v>
      </c>
      <c r="K1405">
        <v>2.67</v>
      </c>
      <c r="L1405">
        <v>7.5</v>
      </c>
      <c r="M1405" s="4">
        <v>1</v>
      </c>
      <c r="N1405" s="3">
        <f>IFERROR(AF1405/((T1405*X1405/Y1405)*O1405*AI1405),"NA")</f>
        <v>1.0133333333333332</v>
      </c>
      <c r="O1405">
        <v>100</v>
      </c>
      <c r="P1405" s="6">
        <f>0.5/(3.8/60)</f>
        <v>7.8947368421052646</v>
      </c>
      <c r="Q1405" s="8">
        <f t="shared" si="709"/>
        <v>8</v>
      </c>
      <c r="R1405" t="s">
        <v>183</v>
      </c>
      <c r="S1405" t="s">
        <v>612</v>
      </c>
      <c r="T1405" s="11">
        <v>1</v>
      </c>
      <c r="U1405">
        <v>2</v>
      </c>
      <c r="V1405" t="s">
        <v>33</v>
      </c>
      <c r="W1405">
        <v>0.5</v>
      </c>
      <c r="X1405" s="9">
        <f>W1405</f>
        <v>0.5</v>
      </c>
      <c r="Y1405">
        <f>3.8/60</f>
        <v>6.3333333333333325E-2</v>
      </c>
      <c r="Z1405" s="3">
        <f t="shared" si="708"/>
        <v>6.25E-2</v>
      </c>
      <c r="AA1405">
        <v>8</v>
      </c>
      <c r="AB1405" s="4">
        <f>IFERROR(((X1405*M1405)/Y1405), "NA")</f>
        <v>7.8947368421052646</v>
      </c>
      <c r="AC1405" s="4">
        <f t="shared" si="702"/>
        <v>7.8947368421052646</v>
      </c>
      <c r="AD1405" s="4">
        <f>IFERROR(AB1405*T1405*AI1405, "NA")</f>
        <v>7.8947368421052646</v>
      </c>
      <c r="AE1405" s="3">
        <f t="shared" si="703"/>
        <v>24.75</v>
      </c>
      <c r="AF1405">
        <v>800</v>
      </c>
      <c r="AG1405" s="4">
        <f>IFERROR((M1405*O1405*P1405), "NA")</f>
        <v>789.47368421052647</v>
      </c>
      <c r="AH1405" s="4">
        <f>IFERROR((AG1405*T1405*AI1405), "NA")</f>
        <v>789.47368421052647</v>
      </c>
      <c r="AI1405" s="11">
        <v>1</v>
      </c>
      <c r="AJ1405" t="s">
        <v>31</v>
      </c>
      <c r="AK1405" s="11">
        <f>(400+700)/2</f>
        <v>550</v>
      </c>
      <c r="AL1405" t="s">
        <v>492</v>
      </c>
      <c r="AM1405" t="s">
        <v>103</v>
      </c>
      <c r="AN1405" t="s">
        <v>130</v>
      </c>
      <c r="AO1405" t="s">
        <v>795</v>
      </c>
      <c r="AP1405" t="s">
        <v>33</v>
      </c>
      <c r="AQ1405" t="s">
        <v>33</v>
      </c>
      <c r="AR1405" t="s">
        <v>33</v>
      </c>
      <c r="AS1405" s="6">
        <f>LOG(5*10^7)</f>
        <v>7.6989700043360187</v>
      </c>
      <c r="AT1405" s="3">
        <f>IFERROR(AS1405-AU1405,"NA")</f>
        <v>6.8199700043360192</v>
      </c>
      <c r="AU1405" s="6">
        <v>0.879</v>
      </c>
      <c r="AV1405" t="b">
        <v>1</v>
      </c>
      <c r="AW1405" t="s">
        <v>509</v>
      </c>
      <c r="AX1405" t="s">
        <v>510</v>
      </c>
      <c r="AY1405" t="s">
        <v>511</v>
      </c>
      <c r="AZ1405" t="s">
        <v>33</v>
      </c>
      <c r="BA1405" s="18" t="s">
        <v>579</v>
      </c>
      <c r="BB1405" t="b">
        <v>1</v>
      </c>
      <c r="BC1405" t="s">
        <v>81</v>
      </c>
      <c r="BD1405">
        <v>11</v>
      </c>
      <c r="BE1405" t="s">
        <v>159</v>
      </c>
      <c r="BF1405" s="11">
        <v>24</v>
      </c>
      <c r="BG1405" t="s">
        <v>395</v>
      </c>
      <c r="BH1405" t="s">
        <v>31</v>
      </c>
      <c r="BI1405" t="s">
        <v>31</v>
      </c>
      <c r="BJ1405" s="3">
        <f t="shared" si="707"/>
        <v>0.879</v>
      </c>
      <c r="BK1405" s="3">
        <f t="shared" si="706"/>
        <v>-5.6011124926228104E-2</v>
      </c>
      <c r="BL1405">
        <v>2</v>
      </c>
      <c r="BM1405" s="3">
        <f t="shared" si="700"/>
        <v>1.4495863281958157</v>
      </c>
      <c r="BN1405" t="s">
        <v>33</v>
      </c>
      <c r="BO1405" s="3">
        <f t="shared" si="695"/>
        <v>28.156996587030715</v>
      </c>
      <c r="BP1405" t="s">
        <v>33</v>
      </c>
      <c r="BQ1405" t="s">
        <v>33</v>
      </c>
      <c r="BR1405" t="s">
        <v>33</v>
      </c>
      <c r="BS1405" t="s">
        <v>33</v>
      </c>
      <c r="BT1405" t="s">
        <v>32</v>
      </c>
      <c r="BU1405" t="s">
        <v>512</v>
      </c>
      <c r="BV1405" s="11">
        <v>2021</v>
      </c>
      <c r="BW1405" t="s">
        <v>513</v>
      </c>
      <c r="BX1405" t="s">
        <v>78</v>
      </c>
      <c r="BY1405" t="s">
        <v>508</v>
      </c>
      <c r="CA1405" t="str">
        <f t="shared" si="696"/>
        <v>low acid</v>
      </c>
    </row>
    <row r="1406" spans="1:79">
      <c r="A1406" t="s">
        <v>589</v>
      </c>
      <c r="B1406" t="s">
        <v>566</v>
      </c>
      <c r="C1406" t="s">
        <v>563</v>
      </c>
      <c r="D1406" t="s">
        <v>33</v>
      </c>
      <c r="E1406" t="s">
        <v>77</v>
      </c>
      <c r="F1406" t="s">
        <v>33</v>
      </c>
      <c r="G1406" t="s">
        <v>33</v>
      </c>
      <c r="H1406">
        <v>35</v>
      </c>
      <c r="I1406" t="b">
        <v>0</v>
      </c>
      <c r="J1406" t="s">
        <v>33</v>
      </c>
      <c r="K1406" t="s">
        <v>33</v>
      </c>
      <c r="L1406">
        <v>12</v>
      </c>
      <c r="M1406" s="4">
        <v>1</v>
      </c>
      <c r="N1406" t="e">
        <f>(#REF!*Y1406)/(T1406*X1406*O1406)</f>
        <v>#REF!</v>
      </c>
      <c r="O1406">
        <v>2</v>
      </c>
      <c r="P1406" t="s">
        <v>33</v>
      </c>
      <c r="Q1406" s="1">
        <f t="shared" si="709"/>
        <v>49.35</v>
      </c>
      <c r="R1406" t="s">
        <v>183</v>
      </c>
      <c r="S1406" t="s">
        <v>613</v>
      </c>
      <c r="T1406">
        <v>1</v>
      </c>
      <c r="U1406">
        <v>2.5</v>
      </c>
      <c r="V1406" t="s">
        <v>33</v>
      </c>
      <c r="W1406">
        <v>0.50249999999999995</v>
      </c>
      <c r="X1406">
        <f>W1406</f>
        <v>0.50249999999999995</v>
      </c>
      <c r="Y1406" t="s">
        <v>33</v>
      </c>
      <c r="Z1406" s="3">
        <f t="shared" si="708"/>
        <v>1.0182370820668692E-2</v>
      </c>
      <c r="AA1406" t="s">
        <v>33</v>
      </c>
      <c r="AB1406">
        <f t="shared" ref="AB1406:AB1412" si="710">IFERROR(((X1406*M1406)/Z1406), "NA")</f>
        <v>49.35</v>
      </c>
      <c r="AC1406" s="1" t="str">
        <f t="shared" si="702"/>
        <v>NA</v>
      </c>
      <c r="AE1406" s="3">
        <f t="shared" si="703"/>
        <v>28.425599999999999</v>
      </c>
      <c r="AF1406">
        <v>98.7</v>
      </c>
      <c r="AG1406" s="1" t="str">
        <f>IFERROR((N1406*P1406*Q1406), "NA")</f>
        <v>NA</v>
      </c>
      <c r="AH1406" s="1" t="str">
        <f>IFERROR((AG1406*U1406*AI1406), "NA")</f>
        <v>NA</v>
      </c>
      <c r="AI1406" s="1">
        <v>1</v>
      </c>
      <c r="AJ1406" s="11" t="s">
        <v>31</v>
      </c>
      <c r="AK1406">
        <v>2000</v>
      </c>
      <c r="AL1406" t="s">
        <v>616</v>
      </c>
      <c r="AM1406" s="3" t="s">
        <v>103</v>
      </c>
      <c r="AN1406" t="s">
        <v>130</v>
      </c>
      <c r="AO1406" t="s">
        <v>795</v>
      </c>
      <c r="AP1406">
        <v>7</v>
      </c>
      <c r="AQ1406" t="s">
        <v>33</v>
      </c>
      <c r="AR1406" t="s">
        <v>33</v>
      </c>
      <c r="AS1406">
        <v>9</v>
      </c>
      <c r="AT1406">
        <f>AS1406-AU1406</f>
        <v>6.82</v>
      </c>
      <c r="AU1406" s="6">
        <v>2.1800000000000002</v>
      </c>
      <c r="AV1406" t="b">
        <v>1</v>
      </c>
      <c r="AW1406" t="s">
        <v>617</v>
      </c>
      <c r="AX1406" t="s">
        <v>33</v>
      </c>
      <c r="AY1406" t="s">
        <v>629</v>
      </c>
      <c r="AZ1406" t="s">
        <v>630</v>
      </c>
      <c r="BA1406" s="18" t="s">
        <v>802</v>
      </c>
      <c r="BB1406" s="3" t="b">
        <v>0</v>
      </c>
      <c r="BC1406" t="s">
        <v>81</v>
      </c>
      <c r="BD1406">
        <v>24</v>
      </c>
      <c r="BE1406" t="s">
        <v>80</v>
      </c>
      <c r="BF1406">
        <v>24</v>
      </c>
      <c r="BG1406" t="s">
        <v>644</v>
      </c>
      <c r="BH1406" t="s">
        <v>31</v>
      </c>
      <c r="BI1406" t="s">
        <v>31</v>
      </c>
      <c r="BJ1406">
        <f t="shared" si="707"/>
        <v>2.1800000000000002</v>
      </c>
      <c r="BK1406" s="3">
        <f t="shared" si="706"/>
        <v>0.33845649360460484</v>
      </c>
      <c r="BL1406">
        <v>2</v>
      </c>
      <c r="BM1406" s="3">
        <f t="shared" si="700"/>
        <v>1.1152531468242628</v>
      </c>
      <c r="BN1406" t="s">
        <v>33</v>
      </c>
      <c r="BO1406" s="3">
        <f t="shared" si="695"/>
        <v>13.03926605504587</v>
      </c>
      <c r="BP1406" t="s">
        <v>33</v>
      </c>
      <c r="BQ1406" t="s">
        <v>33</v>
      </c>
      <c r="BR1406" t="s">
        <v>33</v>
      </c>
      <c r="BS1406" t="s">
        <v>33</v>
      </c>
      <c r="BT1406" t="s">
        <v>31</v>
      </c>
      <c r="BU1406" s="15" t="s">
        <v>655</v>
      </c>
      <c r="BV1406">
        <v>2003</v>
      </c>
      <c r="BW1406" t="s">
        <v>656</v>
      </c>
      <c r="BX1406" t="s">
        <v>78</v>
      </c>
      <c r="BY1406" s="13" t="s">
        <v>677</v>
      </c>
      <c r="CA1406" t="str">
        <f t="shared" si="696"/>
        <v>low acid</v>
      </c>
    </row>
    <row r="1407" spans="1:79">
      <c r="A1407" t="s">
        <v>325</v>
      </c>
      <c r="B1407" t="s">
        <v>565</v>
      </c>
      <c r="C1407" t="s">
        <v>563</v>
      </c>
      <c r="D1407" t="s">
        <v>304</v>
      </c>
      <c r="E1407" t="s">
        <v>77</v>
      </c>
      <c r="F1407" t="s">
        <v>32</v>
      </c>
      <c r="G1407">
        <v>30</v>
      </c>
      <c r="H1407">
        <v>32</v>
      </c>
      <c r="I1407" t="b">
        <v>1</v>
      </c>
      <c r="J1407">
        <v>12600</v>
      </c>
      <c r="K1407">
        <v>50.4</v>
      </c>
      <c r="L1407">
        <v>16.899999999999999</v>
      </c>
      <c r="M1407" s="4">
        <v>288</v>
      </c>
      <c r="N1407" s="3">
        <f>IFERROR(AF1407/((T1407*X1407/Y1407)*O1407*AI1407),"NA")</f>
        <v>291.26394814203059</v>
      </c>
      <c r="O1407">
        <v>5</v>
      </c>
      <c r="P1407">
        <v>2.4E-2</v>
      </c>
      <c r="Q1407" s="8">
        <f t="shared" si="709"/>
        <v>2.4305555555555559E-2</v>
      </c>
      <c r="R1407" t="s">
        <v>183</v>
      </c>
      <c r="S1407" t="s">
        <v>612</v>
      </c>
      <c r="T1407" s="11">
        <v>1</v>
      </c>
      <c r="U1407">
        <v>3.4</v>
      </c>
      <c r="V1407">
        <v>3</v>
      </c>
      <c r="W1407">
        <v>2.4E-2</v>
      </c>
      <c r="X1407" s="8">
        <f>IFERROR(((PI())*(((V1407*10^-1)/2)^2)*(U1407*10^-1)), "NA")</f>
        <v>2.4033183799961926E-2</v>
      </c>
      <c r="Y1407" s="6">
        <f>1</f>
        <v>1</v>
      </c>
      <c r="Z1407" s="3">
        <f t="shared" si="708"/>
        <v>0.98879384776986201</v>
      </c>
      <c r="AA1407">
        <v>6.9</v>
      </c>
      <c r="AB1407" s="6">
        <f t="shared" si="710"/>
        <v>7</v>
      </c>
      <c r="AC1407">
        <f t="shared" ref="AC1407:AC1419" si="711">IFERROR(M1407*P1407,"NA")</f>
        <v>6.9119999999999999</v>
      </c>
      <c r="AD1407" s="4">
        <f>IFERROR(AB1407*T1407*AI1407, "NA")</f>
        <v>7</v>
      </c>
      <c r="AE1407" s="3">
        <f t="shared" ref="AE1407:AE1419" si="712">IFERROR(((L1407^2)*M1407*O1407*AK1407*10^-6*Q1407*T1407*AI1407), "NA")</f>
        <v>9.9963499999999996</v>
      </c>
      <c r="AF1407">
        <v>35</v>
      </c>
      <c r="AG1407">
        <f>IFERROR((M1407*O1407*P1407), "NA")</f>
        <v>34.56</v>
      </c>
      <c r="AH1407">
        <f>IFERROR((AG1407*T1407*AI1407), "NA")</f>
        <v>34.56</v>
      </c>
      <c r="AI1407" s="11">
        <v>1</v>
      </c>
      <c r="AJ1407" t="s">
        <v>31</v>
      </c>
      <c r="AK1407">
        <v>1000</v>
      </c>
      <c r="AL1407" t="s">
        <v>169</v>
      </c>
      <c r="AM1407" t="s">
        <v>103</v>
      </c>
      <c r="AN1407" t="s">
        <v>305</v>
      </c>
      <c r="AO1407" t="s">
        <v>790</v>
      </c>
      <c r="AP1407">
        <v>4.5</v>
      </c>
      <c r="AQ1407" t="s">
        <v>33</v>
      </c>
      <c r="AR1407" t="s">
        <v>33</v>
      </c>
      <c r="AS1407" s="6">
        <f>LOG(3*10^7)</f>
        <v>7.4771212547196626</v>
      </c>
      <c r="AT1407" s="3">
        <f>IFERROR(AS1407-AU1407,"NA")</f>
        <v>6.8271212547196622</v>
      </c>
      <c r="AU1407" s="6">
        <v>0.65</v>
      </c>
      <c r="AV1407" t="b">
        <v>1</v>
      </c>
      <c r="AW1407" t="s">
        <v>123</v>
      </c>
      <c r="AX1407" t="s">
        <v>88</v>
      </c>
      <c r="AY1407" t="s">
        <v>306</v>
      </c>
      <c r="AZ1407" t="s">
        <v>33</v>
      </c>
      <c r="BA1407" s="18" t="s">
        <v>579</v>
      </c>
      <c r="BB1407" t="b">
        <v>1</v>
      </c>
      <c r="BC1407" t="s">
        <v>81</v>
      </c>
      <c r="BD1407">
        <v>48</v>
      </c>
      <c r="BE1407" t="s">
        <v>80</v>
      </c>
      <c r="BF1407" s="11">
        <v>120</v>
      </c>
      <c r="BG1407" t="s">
        <v>395</v>
      </c>
      <c r="BH1407" t="s">
        <v>31</v>
      </c>
      <c r="BI1407" t="s">
        <v>31</v>
      </c>
      <c r="BJ1407" s="3">
        <f t="shared" si="707"/>
        <v>0.65</v>
      </c>
      <c r="BK1407" s="3">
        <f t="shared" si="706"/>
        <v>-0.18708664335714442</v>
      </c>
      <c r="BL1407">
        <v>2</v>
      </c>
      <c r="BM1407" s="3">
        <f t="shared" si="700"/>
        <v>1.1869280969347671</v>
      </c>
      <c r="BN1407" t="s">
        <v>33</v>
      </c>
      <c r="BO1407" s="3">
        <f t="shared" si="695"/>
        <v>15.379</v>
      </c>
      <c r="BP1407" t="s">
        <v>33</v>
      </c>
      <c r="BQ1407" t="s">
        <v>33</v>
      </c>
      <c r="BR1407" t="s">
        <v>33</v>
      </c>
      <c r="BS1407" t="s">
        <v>33</v>
      </c>
      <c r="BT1407" t="s">
        <v>32</v>
      </c>
      <c r="BU1407" t="s">
        <v>323</v>
      </c>
      <c r="BV1407">
        <v>2003</v>
      </c>
      <c r="BW1407" s="2" t="s">
        <v>322</v>
      </c>
      <c r="BX1407" t="s">
        <v>78</v>
      </c>
      <c r="BY1407" t="s">
        <v>33</v>
      </c>
      <c r="BZ1407" t="s">
        <v>33</v>
      </c>
      <c r="CA1407" t="str">
        <f t="shared" si="696"/>
        <v>high acid</v>
      </c>
    </row>
    <row r="1408" spans="1:79">
      <c r="A1408" t="s">
        <v>600</v>
      </c>
      <c r="B1408" t="s">
        <v>566</v>
      </c>
      <c r="C1408" t="s">
        <v>563</v>
      </c>
      <c r="D1408" t="s">
        <v>33</v>
      </c>
      <c r="E1408" t="s">
        <v>77</v>
      </c>
      <c r="F1408" t="s">
        <v>33</v>
      </c>
      <c r="G1408" t="s">
        <v>33</v>
      </c>
      <c r="H1408">
        <v>35</v>
      </c>
      <c r="I1408" t="b">
        <v>0</v>
      </c>
      <c r="J1408" t="s">
        <v>33</v>
      </c>
      <c r="K1408" t="s">
        <v>33</v>
      </c>
      <c r="L1408">
        <v>28</v>
      </c>
      <c r="M1408" s="4">
        <v>1</v>
      </c>
      <c r="N1408" t="e">
        <f>(#REF!*Y1408)/(T1408*X1408*O1408)</f>
        <v>#REF!</v>
      </c>
      <c r="O1408">
        <v>2</v>
      </c>
      <c r="P1408" t="s">
        <v>33</v>
      </c>
      <c r="Q1408" s="1">
        <f t="shared" si="709"/>
        <v>9.68</v>
      </c>
      <c r="R1408" t="s">
        <v>183</v>
      </c>
      <c r="S1408" t="s">
        <v>33</v>
      </c>
      <c r="T1408">
        <v>1</v>
      </c>
      <c r="U1408">
        <v>2.5</v>
      </c>
      <c r="V1408" t="s">
        <v>33</v>
      </c>
      <c r="W1408">
        <v>0.50249999999999995</v>
      </c>
      <c r="X1408">
        <f>W1408</f>
        <v>0.50249999999999995</v>
      </c>
      <c r="Y1408" t="s">
        <v>33</v>
      </c>
      <c r="Z1408" s="3">
        <f t="shared" si="708"/>
        <v>5.1911157024793382E-2</v>
      </c>
      <c r="AA1408" t="s">
        <v>33</v>
      </c>
      <c r="AB1408">
        <f t="shared" si="710"/>
        <v>9.68</v>
      </c>
      <c r="AC1408" s="1" t="str">
        <f t="shared" si="711"/>
        <v>NA</v>
      </c>
      <c r="AE1408" s="3">
        <f t="shared" si="712"/>
        <v>30.356479999999998</v>
      </c>
      <c r="AF1408">
        <v>19.36</v>
      </c>
      <c r="AG1408" s="1" t="str">
        <f>IFERROR((N1408*P1408*Q1408), "NA")</f>
        <v>NA</v>
      </c>
      <c r="AH1408" s="1" t="str">
        <f>IFERROR((AG1408*U1408*AI1408), "NA")</f>
        <v>NA</v>
      </c>
      <c r="AI1408" s="1">
        <v>1</v>
      </c>
      <c r="AJ1408" s="11" t="s">
        <v>31</v>
      </c>
      <c r="AK1408">
        <v>2000</v>
      </c>
      <c r="AL1408" t="s">
        <v>784</v>
      </c>
      <c r="AM1408" s="3" t="s">
        <v>103</v>
      </c>
      <c r="AN1408" t="s">
        <v>130</v>
      </c>
      <c r="AO1408" t="s">
        <v>795</v>
      </c>
      <c r="AP1408">
        <v>7</v>
      </c>
      <c r="AQ1408" t="s">
        <v>33</v>
      </c>
      <c r="AR1408" t="s">
        <v>33</v>
      </c>
      <c r="AS1408">
        <v>8</v>
      </c>
      <c r="AT1408">
        <f>AS1408-AU1408</f>
        <v>6.83</v>
      </c>
      <c r="AU1408" s="6">
        <v>1.17</v>
      </c>
      <c r="AV1408" t="b">
        <v>1</v>
      </c>
      <c r="AW1408" t="s">
        <v>626</v>
      </c>
      <c r="AX1408" t="s">
        <v>627</v>
      </c>
      <c r="AY1408" t="s">
        <v>640</v>
      </c>
      <c r="AZ1408" t="s">
        <v>33</v>
      </c>
      <c r="BA1408" s="18" t="s">
        <v>800</v>
      </c>
      <c r="BB1408" s="3" t="b">
        <v>0</v>
      </c>
      <c r="BC1408" t="s">
        <v>81</v>
      </c>
      <c r="BD1408">
        <f>AVERAGE(24,30)</f>
        <v>27</v>
      </c>
      <c r="BE1408" t="s">
        <v>80</v>
      </c>
      <c r="BF1408">
        <v>24</v>
      </c>
      <c r="BG1408" t="s">
        <v>568</v>
      </c>
      <c r="BH1408" t="s">
        <v>31</v>
      </c>
      <c r="BI1408" t="s">
        <v>31</v>
      </c>
      <c r="BJ1408" s="3">
        <f t="shared" si="707"/>
        <v>1.17</v>
      </c>
      <c r="BK1408" s="3">
        <f t="shared" si="706"/>
        <v>6.8185861746161619E-2</v>
      </c>
      <c r="BL1408">
        <v>2</v>
      </c>
      <c r="BM1408" s="3">
        <f t="shared" si="700"/>
        <v>1.4140655495746328</v>
      </c>
      <c r="BN1408" t="s">
        <v>33</v>
      </c>
      <c r="BO1408" s="3">
        <f t="shared" si="695"/>
        <v>25.945709401709401</v>
      </c>
      <c r="BP1408" t="s">
        <v>33</v>
      </c>
      <c r="BQ1408" t="s">
        <v>33</v>
      </c>
      <c r="BR1408" t="s">
        <v>33</v>
      </c>
      <c r="BS1408" t="s">
        <v>33</v>
      </c>
      <c r="BT1408" t="s">
        <v>31</v>
      </c>
      <c r="BU1408" t="s">
        <v>666</v>
      </c>
      <c r="BV1408" s="14">
        <v>2006</v>
      </c>
      <c r="BW1408" t="s">
        <v>667</v>
      </c>
      <c r="BX1408" t="s">
        <v>78</v>
      </c>
      <c r="BY1408" s="13" t="s">
        <v>688</v>
      </c>
      <c r="CA1408" t="str">
        <f t="shared" si="696"/>
        <v>low acid</v>
      </c>
    </row>
    <row r="1409" spans="1:79">
      <c r="A1409" t="s">
        <v>599</v>
      </c>
      <c r="B1409" t="s">
        <v>565</v>
      </c>
      <c r="C1409" t="s">
        <v>563</v>
      </c>
      <c r="D1409" t="s">
        <v>118</v>
      </c>
      <c r="E1409" t="s">
        <v>77</v>
      </c>
      <c r="F1409" t="s">
        <v>32</v>
      </c>
      <c r="G1409" t="s">
        <v>33</v>
      </c>
      <c r="H1409" t="s">
        <v>33</v>
      </c>
      <c r="I1409" t="b">
        <v>0</v>
      </c>
      <c r="J1409" t="s">
        <v>33</v>
      </c>
      <c r="K1409" t="s">
        <v>33</v>
      </c>
      <c r="L1409">
        <v>17</v>
      </c>
      <c r="M1409" s="4">
        <v>500</v>
      </c>
      <c r="N1409" t="e">
        <f>(#REF!*Y1409)/(T1409*X1409*O1409)</f>
        <v>#REF!</v>
      </c>
      <c r="O1409">
        <v>3</v>
      </c>
      <c r="P1409" t="s">
        <v>33</v>
      </c>
      <c r="Q1409" s="1">
        <f t="shared" si="709"/>
        <v>7.3333333333333332E-3</v>
      </c>
      <c r="R1409" t="s">
        <v>183</v>
      </c>
      <c r="S1409" t="s">
        <v>613</v>
      </c>
      <c r="T1409">
        <v>6</v>
      </c>
      <c r="U1409">
        <v>2.2999999999999998</v>
      </c>
      <c r="V1409">
        <v>2.9</v>
      </c>
      <c r="W1409">
        <v>0.36420000000000002</v>
      </c>
      <c r="X1409">
        <f>IFERROR(((PI())*(((V1409*10^-1)/2)^2)*(U1409*10^-1)), "NA")</f>
        <v>1.519195667459684E-2</v>
      </c>
      <c r="Y1409">
        <v>0.83333299999999999</v>
      </c>
      <c r="Z1409" s="3">
        <f t="shared" si="708"/>
        <v>2.0716304556268419</v>
      </c>
      <c r="AA1409" t="s">
        <v>33</v>
      </c>
      <c r="AB1409">
        <f t="shared" si="710"/>
        <v>3.6666666666666665</v>
      </c>
      <c r="AC1409" s="1" t="str">
        <f t="shared" si="711"/>
        <v>NA</v>
      </c>
      <c r="AE1409" s="3">
        <f t="shared" si="712"/>
        <v>69.429359999999988</v>
      </c>
      <c r="AF1409">
        <v>66</v>
      </c>
      <c r="AG1409" s="1" t="str">
        <f>IFERROR((N1409*P1409*Q1409), "NA")</f>
        <v>NA</v>
      </c>
      <c r="AH1409" s="1" t="str">
        <f>IFERROR((AG1409*U1409*AI1409), "NA")</f>
        <v>NA</v>
      </c>
      <c r="AI1409" s="1">
        <v>1</v>
      </c>
      <c r="AJ1409" s="11" t="s">
        <v>31</v>
      </c>
      <c r="AK1409">
        <f>3.64*10^3</f>
        <v>3640</v>
      </c>
      <c r="AL1409" t="s">
        <v>145</v>
      </c>
      <c r="AM1409" t="s">
        <v>86</v>
      </c>
      <c r="AN1409" t="s">
        <v>205</v>
      </c>
      <c r="AO1409" t="s">
        <v>789</v>
      </c>
      <c r="AP1409">
        <v>3.19</v>
      </c>
      <c r="AQ1409" t="s">
        <v>33</v>
      </c>
      <c r="AR1409" t="s">
        <v>33</v>
      </c>
      <c r="AS1409">
        <v>7.36</v>
      </c>
      <c r="AT1409">
        <v>6.83</v>
      </c>
      <c r="AU1409" s="6">
        <f>AS1409-AT1409</f>
        <v>0.53000000000000025</v>
      </c>
      <c r="AV1409" t="b">
        <v>1</v>
      </c>
      <c r="AW1409" t="s">
        <v>632</v>
      </c>
      <c r="AX1409" t="s">
        <v>639</v>
      </c>
      <c r="AY1409" t="s">
        <v>33</v>
      </c>
      <c r="AZ1409" t="s">
        <v>33</v>
      </c>
      <c r="BA1409" s="18" t="s">
        <v>803</v>
      </c>
      <c r="BB1409" s="3" t="b">
        <v>0</v>
      </c>
      <c r="BC1409" t="s">
        <v>81</v>
      </c>
      <c r="BD1409">
        <f>AVERAGE(24,48)</f>
        <v>36</v>
      </c>
      <c r="BE1409" t="s">
        <v>80</v>
      </c>
      <c r="BF1409">
        <v>48</v>
      </c>
      <c r="BG1409" t="s">
        <v>647</v>
      </c>
      <c r="BH1409" t="s">
        <v>31</v>
      </c>
      <c r="BI1409" t="s">
        <v>31</v>
      </c>
      <c r="BJ1409" s="3">
        <f t="shared" si="707"/>
        <v>0.53000000000000025</v>
      </c>
      <c r="BK1409" s="3">
        <f t="shared" si="706"/>
        <v>-0.27572413039921073</v>
      </c>
      <c r="BL1409">
        <v>2</v>
      </c>
      <c r="BM1409" s="3">
        <f t="shared" si="700"/>
        <v>2.1172672923466833</v>
      </c>
      <c r="BN1409" t="s">
        <v>33</v>
      </c>
      <c r="BO1409" s="3">
        <f t="shared" si="695"/>
        <v>130.99879245283012</v>
      </c>
      <c r="BP1409" t="s">
        <v>33</v>
      </c>
      <c r="BQ1409" t="s">
        <v>33</v>
      </c>
      <c r="BR1409" t="s">
        <v>33</v>
      </c>
      <c r="BS1409" t="s">
        <v>33</v>
      </c>
      <c r="BT1409" t="s">
        <v>31</v>
      </c>
      <c r="BU1409" s="13" t="s">
        <v>135</v>
      </c>
      <c r="BV1409" s="14">
        <v>2010</v>
      </c>
      <c r="BW1409" s="13" t="s">
        <v>140</v>
      </c>
      <c r="BX1409" t="s">
        <v>78</v>
      </c>
      <c r="BY1409" s="13" t="s">
        <v>687</v>
      </c>
      <c r="CA1409" t="str">
        <f t="shared" si="696"/>
        <v>high acid</v>
      </c>
    </row>
    <row r="1410" spans="1:79">
      <c r="A1410" t="s">
        <v>237</v>
      </c>
      <c r="B1410" t="s">
        <v>565</v>
      </c>
      <c r="C1410" t="s">
        <v>563</v>
      </c>
      <c r="D1410" t="s">
        <v>118</v>
      </c>
      <c r="E1410" t="s">
        <v>77</v>
      </c>
      <c r="F1410" t="s">
        <v>32</v>
      </c>
      <c r="G1410">
        <v>4</v>
      </c>
      <c r="H1410">
        <v>32.5</v>
      </c>
      <c r="I1410" t="b">
        <v>0</v>
      </c>
      <c r="J1410" t="s">
        <v>33</v>
      </c>
      <c r="K1410" t="s">
        <v>33</v>
      </c>
      <c r="L1410">
        <v>25</v>
      </c>
      <c r="M1410" s="4">
        <v>200</v>
      </c>
      <c r="N1410" s="3">
        <f>IFERROR(AF1410/((T1410*X1410/Y1410)*O1410*AI1410),"NA")</f>
        <v>386.37843216368935</v>
      </c>
      <c r="O1410">
        <v>4</v>
      </c>
      <c r="P1410" t="s">
        <v>33</v>
      </c>
      <c r="Q1410" s="9">
        <f t="shared" si="709"/>
        <v>2.3437499999999997E-2</v>
      </c>
      <c r="R1410" t="s">
        <v>183</v>
      </c>
      <c r="S1410" t="s">
        <v>613</v>
      </c>
      <c r="T1410" s="11">
        <v>8</v>
      </c>
      <c r="U1410">
        <v>2.92</v>
      </c>
      <c r="V1410">
        <v>2.2999999999999998</v>
      </c>
      <c r="W1410">
        <v>1.2E-2</v>
      </c>
      <c r="X1410" s="8">
        <f>IFERROR(((PI())*(((V1410*10^-1)/2)^2)*(U1410*10^-1)), "NA")</f>
        <v>1.2131888350367701E-2</v>
      </c>
      <c r="Y1410" s="6">
        <f>60/60</f>
        <v>1</v>
      </c>
      <c r="Z1410" s="3">
        <f t="shared" si="708"/>
        <v>0.5176272362823553</v>
      </c>
      <c r="AA1410" t="s">
        <v>33</v>
      </c>
      <c r="AB1410" s="6">
        <f t="shared" si="710"/>
        <v>4.6874999999999991</v>
      </c>
      <c r="AC1410" t="str">
        <f t="shared" si="711"/>
        <v>NA</v>
      </c>
      <c r="AD1410" s="4">
        <f>AB1410*T1410*AI1410</f>
        <v>37.499999999999993</v>
      </c>
      <c r="AE1410" s="3">
        <f t="shared" si="712"/>
        <v>397.49999999999994</v>
      </c>
      <c r="AF1410">
        <v>150</v>
      </c>
      <c r="AG1410" t="str">
        <f>IFERROR((M1410*O1410*P1410), "NA")</f>
        <v>NA</v>
      </c>
      <c r="AH1410" t="str">
        <f>IFERROR((AG1410*T1410*AI1410), "NA")</f>
        <v>NA</v>
      </c>
      <c r="AI1410">
        <v>1</v>
      </c>
      <c r="AJ1410" t="s">
        <v>31</v>
      </c>
      <c r="AK1410">
        <v>4240</v>
      </c>
      <c r="AL1410" t="s">
        <v>238</v>
      </c>
      <c r="AM1410" t="s">
        <v>86</v>
      </c>
      <c r="AN1410" t="s">
        <v>205</v>
      </c>
      <c r="AO1410" t="s">
        <v>789</v>
      </c>
      <c r="AP1410">
        <v>3.56</v>
      </c>
      <c r="AQ1410" t="s">
        <v>33</v>
      </c>
      <c r="AR1410" t="s">
        <v>33</v>
      </c>
      <c r="AS1410">
        <f>LOG(10^8)</f>
        <v>8</v>
      </c>
      <c r="AT1410" s="3">
        <f>IFERROR(AS1410-AU1410,"NA")</f>
        <v>6.83</v>
      </c>
      <c r="AU1410" s="6">
        <v>1.17</v>
      </c>
      <c r="AV1410" t="b">
        <v>1</v>
      </c>
      <c r="AW1410" t="s">
        <v>172</v>
      </c>
      <c r="AX1410" t="s">
        <v>173</v>
      </c>
      <c r="AY1410" t="s">
        <v>239</v>
      </c>
      <c r="AZ1410" t="s">
        <v>33</v>
      </c>
      <c r="BA1410" s="18" t="s">
        <v>799</v>
      </c>
      <c r="BB1410" t="b">
        <v>0</v>
      </c>
      <c r="BC1410" t="s">
        <v>81</v>
      </c>
      <c r="BD1410">
        <v>48</v>
      </c>
      <c r="BE1410" t="s">
        <v>80</v>
      </c>
      <c r="BF1410" s="11">
        <v>120</v>
      </c>
      <c r="BG1410" t="s">
        <v>571</v>
      </c>
      <c r="BH1410" t="s">
        <v>31</v>
      </c>
      <c r="BI1410" t="s">
        <v>31</v>
      </c>
      <c r="BJ1410" s="3">
        <f t="shared" si="707"/>
        <v>1.17</v>
      </c>
      <c r="BK1410" s="3">
        <f t="shared" si="706"/>
        <v>6.8185861746161619E-2</v>
      </c>
      <c r="BL1410">
        <v>2</v>
      </c>
      <c r="BM1410" s="3">
        <f t="shared" si="700"/>
        <v>2.5311512712463275</v>
      </c>
      <c r="BN1410" t="s">
        <v>33</v>
      </c>
      <c r="BO1410" s="3">
        <f t="shared" ref="BO1410:BO1473" si="713">IFERROR((AE1410/BJ1410),"NA")</f>
        <v>339.74358974358972</v>
      </c>
      <c r="BP1410" t="s">
        <v>33</v>
      </c>
      <c r="BQ1410" t="s">
        <v>33</v>
      </c>
      <c r="BR1410" t="s">
        <v>33</v>
      </c>
      <c r="BS1410" t="s">
        <v>33</v>
      </c>
      <c r="BT1410" t="s">
        <v>31</v>
      </c>
      <c r="BU1410" t="s">
        <v>240</v>
      </c>
      <c r="BV1410">
        <v>2004</v>
      </c>
      <c r="BW1410" t="s">
        <v>241</v>
      </c>
      <c r="BX1410" t="s">
        <v>78</v>
      </c>
      <c r="BY1410" t="s">
        <v>33</v>
      </c>
      <c r="BZ1410" t="s">
        <v>33</v>
      </c>
      <c r="CA1410" t="str">
        <f t="shared" si="696"/>
        <v>high acid</v>
      </c>
    </row>
    <row r="1411" spans="1:79">
      <c r="A1411" t="s">
        <v>592</v>
      </c>
      <c r="B1411" t="s">
        <v>566</v>
      </c>
      <c r="C1411" t="s">
        <v>563</v>
      </c>
      <c r="D1411" t="s">
        <v>607</v>
      </c>
      <c r="E1411" t="s">
        <v>77</v>
      </c>
      <c r="F1411" t="s">
        <v>32</v>
      </c>
      <c r="G1411" t="s">
        <v>33</v>
      </c>
      <c r="H1411">
        <v>35</v>
      </c>
      <c r="I1411" t="b">
        <v>0</v>
      </c>
      <c r="J1411">
        <v>30000</v>
      </c>
      <c r="K1411">
        <v>200</v>
      </c>
      <c r="L1411">
        <v>15</v>
      </c>
      <c r="M1411" s="4">
        <v>1</v>
      </c>
      <c r="N1411" t="e">
        <f>(#REF!*Y1411)/(T1411*X1411*O1411)</f>
        <v>#REF!</v>
      </c>
      <c r="O1411">
        <v>3</v>
      </c>
      <c r="P1411" t="s">
        <v>33</v>
      </c>
      <c r="Q1411" s="1">
        <f t="shared" si="709"/>
        <v>100.68333333333335</v>
      </c>
      <c r="R1411" t="s">
        <v>183</v>
      </c>
      <c r="S1411" t="s">
        <v>33</v>
      </c>
      <c r="T1411">
        <v>1</v>
      </c>
      <c r="U1411">
        <v>2.5</v>
      </c>
      <c r="V1411" t="s">
        <v>33</v>
      </c>
      <c r="W1411">
        <v>0.50249999999999995</v>
      </c>
      <c r="X1411">
        <f t="shared" ref="X1411:X1416" si="714">W1411</f>
        <v>0.50249999999999995</v>
      </c>
      <c r="Y1411" t="s">
        <v>33</v>
      </c>
      <c r="Z1411" s="3">
        <f t="shared" si="708"/>
        <v>4.9908955470948507E-3</v>
      </c>
      <c r="AA1411" t="s">
        <v>33</v>
      </c>
      <c r="AB1411">
        <f t="shared" si="710"/>
        <v>100.68333333333335</v>
      </c>
      <c r="AC1411" s="1" t="str">
        <f t="shared" si="711"/>
        <v>NA</v>
      </c>
      <c r="AE1411" s="3">
        <f t="shared" si="712"/>
        <v>67.961250000000007</v>
      </c>
      <c r="AF1411">
        <v>302.05</v>
      </c>
      <c r="AG1411" s="1" t="str">
        <f>IFERROR((N1411*P1411*Q1411), "NA")</f>
        <v>NA</v>
      </c>
      <c r="AH1411" s="1" t="str">
        <f>IFERROR((AG1411*U1411*AI1411), "NA")</f>
        <v>NA</v>
      </c>
      <c r="AI1411" s="1">
        <v>1</v>
      </c>
      <c r="AJ1411" s="11" t="s">
        <v>31</v>
      </c>
      <c r="AK1411">
        <v>1000</v>
      </c>
      <c r="AL1411" t="s">
        <v>614</v>
      </c>
      <c r="AM1411" s="3" t="s">
        <v>103</v>
      </c>
      <c r="AN1411" t="s">
        <v>305</v>
      </c>
      <c r="AO1411" t="s">
        <v>790</v>
      </c>
      <c r="AP1411">
        <v>3.5</v>
      </c>
      <c r="AQ1411" t="s">
        <v>33</v>
      </c>
      <c r="AR1411" t="s">
        <v>33</v>
      </c>
      <c r="AS1411">
        <v>8</v>
      </c>
      <c r="AT1411">
        <f>AS1411-AU1411</f>
        <v>6.84</v>
      </c>
      <c r="AU1411" s="6">
        <v>1.1599999999999999</v>
      </c>
      <c r="AV1411" t="b">
        <v>1</v>
      </c>
      <c r="AW1411" t="s">
        <v>626</v>
      </c>
      <c r="AX1411" t="s">
        <v>627</v>
      </c>
      <c r="AY1411" t="s">
        <v>633</v>
      </c>
      <c r="AZ1411" t="s">
        <v>33</v>
      </c>
      <c r="BA1411" s="18" t="s">
        <v>800</v>
      </c>
      <c r="BB1411" s="3" t="b">
        <v>0</v>
      </c>
      <c r="BC1411" t="s">
        <v>81</v>
      </c>
      <c r="BD1411">
        <v>24</v>
      </c>
      <c r="BE1411" t="s">
        <v>80</v>
      </c>
      <c r="BF1411">
        <v>48</v>
      </c>
      <c r="BG1411" t="s">
        <v>569</v>
      </c>
      <c r="BH1411" t="s">
        <v>31</v>
      </c>
      <c r="BI1411" t="s">
        <v>31</v>
      </c>
      <c r="BJ1411">
        <f t="shared" si="707"/>
        <v>1.1599999999999999</v>
      </c>
      <c r="BK1411" s="3">
        <f t="shared" si="706"/>
        <v>6.445798922691845E-2</v>
      </c>
      <c r="BL1411">
        <v>2</v>
      </c>
      <c r="BM1411" s="3">
        <f t="shared" si="700"/>
        <v>1.7678033689499293</v>
      </c>
      <c r="BN1411" t="s">
        <v>33</v>
      </c>
      <c r="BO1411" s="3">
        <f t="shared" si="713"/>
        <v>58.587284482758633</v>
      </c>
      <c r="BP1411" t="s">
        <v>33</v>
      </c>
      <c r="BQ1411" t="s">
        <v>33</v>
      </c>
      <c r="BR1411" t="s">
        <v>33</v>
      </c>
      <c r="BS1411" t="s">
        <v>33</v>
      </c>
      <c r="BT1411" t="s">
        <v>31</v>
      </c>
      <c r="BU1411" s="15" t="s">
        <v>255</v>
      </c>
      <c r="BV1411">
        <v>2010</v>
      </c>
      <c r="BW1411" t="s">
        <v>659</v>
      </c>
      <c r="BX1411" t="s">
        <v>78</v>
      </c>
      <c r="BY1411" s="13" t="s">
        <v>680</v>
      </c>
      <c r="CA1411" t="str">
        <f t="shared" ref="CA1411:CA1474" si="715">IF(OR(AN1411="low acidic liquid medium", AN1411="low acidic food product"), "low acid",
    IF(OR(AN1411="high acidic food product", AN1411="high acidic liquid medium"), "high acid", "NA"))</f>
        <v>high acid</v>
      </c>
    </row>
    <row r="1412" spans="1:79">
      <c r="A1412" t="s">
        <v>597</v>
      </c>
      <c r="B1412" t="s">
        <v>565</v>
      </c>
      <c r="C1412" t="s">
        <v>563</v>
      </c>
      <c r="D1412" t="s">
        <v>33</v>
      </c>
      <c r="E1412" t="s">
        <v>77</v>
      </c>
      <c r="F1412" t="s">
        <v>33</v>
      </c>
      <c r="G1412">
        <v>20</v>
      </c>
      <c r="H1412">
        <v>35</v>
      </c>
      <c r="I1412" t="b">
        <v>0</v>
      </c>
      <c r="J1412" t="s">
        <v>33</v>
      </c>
      <c r="K1412" t="s">
        <v>33</v>
      </c>
      <c r="L1412">
        <v>19</v>
      </c>
      <c r="M1412" s="4">
        <v>1</v>
      </c>
      <c r="N1412" t="e">
        <f>(#REF!*Y1412)/(T1412*X1412*O1412)</f>
        <v>#REF!</v>
      </c>
      <c r="O1412">
        <v>2</v>
      </c>
      <c r="P1412" t="s">
        <v>33</v>
      </c>
      <c r="Q1412" s="1">
        <f t="shared" si="709"/>
        <v>196.78500000000003</v>
      </c>
      <c r="R1412" t="s">
        <v>183</v>
      </c>
      <c r="S1412" t="s">
        <v>33</v>
      </c>
      <c r="T1412">
        <v>1</v>
      </c>
      <c r="U1412">
        <v>2.5</v>
      </c>
      <c r="V1412" t="s">
        <v>33</v>
      </c>
      <c r="W1412">
        <v>0.50249999999999995</v>
      </c>
      <c r="X1412">
        <f t="shared" si="714"/>
        <v>0.50249999999999995</v>
      </c>
      <c r="Y1412" t="s">
        <v>33</v>
      </c>
      <c r="Z1412" s="3">
        <f t="shared" si="708"/>
        <v>2.5535482887415195E-3</v>
      </c>
      <c r="AA1412" t="s">
        <v>33</v>
      </c>
      <c r="AB1412">
        <f t="shared" si="710"/>
        <v>196.78500000000003</v>
      </c>
      <c r="AC1412" s="1" t="str">
        <f t="shared" si="711"/>
        <v>NA</v>
      </c>
      <c r="AE1412" s="3">
        <f t="shared" si="712"/>
        <v>284.15754000000004</v>
      </c>
      <c r="AF1412">
        <v>393.57</v>
      </c>
      <c r="AG1412" s="1" t="str">
        <f>IFERROR((N1412*P1412*Q1412), "NA")</f>
        <v>NA</v>
      </c>
      <c r="AH1412" s="1" t="str">
        <f>IFERROR((AG1412*U1412*AI1412), "NA")</f>
        <v>NA</v>
      </c>
      <c r="AI1412" s="1">
        <v>1</v>
      </c>
      <c r="AJ1412" s="11" t="s">
        <v>31</v>
      </c>
      <c r="AK1412">
        <v>2000</v>
      </c>
      <c r="AL1412" t="s">
        <v>784</v>
      </c>
      <c r="AM1412" s="3" t="s">
        <v>103</v>
      </c>
      <c r="AN1412" t="s">
        <v>130</v>
      </c>
      <c r="AO1412" t="s">
        <v>795</v>
      </c>
      <c r="AP1412">
        <v>7</v>
      </c>
      <c r="AQ1412" t="s">
        <v>33</v>
      </c>
      <c r="AR1412" t="s">
        <v>33</v>
      </c>
      <c r="AS1412">
        <v>9</v>
      </c>
      <c r="AT1412">
        <f>AS1412-AU1412</f>
        <v>6.84</v>
      </c>
      <c r="AU1412" s="6">
        <v>2.16</v>
      </c>
      <c r="AV1412" t="b">
        <v>1</v>
      </c>
      <c r="AW1412" t="s">
        <v>617</v>
      </c>
      <c r="AX1412" t="s">
        <v>635</v>
      </c>
      <c r="AY1412" t="s">
        <v>636</v>
      </c>
      <c r="AZ1412" t="s">
        <v>33</v>
      </c>
      <c r="BA1412" s="18" t="s">
        <v>802</v>
      </c>
      <c r="BB1412" s="3" t="b">
        <v>0</v>
      </c>
      <c r="BC1412" t="s">
        <v>81</v>
      </c>
      <c r="BD1412">
        <v>24</v>
      </c>
      <c r="BE1412" t="s">
        <v>80</v>
      </c>
      <c r="BF1412">
        <v>24</v>
      </c>
      <c r="BG1412" t="s">
        <v>644</v>
      </c>
      <c r="BH1412" t="s">
        <v>31</v>
      </c>
      <c r="BI1412" t="s">
        <v>31</v>
      </c>
      <c r="BJ1412">
        <f t="shared" si="707"/>
        <v>2.16</v>
      </c>
      <c r="BK1412" s="3">
        <f t="shared" si="706"/>
        <v>0.3344537511509309</v>
      </c>
      <c r="BL1412">
        <v>2</v>
      </c>
      <c r="BM1412" s="3">
        <f t="shared" si="700"/>
        <v>2.1191054332028902</v>
      </c>
      <c r="BN1412" t="s">
        <v>33</v>
      </c>
      <c r="BO1412" s="3">
        <f t="shared" si="713"/>
        <v>131.55441666666667</v>
      </c>
      <c r="BP1412" t="s">
        <v>33</v>
      </c>
      <c r="BQ1412" t="s">
        <v>33</v>
      </c>
      <c r="BR1412" t="s">
        <v>33</v>
      </c>
      <c r="BS1412" t="s">
        <v>33</v>
      </c>
      <c r="BT1412" t="s">
        <v>31</v>
      </c>
      <c r="BU1412" t="s">
        <v>664</v>
      </c>
      <c r="BV1412">
        <v>2000</v>
      </c>
      <c r="BW1412" t="s">
        <v>665</v>
      </c>
      <c r="BX1412" t="s">
        <v>78</v>
      </c>
      <c r="BY1412" s="13" t="s">
        <v>685</v>
      </c>
      <c r="CA1412" t="str">
        <f t="shared" si="715"/>
        <v>low acid</v>
      </c>
    </row>
    <row r="1413" spans="1:79">
      <c r="A1413" t="s">
        <v>733</v>
      </c>
      <c r="B1413" t="s">
        <v>566</v>
      </c>
      <c r="C1413" t="s">
        <v>563</v>
      </c>
      <c r="D1413" t="s">
        <v>699</v>
      </c>
      <c r="E1413" t="s">
        <v>77</v>
      </c>
      <c r="F1413" t="s">
        <v>32</v>
      </c>
      <c r="G1413">
        <v>20</v>
      </c>
      <c r="H1413">
        <v>42.5</v>
      </c>
      <c r="I1413" t="b">
        <v>1</v>
      </c>
      <c r="J1413" t="s">
        <v>33</v>
      </c>
      <c r="K1413" t="s">
        <v>33</v>
      </c>
      <c r="L1413">
        <v>20</v>
      </c>
      <c r="M1413" s="4">
        <v>47</v>
      </c>
      <c r="N1413" s="3">
        <f>IFERROR(AF1413/((T1413*X1413/Y1413)*O1413*AI1413),"NA")</f>
        <v>46.759259259259245</v>
      </c>
      <c r="O1413">
        <v>5</v>
      </c>
      <c r="P1413">
        <v>0.43</v>
      </c>
      <c r="Q1413" s="8">
        <f>IFERROR(X1413/Y1413, "NA")</f>
        <v>0.43200000000000011</v>
      </c>
      <c r="R1413" t="s">
        <v>183</v>
      </c>
      <c r="S1413" t="s">
        <v>612</v>
      </c>
      <c r="T1413" s="11">
        <v>1</v>
      </c>
      <c r="U1413">
        <v>4</v>
      </c>
      <c r="V1413" t="s">
        <v>33</v>
      </c>
      <c r="W1413">
        <f>0.4*3*0.5</f>
        <v>0.60000000000000009</v>
      </c>
      <c r="X1413" s="9">
        <f t="shared" si="714"/>
        <v>0.60000000000000009</v>
      </c>
      <c r="Y1413" s="6">
        <f>5000/3600</f>
        <v>1.3888888888888888</v>
      </c>
      <c r="Z1413" s="3">
        <f t="shared" si="708"/>
        <v>1.3960396039603959</v>
      </c>
      <c r="AA1413" t="s">
        <v>33</v>
      </c>
      <c r="AB1413" s="4">
        <f>IFERROR(((X1413*M1413)/Y1413), "NA")</f>
        <v>20.304000000000002</v>
      </c>
      <c r="AC1413" s="4">
        <f t="shared" si="711"/>
        <v>20.21</v>
      </c>
      <c r="AD1413" s="4">
        <f>AB1413*T1413*AI1413</f>
        <v>20.304000000000002</v>
      </c>
      <c r="AE1413" s="3">
        <f t="shared" si="712"/>
        <v>81.216000000000022</v>
      </c>
      <c r="AF1413">
        <v>101</v>
      </c>
      <c r="AG1413" s="4">
        <f>IFERROR((M1413*O1413*P1413), "NA")</f>
        <v>101.05</v>
      </c>
      <c r="AH1413" s="4">
        <f>IFERROR((AG1413*T1413*AI1413), "NA")</f>
        <v>101.05</v>
      </c>
      <c r="AI1413">
        <v>1</v>
      </c>
      <c r="AJ1413" s="11" t="s">
        <v>31</v>
      </c>
      <c r="AK1413">
        <v>2000</v>
      </c>
      <c r="AL1413" t="s">
        <v>784</v>
      </c>
      <c r="AM1413" t="s">
        <v>103</v>
      </c>
      <c r="AN1413" t="s">
        <v>130</v>
      </c>
      <c r="AO1413" t="s">
        <v>795</v>
      </c>
      <c r="AP1413">
        <v>7</v>
      </c>
      <c r="AQ1413" t="s">
        <v>33</v>
      </c>
      <c r="AR1413" t="s">
        <v>33</v>
      </c>
      <c r="AS1413" s="6">
        <f>LOG(AVERAGE(10^8, 10^9))</f>
        <v>8.7403626894942441</v>
      </c>
      <c r="AT1413" s="3">
        <f>IFERROR(AS1413-AU1413,"NA")</f>
        <v>6.8413626894942441</v>
      </c>
      <c r="AU1413" s="6">
        <v>1.899</v>
      </c>
      <c r="AV1413" t="b">
        <v>1</v>
      </c>
      <c r="AW1413" t="s">
        <v>172</v>
      </c>
      <c r="AX1413" t="s">
        <v>173</v>
      </c>
      <c r="AY1413">
        <v>106.0004</v>
      </c>
      <c r="AZ1413" t="s">
        <v>33</v>
      </c>
      <c r="BA1413" s="18" t="s">
        <v>799</v>
      </c>
      <c r="BB1413" s="3" t="b">
        <v>0</v>
      </c>
      <c r="BC1413" t="s">
        <v>81</v>
      </c>
      <c r="BD1413">
        <v>24</v>
      </c>
      <c r="BE1413" t="s">
        <v>80</v>
      </c>
      <c r="BF1413">
        <v>48</v>
      </c>
      <c r="BG1413" t="s">
        <v>734</v>
      </c>
      <c r="BH1413" t="s">
        <v>31</v>
      </c>
      <c r="BI1413" t="s">
        <v>31</v>
      </c>
      <c r="BJ1413" s="3">
        <f t="shared" si="707"/>
        <v>1.899</v>
      </c>
      <c r="BK1413" s="3">
        <f t="shared" si="706"/>
        <v>0.27852496473701754</v>
      </c>
      <c r="BL1413">
        <v>2</v>
      </c>
      <c r="BM1413" s="3">
        <f t="shared" si="700"/>
        <v>1.6311166313415746</v>
      </c>
      <c r="BN1413" t="s">
        <v>33</v>
      </c>
      <c r="BO1413" s="3">
        <f t="shared" si="713"/>
        <v>42.767772511848349</v>
      </c>
      <c r="BP1413" t="s">
        <v>33</v>
      </c>
      <c r="BQ1413" t="s">
        <v>33</v>
      </c>
      <c r="BR1413" t="s">
        <v>33</v>
      </c>
      <c r="BS1413" t="s">
        <v>33</v>
      </c>
      <c r="BT1413" t="s">
        <v>32</v>
      </c>
      <c r="BU1413" t="s">
        <v>709</v>
      </c>
      <c r="BV1413">
        <v>2024</v>
      </c>
      <c r="BW1413" t="s">
        <v>710</v>
      </c>
      <c r="BX1413" t="s">
        <v>78</v>
      </c>
      <c r="BY1413" t="s">
        <v>711</v>
      </c>
      <c r="CA1413" t="str">
        <f t="shared" si="715"/>
        <v>low acid</v>
      </c>
    </row>
    <row r="1414" spans="1:79">
      <c r="A1414" t="s">
        <v>712</v>
      </c>
      <c r="B1414" t="s">
        <v>566</v>
      </c>
      <c r="C1414" t="s">
        <v>563</v>
      </c>
      <c r="D1414" t="s">
        <v>699</v>
      </c>
      <c r="E1414" t="s">
        <v>77</v>
      </c>
      <c r="F1414" t="s">
        <v>32</v>
      </c>
      <c r="G1414">
        <v>20</v>
      </c>
      <c r="H1414">
        <v>64</v>
      </c>
      <c r="I1414" t="b">
        <v>1</v>
      </c>
      <c r="J1414" t="s">
        <v>33</v>
      </c>
      <c r="K1414" t="s">
        <v>33</v>
      </c>
      <c r="L1414">
        <v>20</v>
      </c>
      <c r="M1414" s="4">
        <v>64</v>
      </c>
      <c r="N1414" s="3">
        <f>IFERROR(AF1414/((T1414*X1414/Y1414)*O1414*AI1414),"NA")</f>
        <v>63.657407407407391</v>
      </c>
      <c r="O1414">
        <v>5</v>
      </c>
      <c r="P1414">
        <v>0.43</v>
      </c>
      <c r="Q1414" s="8">
        <f>IFERROR(X1414/Y1414, "NA")</f>
        <v>0.43200000000000011</v>
      </c>
      <c r="R1414" t="s">
        <v>183</v>
      </c>
      <c r="S1414" t="s">
        <v>612</v>
      </c>
      <c r="T1414" s="11">
        <v>1</v>
      </c>
      <c r="U1414">
        <v>4</v>
      </c>
      <c r="V1414" t="s">
        <v>33</v>
      </c>
      <c r="W1414">
        <f>0.4*3*0.5</f>
        <v>0.60000000000000009</v>
      </c>
      <c r="X1414" s="9">
        <f t="shared" si="714"/>
        <v>0.60000000000000009</v>
      </c>
      <c r="Y1414" s="6">
        <f>5000/3600</f>
        <v>1.3888888888888888</v>
      </c>
      <c r="Z1414" s="3">
        <f t="shared" si="708"/>
        <v>1.3963636363636365</v>
      </c>
      <c r="AA1414" t="s">
        <v>33</v>
      </c>
      <c r="AB1414" s="4">
        <f>IFERROR(((X1414*M1414)/Y1414), "NA")</f>
        <v>27.648000000000007</v>
      </c>
      <c r="AC1414" s="4">
        <f t="shared" si="711"/>
        <v>27.52</v>
      </c>
      <c r="AD1414" s="4">
        <f>AB1414*T1414*AI1414</f>
        <v>27.648000000000007</v>
      </c>
      <c r="AE1414" s="3">
        <f t="shared" si="712"/>
        <v>110.59200000000003</v>
      </c>
      <c r="AF1414">
        <v>137.5</v>
      </c>
      <c r="AG1414" s="4">
        <f>IFERROR((M1414*O1414*P1414), "NA")</f>
        <v>137.6</v>
      </c>
      <c r="AH1414" s="4">
        <f>IFERROR((AG1414*T1414*AI1414), "NA")</f>
        <v>137.6</v>
      </c>
      <c r="AI1414">
        <v>1</v>
      </c>
      <c r="AJ1414" s="11" t="s">
        <v>31</v>
      </c>
      <c r="AK1414">
        <v>2000</v>
      </c>
      <c r="AL1414" t="s">
        <v>784</v>
      </c>
      <c r="AM1414" t="s">
        <v>103</v>
      </c>
      <c r="AN1414" t="s">
        <v>130</v>
      </c>
      <c r="AO1414" t="s">
        <v>795</v>
      </c>
      <c r="AP1414">
        <v>7</v>
      </c>
      <c r="AQ1414" t="s">
        <v>33</v>
      </c>
      <c r="AR1414" t="s">
        <v>33</v>
      </c>
      <c r="AS1414" s="6">
        <f>LOG(AVERAGE(10^8, 10^9))</f>
        <v>8.7403626894942441</v>
      </c>
      <c r="AT1414" s="3">
        <f>IFERROR(AS1414-AU1414,"NA")</f>
        <v>6.8423626894942444</v>
      </c>
      <c r="AU1414" s="6">
        <v>1.8979999999999999</v>
      </c>
      <c r="AV1414" t="b">
        <v>1</v>
      </c>
      <c r="AW1414" t="s">
        <v>92</v>
      </c>
      <c r="AX1414" t="s">
        <v>93</v>
      </c>
      <c r="AY1414" t="s">
        <v>716</v>
      </c>
      <c r="AZ1414" t="s">
        <v>33</v>
      </c>
      <c r="BA1414" s="18" t="s">
        <v>801</v>
      </c>
      <c r="BB1414" s="3" t="b">
        <v>0</v>
      </c>
      <c r="BC1414" t="s">
        <v>81</v>
      </c>
      <c r="BD1414">
        <v>24</v>
      </c>
      <c r="BE1414" t="s">
        <v>80</v>
      </c>
      <c r="BF1414">
        <v>24</v>
      </c>
      <c r="BG1414" t="s">
        <v>568</v>
      </c>
      <c r="BH1414" t="s">
        <v>31</v>
      </c>
      <c r="BI1414" t="s">
        <v>31</v>
      </c>
      <c r="BJ1414" s="3">
        <f t="shared" si="707"/>
        <v>1.8979999999999999</v>
      </c>
      <c r="BK1414" s="3">
        <f t="shared" si="706"/>
        <v>0.27829620809127387</v>
      </c>
      <c r="BL1414">
        <v>2</v>
      </c>
      <c r="BM1414" s="3">
        <f t="shared" si="700"/>
        <v>1.7654275040354879</v>
      </c>
      <c r="BN1414" t="s">
        <v>33</v>
      </c>
      <c r="BO1414" s="3">
        <f t="shared" si="713"/>
        <v>58.267650158061137</v>
      </c>
      <c r="BP1414" t="s">
        <v>33</v>
      </c>
      <c r="BQ1414" t="s">
        <v>33</v>
      </c>
      <c r="BR1414" t="s">
        <v>33</v>
      </c>
      <c r="BS1414" t="s">
        <v>33</v>
      </c>
      <c r="BT1414" t="s">
        <v>32</v>
      </c>
      <c r="BU1414" t="s">
        <v>709</v>
      </c>
      <c r="BV1414">
        <v>2024</v>
      </c>
      <c r="BW1414" t="s">
        <v>710</v>
      </c>
      <c r="BX1414" t="s">
        <v>78</v>
      </c>
      <c r="BY1414" t="s">
        <v>711</v>
      </c>
      <c r="CA1414" t="str">
        <f t="shared" si="715"/>
        <v>low acid</v>
      </c>
    </row>
    <row r="1415" spans="1:79">
      <c r="A1415" t="s">
        <v>594</v>
      </c>
      <c r="B1415" t="s">
        <v>566</v>
      </c>
      <c r="C1415" t="s">
        <v>563</v>
      </c>
      <c r="D1415" t="s">
        <v>33</v>
      </c>
      <c r="E1415" t="s">
        <v>77</v>
      </c>
      <c r="F1415" t="s">
        <v>32</v>
      </c>
      <c r="G1415" t="s">
        <v>33</v>
      </c>
      <c r="H1415">
        <v>20</v>
      </c>
      <c r="I1415" t="b">
        <v>1</v>
      </c>
      <c r="J1415" t="s">
        <v>33</v>
      </c>
      <c r="K1415" t="s">
        <v>33</v>
      </c>
      <c r="L1415">
        <v>20</v>
      </c>
      <c r="M1415" s="4">
        <v>2</v>
      </c>
      <c r="N1415" t="e">
        <f>(#REF!*Y1415)/(T1415*X1415*O1415)</f>
        <v>#REF!</v>
      </c>
      <c r="O1415">
        <v>2</v>
      </c>
      <c r="P1415" t="s">
        <v>33</v>
      </c>
      <c r="Q1415" s="1">
        <f>IFERROR(X1415/Z1415, "NA")</f>
        <v>7.1</v>
      </c>
      <c r="R1415" t="s">
        <v>183</v>
      </c>
      <c r="S1415" t="s">
        <v>613</v>
      </c>
      <c r="T1415">
        <v>1</v>
      </c>
      <c r="U1415">
        <v>5</v>
      </c>
      <c r="V1415" t="s">
        <v>33</v>
      </c>
      <c r="W1415">
        <v>0.71</v>
      </c>
      <c r="X1415">
        <f t="shared" si="714"/>
        <v>0.71</v>
      </c>
      <c r="Y1415">
        <v>0.1</v>
      </c>
      <c r="Z1415" s="3">
        <f>Y1415</f>
        <v>0.1</v>
      </c>
      <c r="AA1415" s="3">
        <v>14.8409893992932</v>
      </c>
      <c r="AB1415">
        <f>IFERROR(((X1415*M1415)/Y1415), "NA")</f>
        <v>14.2</v>
      </c>
      <c r="AC1415" s="1" t="str">
        <f t="shared" si="711"/>
        <v>NA</v>
      </c>
      <c r="AE1415" s="3">
        <f t="shared" si="712"/>
        <v>290.81599999999997</v>
      </c>
      <c r="AF1415" t="s">
        <v>33</v>
      </c>
      <c r="AG1415" s="1">
        <f>IFERROR((M1415*O1415*Q1415), "NA")</f>
        <v>28.4</v>
      </c>
      <c r="AH1415" s="1">
        <f>IFERROR((AG1415*U1415*AI1415), "NA")</f>
        <v>568</v>
      </c>
      <c r="AI1415" s="1">
        <v>4</v>
      </c>
      <c r="AJ1415" s="11" t="s">
        <v>31</v>
      </c>
      <c r="AK1415">
        <f>AVERAGE(5100, 7700)</f>
        <v>6400</v>
      </c>
      <c r="AL1415" t="s">
        <v>561</v>
      </c>
      <c r="AM1415" s="3" t="s">
        <v>786</v>
      </c>
      <c r="AN1415" t="s">
        <v>186</v>
      </c>
      <c r="AO1415" t="s">
        <v>793</v>
      </c>
      <c r="AP1415" t="s">
        <v>33</v>
      </c>
      <c r="AQ1415" t="s">
        <v>33</v>
      </c>
      <c r="AR1415" t="s">
        <v>33</v>
      </c>
      <c r="AS1415">
        <v>8</v>
      </c>
      <c r="AT1415">
        <f>AS1415-AU1415</f>
        <v>6.85</v>
      </c>
      <c r="AU1415" s="6">
        <v>1.1499999999999999</v>
      </c>
      <c r="AV1415" t="b">
        <v>1</v>
      </c>
      <c r="AW1415" t="s">
        <v>617</v>
      </c>
      <c r="AX1415" t="s">
        <v>624</v>
      </c>
      <c r="AY1415" t="s">
        <v>622</v>
      </c>
      <c r="AZ1415" t="s">
        <v>33</v>
      </c>
      <c r="BA1415" s="18" t="s">
        <v>802</v>
      </c>
      <c r="BB1415" s="3" t="b">
        <v>0</v>
      </c>
      <c r="BC1415" t="s">
        <v>81</v>
      </c>
      <c r="BD1415">
        <v>18</v>
      </c>
      <c r="BE1415" t="s">
        <v>80</v>
      </c>
      <c r="BF1415">
        <v>24</v>
      </c>
      <c r="BG1415" t="s">
        <v>696</v>
      </c>
      <c r="BH1415" t="s">
        <v>32</v>
      </c>
      <c r="BI1415" t="s">
        <v>31</v>
      </c>
      <c r="BJ1415">
        <f t="shared" si="707"/>
        <v>1.1499999999999999</v>
      </c>
      <c r="BK1415" s="3">
        <f t="shared" si="706"/>
        <v>6.069784035361165E-2</v>
      </c>
      <c r="BL1415">
        <v>2</v>
      </c>
      <c r="BM1415" s="3">
        <f t="shared" si="700"/>
        <v>2.4029204563332378</v>
      </c>
      <c r="BN1415" t="s">
        <v>33</v>
      </c>
      <c r="BO1415" s="3">
        <f t="shared" si="713"/>
        <v>252.88347826086957</v>
      </c>
      <c r="BP1415" t="s">
        <v>33</v>
      </c>
      <c r="BQ1415" t="s">
        <v>33</v>
      </c>
      <c r="BR1415" t="s">
        <v>33</v>
      </c>
      <c r="BS1415" t="s">
        <v>33</v>
      </c>
      <c r="BT1415" t="s">
        <v>31</v>
      </c>
      <c r="BU1415" t="s">
        <v>338</v>
      </c>
      <c r="BV1415">
        <v>2006</v>
      </c>
      <c r="BW1415" t="s">
        <v>339</v>
      </c>
      <c r="BX1415" t="s">
        <v>78</v>
      </c>
      <c r="BY1415" s="13" t="s">
        <v>682</v>
      </c>
      <c r="CA1415" t="str">
        <f t="shared" si="715"/>
        <v>low acid</v>
      </c>
    </row>
    <row r="1416" spans="1:79">
      <c r="A1416" t="s">
        <v>600</v>
      </c>
      <c r="B1416" t="s">
        <v>566</v>
      </c>
      <c r="C1416" t="s">
        <v>563</v>
      </c>
      <c r="D1416" t="s">
        <v>33</v>
      </c>
      <c r="E1416" t="s">
        <v>77</v>
      </c>
      <c r="F1416" t="s">
        <v>33</v>
      </c>
      <c r="G1416" t="s">
        <v>33</v>
      </c>
      <c r="H1416">
        <v>35</v>
      </c>
      <c r="I1416" t="b">
        <v>0</v>
      </c>
      <c r="J1416" t="s">
        <v>33</v>
      </c>
      <c r="K1416" t="s">
        <v>33</v>
      </c>
      <c r="L1416">
        <v>22</v>
      </c>
      <c r="M1416" s="4">
        <v>1</v>
      </c>
      <c r="N1416" t="e">
        <f>(#REF!*Y1416)/(T1416*X1416*O1416)</f>
        <v>#REF!</v>
      </c>
      <c r="O1416">
        <v>2</v>
      </c>
      <c r="P1416" t="s">
        <v>33</v>
      </c>
      <c r="Q1416" s="1">
        <f>IFERROR(X1416/Z1416, "NA")</f>
        <v>25.55</v>
      </c>
      <c r="R1416" t="s">
        <v>183</v>
      </c>
      <c r="S1416" t="s">
        <v>33</v>
      </c>
      <c r="T1416">
        <v>1</v>
      </c>
      <c r="U1416">
        <v>2.5</v>
      </c>
      <c r="V1416" t="s">
        <v>33</v>
      </c>
      <c r="W1416">
        <v>0.50249999999999995</v>
      </c>
      <c r="X1416">
        <f t="shared" si="714"/>
        <v>0.50249999999999995</v>
      </c>
      <c r="Y1416" t="s">
        <v>33</v>
      </c>
      <c r="Z1416" s="3">
        <f>IFERROR(X1416*M1416*O1416*T1416*AI1416/AF1416, "NA")</f>
        <v>1.9667318982387473E-2</v>
      </c>
      <c r="AA1416" t="s">
        <v>33</v>
      </c>
      <c r="AB1416">
        <f>IFERROR(((X1416*M1416)/Z1416), "NA")</f>
        <v>25.55</v>
      </c>
      <c r="AC1416" s="1" t="str">
        <f t="shared" si="711"/>
        <v>NA</v>
      </c>
      <c r="AE1416" s="3">
        <f t="shared" si="712"/>
        <v>49.464799999999997</v>
      </c>
      <c r="AF1416">
        <v>51.1</v>
      </c>
      <c r="AG1416" s="1" t="str">
        <f>IFERROR((N1416*P1416*Q1416), "NA")</f>
        <v>NA</v>
      </c>
      <c r="AH1416" s="1" t="str">
        <f>IFERROR((AG1416*U1416*AI1416), "NA")</f>
        <v>NA</v>
      </c>
      <c r="AI1416" s="1">
        <v>1</v>
      </c>
      <c r="AJ1416" s="11" t="s">
        <v>31</v>
      </c>
      <c r="AK1416">
        <v>2000</v>
      </c>
      <c r="AL1416" t="s">
        <v>784</v>
      </c>
      <c r="AM1416" s="3" t="s">
        <v>103</v>
      </c>
      <c r="AN1416" t="s">
        <v>130</v>
      </c>
      <c r="AO1416" t="s">
        <v>795</v>
      </c>
      <c r="AP1416">
        <v>7</v>
      </c>
      <c r="AQ1416" t="s">
        <v>33</v>
      </c>
      <c r="AR1416" t="s">
        <v>33</v>
      </c>
      <c r="AS1416">
        <v>8</v>
      </c>
      <c r="AT1416">
        <f>AS1416-AU1416</f>
        <v>6.85</v>
      </c>
      <c r="AU1416" s="6">
        <v>1.1499999999999999</v>
      </c>
      <c r="AV1416" t="b">
        <v>1</v>
      </c>
      <c r="AW1416" t="s">
        <v>626</v>
      </c>
      <c r="AX1416" t="s">
        <v>627</v>
      </c>
      <c r="AY1416" t="s">
        <v>640</v>
      </c>
      <c r="AZ1416" t="s">
        <v>33</v>
      </c>
      <c r="BA1416" s="18" t="s">
        <v>800</v>
      </c>
      <c r="BB1416" s="3" t="b">
        <v>0</v>
      </c>
      <c r="BC1416" t="s">
        <v>81</v>
      </c>
      <c r="BD1416">
        <f>AVERAGE(24,30)</f>
        <v>27</v>
      </c>
      <c r="BE1416" t="s">
        <v>80</v>
      </c>
      <c r="BF1416">
        <v>24</v>
      </c>
      <c r="BG1416" t="s">
        <v>568</v>
      </c>
      <c r="BH1416" t="s">
        <v>31</v>
      </c>
      <c r="BI1416" t="s">
        <v>31</v>
      </c>
      <c r="BJ1416" s="3">
        <f t="shared" si="707"/>
        <v>1.1499999999999999</v>
      </c>
      <c r="BK1416" s="3">
        <f t="shared" si="706"/>
        <v>6.069784035361165E-2</v>
      </c>
      <c r="BL1416">
        <v>2</v>
      </c>
      <c r="BM1416" s="3">
        <f t="shared" si="700"/>
        <v>1.6335984170894948</v>
      </c>
      <c r="BN1416" t="s">
        <v>33</v>
      </c>
      <c r="BO1416" s="3">
        <f t="shared" si="713"/>
        <v>43.012869565217393</v>
      </c>
      <c r="BP1416" t="s">
        <v>33</v>
      </c>
      <c r="BQ1416" t="s">
        <v>33</v>
      </c>
      <c r="BR1416" t="s">
        <v>33</v>
      </c>
      <c r="BS1416" t="s">
        <v>33</v>
      </c>
      <c r="BT1416" t="s">
        <v>31</v>
      </c>
      <c r="BU1416" t="s">
        <v>666</v>
      </c>
      <c r="BV1416" s="14">
        <v>2006</v>
      </c>
      <c r="BW1416" t="s">
        <v>667</v>
      </c>
      <c r="BX1416" t="s">
        <v>78</v>
      </c>
      <c r="BY1416" s="13" t="s">
        <v>688</v>
      </c>
      <c r="CA1416" t="str">
        <f t="shared" si="715"/>
        <v>low acid</v>
      </c>
    </row>
    <row r="1417" spans="1:79">
      <c r="A1417" t="s">
        <v>587</v>
      </c>
      <c r="B1417" t="s">
        <v>565</v>
      </c>
      <c r="C1417" t="s">
        <v>563</v>
      </c>
      <c r="D1417" t="s">
        <v>118</v>
      </c>
      <c r="E1417" t="s">
        <v>77</v>
      </c>
      <c r="F1417" t="s">
        <v>32</v>
      </c>
      <c r="G1417">
        <v>20</v>
      </c>
      <c r="H1417">
        <v>20</v>
      </c>
      <c r="I1417" t="b">
        <v>1</v>
      </c>
      <c r="J1417" t="s">
        <v>33</v>
      </c>
      <c r="K1417" t="s">
        <v>33</v>
      </c>
      <c r="L1417">
        <v>30</v>
      </c>
      <c r="M1417" s="4">
        <v>100</v>
      </c>
      <c r="N1417" t="e">
        <f>(#REF!*Y1417)/(T1417*X1417*O1417)</f>
        <v>#REF!</v>
      </c>
      <c r="O1417">
        <v>2</v>
      </c>
      <c r="P1417" t="s">
        <v>33</v>
      </c>
      <c r="Q1417" s="1">
        <f>IFERROR(X1417/Z1417, "NA")</f>
        <v>0.16666666666666666</v>
      </c>
      <c r="R1417" t="s">
        <v>183</v>
      </c>
      <c r="S1417" t="s">
        <v>613</v>
      </c>
      <c r="T1417">
        <v>6</v>
      </c>
      <c r="U1417">
        <v>2.92</v>
      </c>
      <c r="V1417">
        <v>2.2999999999999998</v>
      </c>
      <c r="W1417" t="s">
        <v>33</v>
      </c>
      <c r="X1417">
        <f>IFERROR(((PI())*(((V1417*10^-1)/2)^2)*(U1417*10^-1)), "NA")</f>
        <v>1.2131888350367701E-2</v>
      </c>
      <c r="Y1417">
        <v>1.4</v>
      </c>
      <c r="Z1417" s="3">
        <f>IFERROR(X1417*M1417*O1417*T1417*AI1417/AF1417, "NA")</f>
        <v>7.2791330102206203E-2</v>
      </c>
      <c r="AA1417" t="s">
        <v>33</v>
      </c>
      <c r="AB1417">
        <f>IFERROR(((X1417*M1417)/Z1417), "NA")</f>
        <v>16.666666666666668</v>
      </c>
      <c r="AC1417" s="1" t="str">
        <f t="shared" si="711"/>
        <v>NA</v>
      </c>
      <c r="AE1417" s="3">
        <f t="shared" si="712"/>
        <v>1116</v>
      </c>
      <c r="AF1417">
        <v>200</v>
      </c>
      <c r="AG1417" s="1" t="str">
        <f>IFERROR((N1417*P1417*Q1417), "NA")</f>
        <v>NA</v>
      </c>
      <c r="AH1417" s="1" t="str">
        <f>IFERROR((AG1417*U1417*AI1417), "NA")</f>
        <v>NA</v>
      </c>
      <c r="AI1417" s="1">
        <v>1</v>
      </c>
      <c r="AJ1417" s="11" t="s">
        <v>31</v>
      </c>
      <c r="AK1417">
        <v>6200</v>
      </c>
      <c r="AL1417" t="s">
        <v>561</v>
      </c>
      <c r="AM1417" s="3" t="s">
        <v>786</v>
      </c>
      <c r="AN1417" t="s">
        <v>186</v>
      </c>
      <c r="AO1417" t="s">
        <v>793</v>
      </c>
      <c r="AP1417">
        <v>7.6</v>
      </c>
      <c r="AQ1417" t="s">
        <v>33</v>
      </c>
      <c r="AR1417" t="s">
        <v>33</v>
      </c>
      <c r="AS1417">
        <v>8</v>
      </c>
      <c r="AT1417">
        <f>AS1417-AU1417</f>
        <v>6.85</v>
      </c>
      <c r="AU1417" s="6">
        <v>1.1499999999999999</v>
      </c>
      <c r="AV1417" t="b">
        <v>1</v>
      </c>
      <c r="AW1417" t="s">
        <v>626</v>
      </c>
      <c r="AX1417" t="s">
        <v>627</v>
      </c>
      <c r="AY1417" t="s">
        <v>622</v>
      </c>
      <c r="AZ1417" t="s">
        <v>33</v>
      </c>
      <c r="BA1417" s="18" t="s">
        <v>800</v>
      </c>
      <c r="BB1417" s="3" t="b">
        <v>0</v>
      </c>
      <c r="BC1417" t="s">
        <v>81</v>
      </c>
      <c r="BD1417">
        <v>13</v>
      </c>
      <c r="BE1417" t="s">
        <v>80</v>
      </c>
      <c r="BF1417">
        <v>48</v>
      </c>
      <c r="BG1417" t="s">
        <v>568</v>
      </c>
      <c r="BH1417" t="s">
        <v>31</v>
      </c>
      <c r="BI1417" t="s">
        <v>31</v>
      </c>
      <c r="BJ1417">
        <f t="shared" si="707"/>
        <v>1.1499999999999999</v>
      </c>
      <c r="BK1417" s="3">
        <f t="shared" si="706"/>
        <v>6.069784035361165E-2</v>
      </c>
      <c r="BL1417">
        <v>2</v>
      </c>
      <c r="BM1417" s="3">
        <f t="shared" si="700"/>
        <v>2.9869663542479481</v>
      </c>
      <c r="BN1417" t="s">
        <v>33</v>
      </c>
      <c r="BO1417" s="3">
        <f t="shared" si="713"/>
        <v>970.43478260869574</v>
      </c>
      <c r="BP1417" t="s">
        <v>33</v>
      </c>
      <c r="BQ1417" t="s">
        <v>33</v>
      </c>
      <c r="BR1417" t="s">
        <v>33</v>
      </c>
      <c r="BS1417" t="s">
        <v>33</v>
      </c>
      <c r="BT1417" t="s">
        <v>31</v>
      </c>
      <c r="BU1417" t="s">
        <v>344</v>
      </c>
      <c r="BV1417">
        <v>2007</v>
      </c>
      <c r="BW1417" t="s">
        <v>345</v>
      </c>
      <c r="BX1417" t="s">
        <v>78</v>
      </c>
      <c r="BY1417" s="13" t="s">
        <v>676</v>
      </c>
      <c r="CA1417" t="str">
        <f t="shared" si="715"/>
        <v>low acid</v>
      </c>
    </row>
    <row r="1418" spans="1:79">
      <c r="A1418" t="s">
        <v>722</v>
      </c>
      <c r="B1418" t="s">
        <v>566</v>
      </c>
      <c r="C1418" t="s">
        <v>563</v>
      </c>
      <c r="D1418" t="s">
        <v>699</v>
      </c>
      <c r="E1418" t="s">
        <v>77</v>
      </c>
      <c r="F1418" t="s">
        <v>32</v>
      </c>
      <c r="G1418">
        <v>20</v>
      </c>
      <c r="H1418">
        <v>42.5</v>
      </c>
      <c r="I1418" t="b">
        <v>1</v>
      </c>
      <c r="J1418" t="s">
        <v>33</v>
      </c>
      <c r="K1418" t="s">
        <v>33</v>
      </c>
      <c r="L1418">
        <v>20</v>
      </c>
      <c r="M1418" s="4">
        <v>47</v>
      </c>
      <c r="N1418" s="3">
        <f>IFERROR(AF1418/((T1418*X1418/Y1418)*O1418*AI1418),"NA")</f>
        <v>46.759259259259245</v>
      </c>
      <c r="O1418">
        <v>5</v>
      </c>
      <c r="P1418">
        <v>0.43</v>
      </c>
      <c r="Q1418" s="8">
        <f>IFERROR(X1418/Y1418, "NA")</f>
        <v>0.43200000000000011</v>
      </c>
      <c r="R1418" t="s">
        <v>183</v>
      </c>
      <c r="S1418" t="s">
        <v>612</v>
      </c>
      <c r="T1418" s="11">
        <v>1</v>
      </c>
      <c r="U1418">
        <v>4</v>
      </c>
      <c r="V1418" t="s">
        <v>33</v>
      </c>
      <c r="W1418">
        <f>0.4*3*0.5</f>
        <v>0.60000000000000009</v>
      </c>
      <c r="X1418" s="9">
        <f>W1418</f>
        <v>0.60000000000000009</v>
      </c>
      <c r="Y1418" s="6">
        <f>5000/3600</f>
        <v>1.3888888888888888</v>
      </c>
      <c r="Z1418" s="3">
        <f>IFERROR(X1418*M1418*O1418*T1418*AI1418/AF1418, "NA")</f>
        <v>1.3960396039603959</v>
      </c>
      <c r="AA1418" t="s">
        <v>33</v>
      </c>
      <c r="AB1418" s="4">
        <f>IFERROR(((X1418*M1418)/Y1418), "NA")</f>
        <v>20.304000000000002</v>
      </c>
      <c r="AC1418" s="4">
        <f t="shared" si="711"/>
        <v>20.21</v>
      </c>
      <c r="AD1418" s="4">
        <f>AB1418*T1418*AI1418</f>
        <v>20.304000000000002</v>
      </c>
      <c r="AE1418" s="3">
        <f t="shared" si="712"/>
        <v>81.216000000000022</v>
      </c>
      <c r="AF1418">
        <v>101</v>
      </c>
      <c r="AG1418" s="4">
        <f>IFERROR((M1418*O1418*P1418), "NA")</f>
        <v>101.05</v>
      </c>
      <c r="AH1418" s="4">
        <f>IFERROR((AG1418*T1418*AI1418), "NA")</f>
        <v>101.05</v>
      </c>
      <c r="AI1418">
        <v>1</v>
      </c>
      <c r="AJ1418" s="11" t="s">
        <v>31</v>
      </c>
      <c r="AK1418">
        <v>2000</v>
      </c>
      <c r="AL1418" t="s">
        <v>784</v>
      </c>
      <c r="AM1418" t="s">
        <v>103</v>
      </c>
      <c r="AN1418" t="s">
        <v>130</v>
      </c>
      <c r="AO1418" t="s">
        <v>795</v>
      </c>
      <c r="AP1418">
        <v>7</v>
      </c>
      <c r="AQ1418" t="s">
        <v>33</v>
      </c>
      <c r="AR1418" t="s">
        <v>33</v>
      </c>
      <c r="AS1418" s="6">
        <f>LOG(AVERAGE(10^8, 10^9))</f>
        <v>8.7403626894942441</v>
      </c>
      <c r="AT1418" s="3">
        <f>IFERROR(AS1418-AU1418,"NA")</f>
        <v>6.8513626894942439</v>
      </c>
      <c r="AU1418" s="6">
        <v>1.889</v>
      </c>
      <c r="AV1418" t="b">
        <v>1</v>
      </c>
      <c r="AW1418" t="s">
        <v>123</v>
      </c>
      <c r="AX1418" t="s">
        <v>88</v>
      </c>
      <c r="AY1418" t="s">
        <v>725</v>
      </c>
      <c r="AZ1418" t="s">
        <v>33</v>
      </c>
      <c r="BA1418" s="18" t="s">
        <v>579</v>
      </c>
      <c r="BB1418" s="3" t="b">
        <v>1</v>
      </c>
      <c r="BC1418" t="s">
        <v>81</v>
      </c>
      <c r="BD1418">
        <v>24</v>
      </c>
      <c r="BE1418" t="s">
        <v>80</v>
      </c>
      <c r="BF1418">
        <v>48</v>
      </c>
      <c r="BG1418" t="s">
        <v>395</v>
      </c>
      <c r="BH1418" t="s">
        <v>31</v>
      </c>
      <c r="BI1418" t="s">
        <v>31</v>
      </c>
      <c r="BJ1418" s="3">
        <f t="shared" si="707"/>
        <v>1.889</v>
      </c>
      <c r="BK1418" s="3">
        <f t="shared" si="706"/>
        <v>0.27623195792183358</v>
      </c>
      <c r="BL1418">
        <v>2</v>
      </c>
      <c r="BM1418" s="3">
        <f t="shared" si="700"/>
        <v>1.6334096381567584</v>
      </c>
      <c r="BN1418" t="s">
        <v>33</v>
      </c>
      <c r="BO1418" s="3">
        <f t="shared" si="713"/>
        <v>42.994176813128654</v>
      </c>
      <c r="BP1418" t="s">
        <v>33</v>
      </c>
      <c r="BQ1418" t="s">
        <v>33</v>
      </c>
      <c r="BR1418" t="s">
        <v>33</v>
      </c>
      <c r="BS1418" t="s">
        <v>33</v>
      </c>
      <c r="BT1418" t="s">
        <v>32</v>
      </c>
      <c r="BU1418" t="s">
        <v>709</v>
      </c>
      <c r="BV1418">
        <v>2024</v>
      </c>
      <c r="BW1418" t="s">
        <v>710</v>
      </c>
      <c r="BX1418" t="s">
        <v>78</v>
      </c>
      <c r="BY1418" t="s">
        <v>711</v>
      </c>
      <c r="CA1418" t="str">
        <f t="shared" si="715"/>
        <v>low acid</v>
      </c>
    </row>
    <row r="1419" spans="1:79">
      <c r="A1419" t="s">
        <v>343</v>
      </c>
      <c r="B1419" t="s">
        <v>566</v>
      </c>
      <c r="C1419" t="s">
        <v>563</v>
      </c>
      <c r="D1419" t="s">
        <v>33</v>
      </c>
      <c r="E1419" t="s">
        <v>77</v>
      </c>
      <c r="F1419" t="s">
        <v>32</v>
      </c>
      <c r="G1419">
        <v>20</v>
      </c>
      <c r="H1419">
        <v>23</v>
      </c>
      <c r="I1419" t="b">
        <v>0</v>
      </c>
      <c r="J1419" t="s">
        <v>33</v>
      </c>
      <c r="K1419" t="s">
        <v>33</v>
      </c>
      <c r="L1419">
        <v>20</v>
      </c>
      <c r="M1419" s="4">
        <v>2</v>
      </c>
      <c r="N1419" s="3">
        <f>IFERROR(AF1419/((T1419*X1419/Y1419)*O1419*AI1419),"NA")</f>
        <v>2.1126760563380285</v>
      </c>
      <c r="O1419">
        <v>2</v>
      </c>
      <c r="P1419" t="s">
        <v>33</v>
      </c>
      <c r="Q1419" s="8">
        <f>IFERROR(X1419/Z1419, "NA")</f>
        <v>7.5</v>
      </c>
      <c r="R1419" t="s">
        <v>183</v>
      </c>
      <c r="S1419" t="s">
        <v>613</v>
      </c>
      <c r="T1419" s="11">
        <v>1</v>
      </c>
      <c r="U1419">
        <v>5</v>
      </c>
      <c r="V1419" t="s">
        <v>33</v>
      </c>
      <c r="W1419">
        <v>0.71</v>
      </c>
      <c r="X1419" s="8">
        <f>W1419</f>
        <v>0.71</v>
      </c>
      <c r="Y1419">
        <f>6/60</f>
        <v>0.1</v>
      </c>
      <c r="Z1419" s="3">
        <f>IFERROR(X1419*M1419*O1419*T1419*AI1419/AF1419, "NA")</f>
        <v>9.4666666666666663E-2</v>
      </c>
      <c r="AA1419">
        <v>15</v>
      </c>
      <c r="AB1419" s="6">
        <f>IFERROR(((X1419*M1419)/Z1419), "NA")</f>
        <v>15</v>
      </c>
      <c r="AC1419" t="str">
        <f t="shared" si="711"/>
        <v>NA</v>
      </c>
      <c r="AD1419" s="4">
        <f>AB1419*T1419*AI1419</f>
        <v>60</v>
      </c>
      <c r="AE1419" s="3">
        <f t="shared" si="712"/>
        <v>280.79999999999995</v>
      </c>
      <c r="AF1419">
        <v>120</v>
      </c>
      <c r="AG1419" t="str">
        <f>IFERROR((M1419*O1419*P1419), "NA")</f>
        <v>NA</v>
      </c>
      <c r="AH1419" t="str">
        <f>IFERROR((AG1419*T1419*AI1419), "NA")</f>
        <v>NA</v>
      </c>
      <c r="AI1419">
        <v>4</v>
      </c>
      <c r="AJ1419" s="11" t="s">
        <v>32</v>
      </c>
      <c r="AK1419">
        <v>5850</v>
      </c>
      <c r="AL1419" t="s">
        <v>562</v>
      </c>
      <c r="AM1419" s="3" t="s">
        <v>786</v>
      </c>
      <c r="AN1419" t="s">
        <v>186</v>
      </c>
      <c r="AO1419" t="s">
        <v>793</v>
      </c>
      <c r="AP1419" t="s">
        <v>33</v>
      </c>
      <c r="AQ1419" t="s">
        <v>33</v>
      </c>
      <c r="AR1419" t="s">
        <v>33</v>
      </c>
      <c r="AS1419" s="6">
        <f>LOG(10^8)</f>
        <v>8</v>
      </c>
      <c r="AT1419" s="3">
        <f>IFERROR(AS1419-AU1419,"NA")</f>
        <v>6.8520000000000003</v>
      </c>
      <c r="AU1419" s="6">
        <v>1.1479999999999999</v>
      </c>
      <c r="AV1419" t="b">
        <v>1</v>
      </c>
      <c r="AW1419" t="s">
        <v>29</v>
      </c>
      <c r="AX1419" t="s">
        <v>30</v>
      </c>
      <c r="AY1419" t="s">
        <v>33</v>
      </c>
      <c r="AZ1419" t="s">
        <v>134</v>
      </c>
      <c r="BA1419" s="18" t="s">
        <v>798</v>
      </c>
      <c r="BB1419" t="b">
        <v>0</v>
      </c>
      <c r="BC1419" t="s">
        <v>81</v>
      </c>
      <c r="BD1419">
        <v>18</v>
      </c>
      <c r="BE1419" t="s">
        <v>80</v>
      </c>
      <c r="BF1419" s="11">
        <v>21</v>
      </c>
      <c r="BG1419" t="s">
        <v>694</v>
      </c>
      <c r="BH1419" t="s">
        <v>31</v>
      </c>
      <c r="BI1419" t="s">
        <v>31</v>
      </c>
      <c r="BJ1419" s="3">
        <f t="shared" si="707"/>
        <v>1.1479999999999999</v>
      </c>
      <c r="BK1419" s="3">
        <f t="shared" si="706"/>
        <v>5.9941888061954683E-2</v>
      </c>
      <c r="BL1419">
        <v>2</v>
      </c>
      <c r="BM1419" s="3">
        <f t="shared" si="700"/>
        <v>2.3884552153958127</v>
      </c>
      <c r="BN1419" t="s">
        <v>33</v>
      </c>
      <c r="BO1419" s="3">
        <f t="shared" si="713"/>
        <v>244.59930313588848</v>
      </c>
      <c r="BP1419" t="s">
        <v>33</v>
      </c>
      <c r="BQ1419" t="s">
        <v>33</v>
      </c>
      <c r="BR1419" t="s">
        <v>33</v>
      </c>
      <c r="BS1419" t="s">
        <v>33</v>
      </c>
      <c r="BT1419" t="s">
        <v>31</v>
      </c>
      <c r="BU1419" t="s">
        <v>338</v>
      </c>
      <c r="BV1419">
        <v>2005</v>
      </c>
      <c r="BW1419" s="2" t="s">
        <v>342</v>
      </c>
      <c r="BX1419" t="s">
        <v>78</v>
      </c>
      <c r="BY1419" t="s">
        <v>340</v>
      </c>
      <c r="BZ1419" t="s">
        <v>33</v>
      </c>
      <c r="CA1419" t="str">
        <f t="shared" si="715"/>
        <v>low acid</v>
      </c>
    </row>
    <row r="1420" spans="1:79">
      <c r="A1420" t="s">
        <v>451</v>
      </c>
      <c r="B1420" t="s">
        <v>565</v>
      </c>
      <c r="C1420" t="s">
        <v>563</v>
      </c>
      <c r="D1420" t="s">
        <v>182</v>
      </c>
      <c r="E1420" t="s">
        <v>77</v>
      </c>
      <c r="F1420" t="s">
        <v>32</v>
      </c>
      <c r="G1420">
        <v>18</v>
      </c>
      <c r="H1420">
        <v>39</v>
      </c>
      <c r="I1420" t="b">
        <v>1</v>
      </c>
      <c r="J1420" t="s">
        <v>33</v>
      </c>
      <c r="K1420" t="s">
        <v>33</v>
      </c>
      <c r="L1420">
        <v>27</v>
      </c>
      <c r="M1420" s="4" t="s">
        <v>33</v>
      </c>
      <c r="N1420" s="3">
        <f>IFERROR(AF1420/((T1420*X1420/Y1420)*O1420*AI1420),"NA")</f>
        <v>329.67224855987649</v>
      </c>
      <c r="O1420">
        <v>8</v>
      </c>
      <c r="P1420">
        <f>0.047/2</f>
        <v>2.35E-2</v>
      </c>
      <c r="Q1420" s="8">
        <f>IFERROR(X1420/Z1420, "NA")</f>
        <v>2.3318614270936313E-2</v>
      </c>
      <c r="R1420" t="s">
        <v>183</v>
      </c>
      <c r="S1420" t="s">
        <v>613</v>
      </c>
      <c r="T1420" s="11">
        <v>2</v>
      </c>
      <c r="U1420">
        <v>5.6</v>
      </c>
      <c r="V1420">
        <v>4.5</v>
      </c>
      <c r="W1420" t="s">
        <v>33</v>
      </c>
      <c r="X1420" s="9">
        <f>IFERROR(((PI())*(((V1420*10^-1)/2)^2)*(U1420*10^-1)), "NA")</f>
        <v>8.9064151729270638E-2</v>
      </c>
      <c r="Y1420" s="6">
        <f>13750/3600</f>
        <v>3.8194444444444446</v>
      </c>
      <c r="Z1420" s="3">
        <f>IFERROR(X1420*N1420*O1420*T1420*AI1420/AF1420, "NA")</f>
        <v>3.8194444444444442</v>
      </c>
      <c r="AA1420" t="s">
        <v>33</v>
      </c>
      <c r="AB1420" s="4">
        <f>IFERROR(((X1420*N1420)/Y1420), "NA")</f>
        <v>7.6874999999999991</v>
      </c>
      <c r="AC1420" s="4">
        <f>IFERROR(N1420*P1420,"NA")</f>
        <v>7.7472978411570974</v>
      </c>
      <c r="AD1420" s="4">
        <f>AB1420*T1420*AI1420</f>
        <v>15.374999999999998</v>
      </c>
      <c r="AE1420" s="3">
        <f>IFERROR(((L1420^2)*N1420*O1420*AK1420*10^-6*Q1420*T1420*AI1420), "NA")</f>
        <v>206.23409999999998</v>
      </c>
      <c r="AF1420">
        <v>123</v>
      </c>
      <c r="AG1420" s="4">
        <f>IFERROR((N1420*O1420*P1420), "NA")</f>
        <v>61.978382729256779</v>
      </c>
      <c r="AH1420" s="4">
        <f>IFERROR((AG1420*T1420*AI1420), "NA")</f>
        <v>123.95676545851356</v>
      </c>
      <c r="AI1420" s="11">
        <v>1</v>
      </c>
      <c r="AJ1420" t="s">
        <v>31</v>
      </c>
      <c r="AK1420">
        <v>2300</v>
      </c>
      <c r="AL1420" t="s">
        <v>805</v>
      </c>
      <c r="AM1420" t="s">
        <v>515</v>
      </c>
      <c r="AN1420" t="s">
        <v>205</v>
      </c>
      <c r="AO1420" t="s">
        <v>788</v>
      </c>
      <c r="AP1420">
        <v>3.68</v>
      </c>
      <c r="AQ1420" t="s">
        <v>33</v>
      </c>
      <c r="AR1420" t="s">
        <v>33</v>
      </c>
      <c r="AS1420">
        <f>LOG(10^8)</f>
        <v>8</v>
      </c>
      <c r="AT1420" s="3">
        <f>IFERROR(AS1420-AU1420,"NA")</f>
        <v>6.86</v>
      </c>
      <c r="AU1420" s="6">
        <v>1.1399999999999999</v>
      </c>
      <c r="AV1420" t="b">
        <v>1</v>
      </c>
      <c r="AW1420" t="s">
        <v>123</v>
      </c>
      <c r="AX1420" t="s">
        <v>462</v>
      </c>
      <c r="AY1420" t="s">
        <v>520</v>
      </c>
      <c r="AZ1420" t="s">
        <v>33</v>
      </c>
      <c r="BA1420" s="18" t="s">
        <v>579</v>
      </c>
      <c r="BB1420" t="b">
        <v>1</v>
      </c>
      <c r="BC1420" t="s">
        <v>81</v>
      </c>
      <c r="BD1420" t="s">
        <v>33</v>
      </c>
      <c r="BE1420" t="s">
        <v>80</v>
      </c>
      <c r="BF1420" t="s">
        <v>33</v>
      </c>
      <c r="BG1420" t="s">
        <v>395</v>
      </c>
      <c r="BH1420" t="s">
        <v>31</v>
      </c>
      <c r="BI1420" t="s">
        <v>31</v>
      </c>
      <c r="BJ1420" s="3">
        <f t="shared" si="707"/>
        <v>1.1399999999999999</v>
      </c>
      <c r="BK1420" s="3">
        <f t="shared" si="706"/>
        <v>5.6904851336472557E-2</v>
      </c>
      <c r="BL1420">
        <v>2</v>
      </c>
      <c r="BM1420" s="3">
        <f t="shared" si="700"/>
        <v>2.2574556244384927</v>
      </c>
      <c r="BN1420" t="s">
        <v>33</v>
      </c>
      <c r="BO1420" s="3">
        <f t="shared" si="713"/>
        <v>180.90710526315789</v>
      </c>
      <c r="BP1420" t="s">
        <v>33</v>
      </c>
      <c r="BQ1420" t="s">
        <v>33</v>
      </c>
      <c r="BR1420" t="s">
        <v>33</v>
      </c>
      <c r="BS1420" t="s">
        <v>33</v>
      </c>
      <c r="BT1420" t="s">
        <v>32</v>
      </c>
      <c r="BU1420" t="s">
        <v>484</v>
      </c>
      <c r="BV1420">
        <v>2015</v>
      </c>
      <c r="BW1420" t="s">
        <v>485</v>
      </c>
      <c r="BX1420" t="s">
        <v>78</v>
      </c>
      <c r="BY1420" t="s">
        <v>486</v>
      </c>
      <c r="CA1420" t="str">
        <f t="shared" si="715"/>
        <v>high acid</v>
      </c>
    </row>
    <row r="1421" spans="1:79">
      <c r="A1421" t="s">
        <v>605</v>
      </c>
      <c r="B1421" t="s">
        <v>565</v>
      </c>
      <c r="C1421" t="s">
        <v>563</v>
      </c>
      <c r="D1421" t="s">
        <v>118</v>
      </c>
      <c r="E1421" t="s">
        <v>77</v>
      </c>
      <c r="F1421" t="s">
        <v>33</v>
      </c>
      <c r="G1421" t="s">
        <v>33</v>
      </c>
      <c r="H1421" t="s">
        <v>33</v>
      </c>
      <c r="I1421" t="b">
        <v>0</v>
      </c>
      <c r="J1421" t="s">
        <v>33</v>
      </c>
      <c r="K1421" t="s">
        <v>33</v>
      </c>
      <c r="L1421">
        <v>20</v>
      </c>
      <c r="M1421" s="4">
        <v>500</v>
      </c>
      <c r="N1421" t="e">
        <f>(#REF!*Y1421)/(T1421*X1421*O1421)</f>
        <v>#REF!</v>
      </c>
      <c r="O1421">
        <v>3</v>
      </c>
      <c r="P1421" t="s">
        <v>33</v>
      </c>
      <c r="Q1421" s="1">
        <f>IFERROR(X1421/Z1421, "NA")</f>
        <v>1.4555555555555556E-2</v>
      </c>
      <c r="R1421" t="s">
        <v>183</v>
      </c>
      <c r="S1421" t="s">
        <v>613</v>
      </c>
      <c r="T1421">
        <v>6</v>
      </c>
      <c r="U1421">
        <v>2.9</v>
      </c>
      <c r="V1421">
        <v>2.2999999999999998</v>
      </c>
      <c r="W1421" t="s">
        <v>33</v>
      </c>
      <c r="X1421">
        <f>IFERROR(((PI())*(((V1421*10^-1)/2)^2)*(U1421*10^-1)), "NA")</f>
        <v>1.204879322468025E-2</v>
      </c>
      <c r="Y1421">
        <v>0.83333299999999999</v>
      </c>
      <c r="Z1421" s="3">
        <f>IFERROR(X1421*M1421*O1421*T1421*AI1421/AF1421, "NA")</f>
        <v>0.82777968719177286</v>
      </c>
      <c r="AA1421" t="s">
        <v>33</v>
      </c>
      <c r="AB1421">
        <f>IFERROR(((X1421*M1421)/Z1421), "NA")</f>
        <v>7.2777777777777786</v>
      </c>
      <c r="AC1421" s="1" t="str">
        <f t="shared" ref="AC1421:AC1432" si="716">IFERROR(M1421*P1421,"NA")</f>
        <v>NA</v>
      </c>
      <c r="AE1421" s="3">
        <f t="shared" ref="AE1421:AE1432" si="717">IFERROR(((L1421^2)*M1421*O1421*AK1421*10^-6*Q1421*T1421*AI1421), "NA")</f>
        <v>202.26400000000001</v>
      </c>
      <c r="AF1421">
        <v>131</v>
      </c>
      <c r="AG1421" s="1" t="str">
        <f>IFERROR((N1421*P1421*Q1421), "NA")</f>
        <v>NA</v>
      </c>
      <c r="AH1421" s="1" t="str">
        <f>IFERROR((AG1421*U1421*AI1421), "NA")</f>
        <v>NA</v>
      </c>
      <c r="AI1421" s="1">
        <v>1</v>
      </c>
      <c r="AJ1421" s="11" t="s">
        <v>31</v>
      </c>
      <c r="AK1421">
        <f>3.86*10^3</f>
        <v>3860</v>
      </c>
      <c r="AL1421" t="s">
        <v>138</v>
      </c>
      <c r="AM1421" t="s">
        <v>86</v>
      </c>
      <c r="AN1421" t="s">
        <v>205</v>
      </c>
      <c r="AO1421" t="s">
        <v>789</v>
      </c>
      <c r="AP1421">
        <v>3.9</v>
      </c>
      <c r="AQ1421" t="s">
        <v>33</v>
      </c>
      <c r="AR1421" t="s">
        <v>33</v>
      </c>
      <c r="AS1421">
        <v>7.52</v>
      </c>
      <c r="AT1421">
        <v>6.86</v>
      </c>
      <c r="AU1421" s="6">
        <f>AS1421-AT1421</f>
        <v>0.65999999999999925</v>
      </c>
      <c r="AV1421" t="b">
        <v>1</v>
      </c>
      <c r="AW1421" t="s">
        <v>626</v>
      </c>
      <c r="AX1421" t="s">
        <v>627</v>
      </c>
      <c r="AY1421">
        <v>95047</v>
      </c>
      <c r="AZ1421" t="s">
        <v>33</v>
      </c>
      <c r="BA1421" s="18" t="s">
        <v>800</v>
      </c>
      <c r="BB1421" s="3" t="b">
        <v>0</v>
      </c>
      <c r="BC1421" t="s">
        <v>81</v>
      </c>
      <c r="BD1421">
        <f>AVERAGE(24, 48)</f>
        <v>36</v>
      </c>
      <c r="BE1421" t="s">
        <v>80</v>
      </c>
      <c r="BF1421">
        <v>48</v>
      </c>
      <c r="BG1421" t="s">
        <v>647</v>
      </c>
      <c r="BH1421" t="s">
        <v>31</v>
      </c>
      <c r="BI1421" t="s">
        <v>31</v>
      </c>
      <c r="BJ1421" s="3">
        <f t="shared" si="707"/>
        <v>0.65999999999999925</v>
      </c>
      <c r="BK1421" s="3">
        <f t="shared" si="706"/>
        <v>-0.18045606445813181</v>
      </c>
      <c r="BL1421">
        <v>2</v>
      </c>
      <c r="BM1421" s="3">
        <f t="shared" si="700"/>
        <v>2.4863746561136133</v>
      </c>
      <c r="BN1421" t="s">
        <v>33</v>
      </c>
      <c r="BO1421" s="3">
        <f t="shared" si="713"/>
        <v>306.46060606060644</v>
      </c>
      <c r="BP1421" t="s">
        <v>33</v>
      </c>
      <c r="BQ1421" t="s">
        <v>33</v>
      </c>
      <c r="BR1421" t="s">
        <v>33</v>
      </c>
      <c r="BS1421" t="s">
        <v>33</v>
      </c>
      <c r="BT1421" t="s">
        <v>31</v>
      </c>
      <c r="BU1421" s="13" t="s">
        <v>135</v>
      </c>
      <c r="BV1421" s="14">
        <v>2009</v>
      </c>
      <c r="BW1421" s="13" t="s">
        <v>136</v>
      </c>
      <c r="BX1421" t="s">
        <v>78</v>
      </c>
      <c r="BY1421" s="13" t="s">
        <v>692</v>
      </c>
      <c r="CA1421" t="str">
        <f t="shared" si="715"/>
        <v>high acid</v>
      </c>
    </row>
    <row r="1422" spans="1:79">
      <c r="A1422" t="s">
        <v>237</v>
      </c>
      <c r="B1422" t="s">
        <v>565</v>
      </c>
      <c r="C1422" t="s">
        <v>563</v>
      </c>
      <c r="D1422" t="s">
        <v>118</v>
      </c>
      <c r="E1422" t="s">
        <v>77</v>
      </c>
      <c r="F1422" t="s">
        <v>32</v>
      </c>
      <c r="G1422">
        <v>4</v>
      </c>
      <c r="H1422">
        <v>32.5</v>
      </c>
      <c r="I1422" t="b">
        <v>0</v>
      </c>
      <c r="J1422" t="s">
        <v>33</v>
      </c>
      <c r="K1422" t="s">
        <v>33</v>
      </c>
      <c r="L1422">
        <v>35</v>
      </c>
      <c r="M1422" s="4">
        <v>202</v>
      </c>
      <c r="N1422" s="3">
        <f>IFERROR(AF1422/((T1422*X1422/Y1422)*O1422*AI1422),"NA")</f>
        <v>85.861873814153199</v>
      </c>
      <c r="O1422">
        <v>6</v>
      </c>
      <c r="P1422" t="s">
        <v>33</v>
      </c>
      <c r="Q1422" s="9">
        <f>IFERROR(X1422/Z1422, "NA")</f>
        <v>5.1567656765676567E-3</v>
      </c>
      <c r="R1422" t="s">
        <v>183</v>
      </c>
      <c r="S1422" t="s">
        <v>613</v>
      </c>
      <c r="T1422" s="11">
        <v>8</v>
      </c>
      <c r="U1422">
        <v>2.92</v>
      </c>
      <c r="V1422">
        <v>2.2999999999999998</v>
      </c>
      <c r="W1422">
        <v>1.2E-2</v>
      </c>
      <c r="X1422" s="8">
        <f>IFERROR(((PI())*(((V1422*10^-1)/2)^2)*(U1422*10^-1)), "NA")</f>
        <v>1.2131888350367701E-2</v>
      </c>
      <c r="Y1422" s="6">
        <f>60/60</f>
        <v>1</v>
      </c>
      <c r="Z1422" s="3">
        <f>IFERROR(X1422*M1422*O1422*T1422*AI1422/AF1422, "NA")</f>
        <v>2.3526157889033046</v>
      </c>
      <c r="AA1422" t="s">
        <v>33</v>
      </c>
      <c r="AB1422" s="6">
        <f>IFERROR(((X1422*M1422)/Z1422), "NA")</f>
        <v>1.0416666666666665</v>
      </c>
      <c r="AC1422" t="str">
        <f t="shared" si="716"/>
        <v>NA</v>
      </c>
      <c r="AD1422" s="4">
        <f>AB1422*T1422*AI1422</f>
        <v>8.3333333333333321</v>
      </c>
      <c r="AE1422" s="3">
        <f t="shared" si="717"/>
        <v>259.7</v>
      </c>
      <c r="AF1422">
        <v>50</v>
      </c>
      <c r="AG1422" t="str">
        <f>IFERROR((M1422*O1422*P1422), "NA")</f>
        <v>NA</v>
      </c>
      <c r="AH1422" t="str">
        <f>IFERROR((AG1422*T1422*AI1422), "NA")</f>
        <v>NA</v>
      </c>
      <c r="AI1422">
        <v>1</v>
      </c>
      <c r="AJ1422" t="s">
        <v>31</v>
      </c>
      <c r="AK1422">
        <v>4240</v>
      </c>
      <c r="AL1422" t="s">
        <v>238</v>
      </c>
      <c r="AM1422" t="s">
        <v>86</v>
      </c>
      <c r="AN1422" t="s">
        <v>205</v>
      </c>
      <c r="AO1422" t="s">
        <v>789</v>
      </c>
      <c r="AP1422">
        <v>3.56</v>
      </c>
      <c r="AQ1422" t="s">
        <v>33</v>
      </c>
      <c r="AR1422" t="s">
        <v>33</v>
      </c>
      <c r="AS1422">
        <f>LOG(10^8)</f>
        <v>8</v>
      </c>
      <c r="AT1422" s="3">
        <f>IFERROR(AS1422-AU1422,"NA")</f>
        <v>6.8609999999999998</v>
      </c>
      <c r="AU1422" s="6">
        <v>1.139</v>
      </c>
      <c r="AV1422" t="b">
        <v>1</v>
      </c>
      <c r="AW1422" t="s">
        <v>172</v>
      </c>
      <c r="AX1422" t="s">
        <v>173</v>
      </c>
      <c r="AY1422" t="s">
        <v>239</v>
      </c>
      <c r="AZ1422" t="s">
        <v>33</v>
      </c>
      <c r="BA1422" s="18" t="s">
        <v>799</v>
      </c>
      <c r="BB1422" t="b">
        <v>0</v>
      </c>
      <c r="BC1422" t="s">
        <v>81</v>
      </c>
      <c r="BD1422">
        <v>48</v>
      </c>
      <c r="BE1422" t="s">
        <v>80</v>
      </c>
      <c r="BF1422" s="11">
        <v>120</v>
      </c>
      <c r="BG1422" t="s">
        <v>571</v>
      </c>
      <c r="BH1422" t="s">
        <v>31</v>
      </c>
      <c r="BI1422" t="s">
        <v>31</v>
      </c>
      <c r="BJ1422" s="3">
        <f t="shared" si="707"/>
        <v>1.139</v>
      </c>
      <c r="BK1422" s="3">
        <f t="shared" si="706"/>
        <v>5.6523724079100369E-2</v>
      </c>
      <c r="BL1422">
        <v>2</v>
      </c>
      <c r="BM1422" s="3">
        <f t="shared" si="700"/>
        <v>2.3579482255502024</v>
      </c>
      <c r="BN1422" t="s">
        <v>33</v>
      </c>
      <c r="BO1422" s="3">
        <f t="shared" si="713"/>
        <v>228.00702370500437</v>
      </c>
      <c r="BP1422" t="s">
        <v>33</v>
      </c>
      <c r="BQ1422" t="s">
        <v>33</v>
      </c>
      <c r="BR1422" t="s">
        <v>33</v>
      </c>
      <c r="BS1422" t="s">
        <v>33</v>
      </c>
      <c r="BT1422" t="s">
        <v>31</v>
      </c>
      <c r="BU1422" t="s">
        <v>240</v>
      </c>
      <c r="BV1422">
        <v>2004</v>
      </c>
      <c r="BW1422" t="s">
        <v>241</v>
      </c>
      <c r="BX1422" t="s">
        <v>78</v>
      </c>
      <c r="BY1422" t="s">
        <v>33</v>
      </c>
      <c r="BZ1422" t="s">
        <v>33</v>
      </c>
      <c r="CA1422" t="str">
        <f t="shared" si="715"/>
        <v>high acid</v>
      </c>
    </row>
    <row r="1423" spans="1:79">
      <c r="A1423" t="s">
        <v>325</v>
      </c>
      <c r="B1423" t="s">
        <v>565</v>
      </c>
      <c r="C1423" t="s">
        <v>563</v>
      </c>
      <c r="D1423" t="s">
        <v>304</v>
      </c>
      <c r="E1423" t="s">
        <v>77</v>
      </c>
      <c r="F1423" t="s">
        <v>32</v>
      </c>
      <c r="G1423">
        <v>30</v>
      </c>
      <c r="H1423">
        <v>31.8</v>
      </c>
      <c r="I1423" t="b">
        <v>1</v>
      </c>
      <c r="J1423">
        <v>12600</v>
      </c>
      <c r="K1423">
        <v>50.4</v>
      </c>
      <c r="L1423">
        <v>21</v>
      </c>
      <c r="M1423" s="4">
        <v>472</v>
      </c>
      <c r="N1423" s="3">
        <f>IFERROR(AF1423/((T1423*X1423/Y1423)*O1423*AI1423),"NA")</f>
        <v>478.50505766190741</v>
      </c>
      <c r="O1423">
        <v>2</v>
      </c>
      <c r="P1423">
        <v>2.4E-2</v>
      </c>
      <c r="Q1423" s="8">
        <f>IFERROR(X1423/Z1423, "NA")</f>
        <v>2.4364406779661018E-2</v>
      </c>
      <c r="R1423" t="s">
        <v>183</v>
      </c>
      <c r="S1423" t="s">
        <v>612</v>
      </c>
      <c r="T1423" s="11">
        <v>1</v>
      </c>
      <c r="U1423">
        <v>3.4</v>
      </c>
      <c r="V1423">
        <v>3</v>
      </c>
      <c r="W1423">
        <v>2.4E-2</v>
      </c>
      <c r="X1423" s="8">
        <f>IFERROR(((PI())*(((V1423*10^-1)/2)^2)*(U1423*10^-1)), "NA")</f>
        <v>2.4033183799961926E-2</v>
      </c>
      <c r="Y1423" s="6">
        <f>1</f>
        <v>1</v>
      </c>
      <c r="Z1423" s="3">
        <f>IFERROR(X1423*M1423*O1423*T1423*AI1423/AF1423, "NA")</f>
        <v>0.9864054568332199</v>
      </c>
      <c r="AA1423">
        <v>11.3</v>
      </c>
      <c r="AB1423" s="6">
        <f>IFERROR(((X1423*M1423)/Z1423), "NA")</f>
        <v>11.5</v>
      </c>
      <c r="AC1423">
        <f t="shared" si="716"/>
        <v>11.327999999999999</v>
      </c>
      <c r="AD1423" s="4">
        <f>IFERROR(AB1423*T1423*AI1423, "NA")</f>
        <v>11.5</v>
      </c>
      <c r="AE1423" s="3">
        <f t="shared" si="717"/>
        <v>10.142999999999999</v>
      </c>
      <c r="AF1423">
        <v>23</v>
      </c>
      <c r="AG1423">
        <f>IFERROR((M1423*O1423*P1423), "NA")</f>
        <v>22.655999999999999</v>
      </c>
      <c r="AH1423">
        <f>IFERROR((AG1423*T1423*AI1423), "NA")</f>
        <v>22.655999999999999</v>
      </c>
      <c r="AI1423" s="11">
        <v>1</v>
      </c>
      <c r="AJ1423" t="s">
        <v>31</v>
      </c>
      <c r="AK1423">
        <v>1000</v>
      </c>
      <c r="AL1423" t="s">
        <v>169</v>
      </c>
      <c r="AM1423" t="s">
        <v>103</v>
      </c>
      <c r="AN1423" t="s">
        <v>305</v>
      </c>
      <c r="AO1423" t="s">
        <v>790</v>
      </c>
      <c r="AP1423">
        <v>4.5</v>
      </c>
      <c r="AQ1423" t="s">
        <v>33</v>
      </c>
      <c r="AR1423" t="s">
        <v>33</v>
      </c>
      <c r="AS1423" s="6">
        <f>LOG(3*10^7)</f>
        <v>7.4771212547196626</v>
      </c>
      <c r="AT1423" s="3">
        <f>IFERROR(AS1423-AU1423,"NA")</f>
        <v>6.8671212547196623</v>
      </c>
      <c r="AU1423" s="6">
        <v>0.61</v>
      </c>
      <c r="AV1423" t="b">
        <v>1</v>
      </c>
      <c r="AW1423" t="s">
        <v>123</v>
      </c>
      <c r="AX1423" t="s">
        <v>88</v>
      </c>
      <c r="AY1423" t="s">
        <v>306</v>
      </c>
      <c r="AZ1423" t="s">
        <v>33</v>
      </c>
      <c r="BA1423" s="18" t="s">
        <v>579</v>
      </c>
      <c r="BB1423" t="b">
        <v>1</v>
      </c>
      <c r="BC1423" t="s">
        <v>81</v>
      </c>
      <c r="BD1423">
        <v>48</v>
      </c>
      <c r="BE1423" t="s">
        <v>80</v>
      </c>
      <c r="BF1423" s="11">
        <v>120</v>
      </c>
      <c r="BG1423" t="s">
        <v>395</v>
      </c>
      <c r="BH1423" t="s">
        <v>31</v>
      </c>
      <c r="BI1423" t="s">
        <v>31</v>
      </c>
      <c r="BJ1423" s="3">
        <f t="shared" si="707"/>
        <v>0.61</v>
      </c>
      <c r="BK1423" s="3">
        <f t="shared" si="706"/>
        <v>-0.21467016498923297</v>
      </c>
      <c r="BL1423">
        <v>2</v>
      </c>
      <c r="BM1423" s="3">
        <f t="shared" si="700"/>
        <v>1.2208365904746643</v>
      </c>
      <c r="BN1423" t="s">
        <v>33</v>
      </c>
      <c r="BO1423" s="3">
        <f t="shared" si="713"/>
        <v>16.627868852459017</v>
      </c>
      <c r="BP1423" t="s">
        <v>33</v>
      </c>
      <c r="BQ1423" t="s">
        <v>33</v>
      </c>
      <c r="BR1423" t="s">
        <v>33</v>
      </c>
      <c r="BS1423" t="s">
        <v>33</v>
      </c>
      <c r="BT1423" t="s">
        <v>32</v>
      </c>
      <c r="BU1423" t="s">
        <v>323</v>
      </c>
      <c r="BV1423">
        <v>2003</v>
      </c>
      <c r="BW1423" s="2" t="s">
        <v>322</v>
      </c>
      <c r="BX1423" t="s">
        <v>78</v>
      </c>
      <c r="BY1423" t="s">
        <v>33</v>
      </c>
      <c r="BZ1423" t="s">
        <v>33</v>
      </c>
      <c r="CA1423" t="str">
        <f t="shared" si="715"/>
        <v>high acid</v>
      </c>
    </row>
    <row r="1424" spans="1:79">
      <c r="A1424" t="s">
        <v>712</v>
      </c>
      <c r="B1424" t="s">
        <v>566</v>
      </c>
      <c r="C1424" t="s">
        <v>563</v>
      </c>
      <c r="D1424" t="s">
        <v>699</v>
      </c>
      <c r="E1424" t="s">
        <v>77</v>
      </c>
      <c r="F1424" t="s">
        <v>32</v>
      </c>
      <c r="G1424">
        <v>20</v>
      </c>
      <c r="H1424">
        <v>64</v>
      </c>
      <c r="I1424" t="b">
        <v>1</v>
      </c>
      <c r="J1424" t="s">
        <v>33</v>
      </c>
      <c r="K1424" t="s">
        <v>33</v>
      </c>
      <c r="L1424">
        <v>20</v>
      </c>
      <c r="M1424" s="4">
        <v>64</v>
      </c>
      <c r="N1424" s="3">
        <f>IFERROR(AF1424/((T1424*X1424/Y1424)*O1424*AI1424),"NA")</f>
        <v>63.657407407407391</v>
      </c>
      <c r="O1424">
        <v>5</v>
      </c>
      <c r="P1424">
        <v>0.43</v>
      </c>
      <c r="Q1424" s="8">
        <f>IFERROR(X1424/Y1424, "NA")</f>
        <v>0.43200000000000011</v>
      </c>
      <c r="R1424" t="s">
        <v>183</v>
      </c>
      <c r="S1424" t="s">
        <v>612</v>
      </c>
      <c r="T1424" s="11">
        <v>1</v>
      </c>
      <c r="U1424">
        <v>4</v>
      </c>
      <c r="V1424" t="s">
        <v>33</v>
      </c>
      <c r="W1424">
        <f>0.4*3*0.5</f>
        <v>0.60000000000000009</v>
      </c>
      <c r="X1424" s="9">
        <f>W1424</f>
        <v>0.60000000000000009</v>
      </c>
      <c r="Y1424" s="6">
        <f>5000/3600</f>
        <v>1.3888888888888888</v>
      </c>
      <c r="Z1424" s="3">
        <f>IFERROR(X1424*M1424*O1424*T1424*AI1424/AF1424, "NA")</f>
        <v>1.3963636363636365</v>
      </c>
      <c r="AA1424" t="s">
        <v>33</v>
      </c>
      <c r="AB1424" s="4">
        <f>IFERROR(((X1424*M1424)/Y1424), "NA")</f>
        <v>27.648000000000007</v>
      </c>
      <c r="AC1424" s="4">
        <f t="shared" si="716"/>
        <v>27.52</v>
      </c>
      <c r="AD1424" s="4">
        <f>AB1424*T1424*AI1424</f>
        <v>27.648000000000007</v>
      </c>
      <c r="AE1424" s="3">
        <f t="shared" si="717"/>
        <v>110.59200000000003</v>
      </c>
      <c r="AF1424">
        <v>137.5</v>
      </c>
      <c r="AG1424" s="4">
        <f>IFERROR((M1424*O1424*P1424), "NA")</f>
        <v>137.6</v>
      </c>
      <c r="AH1424" s="4">
        <f>IFERROR((AG1424*T1424*AI1424), "NA")</f>
        <v>137.6</v>
      </c>
      <c r="AI1424">
        <v>1</v>
      </c>
      <c r="AJ1424" s="11" t="s">
        <v>31</v>
      </c>
      <c r="AK1424">
        <v>2000</v>
      </c>
      <c r="AL1424" t="s">
        <v>784</v>
      </c>
      <c r="AM1424" t="s">
        <v>103</v>
      </c>
      <c r="AN1424" t="s">
        <v>130</v>
      </c>
      <c r="AO1424" t="s">
        <v>795</v>
      </c>
      <c r="AP1424">
        <v>7</v>
      </c>
      <c r="AQ1424" t="s">
        <v>33</v>
      </c>
      <c r="AR1424" t="s">
        <v>33</v>
      </c>
      <c r="AS1424" s="6">
        <f>LOG(AVERAGE(10^8, 10^9))</f>
        <v>8.7403626894942441</v>
      </c>
      <c r="AT1424" s="3">
        <f>IFERROR(AS1424-AU1424,"NA")</f>
        <v>6.8693626894942437</v>
      </c>
      <c r="AU1424" s="6">
        <v>1.871</v>
      </c>
      <c r="AV1424" t="b">
        <v>1</v>
      </c>
      <c r="AW1424" t="s">
        <v>92</v>
      </c>
      <c r="AX1424" t="s">
        <v>93</v>
      </c>
      <c r="AY1424" t="s">
        <v>717</v>
      </c>
      <c r="AZ1424" t="s">
        <v>33</v>
      </c>
      <c r="BA1424" s="18" t="s">
        <v>801</v>
      </c>
      <c r="BB1424" s="3" t="b">
        <v>0</v>
      </c>
      <c r="BC1424" t="s">
        <v>81</v>
      </c>
      <c r="BD1424">
        <v>24</v>
      </c>
      <c r="BE1424" t="s">
        <v>80</v>
      </c>
      <c r="BF1424">
        <v>24</v>
      </c>
      <c r="BG1424" t="s">
        <v>568</v>
      </c>
      <c r="BH1424" t="s">
        <v>31</v>
      </c>
      <c r="BI1424" t="s">
        <v>31</v>
      </c>
      <c r="BJ1424" s="3">
        <f t="shared" si="707"/>
        <v>1.871</v>
      </c>
      <c r="BK1424" s="3">
        <f t="shared" si="706"/>
        <v>0.27207378750000993</v>
      </c>
      <c r="BL1424">
        <v>2</v>
      </c>
      <c r="BM1424" s="3">
        <f t="shared" si="700"/>
        <v>1.7716499246267519</v>
      </c>
      <c r="BN1424" t="s">
        <v>33</v>
      </c>
      <c r="BO1424" s="3">
        <f t="shared" si="713"/>
        <v>59.108498129342614</v>
      </c>
      <c r="BP1424" t="s">
        <v>33</v>
      </c>
      <c r="BQ1424" t="s">
        <v>33</v>
      </c>
      <c r="BR1424" t="s">
        <v>33</v>
      </c>
      <c r="BS1424" t="s">
        <v>33</v>
      </c>
      <c r="BT1424" t="s">
        <v>32</v>
      </c>
      <c r="BU1424" t="s">
        <v>709</v>
      </c>
      <c r="BV1424">
        <v>2024</v>
      </c>
      <c r="BW1424" t="s">
        <v>710</v>
      </c>
      <c r="BX1424" t="s">
        <v>78</v>
      </c>
      <c r="BY1424" t="s">
        <v>711</v>
      </c>
      <c r="CA1424" t="str">
        <f t="shared" si="715"/>
        <v>low acid</v>
      </c>
    </row>
    <row r="1425" spans="1:79">
      <c r="A1425" t="s">
        <v>341</v>
      </c>
      <c r="B1425" t="s">
        <v>566</v>
      </c>
      <c r="C1425" t="s">
        <v>563</v>
      </c>
      <c r="D1425" t="s">
        <v>336</v>
      </c>
      <c r="E1425" t="s">
        <v>77</v>
      </c>
      <c r="F1425" t="s">
        <v>32</v>
      </c>
      <c r="G1425">
        <v>30</v>
      </c>
      <c r="H1425">
        <v>33</v>
      </c>
      <c r="I1425" t="b">
        <v>0</v>
      </c>
      <c r="J1425" t="s">
        <v>33</v>
      </c>
      <c r="K1425" t="s">
        <v>33</v>
      </c>
      <c r="L1425">
        <v>20</v>
      </c>
      <c r="M1425" s="4">
        <v>2</v>
      </c>
      <c r="N1425" s="3">
        <f>IFERROR(AF1425/((T1425*X1425/Y1425)*O1425*AI1425),"NA")</f>
        <v>2.1126760563380285</v>
      </c>
      <c r="O1425">
        <v>2</v>
      </c>
      <c r="P1425" t="s">
        <v>33</v>
      </c>
      <c r="Q1425" s="8">
        <f>IFERROR(X1425/Z1425, "NA")</f>
        <v>7.5</v>
      </c>
      <c r="R1425" t="s">
        <v>183</v>
      </c>
      <c r="S1425" t="s">
        <v>613</v>
      </c>
      <c r="T1425" s="11">
        <v>1</v>
      </c>
      <c r="U1425">
        <v>5</v>
      </c>
      <c r="V1425" t="s">
        <v>33</v>
      </c>
      <c r="W1425">
        <v>0.71</v>
      </c>
      <c r="X1425" s="8">
        <f>W1425</f>
        <v>0.71</v>
      </c>
      <c r="Y1425">
        <f>6/60</f>
        <v>0.1</v>
      </c>
      <c r="Z1425" s="3">
        <f>IFERROR(X1425*M1425*O1425*T1425*AI1425/AF1425, "NA")</f>
        <v>9.4666666666666663E-2</v>
      </c>
      <c r="AA1425">
        <v>15</v>
      </c>
      <c r="AB1425" s="6">
        <f>IFERROR(((X1425*M1425)/Z1425), "NA")</f>
        <v>15</v>
      </c>
      <c r="AC1425" t="str">
        <f t="shared" si="716"/>
        <v>NA</v>
      </c>
      <c r="AD1425" s="4">
        <f>AB1425*T1425*AI1425</f>
        <v>60</v>
      </c>
      <c r="AE1425" s="3">
        <f t="shared" si="717"/>
        <v>369.6</v>
      </c>
      <c r="AF1425">
        <f>AI1425*AA1425*O1425</f>
        <v>120</v>
      </c>
      <c r="AG1425" t="str">
        <f>IFERROR((M1425*O1425*P1425), "NA")</f>
        <v>NA</v>
      </c>
      <c r="AH1425" t="str">
        <f>IFERROR((AG1425*T1425*AI1425), "NA")</f>
        <v>NA</v>
      </c>
      <c r="AI1425">
        <v>4</v>
      </c>
      <c r="AJ1425" s="11" t="s">
        <v>32</v>
      </c>
      <c r="AK1425">
        <v>7700</v>
      </c>
      <c r="AL1425" t="s">
        <v>561</v>
      </c>
      <c r="AM1425" s="3" t="s">
        <v>786</v>
      </c>
      <c r="AN1425" t="s">
        <v>186</v>
      </c>
      <c r="AO1425" t="s">
        <v>793</v>
      </c>
      <c r="AP1425" t="s">
        <v>33</v>
      </c>
      <c r="AQ1425" t="s">
        <v>33</v>
      </c>
      <c r="AR1425" t="s">
        <v>33</v>
      </c>
      <c r="AS1425" s="6">
        <f>LOG(10^8)</f>
        <v>8</v>
      </c>
      <c r="AT1425" s="3">
        <f>IFERROR(AS1425-AU1425,"NA")</f>
        <v>6.8719999999999999</v>
      </c>
      <c r="AU1425" s="6">
        <v>1.1279999999999999</v>
      </c>
      <c r="AV1425" t="b">
        <v>1</v>
      </c>
      <c r="AW1425" t="s">
        <v>29</v>
      </c>
      <c r="AX1425" t="s">
        <v>30</v>
      </c>
      <c r="AY1425" t="s">
        <v>33</v>
      </c>
      <c r="AZ1425" t="s">
        <v>134</v>
      </c>
      <c r="BA1425" s="18" t="s">
        <v>798</v>
      </c>
      <c r="BB1425" t="b">
        <v>0</v>
      </c>
      <c r="BC1425" t="s">
        <v>81</v>
      </c>
      <c r="BD1425">
        <v>18</v>
      </c>
      <c r="BE1425" t="s">
        <v>80</v>
      </c>
      <c r="BF1425" s="11">
        <v>24</v>
      </c>
      <c r="BG1425" t="s">
        <v>694</v>
      </c>
      <c r="BH1425" t="s">
        <v>31</v>
      </c>
      <c r="BI1425" t="s">
        <v>31</v>
      </c>
      <c r="BJ1425" s="3">
        <f t="shared" si="707"/>
        <v>1.1279999999999999</v>
      </c>
      <c r="BK1425" s="3">
        <f t="shared" si="706"/>
        <v>5.2309099647323443E-2</v>
      </c>
      <c r="BL1425">
        <v>2</v>
      </c>
      <c r="BM1425" s="3">
        <f t="shared" si="700"/>
        <v>2.5154228629007456</v>
      </c>
      <c r="BN1425" t="s">
        <v>33</v>
      </c>
      <c r="BO1425" s="3">
        <f t="shared" si="713"/>
        <v>327.65957446808517</v>
      </c>
      <c r="BP1425" t="s">
        <v>33</v>
      </c>
      <c r="BQ1425" t="s">
        <v>33</v>
      </c>
      <c r="BR1425" t="s">
        <v>33</v>
      </c>
      <c r="BS1425" t="s">
        <v>33</v>
      </c>
      <c r="BT1425" t="s">
        <v>31</v>
      </c>
      <c r="BU1425" t="s">
        <v>338</v>
      </c>
      <c r="BV1425">
        <v>2006</v>
      </c>
      <c r="BW1425" t="s">
        <v>339</v>
      </c>
      <c r="BX1425" t="s">
        <v>78</v>
      </c>
      <c r="BY1425" t="s">
        <v>340</v>
      </c>
      <c r="BZ1425" t="s">
        <v>337</v>
      </c>
      <c r="CA1425" t="str">
        <f t="shared" si="715"/>
        <v>low acid</v>
      </c>
    </row>
    <row r="1426" spans="1:79">
      <c r="A1426" t="s">
        <v>594</v>
      </c>
      <c r="B1426" t="s">
        <v>566</v>
      </c>
      <c r="C1426" t="s">
        <v>563</v>
      </c>
      <c r="D1426" t="s">
        <v>33</v>
      </c>
      <c r="E1426" t="s">
        <v>77</v>
      </c>
      <c r="F1426" t="s">
        <v>32</v>
      </c>
      <c r="G1426" t="s">
        <v>33</v>
      </c>
      <c r="H1426">
        <v>10</v>
      </c>
      <c r="I1426" t="b">
        <v>1</v>
      </c>
      <c r="J1426" t="s">
        <v>33</v>
      </c>
      <c r="K1426" t="s">
        <v>33</v>
      </c>
      <c r="L1426">
        <v>30</v>
      </c>
      <c r="M1426" s="4">
        <v>2</v>
      </c>
      <c r="N1426" t="e">
        <f>(#REF!*Y1426)/(T1426*X1426*O1426)</f>
        <v>#REF!</v>
      </c>
      <c r="O1426">
        <v>2</v>
      </c>
      <c r="P1426" t="s">
        <v>33</v>
      </c>
      <c r="Q1426" s="1">
        <f>IFERROR(X1426/Z1426, "NA")</f>
        <v>7.1</v>
      </c>
      <c r="R1426" t="s">
        <v>183</v>
      </c>
      <c r="S1426" t="s">
        <v>613</v>
      </c>
      <c r="T1426">
        <v>1</v>
      </c>
      <c r="U1426">
        <v>5</v>
      </c>
      <c r="V1426" t="s">
        <v>33</v>
      </c>
      <c r="W1426">
        <v>0.71</v>
      </c>
      <c r="X1426">
        <f>W1426</f>
        <v>0.71</v>
      </c>
      <c r="Y1426">
        <v>0.1</v>
      </c>
      <c r="Z1426" s="3">
        <f>Y1426</f>
        <v>0.1</v>
      </c>
      <c r="AA1426" s="3">
        <v>14.8409893992932</v>
      </c>
      <c r="AB1426">
        <f>IFERROR(((X1426*M1426)/Y1426), "NA")</f>
        <v>14.2</v>
      </c>
      <c r="AC1426" s="1" t="str">
        <f t="shared" si="716"/>
        <v>NA</v>
      </c>
      <c r="AE1426" s="3">
        <f t="shared" si="717"/>
        <v>521.42399999999998</v>
      </c>
      <c r="AF1426" t="s">
        <v>33</v>
      </c>
      <c r="AG1426" s="1">
        <f>IFERROR((M1426*O1426*Q1426), "NA")</f>
        <v>28.4</v>
      </c>
      <c r="AH1426" s="1">
        <f>IFERROR((AG1426*U1426*AI1426), "NA")</f>
        <v>568</v>
      </c>
      <c r="AI1426" s="1">
        <v>4</v>
      </c>
      <c r="AJ1426" s="11" t="s">
        <v>31</v>
      </c>
      <c r="AK1426">
        <f>5100</f>
        <v>5100</v>
      </c>
      <c r="AL1426" t="s">
        <v>561</v>
      </c>
      <c r="AM1426" s="3" t="s">
        <v>786</v>
      </c>
      <c r="AN1426" t="s">
        <v>186</v>
      </c>
      <c r="AO1426" t="s">
        <v>793</v>
      </c>
      <c r="AP1426" t="s">
        <v>33</v>
      </c>
      <c r="AQ1426" t="s">
        <v>33</v>
      </c>
      <c r="AR1426" t="s">
        <v>33</v>
      </c>
      <c r="AS1426">
        <v>8</v>
      </c>
      <c r="AT1426">
        <f>AS1426-AU1426</f>
        <v>6.88</v>
      </c>
      <c r="AU1426" s="6">
        <v>1.1200000000000001</v>
      </c>
      <c r="AV1426" t="b">
        <v>1</v>
      </c>
      <c r="AW1426" t="s">
        <v>617</v>
      </c>
      <c r="AX1426" t="s">
        <v>624</v>
      </c>
      <c r="AY1426" t="s">
        <v>622</v>
      </c>
      <c r="AZ1426" t="s">
        <v>33</v>
      </c>
      <c r="BA1426" s="18" t="s">
        <v>802</v>
      </c>
      <c r="BB1426" s="3" t="b">
        <v>0</v>
      </c>
      <c r="BC1426" t="s">
        <v>81</v>
      </c>
      <c r="BD1426">
        <v>18</v>
      </c>
      <c r="BE1426" t="s">
        <v>80</v>
      </c>
      <c r="BF1426">
        <v>24</v>
      </c>
      <c r="BG1426" t="s">
        <v>696</v>
      </c>
      <c r="BH1426" t="s">
        <v>32</v>
      </c>
      <c r="BI1426" t="s">
        <v>31</v>
      </c>
      <c r="BJ1426">
        <f t="shared" si="707"/>
        <v>1.1200000000000001</v>
      </c>
      <c r="BK1426" s="3">
        <f t="shared" si="706"/>
        <v>4.9218022670181653E-2</v>
      </c>
      <c r="BL1426">
        <v>2</v>
      </c>
      <c r="BM1426" s="3">
        <f t="shared" si="700"/>
        <v>2.6679729942420796</v>
      </c>
      <c r="BN1426" t="s">
        <v>33</v>
      </c>
      <c r="BO1426" s="3">
        <f t="shared" si="713"/>
        <v>465.55714285714282</v>
      </c>
      <c r="BP1426" t="s">
        <v>33</v>
      </c>
      <c r="BQ1426" t="s">
        <v>33</v>
      </c>
      <c r="BR1426" t="s">
        <v>33</v>
      </c>
      <c r="BS1426" t="s">
        <v>33</v>
      </c>
      <c r="BT1426" t="s">
        <v>31</v>
      </c>
      <c r="BU1426" t="s">
        <v>338</v>
      </c>
      <c r="BV1426">
        <v>2006</v>
      </c>
      <c r="BW1426" t="s">
        <v>339</v>
      </c>
      <c r="BX1426" t="s">
        <v>78</v>
      </c>
      <c r="BY1426" s="13" t="s">
        <v>682</v>
      </c>
      <c r="CA1426" t="str">
        <f t="shared" si="715"/>
        <v>low acid</v>
      </c>
    </row>
    <row r="1427" spans="1:79">
      <c r="A1427" t="s">
        <v>341</v>
      </c>
      <c r="B1427" t="s">
        <v>566</v>
      </c>
      <c r="C1427" t="s">
        <v>563</v>
      </c>
      <c r="D1427" t="s">
        <v>336</v>
      </c>
      <c r="E1427" t="s">
        <v>77</v>
      </c>
      <c r="F1427" t="s">
        <v>32</v>
      </c>
      <c r="G1427">
        <v>20</v>
      </c>
      <c r="H1427">
        <v>23</v>
      </c>
      <c r="I1427" t="b">
        <v>0</v>
      </c>
      <c r="J1427" t="s">
        <v>33</v>
      </c>
      <c r="K1427" t="s">
        <v>33</v>
      </c>
      <c r="L1427">
        <v>30</v>
      </c>
      <c r="M1427" s="4">
        <v>2</v>
      </c>
      <c r="N1427" s="3">
        <f>IFERROR(AF1427/((T1427*X1427/Y1427)*O1427*AI1427),"NA")</f>
        <v>2.1126760563380285</v>
      </c>
      <c r="O1427">
        <v>2</v>
      </c>
      <c r="P1427" t="s">
        <v>33</v>
      </c>
      <c r="Q1427" s="8">
        <f>IFERROR(X1427/Z1427, "NA")</f>
        <v>7.5</v>
      </c>
      <c r="R1427" t="s">
        <v>183</v>
      </c>
      <c r="S1427" t="s">
        <v>613</v>
      </c>
      <c r="T1427" s="11">
        <v>1</v>
      </c>
      <c r="U1427">
        <v>5</v>
      </c>
      <c r="V1427" t="s">
        <v>33</v>
      </c>
      <c r="W1427">
        <v>0.71</v>
      </c>
      <c r="X1427" s="8">
        <f>W1427</f>
        <v>0.71</v>
      </c>
      <c r="Y1427">
        <f>6/60</f>
        <v>0.1</v>
      </c>
      <c r="Z1427" s="3">
        <f t="shared" ref="Z1427:Z1432" si="718">IFERROR(X1427*M1427*O1427*T1427*AI1427/AF1427, "NA")</f>
        <v>9.4666666666666663E-2</v>
      </c>
      <c r="AA1427">
        <v>15</v>
      </c>
      <c r="AB1427" s="6">
        <f>IFERROR(((X1427*M1427)/Z1427), "NA")</f>
        <v>15</v>
      </c>
      <c r="AC1427" t="str">
        <f t="shared" si="716"/>
        <v>NA</v>
      </c>
      <c r="AD1427" s="4">
        <f>AB1427*T1427*AI1427</f>
        <v>45</v>
      </c>
      <c r="AE1427" s="3">
        <f t="shared" si="717"/>
        <v>518.4</v>
      </c>
      <c r="AF1427">
        <f>AI1427*AA1427*O1427</f>
        <v>90</v>
      </c>
      <c r="AG1427" t="str">
        <f>IFERROR((M1427*O1427*P1427), "NA")</f>
        <v>NA</v>
      </c>
      <c r="AH1427" t="str">
        <f>IFERROR((AG1427*T1427*AI1427), "NA")</f>
        <v>NA</v>
      </c>
      <c r="AI1427">
        <v>3</v>
      </c>
      <c r="AJ1427" s="11" t="s">
        <v>32</v>
      </c>
      <c r="AK1427">
        <v>6400</v>
      </c>
      <c r="AL1427" t="s">
        <v>561</v>
      </c>
      <c r="AM1427" s="3" t="s">
        <v>786</v>
      </c>
      <c r="AN1427" t="s">
        <v>186</v>
      </c>
      <c r="AO1427" t="s">
        <v>793</v>
      </c>
      <c r="AP1427" t="s">
        <v>33</v>
      </c>
      <c r="AQ1427" t="s">
        <v>33</v>
      </c>
      <c r="AR1427" t="s">
        <v>33</v>
      </c>
      <c r="AS1427" s="6">
        <f>LOG(10^8)</f>
        <v>8</v>
      </c>
      <c r="AT1427" s="3">
        <f>IFERROR(AS1427-AU1427,"NA")</f>
        <v>6.8810000000000002</v>
      </c>
      <c r="AU1427" s="6">
        <v>1.119</v>
      </c>
      <c r="AV1427" t="b">
        <v>1</v>
      </c>
      <c r="AW1427" t="s">
        <v>29</v>
      </c>
      <c r="AX1427" t="s">
        <v>30</v>
      </c>
      <c r="AY1427" t="s">
        <v>33</v>
      </c>
      <c r="AZ1427" t="s">
        <v>134</v>
      </c>
      <c r="BA1427" s="18" t="s">
        <v>798</v>
      </c>
      <c r="BB1427" t="b">
        <v>0</v>
      </c>
      <c r="BC1427" t="s">
        <v>81</v>
      </c>
      <c r="BD1427">
        <v>18</v>
      </c>
      <c r="BE1427" t="s">
        <v>80</v>
      </c>
      <c r="BF1427" s="11">
        <v>24</v>
      </c>
      <c r="BG1427" t="s">
        <v>694</v>
      </c>
      <c r="BH1427" t="s">
        <v>31</v>
      </c>
      <c r="BI1427" t="s">
        <v>31</v>
      </c>
      <c r="BJ1427" s="3">
        <f t="shared" si="707"/>
        <v>1.119</v>
      </c>
      <c r="BK1427" s="3">
        <f t="shared" si="706"/>
        <v>4.8830086528350039E-2</v>
      </c>
      <c r="BL1427">
        <v>2</v>
      </c>
      <c r="BM1427" s="3">
        <f t="shared" ref="BM1427:BM1490" si="719">IFERROR(LOG(BO1427),"NA")</f>
        <v>2.6658349063341866</v>
      </c>
      <c r="BN1427" t="s">
        <v>33</v>
      </c>
      <c r="BO1427" s="3">
        <f t="shared" si="713"/>
        <v>463.27077747989273</v>
      </c>
      <c r="BP1427" t="s">
        <v>33</v>
      </c>
      <c r="BQ1427" t="s">
        <v>33</v>
      </c>
      <c r="BR1427" t="s">
        <v>33</v>
      </c>
      <c r="BS1427" t="s">
        <v>33</v>
      </c>
      <c r="BT1427" t="s">
        <v>31</v>
      </c>
      <c r="BU1427" t="s">
        <v>338</v>
      </c>
      <c r="BV1427">
        <v>2006</v>
      </c>
      <c r="BW1427" t="s">
        <v>339</v>
      </c>
      <c r="BX1427" t="s">
        <v>78</v>
      </c>
      <c r="BY1427" t="s">
        <v>340</v>
      </c>
      <c r="BZ1427" t="s">
        <v>337</v>
      </c>
      <c r="CA1427" t="str">
        <f t="shared" si="715"/>
        <v>low acid</v>
      </c>
    </row>
    <row r="1428" spans="1:79">
      <c r="A1428" t="s">
        <v>698</v>
      </c>
      <c r="B1428" t="s">
        <v>566</v>
      </c>
      <c r="C1428" t="s">
        <v>563</v>
      </c>
      <c r="D1428" t="s">
        <v>699</v>
      </c>
      <c r="E1428" t="s">
        <v>77</v>
      </c>
      <c r="F1428" t="s">
        <v>32</v>
      </c>
      <c r="G1428">
        <v>20</v>
      </c>
      <c r="H1428">
        <v>41</v>
      </c>
      <c r="I1428" t="b">
        <v>1</v>
      </c>
      <c r="J1428" t="s">
        <v>33</v>
      </c>
      <c r="K1428" t="s">
        <v>33</v>
      </c>
      <c r="L1428">
        <v>20</v>
      </c>
      <c r="M1428" s="4">
        <v>30</v>
      </c>
      <c r="N1428" s="3">
        <f>IFERROR(AF1428/((T1428*X1428/Y1428)*O1428*AI1428),"NA")</f>
        <v>29.861111111111104</v>
      </c>
      <c r="O1428">
        <v>5</v>
      </c>
      <c r="P1428">
        <v>0.43</v>
      </c>
      <c r="Q1428" s="8">
        <f>IFERROR(X1428/Y1428, "NA")</f>
        <v>0.43200000000000011</v>
      </c>
      <c r="R1428" t="s">
        <v>183</v>
      </c>
      <c r="S1428" t="s">
        <v>612</v>
      </c>
      <c r="T1428" s="11">
        <v>1</v>
      </c>
      <c r="U1428">
        <v>4</v>
      </c>
      <c r="V1428" t="s">
        <v>33</v>
      </c>
      <c r="W1428">
        <f>0.4*3*0.5</f>
        <v>0.60000000000000009</v>
      </c>
      <c r="X1428" s="9">
        <f>W1428</f>
        <v>0.60000000000000009</v>
      </c>
      <c r="Y1428" s="6">
        <f>5000/3600</f>
        <v>1.3888888888888888</v>
      </c>
      <c r="Z1428" s="3">
        <f t="shared" si="718"/>
        <v>1.3953488372093026</v>
      </c>
      <c r="AA1428" t="s">
        <v>33</v>
      </c>
      <c r="AB1428" s="4">
        <f>IFERROR(((X1428*M1428)/Y1428), "NA")</f>
        <v>12.960000000000003</v>
      </c>
      <c r="AC1428" s="4">
        <f t="shared" si="716"/>
        <v>12.9</v>
      </c>
      <c r="AD1428" s="4">
        <f>AB1428*T1428*AI1428</f>
        <v>12.960000000000003</v>
      </c>
      <c r="AE1428" s="3">
        <f t="shared" si="717"/>
        <v>51.840000000000011</v>
      </c>
      <c r="AF1428">
        <v>64.5</v>
      </c>
      <c r="AG1428" s="4">
        <f>IFERROR((M1428*O1428*P1428), "NA")</f>
        <v>64.5</v>
      </c>
      <c r="AH1428" s="4">
        <f>IFERROR((AG1428*T1428*AI1428), "NA")</f>
        <v>64.5</v>
      </c>
      <c r="AI1428">
        <v>1</v>
      </c>
      <c r="AJ1428" s="11" t="s">
        <v>31</v>
      </c>
      <c r="AK1428">
        <v>2000</v>
      </c>
      <c r="AL1428" t="s">
        <v>784</v>
      </c>
      <c r="AM1428" t="s">
        <v>103</v>
      </c>
      <c r="AN1428" t="s">
        <v>130</v>
      </c>
      <c r="AO1428" t="s">
        <v>795</v>
      </c>
      <c r="AP1428">
        <v>7</v>
      </c>
      <c r="AQ1428" t="s">
        <v>33</v>
      </c>
      <c r="AR1428" t="s">
        <v>33</v>
      </c>
      <c r="AS1428" s="6">
        <f>LOG(AVERAGE(10^8, 10^9))</f>
        <v>8.7403626894942441</v>
      </c>
      <c r="AT1428" s="3">
        <f>IFERROR(AS1428-AU1428,"NA")</f>
        <v>6.8873626894942443</v>
      </c>
      <c r="AU1428" s="6">
        <v>1.853</v>
      </c>
      <c r="AV1428" t="b">
        <v>1</v>
      </c>
      <c r="AW1428" t="s">
        <v>29</v>
      </c>
      <c r="AX1428" t="s">
        <v>30</v>
      </c>
      <c r="AY1428" t="s">
        <v>361</v>
      </c>
      <c r="AZ1428" t="s">
        <v>33</v>
      </c>
      <c r="BA1428" s="18" t="s">
        <v>798</v>
      </c>
      <c r="BB1428" s="3" t="b">
        <v>0</v>
      </c>
      <c r="BC1428" t="s">
        <v>81</v>
      </c>
      <c r="BD1428">
        <v>24</v>
      </c>
      <c r="BE1428" t="s">
        <v>80</v>
      </c>
      <c r="BF1428">
        <v>24</v>
      </c>
      <c r="BG1428" t="s">
        <v>568</v>
      </c>
      <c r="BH1428" t="s">
        <v>31</v>
      </c>
      <c r="BI1428" t="s">
        <v>31</v>
      </c>
      <c r="BJ1428" s="3">
        <f t="shared" si="707"/>
        <v>1.853</v>
      </c>
      <c r="BK1428" s="3">
        <f t="shared" si="706"/>
        <v>0.26787541931889758</v>
      </c>
      <c r="BL1428">
        <v>2</v>
      </c>
      <c r="BM1428" s="3">
        <f t="shared" si="719"/>
        <v>1.4467895735436396</v>
      </c>
      <c r="BN1428" t="s">
        <v>33</v>
      </c>
      <c r="BO1428" s="3">
        <f t="shared" si="713"/>
        <v>27.976254722072323</v>
      </c>
      <c r="BP1428" t="s">
        <v>33</v>
      </c>
      <c r="BQ1428" t="s">
        <v>33</v>
      </c>
      <c r="BR1428" t="s">
        <v>33</v>
      </c>
      <c r="BS1428" t="s">
        <v>33</v>
      </c>
      <c r="BT1428" t="s">
        <v>32</v>
      </c>
      <c r="BU1428" t="s">
        <v>709</v>
      </c>
      <c r="BV1428">
        <v>2024</v>
      </c>
      <c r="BW1428" t="s">
        <v>710</v>
      </c>
      <c r="BX1428" t="s">
        <v>78</v>
      </c>
      <c r="BY1428" t="s">
        <v>711</v>
      </c>
      <c r="CA1428" t="str">
        <f t="shared" si="715"/>
        <v>low acid</v>
      </c>
    </row>
    <row r="1429" spans="1:79">
      <c r="A1429" t="s">
        <v>146</v>
      </c>
      <c r="B1429" t="s">
        <v>565</v>
      </c>
      <c r="C1429" t="s">
        <v>563</v>
      </c>
      <c r="D1429" t="s">
        <v>118</v>
      </c>
      <c r="E1429" t="s">
        <v>77</v>
      </c>
      <c r="F1429" t="s">
        <v>32</v>
      </c>
      <c r="G1429">
        <v>10</v>
      </c>
      <c r="H1429" t="s">
        <v>33</v>
      </c>
      <c r="I1429" t="b">
        <v>0</v>
      </c>
      <c r="J1429" t="s">
        <v>33</v>
      </c>
      <c r="K1429" t="s">
        <v>33</v>
      </c>
      <c r="L1429">
        <v>17</v>
      </c>
      <c r="M1429" s="4">
        <v>500</v>
      </c>
      <c r="N1429" s="3">
        <f>IFERROR(AF1429/((T1429*X1429/Y1429)*O1429*AI1429),"NA")</f>
        <v>503.35454362283343</v>
      </c>
      <c r="O1429">
        <v>3</v>
      </c>
      <c r="P1429" t="s">
        <v>33</v>
      </c>
      <c r="Q1429" s="8">
        <f>IFERROR(X1429/Z1429, "NA")</f>
        <v>1.4555555555555556E-2</v>
      </c>
      <c r="R1429" t="s">
        <v>183</v>
      </c>
      <c r="S1429" t="s">
        <v>613</v>
      </c>
      <c r="T1429" s="11">
        <v>6</v>
      </c>
      <c r="U1429">
        <v>2.9</v>
      </c>
      <c r="V1429">
        <v>2.2999999999999998</v>
      </c>
      <c r="W1429">
        <v>0.36420000000000002</v>
      </c>
      <c r="X1429" s="8">
        <f>IFERROR(((PI())*(((V1429*10^-1)/2)^2)*(U1429*10^-1)), "NA")</f>
        <v>1.204879322468025E-2</v>
      </c>
      <c r="Y1429" s="6">
        <f>50/60</f>
        <v>0.83333333333333337</v>
      </c>
      <c r="Z1429" s="3">
        <f t="shared" si="718"/>
        <v>0.82777968719177286</v>
      </c>
      <c r="AA1429" t="s">
        <v>33</v>
      </c>
      <c r="AB1429" s="6">
        <f>IFERROR(((X1429*M1429)/Z1429), "NA")</f>
        <v>7.2777777777777786</v>
      </c>
      <c r="AC1429" t="str">
        <f t="shared" si="716"/>
        <v>NA</v>
      </c>
      <c r="AD1429" s="4">
        <f>IFERROR(AB1429*T1429*AI1429, "NA")</f>
        <v>43.666666666666671</v>
      </c>
      <c r="AE1429" s="3">
        <f t="shared" si="717"/>
        <v>132.50649999999999</v>
      </c>
      <c r="AF1429">
        <v>131</v>
      </c>
      <c r="AG1429" t="str">
        <f>IFERROR((M1429*O1429*P1429), "NA")</f>
        <v>NA</v>
      </c>
      <c r="AH1429" t="str">
        <f>IFERROR((AG1429*T1429*AI1429), "NA")</f>
        <v>NA</v>
      </c>
      <c r="AI1429" s="11">
        <v>1</v>
      </c>
      <c r="AJ1429" t="s">
        <v>31</v>
      </c>
      <c r="AK1429">
        <v>3500</v>
      </c>
      <c r="AL1429" t="s">
        <v>145</v>
      </c>
      <c r="AM1429" t="s">
        <v>86</v>
      </c>
      <c r="AN1429" t="s">
        <v>205</v>
      </c>
      <c r="AO1429" t="s">
        <v>789</v>
      </c>
      <c r="AP1429">
        <v>3.18</v>
      </c>
      <c r="AQ1429" t="s">
        <v>33</v>
      </c>
      <c r="AR1429" t="s">
        <v>33</v>
      </c>
      <c r="AS1429" s="3">
        <v>7.6529999999999996</v>
      </c>
      <c r="AT1429" s="3">
        <f>IFERROR(AS1429-AU1429,"NA")</f>
        <v>6.8929999999999998</v>
      </c>
      <c r="AU1429" s="6">
        <v>0.76</v>
      </c>
      <c r="AV1429" t="b">
        <v>1</v>
      </c>
      <c r="AW1429" t="s">
        <v>29</v>
      </c>
      <c r="AX1429" t="s">
        <v>30</v>
      </c>
      <c r="AY1429" t="s">
        <v>33</v>
      </c>
      <c r="AZ1429" t="s">
        <v>134</v>
      </c>
      <c r="BA1429" s="18" t="s">
        <v>798</v>
      </c>
      <c r="BB1429" t="b">
        <v>0</v>
      </c>
      <c r="BC1429" t="s">
        <v>81</v>
      </c>
      <c r="BD1429">
        <f>(48+24)/2</f>
        <v>36</v>
      </c>
      <c r="BE1429" t="s">
        <v>80</v>
      </c>
      <c r="BF1429" s="11">
        <f>(48+24)/2</f>
        <v>36</v>
      </c>
      <c r="BG1429" t="s">
        <v>139</v>
      </c>
      <c r="BH1429" t="s">
        <v>31</v>
      </c>
      <c r="BI1429" t="s">
        <v>31</v>
      </c>
      <c r="BJ1429" s="3">
        <f t="shared" si="707"/>
        <v>0.76</v>
      </c>
      <c r="BK1429" s="3">
        <f t="shared" si="706"/>
        <v>-0.11918640771920865</v>
      </c>
      <c r="BL1429">
        <v>2</v>
      </c>
      <c r="BM1429" s="3">
        <f t="shared" si="719"/>
        <v>2.2414235904817965</v>
      </c>
      <c r="BN1429" t="s">
        <v>33</v>
      </c>
      <c r="BO1429" s="3">
        <f t="shared" si="713"/>
        <v>174.35065789473683</v>
      </c>
      <c r="BP1429" t="s">
        <v>33</v>
      </c>
      <c r="BQ1429" t="s">
        <v>33</v>
      </c>
      <c r="BR1429" t="s">
        <v>33</v>
      </c>
      <c r="BS1429" t="s">
        <v>33</v>
      </c>
      <c r="BT1429" t="s">
        <v>31</v>
      </c>
      <c r="BU1429" t="s">
        <v>135</v>
      </c>
      <c r="BV1429">
        <v>2010</v>
      </c>
      <c r="BW1429" s="1" t="s">
        <v>140</v>
      </c>
      <c r="BX1429" t="s">
        <v>78</v>
      </c>
      <c r="BY1429" t="s">
        <v>33</v>
      </c>
      <c r="BZ1429" t="s">
        <v>33</v>
      </c>
      <c r="CA1429" t="str">
        <f t="shared" si="715"/>
        <v>high acid</v>
      </c>
    </row>
    <row r="1430" spans="1:79">
      <c r="A1430" t="s">
        <v>415</v>
      </c>
      <c r="B1430" t="s">
        <v>565</v>
      </c>
      <c r="C1430" t="s">
        <v>563</v>
      </c>
      <c r="D1430" t="s">
        <v>33</v>
      </c>
      <c r="E1430" t="s">
        <v>77</v>
      </c>
      <c r="F1430" t="s">
        <v>32</v>
      </c>
      <c r="G1430">
        <v>25</v>
      </c>
      <c r="H1430">
        <v>29.6</v>
      </c>
      <c r="I1430" t="b">
        <v>0</v>
      </c>
      <c r="J1430">
        <v>4125</v>
      </c>
      <c r="K1430">
        <v>11.3</v>
      </c>
      <c r="L1430">
        <v>15</v>
      </c>
      <c r="M1430" s="4">
        <v>250</v>
      </c>
      <c r="N1430" s="3">
        <f>IFERROR(AF1430/((T1430*X1430/Y1430)*O1430*AI1430),"NA")</f>
        <v>251.11113243387931</v>
      </c>
      <c r="O1430">
        <v>4</v>
      </c>
      <c r="P1430" t="s">
        <v>33</v>
      </c>
      <c r="Q1430" s="8">
        <f>IFERROR(X1430/Z1430, "NA")</f>
        <v>1.4200000000000001E-2</v>
      </c>
      <c r="R1430" t="s">
        <v>183</v>
      </c>
      <c r="S1430" t="s">
        <v>612</v>
      </c>
      <c r="T1430" s="11">
        <v>6</v>
      </c>
      <c r="U1430">
        <v>2.7</v>
      </c>
      <c r="V1430">
        <v>2</v>
      </c>
      <c r="W1430">
        <v>8.5000000000000006E-3</v>
      </c>
      <c r="X1430" s="9">
        <f>IFERROR(((PI())*(((V1430*10^-1)/2)^2)*(U1430*10^-1)), "NA")</f>
        <v>8.4823001646924419E-3</v>
      </c>
      <c r="Y1430" s="6">
        <f>36/60</f>
        <v>0.6</v>
      </c>
      <c r="Z1430" s="3">
        <f t="shared" si="718"/>
        <v>0.59734508202059444</v>
      </c>
      <c r="AA1430">
        <f>21.3/6</f>
        <v>3.5500000000000003</v>
      </c>
      <c r="AB1430" s="6">
        <f>IFERROR(((X1430*M1430)/Y1430), "NA")</f>
        <v>3.5342917352885173</v>
      </c>
      <c r="AC1430" t="str">
        <f t="shared" si="716"/>
        <v>NA</v>
      </c>
      <c r="AD1430" s="4">
        <f>IFERROR(AB1430*T1430*AI1430, "NA")</f>
        <v>21.205750411731103</v>
      </c>
      <c r="AE1430" s="3">
        <f t="shared" si="717"/>
        <v>76.680000000000007</v>
      </c>
      <c r="AF1430">
        <f>AI1430*T1430*O1430*AA1430</f>
        <v>85.2</v>
      </c>
      <c r="AG1430" t="str">
        <f>IFERROR((M1430*O1430*P1430), "NA")</f>
        <v>NA</v>
      </c>
      <c r="AH1430" t="str">
        <f>IFERROR((AG1430*T1430*AI1430), "NA")</f>
        <v>NA</v>
      </c>
      <c r="AI1430" s="11">
        <v>1</v>
      </c>
      <c r="AJ1430" t="s">
        <v>31</v>
      </c>
      <c r="AK1430">
        <v>4000</v>
      </c>
      <c r="AL1430" t="s">
        <v>416</v>
      </c>
      <c r="AM1430" t="s">
        <v>103</v>
      </c>
      <c r="AN1430" t="s">
        <v>130</v>
      </c>
      <c r="AO1430" t="s">
        <v>795</v>
      </c>
      <c r="AP1430" s="4">
        <v>6</v>
      </c>
      <c r="AQ1430" t="s">
        <v>33</v>
      </c>
      <c r="AR1430" t="s">
        <v>33</v>
      </c>
      <c r="AS1430" s="3">
        <f>LOG(10^8)</f>
        <v>8</v>
      </c>
      <c r="AT1430" s="3">
        <f>IFERROR(AS1430-AU1430,"NA")</f>
        <v>6.9</v>
      </c>
      <c r="AU1430" s="6">
        <v>1.1000000000000001</v>
      </c>
      <c r="AV1430" t="b">
        <v>1</v>
      </c>
      <c r="AW1430" t="s">
        <v>29</v>
      </c>
      <c r="AX1430" t="s">
        <v>30</v>
      </c>
      <c r="AY1430" t="s">
        <v>226</v>
      </c>
      <c r="AZ1430" t="s">
        <v>33</v>
      </c>
      <c r="BA1430" s="18" t="s">
        <v>798</v>
      </c>
      <c r="BB1430" t="b">
        <v>0</v>
      </c>
      <c r="BC1430" t="s">
        <v>81</v>
      </c>
      <c r="BD1430">
        <v>14</v>
      </c>
      <c r="BE1430" t="s">
        <v>80</v>
      </c>
      <c r="BF1430" s="11">
        <v>48</v>
      </c>
      <c r="BG1430" t="s">
        <v>139</v>
      </c>
      <c r="BH1430" t="s">
        <v>31</v>
      </c>
      <c r="BI1430" t="s">
        <v>31</v>
      </c>
      <c r="BJ1430" s="3">
        <f t="shared" si="707"/>
        <v>1.1000000000000001</v>
      </c>
      <c r="BK1430" s="3">
        <f t="shared" si="706"/>
        <v>4.1392685158225077E-2</v>
      </c>
      <c r="BL1430">
        <v>2</v>
      </c>
      <c r="BM1430" s="3">
        <f t="shared" si="719"/>
        <v>1.8432894190478</v>
      </c>
      <c r="BN1430" t="s">
        <v>33</v>
      </c>
      <c r="BO1430" s="3">
        <f t="shared" si="713"/>
        <v>69.709090909090904</v>
      </c>
      <c r="BP1430" t="s">
        <v>33</v>
      </c>
      <c r="BQ1430" t="s">
        <v>33</v>
      </c>
      <c r="BR1430" t="s">
        <v>33</v>
      </c>
      <c r="BS1430" t="s">
        <v>33</v>
      </c>
      <c r="BT1430" t="s">
        <v>31</v>
      </c>
      <c r="BU1430" t="s">
        <v>227</v>
      </c>
      <c r="BV1430">
        <v>2004</v>
      </c>
      <c r="BW1430" t="s">
        <v>417</v>
      </c>
      <c r="BX1430" t="s">
        <v>78</v>
      </c>
      <c r="BY1430" t="s">
        <v>33</v>
      </c>
      <c r="BZ1430" t="s">
        <v>33</v>
      </c>
      <c r="CA1430" t="str">
        <f t="shared" si="715"/>
        <v>low acid</v>
      </c>
    </row>
    <row r="1431" spans="1:79">
      <c r="A1431" t="s">
        <v>592</v>
      </c>
      <c r="B1431" t="s">
        <v>566</v>
      </c>
      <c r="C1431" t="s">
        <v>563</v>
      </c>
      <c r="D1431" t="s">
        <v>607</v>
      </c>
      <c r="E1431" t="s">
        <v>77</v>
      </c>
      <c r="F1431" t="s">
        <v>32</v>
      </c>
      <c r="G1431" t="s">
        <v>33</v>
      </c>
      <c r="H1431">
        <v>35</v>
      </c>
      <c r="I1431" t="b">
        <v>0</v>
      </c>
      <c r="J1431">
        <v>30000</v>
      </c>
      <c r="K1431">
        <v>200</v>
      </c>
      <c r="L1431">
        <v>15</v>
      </c>
      <c r="M1431" s="4">
        <v>1</v>
      </c>
      <c r="N1431" t="e">
        <f>(#REF!*Y1431)/(T1431*X1431*O1431)</f>
        <v>#REF!</v>
      </c>
      <c r="O1431">
        <v>3</v>
      </c>
      <c r="P1431" t="s">
        <v>33</v>
      </c>
      <c r="Q1431" s="1">
        <f>IFERROR(X1431/Z1431, "NA")</f>
        <v>100.66666666666667</v>
      </c>
      <c r="R1431" t="s">
        <v>183</v>
      </c>
      <c r="S1431" t="s">
        <v>33</v>
      </c>
      <c r="T1431">
        <v>1</v>
      </c>
      <c r="U1431">
        <v>2.5</v>
      </c>
      <c r="V1431" t="s">
        <v>33</v>
      </c>
      <c r="W1431">
        <v>0.50249999999999995</v>
      </c>
      <c r="X1431">
        <f>W1431</f>
        <v>0.50249999999999995</v>
      </c>
      <c r="Y1431" t="s">
        <v>33</v>
      </c>
      <c r="Z1431" s="3">
        <f t="shared" si="718"/>
        <v>4.991721854304635E-3</v>
      </c>
      <c r="AA1431" t="s">
        <v>33</v>
      </c>
      <c r="AB1431">
        <f>IFERROR(((X1431*M1431)/Z1431), "NA")</f>
        <v>100.66666666666667</v>
      </c>
      <c r="AC1431" s="1" t="str">
        <f t="shared" si="716"/>
        <v>NA</v>
      </c>
      <c r="AE1431" s="3">
        <f t="shared" si="717"/>
        <v>67.95</v>
      </c>
      <c r="AF1431">
        <v>302</v>
      </c>
      <c r="AG1431" s="1" t="str">
        <f>IFERROR((N1431*P1431*Q1431), "NA")</f>
        <v>NA</v>
      </c>
      <c r="AH1431" s="1" t="str">
        <f>IFERROR((AG1431*U1431*AI1431), "NA")</f>
        <v>NA</v>
      </c>
      <c r="AI1431" s="1">
        <v>1</v>
      </c>
      <c r="AJ1431" s="11" t="s">
        <v>31</v>
      </c>
      <c r="AK1431">
        <v>1000</v>
      </c>
      <c r="AL1431" t="s">
        <v>614</v>
      </c>
      <c r="AM1431" s="3" t="s">
        <v>103</v>
      </c>
      <c r="AN1431" t="s">
        <v>130</v>
      </c>
      <c r="AO1431" t="s">
        <v>795</v>
      </c>
      <c r="AP1431">
        <v>7</v>
      </c>
      <c r="AQ1431" t="s">
        <v>33</v>
      </c>
      <c r="AR1431" t="s">
        <v>33</v>
      </c>
      <c r="AS1431">
        <v>8</v>
      </c>
      <c r="AT1431">
        <f>AS1431-AU1431</f>
        <v>6.9</v>
      </c>
      <c r="AU1431" s="6">
        <v>1.1000000000000001</v>
      </c>
      <c r="AV1431" t="b">
        <v>1</v>
      </c>
      <c r="AW1431" t="s">
        <v>626</v>
      </c>
      <c r="AX1431" t="s">
        <v>627</v>
      </c>
      <c r="AY1431" t="s">
        <v>633</v>
      </c>
      <c r="AZ1431" t="s">
        <v>33</v>
      </c>
      <c r="BA1431" s="18" t="s">
        <v>800</v>
      </c>
      <c r="BB1431" s="3" t="b">
        <v>0</v>
      </c>
      <c r="BC1431" t="s">
        <v>81</v>
      </c>
      <c r="BD1431">
        <v>24</v>
      </c>
      <c r="BE1431" t="s">
        <v>80</v>
      </c>
      <c r="BF1431">
        <v>48</v>
      </c>
      <c r="BG1431" t="s">
        <v>569</v>
      </c>
      <c r="BH1431" t="s">
        <v>31</v>
      </c>
      <c r="BI1431" t="s">
        <v>31</v>
      </c>
      <c r="BJ1431">
        <f t="shared" si="707"/>
        <v>1.1000000000000001</v>
      </c>
      <c r="BK1431" s="3">
        <f t="shared" si="706"/>
        <v>4.1392685158225077E-2</v>
      </c>
      <c r="BL1431">
        <v>2</v>
      </c>
      <c r="BM1431" s="3">
        <f t="shared" si="719"/>
        <v>1.7907967759102881</v>
      </c>
      <c r="BN1431" t="s">
        <v>33</v>
      </c>
      <c r="BO1431" s="3">
        <f t="shared" si="713"/>
        <v>61.772727272727273</v>
      </c>
      <c r="BP1431" t="s">
        <v>33</v>
      </c>
      <c r="BQ1431" t="s">
        <v>33</v>
      </c>
      <c r="BR1431" t="s">
        <v>33</v>
      </c>
      <c r="BS1431" t="s">
        <v>33</v>
      </c>
      <c r="BT1431" t="s">
        <v>31</v>
      </c>
      <c r="BU1431" s="15" t="s">
        <v>255</v>
      </c>
      <c r="BV1431">
        <v>2010</v>
      </c>
      <c r="BW1431" t="s">
        <v>659</v>
      </c>
      <c r="BX1431" t="s">
        <v>78</v>
      </c>
      <c r="BY1431" s="13" t="s">
        <v>680</v>
      </c>
      <c r="CA1431" t="str">
        <f t="shared" si="715"/>
        <v>low acid</v>
      </c>
    </row>
    <row r="1432" spans="1:79">
      <c r="A1432" t="s">
        <v>698</v>
      </c>
      <c r="B1432" t="s">
        <v>566</v>
      </c>
      <c r="C1432" t="s">
        <v>563</v>
      </c>
      <c r="D1432" t="s">
        <v>699</v>
      </c>
      <c r="E1432" t="s">
        <v>77</v>
      </c>
      <c r="F1432" t="s">
        <v>32</v>
      </c>
      <c r="G1432">
        <v>20</v>
      </c>
      <c r="H1432">
        <v>41</v>
      </c>
      <c r="I1432" t="b">
        <v>1</v>
      </c>
      <c r="J1432" t="s">
        <v>33</v>
      </c>
      <c r="K1432" t="s">
        <v>33</v>
      </c>
      <c r="L1432">
        <v>20</v>
      </c>
      <c r="M1432" s="4">
        <v>30</v>
      </c>
      <c r="N1432" s="3">
        <f>IFERROR(AF1432/((T1432*X1432/Y1432)*O1432*AI1432),"NA")</f>
        <v>29.861111111111104</v>
      </c>
      <c r="O1432">
        <v>5</v>
      </c>
      <c r="P1432">
        <v>0.43</v>
      </c>
      <c r="Q1432" s="8">
        <f>IFERROR(X1432/Y1432, "NA")</f>
        <v>0.43200000000000011</v>
      </c>
      <c r="R1432" t="s">
        <v>183</v>
      </c>
      <c r="S1432" t="s">
        <v>612</v>
      </c>
      <c r="T1432" s="11">
        <v>1</v>
      </c>
      <c r="U1432">
        <v>4</v>
      </c>
      <c r="V1432" t="s">
        <v>33</v>
      </c>
      <c r="W1432">
        <f>0.4*3*0.5</f>
        <v>0.60000000000000009</v>
      </c>
      <c r="X1432" s="9">
        <f>W1432</f>
        <v>0.60000000000000009</v>
      </c>
      <c r="Y1432" s="6">
        <f>5000/3600</f>
        <v>1.3888888888888888</v>
      </c>
      <c r="Z1432" s="3">
        <f t="shared" si="718"/>
        <v>1.3953488372093026</v>
      </c>
      <c r="AA1432" t="s">
        <v>33</v>
      </c>
      <c r="AB1432" s="4">
        <f>IFERROR(((X1432*M1432)/Y1432), "NA")</f>
        <v>12.960000000000003</v>
      </c>
      <c r="AC1432" s="4">
        <f t="shared" si="716"/>
        <v>12.9</v>
      </c>
      <c r="AD1432" s="4">
        <f>AB1432*T1432*AI1432</f>
        <v>12.960000000000003</v>
      </c>
      <c r="AE1432" s="3">
        <f t="shared" si="717"/>
        <v>51.840000000000011</v>
      </c>
      <c r="AF1432">
        <v>64.5</v>
      </c>
      <c r="AG1432" s="4">
        <f>IFERROR((M1432*O1432*P1432), "NA")</f>
        <v>64.5</v>
      </c>
      <c r="AH1432" s="4">
        <f>IFERROR((AG1432*T1432*AI1432), "NA")</f>
        <v>64.5</v>
      </c>
      <c r="AI1432">
        <v>1</v>
      </c>
      <c r="AJ1432" s="11" t="s">
        <v>31</v>
      </c>
      <c r="AK1432">
        <v>2000</v>
      </c>
      <c r="AL1432" t="s">
        <v>784</v>
      </c>
      <c r="AM1432" t="s">
        <v>103</v>
      </c>
      <c r="AN1432" t="s">
        <v>130</v>
      </c>
      <c r="AO1432" t="s">
        <v>795</v>
      </c>
      <c r="AP1432">
        <v>7</v>
      </c>
      <c r="AQ1432" t="s">
        <v>33</v>
      </c>
      <c r="AR1432" t="s">
        <v>33</v>
      </c>
      <c r="AS1432" s="6">
        <f>LOG(AVERAGE(10^8, 10^9))</f>
        <v>8.7403626894942441</v>
      </c>
      <c r="AT1432" s="3">
        <f>IFERROR(AS1432-AU1432,"NA")</f>
        <v>6.9093626894942446</v>
      </c>
      <c r="AU1432" s="6">
        <v>1.831</v>
      </c>
      <c r="AV1432" t="b">
        <v>1</v>
      </c>
      <c r="AW1432" t="s">
        <v>29</v>
      </c>
      <c r="AX1432" t="s">
        <v>30</v>
      </c>
      <c r="AY1432" t="s">
        <v>708</v>
      </c>
      <c r="AZ1432" t="s">
        <v>33</v>
      </c>
      <c r="BA1432" s="18" t="s">
        <v>798</v>
      </c>
      <c r="BB1432" s="3" t="b">
        <v>0</v>
      </c>
      <c r="BC1432" t="s">
        <v>81</v>
      </c>
      <c r="BD1432">
        <v>24</v>
      </c>
      <c r="BE1432" t="s">
        <v>80</v>
      </c>
      <c r="BF1432">
        <v>24</v>
      </c>
      <c r="BG1432" t="s">
        <v>568</v>
      </c>
      <c r="BH1432" t="s">
        <v>31</v>
      </c>
      <c r="BI1432" t="s">
        <v>31</v>
      </c>
      <c r="BJ1432" s="3">
        <f t="shared" si="707"/>
        <v>1.831</v>
      </c>
      <c r="BK1432" s="3">
        <f t="shared" si="706"/>
        <v>0.26268834430169646</v>
      </c>
      <c r="BL1432">
        <v>2</v>
      </c>
      <c r="BM1432" s="3">
        <f t="shared" si="719"/>
        <v>1.4519766485608405</v>
      </c>
      <c r="BN1432" t="s">
        <v>33</v>
      </c>
      <c r="BO1432" s="3">
        <f t="shared" si="713"/>
        <v>28.312397596941569</v>
      </c>
      <c r="BP1432" t="s">
        <v>33</v>
      </c>
      <c r="BQ1432" t="s">
        <v>33</v>
      </c>
      <c r="BR1432" t="s">
        <v>33</v>
      </c>
      <c r="BS1432" t="s">
        <v>33</v>
      </c>
      <c r="BT1432" t="s">
        <v>32</v>
      </c>
      <c r="BU1432" t="s">
        <v>709</v>
      </c>
      <c r="BV1432">
        <v>2024</v>
      </c>
      <c r="BW1432" t="s">
        <v>710</v>
      </c>
      <c r="BX1432" t="s">
        <v>78</v>
      </c>
      <c r="BY1432" t="s">
        <v>711</v>
      </c>
      <c r="CA1432" t="str">
        <f t="shared" si="715"/>
        <v>low acid</v>
      </c>
    </row>
    <row r="1433" spans="1:79">
      <c r="A1433" t="s">
        <v>459</v>
      </c>
      <c r="B1433" t="s">
        <v>565</v>
      </c>
      <c r="C1433" t="s">
        <v>563</v>
      </c>
      <c r="D1433" t="s">
        <v>182</v>
      </c>
      <c r="E1433" t="s">
        <v>77</v>
      </c>
      <c r="F1433" t="s">
        <v>32</v>
      </c>
      <c r="G1433">
        <v>18</v>
      </c>
      <c r="H1433">
        <v>39</v>
      </c>
      <c r="I1433" t="b">
        <v>1</v>
      </c>
      <c r="J1433" t="s">
        <v>33</v>
      </c>
      <c r="K1433" t="s">
        <v>33</v>
      </c>
      <c r="L1433">
        <v>27</v>
      </c>
      <c r="M1433" s="4" t="s">
        <v>33</v>
      </c>
      <c r="N1433" s="3">
        <f>IFERROR(AF1433/((T1433*X1433/Y1433)*O1433*AI1433),"NA")</f>
        <v>329.67224855987649</v>
      </c>
      <c r="O1433">
        <v>8</v>
      </c>
      <c r="P1433">
        <f>0.047/2</f>
        <v>2.35E-2</v>
      </c>
      <c r="Q1433" s="8">
        <f t="shared" ref="Q1433:Q1452" si="720">IFERROR(X1433/Z1433, "NA")</f>
        <v>2.3318614270936313E-2</v>
      </c>
      <c r="R1433" t="s">
        <v>183</v>
      </c>
      <c r="S1433" t="s">
        <v>613</v>
      </c>
      <c r="T1433" s="11">
        <v>2</v>
      </c>
      <c r="U1433">
        <v>5.6</v>
      </c>
      <c r="V1433">
        <v>4.5</v>
      </c>
      <c r="W1433" t="s">
        <v>33</v>
      </c>
      <c r="X1433" s="9">
        <f>IFERROR(((PI())*(((V1433*10^-1)/2)^2)*(U1433*10^-1)), "NA")</f>
        <v>8.9064151729270638E-2</v>
      </c>
      <c r="Y1433" s="6">
        <f>13750/3600</f>
        <v>3.8194444444444446</v>
      </c>
      <c r="Z1433" s="3">
        <f>IFERROR(X1433*N1433*O1433*T1433*AI1433/AF1433, "NA")</f>
        <v>3.8194444444444442</v>
      </c>
      <c r="AA1433" t="s">
        <v>33</v>
      </c>
      <c r="AB1433" s="4">
        <f>IFERROR(((X1433*N1433)/Y1433), "NA")</f>
        <v>7.6874999999999991</v>
      </c>
      <c r="AC1433" s="4">
        <f>IFERROR(N1433*P1433,"NA")</f>
        <v>7.7472978411570974</v>
      </c>
      <c r="AD1433" s="4">
        <f>AB1433*T1433*AI1433</f>
        <v>15.374999999999998</v>
      </c>
      <c r="AE1433" s="3">
        <f>IFERROR(((L1433^2)*N1433*O1433*AK1433*10^-6*Q1433*T1433*AI1433), "NA")</f>
        <v>206.23409999999998</v>
      </c>
      <c r="AF1433">
        <v>123</v>
      </c>
      <c r="AG1433" s="4">
        <f>IFERROR((N1433*O1433*P1433), "NA")</f>
        <v>61.978382729256779</v>
      </c>
      <c r="AH1433" s="4">
        <f>IFERROR((AG1433*T1433*AI1433), "NA")</f>
        <v>123.95676545851356</v>
      </c>
      <c r="AI1433" s="11">
        <v>1</v>
      </c>
      <c r="AJ1433" t="s">
        <v>31</v>
      </c>
      <c r="AK1433">
        <v>2300</v>
      </c>
      <c r="AL1433" t="s">
        <v>805</v>
      </c>
      <c r="AM1433" t="s">
        <v>515</v>
      </c>
      <c r="AN1433" t="s">
        <v>205</v>
      </c>
      <c r="AO1433" t="s">
        <v>788</v>
      </c>
      <c r="AP1433">
        <v>3.68</v>
      </c>
      <c r="AQ1433" t="s">
        <v>33</v>
      </c>
      <c r="AR1433" t="s">
        <v>33</v>
      </c>
      <c r="AS1433">
        <f>LOG(10^8)</f>
        <v>8</v>
      </c>
      <c r="AT1433" s="3">
        <f>IFERROR(AS1433-AU1433,"NA")</f>
        <v>6.91</v>
      </c>
      <c r="AU1433" s="6">
        <v>1.0900000000000001</v>
      </c>
      <c r="AV1433" t="b">
        <v>1</v>
      </c>
      <c r="AW1433" t="s">
        <v>480</v>
      </c>
      <c r="AX1433" t="s">
        <v>478</v>
      </c>
      <c r="AY1433" t="s">
        <v>481</v>
      </c>
      <c r="AZ1433" t="s">
        <v>33</v>
      </c>
      <c r="BA1433" s="18" t="s">
        <v>579</v>
      </c>
      <c r="BB1433" t="b">
        <v>1</v>
      </c>
      <c r="BC1433" t="s">
        <v>81</v>
      </c>
      <c r="BD1433" t="s">
        <v>33</v>
      </c>
      <c r="BE1433" t="s">
        <v>80</v>
      </c>
      <c r="BF1433" t="s">
        <v>33</v>
      </c>
      <c r="BG1433" t="s">
        <v>395</v>
      </c>
      <c r="BH1433" t="s">
        <v>31</v>
      </c>
      <c r="BI1433" t="s">
        <v>31</v>
      </c>
      <c r="BJ1433" s="3">
        <f t="shared" si="707"/>
        <v>1.0900000000000001</v>
      </c>
      <c r="BK1433" s="3">
        <f t="shared" si="706"/>
        <v>3.7426497940623665E-2</v>
      </c>
      <c r="BL1433">
        <v>2</v>
      </c>
      <c r="BM1433" s="3">
        <f t="shared" si="719"/>
        <v>2.2769339778343416</v>
      </c>
      <c r="BN1433" t="s">
        <v>33</v>
      </c>
      <c r="BO1433" s="3">
        <f t="shared" si="713"/>
        <v>189.2055963302752</v>
      </c>
      <c r="BP1433" t="s">
        <v>33</v>
      </c>
      <c r="BQ1433" t="s">
        <v>33</v>
      </c>
      <c r="BR1433" t="s">
        <v>33</v>
      </c>
      <c r="BS1433" t="s">
        <v>33</v>
      </c>
      <c r="BT1433" t="s">
        <v>32</v>
      </c>
      <c r="BU1433" t="s">
        <v>484</v>
      </c>
      <c r="BV1433">
        <v>2015</v>
      </c>
      <c r="BW1433" t="s">
        <v>485</v>
      </c>
      <c r="BX1433" t="s">
        <v>78</v>
      </c>
      <c r="BY1433" t="s">
        <v>486</v>
      </c>
      <c r="CA1433" t="str">
        <f t="shared" si="715"/>
        <v>high acid</v>
      </c>
    </row>
    <row r="1434" spans="1:79">
      <c r="A1434" t="s">
        <v>458</v>
      </c>
      <c r="B1434" t="s">
        <v>565</v>
      </c>
      <c r="C1434" t="s">
        <v>563</v>
      </c>
      <c r="D1434" t="s">
        <v>182</v>
      </c>
      <c r="E1434" t="s">
        <v>77</v>
      </c>
      <c r="F1434" t="s">
        <v>32</v>
      </c>
      <c r="G1434">
        <v>18</v>
      </c>
      <c r="H1434">
        <v>39</v>
      </c>
      <c r="I1434" t="b">
        <v>1</v>
      </c>
      <c r="J1434" t="s">
        <v>33</v>
      </c>
      <c r="K1434" t="s">
        <v>33</v>
      </c>
      <c r="L1434">
        <v>27</v>
      </c>
      <c r="M1434" s="4" t="s">
        <v>33</v>
      </c>
      <c r="N1434" s="3">
        <f>IFERROR(AF1434/((T1434*X1434/Y1434)*O1434*AI1434),"NA")</f>
        <v>329.67224855987649</v>
      </c>
      <c r="O1434">
        <v>8</v>
      </c>
      <c r="P1434">
        <f>0.047/2</f>
        <v>2.35E-2</v>
      </c>
      <c r="Q1434" s="8">
        <f t="shared" si="720"/>
        <v>2.3318614270936313E-2</v>
      </c>
      <c r="R1434" t="s">
        <v>183</v>
      </c>
      <c r="S1434" t="s">
        <v>613</v>
      </c>
      <c r="T1434" s="11">
        <v>2</v>
      </c>
      <c r="U1434">
        <v>5.6</v>
      </c>
      <c r="V1434">
        <v>4.5</v>
      </c>
      <c r="W1434" t="s">
        <v>33</v>
      </c>
      <c r="X1434" s="9">
        <f>IFERROR(((PI())*(((V1434*10^-1)/2)^2)*(U1434*10^-1)), "NA")</f>
        <v>8.9064151729270638E-2</v>
      </c>
      <c r="Y1434" s="6">
        <f>13750/3600</f>
        <v>3.8194444444444446</v>
      </c>
      <c r="Z1434" s="3">
        <f>IFERROR(X1434*N1434*O1434*T1434*AI1434/AF1434, "NA")</f>
        <v>3.8194444444444442</v>
      </c>
      <c r="AA1434" t="s">
        <v>33</v>
      </c>
      <c r="AB1434" s="4">
        <f>IFERROR(((X1434*N1434)/Y1434), "NA")</f>
        <v>7.6874999999999991</v>
      </c>
      <c r="AC1434" s="4">
        <f>IFERROR(N1434*P1434,"NA")</f>
        <v>7.7472978411570974</v>
      </c>
      <c r="AD1434" s="4">
        <f>AB1434*T1434*AI1434</f>
        <v>15.374999999999998</v>
      </c>
      <c r="AE1434" s="3">
        <f>IFERROR(((L1434^2)*N1434*O1434*AK1434*10^-6*Q1434*T1434*AI1434), "NA")</f>
        <v>206.23409999999998</v>
      </c>
      <c r="AF1434">
        <v>123</v>
      </c>
      <c r="AG1434" s="4">
        <f>IFERROR((N1434*O1434*P1434), "NA")</f>
        <v>61.978382729256779</v>
      </c>
      <c r="AH1434" s="4">
        <f>IFERROR((AG1434*T1434*AI1434), "NA")</f>
        <v>123.95676545851356</v>
      </c>
      <c r="AI1434" s="11">
        <v>1</v>
      </c>
      <c r="AJ1434" t="s">
        <v>31</v>
      </c>
      <c r="AK1434">
        <v>2300</v>
      </c>
      <c r="AL1434" t="s">
        <v>805</v>
      </c>
      <c r="AM1434" t="s">
        <v>515</v>
      </c>
      <c r="AN1434" t="s">
        <v>205</v>
      </c>
      <c r="AO1434" t="s">
        <v>788</v>
      </c>
      <c r="AP1434">
        <v>3.68</v>
      </c>
      <c r="AQ1434" t="s">
        <v>33</v>
      </c>
      <c r="AR1434" t="s">
        <v>33</v>
      </c>
      <c r="AS1434">
        <f>LOG(10^8)</f>
        <v>8</v>
      </c>
      <c r="AT1434" s="3">
        <f>IFERROR(AS1434-AU1434,"NA")</f>
        <v>6.91</v>
      </c>
      <c r="AU1434" s="6">
        <v>1.0900000000000001</v>
      </c>
      <c r="AV1434" t="b">
        <v>1</v>
      </c>
      <c r="AW1434" t="s">
        <v>480</v>
      </c>
      <c r="AX1434" t="s">
        <v>472</v>
      </c>
      <c r="AY1434" t="s">
        <v>476</v>
      </c>
      <c r="AZ1434" t="s">
        <v>33</v>
      </c>
      <c r="BA1434" s="18" t="s">
        <v>579</v>
      </c>
      <c r="BB1434" t="b">
        <v>1</v>
      </c>
      <c r="BC1434" t="s">
        <v>81</v>
      </c>
      <c r="BD1434" t="s">
        <v>33</v>
      </c>
      <c r="BE1434" t="s">
        <v>80</v>
      </c>
      <c r="BF1434" t="s">
        <v>33</v>
      </c>
      <c r="BG1434" t="s">
        <v>395</v>
      </c>
      <c r="BH1434" t="s">
        <v>31</v>
      </c>
      <c r="BI1434" t="s">
        <v>31</v>
      </c>
      <c r="BJ1434" s="3">
        <f t="shared" si="707"/>
        <v>1.0900000000000001</v>
      </c>
      <c r="BK1434" s="3">
        <f t="shared" si="706"/>
        <v>3.7426497940623665E-2</v>
      </c>
      <c r="BL1434">
        <v>2</v>
      </c>
      <c r="BM1434" s="3">
        <f t="shared" si="719"/>
        <v>2.2769339778343416</v>
      </c>
      <c r="BN1434" t="s">
        <v>33</v>
      </c>
      <c r="BO1434" s="3">
        <f t="shared" si="713"/>
        <v>189.2055963302752</v>
      </c>
      <c r="BP1434" t="s">
        <v>33</v>
      </c>
      <c r="BQ1434" t="s">
        <v>33</v>
      </c>
      <c r="BR1434" t="s">
        <v>33</v>
      </c>
      <c r="BS1434" t="s">
        <v>33</v>
      </c>
      <c r="BT1434" t="s">
        <v>32</v>
      </c>
      <c r="BU1434" t="s">
        <v>484</v>
      </c>
      <c r="BV1434">
        <v>2015</v>
      </c>
      <c r="BW1434" t="s">
        <v>485</v>
      </c>
      <c r="BX1434" t="s">
        <v>78</v>
      </c>
      <c r="BY1434" t="s">
        <v>486</v>
      </c>
      <c r="CA1434" t="str">
        <f t="shared" si="715"/>
        <v>high acid</v>
      </c>
    </row>
    <row r="1435" spans="1:79">
      <c r="A1435" t="s">
        <v>343</v>
      </c>
      <c r="B1435" t="s">
        <v>566</v>
      </c>
      <c r="C1435" t="s">
        <v>563</v>
      </c>
      <c r="D1435" t="s">
        <v>33</v>
      </c>
      <c r="E1435" t="s">
        <v>77</v>
      </c>
      <c r="F1435" t="s">
        <v>32</v>
      </c>
      <c r="G1435">
        <v>20</v>
      </c>
      <c r="H1435">
        <v>23</v>
      </c>
      <c r="I1435" t="b">
        <v>0</v>
      </c>
      <c r="J1435" t="s">
        <v>33</v>
      </c>
      <c r="K1435" t="s">
        <v>33</v>
      </c>
      <c r="L1435">
        <v>30</v>
      </c>
      <c r="M1435" s="4">
        <v>2</v>
      </c>
      <c r="N1435" s="3">
        <f>IFERROR(AF1435/((T1435*X1435/Y1435)*O1435*AI1435),"NA")</f>
        <v>2.1126760563380285</v>
      </c>
      <c r="O1435">
        <v>2</v>
      </c>
      <c r="P1435" t="s">
        <v>33</v>
      </c>
      <c r="Q1435" s="8">
        <f t="shared" si="720"/>
        <v>7.5</v>
      </c>
      <c r="R1435" t="s">
        <v>183</v>
      </c>
      <c r="S1435" t="s">
        <v>613</v>
      </c>
      <c r="T1435" s="11">
        <v>1</v>
      </c>
      <c r="U1435">
        <v>5</v>
      </c>
      <c r="V1435" t="s">
        <v>33</v>
      </c>
      <c r="W1435">
        <v>0.71</v>
      </c>
      <c r="X1435" s="8">
        <f>W1435</f>
        <v>0.71</v>
      </c>
      <c r="Y1435">
        <f>6/60</f>
        <v>0.1</v>
      </c>
      <c r="Z1435" s="3">
        <f>IFERROR(X1435*M1435*O1435*T1435*AI1435/AF1435, "NA")</f>
        <v>9.4666666666666663E-2</v>
      </c>
      <c r="AA1435">
        <v>15</v>
      </c>
      <c r="AB1435" s="6">
        <f>IFERROR(((X1435*M1435)/Z1435), "NA")</f>
        <v>15</v>
      </c>
      <c r="AC1435" t="str">
        <f t="shared" ref="AC1435:AC1445" si="721">IFERROR(M1435*P1435,"NA")</f>
        <v>NA</v>
      </c>
      <c r="AD1435" s="4">
        <f>AB1435*T1435*AI1435</f>
        <v>60</v>
      </c>
      <c r="AE1435" s="3">
        <f t="shared" ref="AE1435:AE1445" si="722">IFERROR(((L1435^2)*M1435*O1435*AK1435*10^-6*Q1435*T1435*AI1435), "NA")</f>
        <v>631.79999999999995</v>
      </c>
      <c r="AF1435">
        <v>120</v>
      </c>
      <c r="AG1435" t="str">
        <f>IFERROR((M1435*O1435*P1435), "NA")</f>
        <v>NA</v>
      </c>
      <c r="AH1435" t="str">
        <f>IFERROR((AG1435*T1435*AI1435), "NA")</f>
        <v>NA</v>
      </c>
      <c r="AI1435">
        <v>4</v>
      </c>
      <c r="AJ1435" s="11" t="s">
        <v>32</v>
      </c>
      <c r="AK1435">
        <v>5850</v>
      </c>
      <c r="AL1435" t="s">
        <v>562</v>
      </c>
      <c r="AM1435" s="3" t="s">
        <v>786</v>
      </c>
      <c r="AN1435" t="s">
        <v>186</v>
      </c>
      <c r="AO1435" t="s">
        <v>793</v>
      </c>
      <c r="AP1435" t="s">
        <v>33</v>
      </c>
      <c r="AQ1435" t="s">
        <v>33</v>
      </c>
      <c r="AR1435" t="s">
        <v>33</v>
      </c>
      <c r="AS1435" s="6">
        <f>LOG(10^8)</f>
        <v>8</v>
      </c>
      <c r="AT1435" s="3">
        <f>IFERROR(AS1435-AU1435,"NA")</f>
        <v>6.9160000000000004</v>
      </c>
      <c r="AU1435" s="6">
        <v>1.0840000000000001</v>
      </c>
      <c r="AV1435" t="b">
        <v>1</v>
      </c>
      <c r="AW1435" t="s">
        <v>29</v>
      </c>
      <c r="AX1435" t="s">
        <v>30</v>
      </c>
      <c r="AY1435" t="s">
        <v>33</v>
      </c>
      <c r="AZ1435" t="s">
        <v>134</v>
      </c>
      <c r="BA1435" s="18" t="s">
        <v>798</v>
      </c>
      <c r="BB1435" t="b">
        <v>0</v>
      </c>
      <c r="BC1435" t="s">
        <v>81</v>
      </c>
      <c r="BD1435">
        <v>18</v>
      </c>
      <c r="BE1435" t="s">
        <v>80</v>
      </c>
      <c r="BF1435" s="11">
        <v>21</v>
      </c>
      <c r="BG1435" t="s">
        <v>694</v>
      </c>
      <c r="BH1435" t="s">
        <v>31</v>
      </c>
      <c r="BI1435" t="s">
        <v>31</v>
      </c>
      <c r="BJ1435" s="3">
        <f t="shared" si="707"/>
        <v>1.0840000000000001</v>
      </c>
      <c r="BK1435" s="3">
        <f t="shared" si="706"/>
        <v>3.5029282202368152E-2</v>
      </c>
      <c r="BL1435">
        <v>2</v>
      </c>
      <c r="BM1435" s="3">
        <f t="shared" si="719"/>
        <v>2.765550339366762</v>
      </c>
      <c r="BN1435" t="s">
        <v>33</v>
      </c>
      <c r="BO1435" s="3">
        <f t="shared" si="713"/>
        <v>582.84132841328403</v>
      </c>
      <c r="BP1435" t="s">
        <v>33</v>
      </c>
      <c r="BQ1435" t="s">
        <v>33</v>
      </c>
      <c r="BR1435" t="s">
        <v>33</v>
      </c>
      <c r="BS1435" t="s">
        <v>33</v>
      </c>
      <c r="BT1435" t="s">
        <v>31</v>
      </c>
      <c r="BU1435" t="s">
        <v>338</v>
      </c>
      <c r="BV1435">
        <v>2005</v>
      </c>
      <c r="BW1435" s="2" t="s">
        <v>342</v>
      </c>
      <c r="BX1435" t="s">
        <v>78</v>
      </c>
      <c r="BY1435" t="s">
        <v>340</v>
      </c>
      <c r="BZ1435" t="s">
        <v>33</v>
      </c>
      <c r="CA1435" t="str">
        <f t="shared" si="715"/>
        <v>low acid</v>
      </c>
    </row>
    <row r="1436" spans="1:79">
      <c r="A1436" t="s">
        <v>583</v>
      </c>
      <c r="B1436" t="s">
        <v>566</v>
      </c>
      <c r="C1436" t="s">
        <v>563</v>
      </c>
      <c r="D1436" t="s">
        <v>33</v>
      </c>
      <c r="E1436" t="s">
        <v>77</v>
      </c>
      <c r="F1436" t="s">
        <v>32</v>
      </c>
      <c r="G1436" t="s">
        <v>33</v>
      </c>
      <c r="H1436">
        <v>20</v>
      </c>
      <c r="I1436" t="b">
        <v>1</v>
      </c>
      <c r="J1436" t="s">
        <v>33</v>
      </c>
      <c r="K1436" t="s">
        <v>33</v>
      </c>
      <c r="L1436">
        <v>30</v>
      </c>
      <c r="M1436" s="4">
        <v>2</v>
      </c>
      <c r="N1436" t="e">
        <f>(#REF!*Y1436)/(T1436*X1436*O1436)</f>
        <v>#REF!</v>
      </c>
      <c r="O1436">
        <v>2</v>
      </c>
      <c r="P1436" t="s">
        <v>33</v>
      </c>
      <c r="Q1436" s="1">
        <f t="shared" si="720"/>
        <v>15</v>
      </c>
      <c r="R1436" t="s">
        <v>183</v>
      </c>
      <c r="S1436" t="s">
        <v>613</v>
      </c>
      <c r="T1436">
        <v>1</v>
      </c>
      <c r="U1436">
        <v>5</v>
      </c>
      <c r="V1436" t="s">
        <v>33</v>
      </c>
      <c r="W1436">
        <v>0.71</v>
      </c>
      <c r="X1436">
        <f>W1436</f>
        <v>0.71</v>
      </c>
      <c r="Y1436">
        <v>0.1</v>
      </c>
      <c r="Z1436" s="3">
        <f>IFERROR(X1436*M1436*O1436*T1436*AI1436/AF1436, "NA")</f>
        <v>4.7333333333333331E-2</v>
      </c>
      <c r="AA1436" t="s">
        <v>33</v>
      </c>
      <c r="AB1436">
        <f>IFERROR(((X1436*M1436)/Z1436), "NA")</f>
        <v>30</v>
      </c>
      <c r="AC1436" s="1" t="str">
        <f t="shared" si="721"/>
        <v>NA</v>
      </c>
      <c r="AE1436" s="3">
        <f t="shared" si="722"/>
        <v>253.79999999999998</v>
      </c>
      <c r="AF1436">
        <v>60</v>
      </c>
      <c r="AG1436" s="1" t="str">
        <f>IFERROR((N1436*P1436*Q1436), "NA")</f>
        <v>NA</v>
      </c>
      <c r="AH1436" s="1" t="str">
        <f>IFERROR((AG1436*U1436*AI1436), "NA")</f>
        <v>NA</v>
      </c>
      <c r="AI1436" s="1">
        <v>1</v>
      </c>
      <c r="AJ1436" s="11" t="s">
        <v>31</v>
      </c>
      <c r="AK1436">
        <v>4700</v>
      </c>
      <c r="AL1436" t="s">
        <v>562</v>
      </c>
      <c r="AM1436" s="3" t="s">
        <v>786</v>
      </c>
      <c r="AN1436" t="s">
        <v>186</v>
      </c>
      <c r="AO1436" t="s">
        <v>793</v>
      </c>
      <c r="AP1436" t="s">
        <v>33</v>
      </c>
      <c r="AQ1436" t="s">
        <v>33</v>
      </c>
      <c r="AR1436" t="s">
        <v>33</v>
      </c>
      <c r="AS1436">
        <v>8</v>
      </c>
      <c r="AT1436">
        <f>AS1436-AU1436</f>
        <v>6.92</v>
      </c>
      <c r="AU1436" s="6">
        <v>1.08</v>
      </c>
      <c r="AV1436" t="b">
        <v>1</v>
      </c>
      <c r="AW1436" t="s">
        <v>617</v>
      </c>
      <c r="AX1436" t="s">
        <v>33</v>
      </c>
      <c r="AY1436" t="s">
        <v>622</v>
      </c>
      <c r="AZ1436" t="s">
        <v>619</v>
      </c>
      <c r="BA1436" s="18" t="s">
        <v>802</v>
      </c>
      <c r="BB1436" s="3" t="b">
        <v>0</v>
      </c>
      <c r="BC1436" t="s">
        <v>81</v>
      </c>
      <c r="BD1436">
        <v>18</v>
      </c>
      <c r="BE1436" t="s">
        <v>80</v>
      </c>
      <c r="BF1436">
        <v>24</v>
      </c>
      <c r="BG1436" t="s">
        <v>696</v>
      </c>
      <c r="BH1436" t="s">
        <v>32</v>
      </c>
      <c r="BI1436" t="s">
        <v>31</v>
      </c>
      <c r="BJ1436">
        <f t="shared" si="707"/>
        <v>1.08</v>
      </c>
      <c r="BK1436" s="3">
        <f t="shared" si="706"/>
        <v>3.342375548694973E-2</v>
      </c>
      <c r="BL1436">
        <v>2</v>
      </c>
      <c r="BM1436" s="3">
        <f t="shared" si="719"/>
        <v>2.3710678622717363</v>
      </c>
      <c r="BN1436" t="s">
        <v>33</v>
      </c>
      <c r="BO1436" s="3">
        <f t="shared" si="713"/>
        <v>234.99999999999997</v>
      </c>
      <c r="BP1436" t="s">
        <v>33</v>
      </c>
      <c r="BQ1436" t="s">
        <v>33</v>
      </c>
      <c r="BR1436" t="s">
        <v>33</v>
      </c>
      <c r="BS1436" t="s">
        <v>33</v>
      </c>
      <c r="BT1436" t="s">
        <v>31</v>
      </c>
      <c r="BU1436" t="s">
        <v>338</v>
      </c>
      <c r="BV1436">
        <v>2005</v>
      </c>
      <c r="BW1436" t="s">
        <v>342</v>
      </c>
      <c r="BX1436" t="s">
        <v>78</v>
      </c>
      <c r="BY1436" s="13" t="s">
        <v>673</v>
      </c>
      <c r="CA1436" t="str">
        <f t="shared" si="715"/>
        <v>low acid</v>
      </c>
    </row>
    <row r="1437" spans="1:79">
      <c r="A1437" t="s">
        <v>324</v>
      </c>
      <c r="B1437" t="s">
        <v>565</v>
      </c>
      <c r="C1437" t="s">
        <v>563</v>
      </c>
      <c r="D1437" t="s">
        <v>304</v>
      </c>
      <c r="E1437" t="s">
        <v>77</v>
      </c>
      <c r="F1437" t="s">
        <v>32</v>
      </c>
      <c r="G1437">
        <v>30</v>
      </c>
      <c r="H1437">
        <v>30.5</v>
      </c>
      <c r="I1437" t="b">
        <v>1</v>
      </c>
      <c r="J1437">
        <v>12600</v>
      </c>
      <c r="K1437">
        <v>50.4</v>
      </c>
      <c r="L1437">
        <v>25</v>
      </c>
      <c r="M1437" s="4">
        <v>333</v>
      </c>
      <c r="N1437" s="3">
        <f>IFERROR(AF1437/((T1437*X1437/Y1437)*O1437*AI1437),"NA")</f>
        <v>332.87308359089212</v>
      </c>
      <c r="O1437">
        <v>1</v>
      </c>
      <c r="P1437">
        <v>2.4E-2</v>
      </c>
      <c r="Q1437" s="8">
        <f t="shared" si="720"/>
        <v>2.4024024024024024E-2</v>
      </c>
      <c r="R1437" t="s">
        <v>183</v>
      </c>
      <c r="S1437" t="s">
        <v>612</v>
      </c>
      <c r="T1437" s="11">
        <v>1</v>
      </c>
      <c r="U1437">
        <v>3.4</v>
      </c>
      <c r="V1437">
        <v>3</v>
      </c>
      <c r="W1437">
        <v>2.4E-2</v>
      </c>
      <c r="X1437" s="8">
        <f>IFERROR(((PI())*(((V1437*10^-1)/2)^2)*(U1437*10^-1)), "NA")</f>
        <v>2.4033183799961926E-2</v>
      </c>
      <c r="Y1437" s="6">
        <f>1</f>
        <v>1</v>
      </c>
      <c r="Z1437" s="3">
        <f>IFERROR(X1437*M1437*O1437*T1437*AI1437/AF1437, "NA")</f>
        <v>1.0003812756734152</v>
      </c>
      <c r="AA1437">
        <v>8</v>
      </c>
      <c r="AB1437" s="6">
        <f>IFERROR(((X1437*M1437)/Z1437), "NA")</f>
        <v>8</v>
      </c>
      <c r="AC1437">
        <f t="shared" si="721"/>
        <v>7.992</v>
      </c>
      <c r="AD1437" s="4">
        <f>IFERROR(AB1437*T1437*AI1437, "NA")</f>
        <v>8</v>
      </c>
      <c r="AE1437" s="3">
        <f t="shared" si="722"/>
        <v>5</v>
      </c>
      <c r="AF1437">
        <v>8</v>
      </c>
      <c r="AG1437">
        <f>IFERROR((M1437*O1437*P1437), "NA")</f>
        <v>7.992</v>
      </c>
      <c r="AH1437">
        <f>IFERROR((AG1437*T1437*AI1437), "NA")</f>
        <v>7.992</v>
      </c>
      <c r="AI1437" s="11">
        <v>1</v>
      </c>
      <c r="AJ1437" t="s">
        <v>31</v>
      </c>
      <c r="AK1437">
        <v>1000</v>
      </c>
      <c r="AL1437" t="s">
        <v>169</v>
      </c>
      <c r="AM1437" t="s">
        <v>103</v>
      </c>
      <c r="AN1437" t="s">
        <v>305</v>
      </c>
      <c r="AO1437" t="s">
        <v>790</v>
      </c>
      <c r="AP1437">
        <v>4.5</v>
      </c>
      <c r="AQ1437" t="s">
        <v>33</v>
      </c>
      <c r="AR1437" t="s">
        <v>33</v>
      </c>
      <c r="AS1437" s="6">
        <f>LOG(3*10^7)</f>
        <v>7.4771212547196626</v>
      </c>
      <c r="AT1437" s="3">
        <f>IFERROR(AS1437-AU1437,"NA")</f>
        <v>6.9271212547196628</v>
      </c>
      <c r="AU1437" s="6">
        <v>0.55000000000000004</v>
      </c>
      <c r="AV1437" t="b">
        <v>1</v>
      </c>
      <c r="AW1437" t="s">
        <v>123</v>
      </c>
      <c r="AX1437" t="s">
        <v>88</v>
      </c>
      <c r="AY1437" t="s">
        <v>306</v>
      </c>
      <c r="AZ1437" t="s">
        <v>33</v>
      </c>
      <c r="BA1437" s="18" t="s">
        <v>579</v>
      </c>
      <c r="BB1437" t="b">
        <v>1</v>
      </c>
      <c r="BC1437" t="s">
        <v>81</v>
      </c>
      <c r="BD1437">
        <v>48</v>
      </c>
      <c r="BE1437" t="s">
        <v>80</v>
      </c>
      <c r="BF1437" s="11">
        <v>120</v>
      </c>
      <c r="BG1437" t="s">
        <v>395</v>
      </c>
      <c r="BH1437" t="s">
        <v>31</v>
      </c>
      <c r="BI1437" t="s">
        <v>31</v>
      </c>
      <c r="BJ1437" s="3">
        <f t="shared" si="707"/>
        <v>0.55000000000000004</v>
      </c>
      <c r="BK1437" s="3">
        <f t="shared" si="706"/>
        <v>-0.25963731050575611</v>
      </c>
      <c r="BL1437">
        <v>2</v>
      </c>
      <c r="BM1437" s="3">
        <f t="shared" si="719"/>
        <v>0.95860731484177486</v>
      </c>
      <c r="BN1437" t="s">
        <v>33</v>
      </c>
      <c r="BO1437" s="3">
        <f t="shared" si="713"/>
        <v>9.0909090909090899</v>
      </c>
      <c r="BP1437" t="s">
        <v>33</v>
      </c>
      <c r="BQ1437" t="s">
        <v>33</v>
      </c>
      <c r="BR1437" t="s">
        <v>33</v>
      </c>
      <c r="BS1437" t="s">
        <v>33</v>
      </c>
      <c r="BT1437" t="s">
        <v>32</v>
      </c>
      <c r="BU1437" t="s">
        <v>323</v>
      </c>
      <c r="BV1437">
        <v>2003</v>
      </c>
      <c r="BW1437" s="2" t="s">
        <v>322</v>
      </c>
      <c r="BX1437" t="s">
        <v>78</v>
      </c>
      <c r="BY1437" t="s">
        <v>33</v>
      </c>
      <c r="BZ1437" t="s">
        <v>33</v>
      </c>
      <c r="CA1437" t="str">
        <f t="shared" si="715"/>
        <v>high acid</v>
      </c>
    </row>
    <row r="1438" spans="1:79">
      <c r="A1438" t="s">
        <v>594</v>
      </c>
      <c r="B1438" t="s">
        <v>566</v>
      </c>
      <c r="C1438" t="s">
        <v>563</v>
      </c>
      <c r="D1438" t="s">
        <v>33</v>
      </c>
      <c r="E1438" t="s">
        <v>77</v>
      </c>
      <c r="F1438" t="s">
        <v>32</v>
      </c>
      <c r="G1438" t="s">
        <v>33</v>
      </c>
      <c r="H1438">
        <v>30</v>
      </c>
      <c r="I1438" t="b">
        <v>1</v>
      </c>
      <c r="J1438" t="s">
        <v>33</v>
      </c>
      <c r="K1438" t="s">
        <v>33</v>
      </c>
      <c r="L1438">
        <v>30</v>
      </c>
      <c r="M1438" s="4">
        <v>2</v>
      </c>
      <c r="N1438" t="e">
        <f>(#REF!*Y1438)/(T1438*X1438*O1438)</f>
        <v>#REF!</v>
      </c>
      <c r="O1438">
        <v>2</v>
      </c>
      <c r="P1438" t="s">
        <v>33</v>
      </c>
      <c r="Q1438" s="1">
        <f t="shared" si="720"/>
        <v>7.1</v>
      </c>
      <c r="R1438" t="s">
        <v>183</v>
      </c>
      <c r="S1438" t="s">
        <v>613</v>
      </c>
      <c r="T1438">
        <v>1</v>
      </c>
      <c r="U1438">
        <v>5</v>
      </c>
      <c r="V1438" t="s">
        <v>33</v>
      </c>
      <c r="W1438">
        <v>0.71</v>
      </c>
      <c r="X1438">
        <f>W1438</f>
        <v>0.71</v>
      </c>
      <c r="Y1438">
        <v>0.1</v>
      </c>
      <c r="Z1438" s="3">
        <f>Y1438</f>
        <v>0.1</v>
      </c>
      <c r="AA1438" s="3">
        <v>14.8409893992932</v>
      </c>
      <c r="AB1438">
        <f>IFERROR(((X1438*M1438)/Y1438), "NA")</f>
        <v>14.2</v>
      </c>
      <c r="AC1438" s="1" t="str">
        <f t="shared" si="721"/>
        <v>NA</v>
      </c>
      <c r="AE1438" s="3">
        <f t="shared" si="722"/>
        <v>393.62399999999997</v>
      </c>
      <c r="AF1438" t="s">
        <v>33</v>
      </c>
      <c r="AG1438" s="1">
        <f>IFERROR((M1438*O1438*Q1438), "NA")</f>
        <v>28.4</v>
      </c>
      <c r="AH1438" s="1">
        <f>IFERROR((AG1438*U1438*AI1438), "NA")</f>
        <v>284</v>
      </c>
      <c r="AI1438" s="1">
        <v>2</v>
      </c>
      <c r="AJ1438" s="11" t="s">
        <v>31</v>
      </c>
      <c r="AK1438">
        <f>7700</f>
        <v>7700</v>
      </c>
      <c r="AL1438" t="s">
        <v>561</v>
      </c>
      <c r="AM1438" s="3" t="s">
        <v>786</v>
      </c>
      <c r="AN1438" t="s">
        <v>186</v>
      </c>
      <c r="AO1438" t="s">
        <v>793</v>
      </c>
      <c r="AP1438" t="s">
        <v>33</v>
      </c>
      <c r="AQ1438" t="s">
        <v>33</v>
      </c>
      <c r="AR1438" t="s">
        <v>33</v>
      </c>
      <c r="AS1438">
        <v>8</v>
      </c>
      <c r="AT1438">
        <f>AS1438-AU1438</f>
        <v>6.93</v>
      </c>
      <c r="AU1438" s="6">
        <v>1.07</v>
      </c>
      <c r="AV1438" t="b">
        <v>1</v>
      </c>
      <c r="AW1438" t="s">
        <v>617</v>
      </c>
      <c r="AX1438" t="s">
        <v>624</v>
      </c>
      <c r="AY1438" t="s">
        <v>622</v>
      </c>
      <c r="AZ1438" t="s">
        <v>33</v>
      </c>
      <c r="BA1438" s="18" t="s">
        <v>802</v>
      </c>
      <c r="BB1438" s="3" t="b">
        <v>0</v>
      </c>
      <c r="BC1438" t="s">
        <v>81</v>
      </c>
      <c r="BD1438">
        <v>18</v>
      </c>
      <c r="BE1438" t="s">
        <v>80</v>
      </c>
      <c r="BF1438">
        <v>24</v>
      </c>
      <c r="BG1438" t="s">
        <v>696</v>
      </c>
      <c r="BH1438" t="s">
        <v>32</v>
      </c>
      <c r="BI1438" t="s">
        <v>31</v>
      </c>
      <c r="BJ1438">
        <f t="shared" si="707"/>
        <v>1.07</v>
      </c>
      <c r="BK1438" s="3">
        <f t="shared" si="706"/>
        <v>2.9383777685209667E-2</v>
      </c>
      <c r="BL1438">
        <v>2</v>
      </c>
      <c r="BM1438" s="3">
        <f t="shared" si="719"/>
        <v>2.5656977926376161</v>
      </c>
      <c r="BN1438" t="s">
        <v>33</v>
      </c>
      <c r="BO1438" s="3">
        <f t="shared" si="713"/>
        <v>367.87289719626165</v>
      </c>
      <c r="BP1438" t="s">
        <v>33</v>
      </c>
      <c r="BQ1438" t="s">
        <v>33</v>
      </c>
      <c r="BR1438" t="s">
        <v>33</v>
      </c>
      <c r="BS1438" t="s">
        <v>33</v>
      </c>
      <c r="BT1438" t="s">
        <v>31</v>
      </c>
      <c r="BU1438" t="s">
        <v>338</v>
      </c>
      <c r="BV1438">
        <v>2006</v>
      </c>
      <c r="BW1438" t="s">
        <v>339</v>
      </c>
      <c r="BX1438" t="s">
        <v>78</v>
      </c>
      <c r="BY1438" s="13" t="s">
        <v>682</v>
      </c>
      <c r="CA1438" t="str">
        <f t="shared" si="715"/>
        <v>low acid</v>
      </c>
    </row>
    <row r="1439" spans="1:79">
      <c r="A1439" t="s">
        <v>494</v>
      </c>
      <c r="B1439" t="s">
        <v>566</v>
      </c>
      <c r="C1439" t="s">
        <v>563</v>
      </c>
      <c r="D1439" t="s">
        <v>279</v>
      </c>
      <c r="E1439" t="s">
        <v>77</v>
      </c>
      <c r="F1439" t="s">
        <v>32</v>
      </c>
      <c r="G1439">
        <v>20</v>
      </c>
      <c r="H1439" t="s">
        <v>33</v>
      </c>
      <c r="I1439" t="b">
        <v>0</v>
      </c>
      <c r="J1439" t="s">
        <v>33</v>
      </c>
      <c r="K1439" t="s">
        <v>33</v>
      </c>
      <c r="L1439">
        <v>25</v>
      </c>
      <c r="M1439" s="4">
        <v>1000</v>
      </c>
      <c r="N1439" s="3">
        <f>IFERROR(AF1439/((T1439*X1439/Y1439)*O1439*AI1439),"NA")</f>
        <v>999.99999999999989</v>
      </c>
      <c r="O1439">
        <v>40</v>
      </c>
      <c r="P1439">
        <f>0.02/0.5</f>
        <v>0.04</v>
      </c>
      <c r="Q1439" s="8">
        <f t="shared" si="720"/>
        <v>3.95840674352314E-2</v>
      </c>
      <c r="R1439" t="s">
        <v>183</v>
      </c>
      <c r="S1439" t="s">
        <v>613</v>
      </c>
      <c r="T1439" s="11">
        <v>1</v>
      </c>
      <c r="U1439">
        <v>2.8</v>
      </c>
      <c r="V1439">
        <v>3</v>
      </c>
      <c r="W1439">
        <v>0.02</v>
      </c>
      <c r="X1439" s="9">
        <f>IFERROR(((PI())*(((V1439*10^-1)/2)^2)*(U1439*10^-1)), "NA")</f>
        <v>1.97920337176157E-2</v>
      </c>
      <c r="Y1439">
        <f>30/60</f>
        <v>0.5</v>
      </c>
      <c r="Z1439" s="3">
        <f>IFERROR(X1439*M1439*O1439*T1439*AI1439/AF1439, "NA")</f>
        <v>0.5</v>
      </c>
      <c r="AA1439" t="s">
        <v>33</v>
      </c>
      <c r="AB1439" s="4">
        <f>IFERROR(((X1439*M1439)/Y1439), "NA")</f>
        <v>39.584067435231397</v>
      </c>
      <c r="AC1439" s="4">
        <f t="shared" si="721"/>
        <v>40</v>
      </c>
      <c r="AD1439" s="4">
        <f>IFERROR(AB1439*T1439*AI1439, "NA")</f>
        <v>39.584067435231397</v>
      </c>
      <c r="AE1439" s="3">
        <f t="shared" si="722"/>
        <v>98.960168588078503</v>
      </c>
      <c r="AF1439" s="4">
        <f>AI1439*T1439*AB1439*O1439</f>
        <v>1583.3626974092558</v>
      </c>
      <c r="AG1439" s="4">
        <f>IFERROR((M1439*O1439*P1439), "NA")</f>
        <v>1600</v>
      </c>
      <c r="AH1439" s="4">
        <f>IFERROR((AG1439*T1439*AI1439), "NA")</f>
        <v>1600</v>
      </c>
      <c r="AI1439" s="11">
        <v>1</v>
      </c>
      <c r="AJ1439" t="s">
        <v>31</v>
      </c>
      <c r="AK1439" s="11">
        <v>100</v>
      </c>
      <c r="AL1439" t="s">
        <v>492</v>
      </c>
      <c r="AM1439" s="3" t="s">
        <v>103</v>
      </c>
      <c r="AN1439" t="s">
        <v>130</v>
      </c>
      <c r="AO1439" t="s">
        <v>795</v>
      </c>
      <c r="AP1439" t="s">
        <v>33</v>
      </c>
      <c r="AQ1439" t="s">
        <v>33</v>
      </c>
      <c r="AR1439" t="s">
        <v>33</v>
      </c>
      <c r="AS1439" s="6">
        <f>LOG(10^8)</f>
        <v>8</v>
      </c>
      <c r="AT1439" s="3">
        <f>IFERROR(AS1439-AU1439,"NA")</f>
        <v>6.9320000000000004</v>
      </c>
      <c r="AU1439" s="6">
        <v>1.0680000000000001</v>
      </c>
      <c r="AV1439" t="b">
        <v>1</v>
      </c>
      <c r="AW1439" t="s">
        <v>29</v>
      </c>
      <c r="AX1439" t="s">
        <v>30</v>
      </c>
      <c r="AY1439" t="s">
        <v>216</v>
      </c>
      <c r="AZ1439" t="s">
        <v>33</v>
      </c>
      <c r="BA1439" s="18" t="s">
        <v>798</v>
      </c>
      <c r="BB1439" s="3" t="b">
        <v>0</v>
      </c>
      <c r="BC1439" t="s">
        <v>81</v>
      </c>
      <c r="BD1439" t="s">
        <v>33</v>
      </c>
      <c r="BE1439" t="s">
        <v>80</v>
      </c>
      <c r="BF1439" s="11">
        <v>48</v>
      </c>
      <c r="BG1439" t="s">
        <v>139</v>
      </c>
      <c r="BH1439" t="s">
        <v>31</v>
      </c>
      <c r="BI1439" t="s">
        <v>31</v>
      </c>
      <c r="BJ1439" s="3">
        <f t="shared" si="707"/>
        <v>1.0680000000000001</v>
      </c>
      <c r="BK1439" s="3">
        <f t="shared" si="706"/>
        <v>2.8571252692537637E-2</v>
      </c>
      <c r="BL1439">
        <v>2</v>
      </c>
      <c r="BM1439" s="3">
        <f t="shared" si="719"/>
        <v>1.9668891737911969</v>
      </c>
      <c r="BN1439" t="s">
        <v>33</v>
      </c>
      <c r="BO1439" s="3">
        <f t="shared" si="713"/>
        <v>92.659333883968628</v>
      </c>
      <c r="BP1439" t="s">
        <v>33</v>
      </c>
      <c r="BQ1439" t="s">
        <v>33</v>
      </c>
      <c r="BR1439" t="s">
        <v>33</v>
      </c>
      <c r="BS1439" t="s">
        <v>33</v>
      </c>
      <c r="BT1439" t="s">
        <v>32</v>
      </c>
      <c r="BU1439" t="s">
        <v>247</v>
      </c>
      <c r="BV1439" s="11">
        <v>2018</v>
      </c>
      <c r="BW1439" t="s">
        <v>493</v>
      </c>
      <c r="BX1439" t="s">
        <v>78</v>
      </c>
      <c r="BY1439" t="s">
        <v>491</v>
      </c>
      <c r="BZ1439" t="s">
        <v>33</v>
      </c>
      <c r="CA1439" t="str">
        <f t="shared" si="715"/>
        <v>low acid</v>
      </c>
    </row>
    <row r="1440" spans="1:79">
      <c r="A1440" t="s">
        <v>594</v>
      </c>
      <c r="B1440" t="s">
        <v>566</v>
      </c>
      <c r="C1440" t="s">
        <v>563</v>
      </c>
      <c r="D1440" t="s">
        <v>33</v>
      </c>
      <c r="E1440" t="s">
        <v>77</v>
      </c>
      <c r="F1440" t="s">
        <v>32</v>
      </c>
      <c r="G1440" t="s">
        <v>33</v>
      </c>
      <c r="H1440">
        <v>10</v>
      </c>
      <c r="I1440" t="b">
        <v>1</v>
      </c>
      <c r="J1440" t="s">
        <v>33</v>
      </c>
      <c r="K1440" t="s">
        <v>33</v>
      </c>
      <c r="L1440">
        <v>20</v>
      </c>
      <c r="M1440" s="4">
        <v>2</v>
      </c>
      <c r="N1440" t="e">
        <f>(#REF!*Y1440)/(T1440*X1440*O1440)</f>
        <v>#REF!</v>
      </c>
      <c r="O1440">
        <v>2</v>
      </c>
      <c r="P1440" t="s">
        <v>33</v>
      </c>
      <c r="Q1440" s="1">
        <f t="shared" si="720"/>
        <v>7.1</v>
      </c>
      <c r="R1440" t="s">
        <v>183</v>
      </c>
      <c r="S1440" t="s">
        <v>613</v>
      </c>
      <c r="T1440">
        <v>1</v>
      </c>
      <c r="U1440">
        <v>5</v>
      </c>
      <c r="V1440" t="s">
        <v>33</v>
      </c>
      <c r="W1440">
        <v>0.71</v>
      </c>
      <c r="X1440">
        <f>W1440</f>
        <v>0.71</v>
      </c>
      <c r="Y1440">
        <v>0.1</v>
      </c>
      <c r="Z1440" s="3">
        <f>Y1440</f>
        <v>0.1</v>
      </c>
      <c r="AA1440" s="3">
        <v>14.8409893992932</v>
      </c>
      <c r="AB1440">
        <f>IFERROR(((X1440*M1440)/Y1440), "NA")</f>
        <v>14.2</v>
      </c>
      <c r="AC1440" s="1" t="str">
        <f t="shared" si="721"/>
        <v>NA</v>
      </c>
      <c r="AE1440" s="3">
        <f t="shared" si="722"/>
        <v>231.744</v>
      </c>
      <c r="AF1440" t="s">
        <v>33</v>
      </c>
      <c r="AG1440" s="1">
        <f>IFERROR((M1440*O1440*Q1440), "NA")</f>
        <v>28.4</v>
      </c>
      <c r="AH1440" s="1">
        <f>IFERROR((AG1440*U1440*AI1440), "NA")</f>
        <v>568</v>
      </c>
      <c r="AI1440" s="1">
        <v>4</v>
      </c>
      <c r="AJ1440" s="11" t="s">
        <v>31</v>
      </c>
      <c r="AK1440">
        <f>5100</f>
        <v>5100</v>
      </c>
      <c r="AL1440" t="s">
        <v>561</v>
      </c>
      <c r="AM1440" s="3" t="s">
        <v>786</v>
      </c>
      <c r="AN1440" t="s">
        <v>186</v>
      </c>
      <c r="AO1440" t="s">
        <v>793</v>
      </c>
      <c r="AP1440" t="s">
        <v>33</v>
      </c>
      <c r="AQ1440" t="s">
        <v>33</v>
      </c>
      <c r="AR1440" t="s">
        <v>33</v>
      </c>
      <c r="AS1440">
        <v>8</v>
      </c>
      <c r="AT1440">
        <f>AS1440-AU1440</f>
        <v>6.96</v>
      </c>
      <c r="AU1440" s="6">
        <v>1.04</v>
      </c>
      <c r="AV1440" t="b">
        <v>1</v>
      </c>
      <c r="AW1440" t="s">
        <v>617</v>
      </c>
      <c r="AX1440" t="s">
        <v>624</v>
      </c>
      <c r="AY1440" t="s">
        <v>622</v>
      </c>
      <c r="AZ1440" t="s">
        <v>33</v>
      </c>
      <c r="BA1440" s="18" t="s">
        <v>802</v>
      </c>
      <c r="BB1440" s="3" t="b">
        <v>0</v>
      </c>
      <c r="BC1440" t="s">
        <v>81</v>
      </c>
      <c r="BD1440">
        <v>18</v>
      </c>
      <c r="BE1440" t="s">
        <v>80</v>
      </c>
      <c r="BF1440">
        <v>24</v>
      </c>
      <c r="BG1440" t="s">
        <v>696</v>
      </c>
      <c r="BH1440" t="s">
        <v>32</v>
      </c>
      <c r="BI1440" t="s">
        <v>31</v>
      </c>
      <c r="BJ1440">
        <f t="shared" si="707"/>
        <v>1.04</v>
      </c>
      <c r="BK1440" s="3">
        <f t="shared" si="706"/>
        <v>1.703333929878037E-2</v>
      </c>
      <c r="BL1440">
        <v>2</v>
      </c>
      <c r="BM1440" s="3">
        <f t="shared" si="719"/>
        <v>2.3479751595021185</v>
      </c>
      <c r="BN1440" t="s">
        <v>33</v>
      </c>
      <c r="BO1440" s="3">
        <f t="shared" si="713"/>
        <v>222.83076923076922</v>
      </c>
      <c r="BP1440" t="s">
        <v>33</v>
      </c>
      <c r="BQ1440" t="s">
        <v>33</v>
      </c>
      <c r="BR1440" t="s">
        <v>33</v>
      </c>
      <c r="BS1440" t="s">
        <v>33</v>
      </c>
      <c r="BT1440" t="s">
        <v>31</v>
      </c>
      <c r="BU1440" t="s">
        <v>338</v>
      </c>
      <c r="BV1440">
        <v>2006</v>
      </c>
      <c r="BW1440" t="s">
        <v>339</v>
      </c>
      <c r="BX1440" t="s">
        <v>78</v>
      </c>
      <c r="BY1440" s="13" t="s">
        <v>682</v>
      </c>
      <c r="CA1440" t="str">
        <f t="shared" si="715"/>
        <v>low acid</v>
      </c>
    </row>
    <row r="1441" spans="1:79">
      <c r="A1441" t="s">
        <v>594</v>
      </c>
      <c r="B1441" t="s">
        <v>566</v>
      </c>
      <c r="C1441" t="s">
        <v>563</v>
      </c>
      <c r="D1441" t="s">
        <v>33</v>
      </c>
      <c r="E1441" t="s">
        <v>77</v>
      </c>
      <c r="F1441" t="s">
        <v>32</v>
      </c>
      <c r="G1441" t="s">
        <v>33</v>
      </c>
      <c r="H1441">
        <v>20</v>
      </c>
      <c r="I1441" t="b">
        <v>1</v>
      </c>
      <c r="J1441" t="s">
        <v>33</v>
      </c>
      <c r="K1441" t="s">
        <v>33</v>
      </c>
      <c r="L1441">
        <v>30</v>
      </c>
      <c r="M1441" s="4">
        <v>2</v>
      </c>
      <c r="N1441" t="e">
        <f>(#REF!*Y1441)/(T1441*X1441*O1441)</f>
        <v>#REF!</v>
      </c>
      <c r="O1441">
        <v>2</v>
      </c>
      <c r="P1441" t="s">
        <v>33</v>
      </c>
      <c r="Q1441" s="1">
        <f t="shared" si="720"/>
        <v>7.1</v>
      </c>
      <c r="R1441" t="s">
        <v>183</v>
      </c>
      <c r="S1441" t="s">
        <v>613</v>
      </c>
      <c r="T1441">
        <v>1</v>
      </c>
      <c r="U1441">
        <v>5</v>
      </c>
      <c r="V1441" t="s">
        <v>33</v>
      </c>
      <c r="W1441">
        <v>0.71</v>
      </c>
      <c r="X1441">
        <f>W1441</f>
        <v>0.71</v>
      </c>
      <c r="Y1441">
        <v>0.1</v>
      </c>
      <c r="Z1441" s="3">
        <f>Y1441</f>
        <v>0.1</v>
      </c>
      <c r="AA1441" s="3">
        <v>14.8409893992932</v>
      </c>
      <c r="AB1441">
        <f>IFERROR(((X1441*M1441)/Y1441), "NA")</f>
        <v>14.2</v>
      </c>
      <c r="AC1441" s="1" t="str">
        <f t="shared" si="721"/>
        <v>NA</v>
      </c>
      <c r="AE1441" s="3">
        <f t="shared" si="722"/>
        <v>654.3359999999999</v>
      </c>
      <c r="AF1441" t="s">
        <v>33</v>
      </c>
      <c r="AG1441" s="1">
        <f>IFERROR((M1441*O1441*Q1441), "NA")</f>
        <v>28.4</v>
      </c>
      <c r="AH1441" s="1">
        <f>IFERROR((AG1441*U1441*AI1441), "NA")</f>
        <v>568</v>
      </c>
      <c r="AI1441" s="1">
        <v>4</v>
      </c>
      <c r="AJ1441" s="11" t="s">
        <v>31</v>
      </c>
      <c r="AK1441">
        <f>AVERAGE(5100, 7700)</f>
        <v>6400</v>
      </c>
      <c r="AL1441" t="s">
        <v>561</v>
      </c>
      <c r="AM1441" s="3" t="s">
        <v>786</v>
      </c>
      <c r="AN1441" t="s">
        <v>186</v>
      </c>
      <c r="AO1441" t="s">
        <v>793</v>
      </c>
      <c r="AP1441" t="s">
        <v>33</v>
      </c>
      <c r="AQ1441" t="s">
        <v>33</v>
      </c>
      <c r="AR1441" t="s">
        <v>33</v>
      </c>
      <c r="AS1441">
        <v>8</v>
      </c>
      <c r="AT1441">
        <f>AS1441-AU1441</f>
        <v>6.96</v>
      </c>
      <c r="AU1441" s="6">
        <v>1.04</v>
      </c>
      <c r="AV1441" t="b">
        <v>1</v>
      </c>
      <c r="AW1441" t="s">
        <v>617</v>
      </c>
      <c r="AX1441" t="s">
        <v>624</v>
      </c>
      <c r="AY1441" t="s">
        <v>622</v>
      </c>
      <c r="AZ1441" t="s">
        <v>33</v>
      </c>
      <c r="BA1441" s="18" t="s">
        <v>802</v>
      </c>
      <c r="BB1441" s="3" t="b">
        <v>0</v>
      </c>
      <c r="BC1441" t="s">
        <v>81</v>
      </c>
      <c r="BD1441">
        <v>18</v>
      </c>
      <c r="BE1441" t="s">
        <v>80</v>
      </c>
      <c r="BF1441">
        <v>24</v>
      </c>
      <c r="BG1441" t="s">
        <v>696</v>
      </c>
      <c r="BH1441" t="s">
        <v>32</v>
      </c>
      <c r="BI1441" t="s">
        <v>31</v>
      </c>
      <c r="BJ1441">
        <f t="shared" si="707"/>
        <v>1.04</v>
      </c>
      <c r="BK1441" s="3">
        <f t="shared" si="706"/>
        <v>1.703333929878037E-2</v>
      </c>
      <c r="BL1441">
        <v>2</v>
      </c>
      <c r="BM1441" s="3">
        <f t="shared" si="719"/>
        <v>2.7987674754994316</v>
      </c>
      <c r="BN1441" t="s">
        <v>33</v>
      </c>
      <c r="BO1441" s="3">
        <f t="shared" si="713"/>
        <v>629.16923076923069</v>
      </c>
      <c r="BP1441" t="s">
        <v>33</v>
      </c>
      <c r="BQ1441" t="s">
        <v>33</v>
      </c>
      <c r="BR1441" t="s">
        <v>33</v>
      </c>
      <c r="BS1441" t="s">
        <v>33</v>
      </c>
      <c r="BT1441" t="s">
        <v>31</v>
      </c>
      <c r="BU1441" t="s">
        <v>338</v>
      </c>
      <c r="BV1441">
        <v>2006</v>
      </c>
      <c r="BW1441" t="s">
        <v>339</v>
      </c>
      <c r="BX1441" t="s">
        <v>78</v>
      </c>
      <c r="BY1441" s="13" t="s">
        <v>682</v>
      </c>
      <c r="CA1441" t="str">
        <f t="shared" si="715"/>
        <v>low acid</v>
      </c>
    </row>
    <row r="1442" spans="1:79">
      <c r="A1442" t="s">
        <v>597</v>
      </c>
      <c r="B1442" t="s">
        <v>565</v>
      </c>
      <c r="C1442" t="s">
        <v>563</v>
      </c>
      <c r="D1442" t="s">
        <v>33</v>
      </c>
      <c r="E1442" t="s">
        <v>77</v>
      </c>
      <c r="F1442" t="s">
        <v>33</v>
      </c>
      <c r="G1442">
        <v>20</v>
      </c>
      <c r="H1442">
        <v>35</v>
      </c>
      <c r="I1442" t="b">
        <v>0</v>
      </c>
      <c r="J1442" t="s">
        <v>33</v>
      </c>
      <c r="K1442" t="s">
        <v>33</v>
      </c>
      <c r="L1442">
        <v>22</v>
      </c>
      <c r="M1442" s="4">
        <v>1</v>
      </c>
      <c r="N1442" t="e">
        <f>(#REF!*Y1442)/(T1442*X1442*O1442)</f>
        <v>#REF!</v>
      </c>
      <c r="O1442">
        <v>2</v>
      </c>
      <c r="P1442" t="s">
        <v>33</v>
      </c>
      <c r="Q1442" s="1">
        <f t="shared" si="720"/>
        <v>50.000000000000007</v>
      </c>
      <c r="R1442" t="s">
        <v>183</v>
      </c>
      <c r="S1442" t="s">
        <v>33</v>
      </c>
      <c r="T1442">
        <v>1</v>
      </c>
      <c r="U1442">
        <v>2.5</v>
      </c>
      <c r="V1442" t="s">
        <v>33</v>
      </c>
      <c r="W1442">
        <v>0.50249999999999995</v>
      </c>
      <c r="X1442">
        <f>W1442</f>
        <v>0.50249999999999995</v>
      </c>
      <c r="Y1442" t="s">
        <v>33</v>
      </c>
      <c r="Z1442" s="3">
        <f>IFERROR(X1442*M1442*O1442*T1442*AI1442/AF1442, "NA")</f>
        <v>1.0049999999999998E-2</v>
      </c>
      <c r="AA1442" t="s">
        <v>33</v>
      </c>
      <c r="AB1442">
        <f>IFERROR(((X1442*M1442)/Z1442), "NA")</f>
        <v>50.000000000000007</v>
      </c>
      <c r="AC1442" s="1" t="str">
        <f t="shared" si="721"/>
        <v>NA</v>
      </c>
      <c r="AE1442" s="3">
        <f t="shared" si="722"/>
        <v>96.800000000000011</v>
      </c>
      <c r="AF1442">
        <v>100</v>
      </c>
      <c r="AG1442" s="1" t="str">
        <f>IFERROR((N1442*P1442*Q1442), "NA")</f>
        <v>NA</v>
      </c>
      <c r="AH1442" s="1" t="str">
        <f>IFERROR((AG1442*U1442*AI1442), "NA")</f>
        <v>NA</v>
      </c>
      <c r="AI1442" s="1">
        <v>1</v>
      </c>
      <c r="AJ1442" s="11" t="s">
        <v>31</v>
      </c>
      <c r="AK1442">
        <v>2000</v>
      </c>
      <c r="AL1442" t="s">
        <v>784</v>
      </c>
      <c r="AM1442" s="3" t="s">
        <v>103</v>
      </c>
      <c r="AN1442" t="s">
        <v>130</v>
      </c>
      <c r="AO1442" t="s">
        <v>795</v>
      </c>
      <c r="AP1442">
        <v>7</v>
      </c>
      <c r="AQ1442" t="s">
        <v>33</v>
      </c>
      <c r="AR1442" t="s">
        <v>33</v>
      </c>
      <c r="AS1442">
        <v>9</v>
      </c>
      <c r="AT1442">
        <f>AS1442-AU1442</f>
        <v>6.96</v>
      </c>
      <c r="AU1442" s="6">
        <v>2.04</v>
      </c>
      <c r="AV1442" t="b">
        <v>1</v>
      </c>
      <c r="AW1442" t="s">
        <v>617</v>
      </c>
      <c r="AX1442" t="s">
        <v>635</v>
      </c>
      <c r="AY1442" t="s">
        <v>636</v>
      </c>
      <c r="AZ1442" t="s">
        <v>33</v>
      </c>
      <c r="BA1442" s="18" t="s">
        <v>802</v>
      </c>
      <c r="BB1442" s="3" t="b">
        <v>0</v>
      </c>
      <c r="BC1442" t="s">
        <v>81</v>
      </c>
      <c r="BD1442">
        <v>24</v>
      </c>
      <c r="BE1442" t="s">
        <v>80</v>
      </c>
      <c r="BF1442">
        <v>24</v>
      </c>
      <c r="BG1442" t="s">
        <v>644</v>
      </c>
      <c r="BH1442" t="s">
        <v>31</v>
      </c>
      <c r="BI1442" t="s">
        <v>31</v>
      </c>
      <c r="BJ1442">
        <f t="shared" si="707"/>
        <v>2.04</v>
      </c>
      <c r="BK1442" s="3">
        <f t="shared" si="706"/>
        <v>0.30963016742589877</v>
      </c>
      <c r="BL1442">
        <v>2</v>
      </c>
      <c r="BM1442" s="3">
        <f t="shared" si="719"/>
        <v>1.6762451898824948</v>
      </c>
      <c r="BN1442" t="s">
        <v>33</v>
      </c>
      <c r="BO1442" s="3">
        <f t="shared" si="713"/>
        <v>47.450980392156865</v>
      </c>
      <c r="BP1442" t="s">
        <v>33</v>
      </c>
      <c r="BQ1442" t="s">
        <v>33</v>
      </c>
      <c r="BR1442" t="s">
        <v>33</v>
      </c>
      <c r="BS1442" t="s">
        <v>33</v>
      </c>
      <c r="BT1442" t="s">
        <v>31</v>
      </c>
      <c r="BU1442" t="s">
        <v>664</v>
      </c>
      <c r="BV1442">
        <v>2000</v>
      </c>
      <c r="BW1442" t="s">
        <v>665</v>
      </c>
      <c r="BX1442" t="s">
        <v>78</v>
      </c>
      <c r="BY1442" s="13" t="s">
        <v>685</v>
      </c>
      <c r="CA1442" t="str">
        <f t="shared" si="715"/>
        <v>low acid</v>
      </c>
    </row>
    <row r="1443" spans="1:79">
      <c r="A1443" t="s">
        <v>537</v>
      </c>
      <c r="B1443" t="s">
        <v>565</v>
      </c>
      <c r="C1443" t="s">
        <v>563</v>
      </c>
      <c r="D1443" t="s">
        <v>118</v>
      </c>
      <c r="E1443" t="s">
        <v>77</v>
      </c>
      <c r="F1443" t="s">
        <v>32</v>
      </c>
      <c r="G1443">
        <v>5</v>
      </c>
      <c r="H1443">
        <v>50</v>
      </c>
      <c r="I1443" t="b">
        <v>0</v>
      </c>
      <c r="J1443" t="s">
        <v>33</v>
      </c>
      <c r="K1443" t="s">
        <v>33</v>
      </c>
      <c r="L1443">
        <v>21</v>
      </c>
      <c r="M1443" s="4">
        <v>1500</v>
      </c>
      <c r="N1443" s="3">
        <f>IFERROR(AF1443/((T1443*X1443/Y1443)*O1443*AI1443),"NA")</f>
        <v>1500.8418682372421</v>
      </c>
      <c r="O1443">
        <v>2</v>
      </c>
      <c r="P1443" t="s">
        <v>33</v>
      </c>
      <c r="Q1443" s="8">
        <f t="shared" si="720"/>
        <v>1.2055555555555557E-2</v>
      </c>
      <c r="R1443" t="s">
        <v>183</v>
      </c>
      <c r="S1443" t="s">
        <v>613</v>
      </c>
      <c r="T1443" s="11">
        <v>6</v>
      </c>
      <c r="U1443">
        <v>2.9</v>
      </c>
      <c r="V1443">
        <v>2.2999999999999998</v>
      </c>
      <c r="W1443" t="s">
        <v>33</v>
      </c>
      <c r="X1443" s="8">
        <f>IFERROR(((PI())*(((V1443*10^-1)/2)^2)*(U1443*10^-1)), "NA")</f>
        <v>1.204879322468025E-2</v>
      </c>
      <c r="Y1443" s="6">
        <f>60/60</f>
        <v>1</v>
      </c>
      <c r="Z1443" s="3">
        <f>IFERROR(X1443*M1443*O1443*T1443*AI1443/AF1443, "NA")</f>
        <v>0.99943906932831561</v>
      </c>
      <c r="AA1443" t="s">
        <v>33</v>
      </c>
      <c r="AB1443" s="6">
        <f>IFERROR(((X1443*M1443)/Z1443), "NA")</f>
        <v>18.083333333333336</v>
      </c>
      <c r="AC1443" t="str">
        <f t="shared" si="721"/>
        <v>NA</v>
      </c>
      <c r="AD1443" s="4">
        <f>IFERROR(AB1443*T1443*AI1443, "NA")</f>
        <v>108.50000000000001</v>
      </c>
      <c r="AE1443" s="3">
        <f t="shared" si="722"/>
        <v>153.88077600000003</v>
      </c>
      <c r="AF1443">
        <v>217</v>
      </c>
      <c r="AG1443" t="str">
        <f>IFERROR((M1443*O1443*P1443), "NA")</f>
        <v>NA</v>
      </c>
      <c r="AH1443" t="str">
        <f>IFERROR((AG1443*T1443*AI1443), "NA")</f>
        <v>NA</v>
      </c>
      <c r="AI1443" s="11">
        <v>1</v>
      </c>
      <c r="AJ1443" t="s">
        <v>31</v>
      </c>
      <c r="AK1443">
        <v>1608</v>
      </c>
      <c r="AL1443" t="s">
        <v>149</v>
      </c>
      <c r="AM1443" t="s">
        <v>86</v>
      </c>
      <c r="AN1443" t="s">
        <v>205</v>
      </c>
      <c r="AO1443" t="s">
        <v>789</v>
      </c>
      <c r="AP1443">
        <v>3.41</v>
      </c>
      <c r="AQ1443" t="s">
        <v>33</v>
      </c>
      <c r="AR1443" t="s">
        <v>33</v>
      </c>
      <c r="AS1443" s="3">
        <v>9</v>
      </c>
      <c r="AT1443" s="3">
        <f>IFERROR(AS1443-AU1443,"NA")</f>
        <v>6.96</v>
      </c>
      <c r="AU1443" s="6">
        <v>2.04</v>
      </c>
      <c r="AV1443" t="b">
        <v>1</v>
      </c>
      <c r="AW1443" t="s">
        <v>29</v>
      </c>
      <c r="AX1443" t="s">
        <v>30</v>
      </c>
      <c r="AY1443" t="s">
        <v>33</v>
      </c>
      <c r="AZ1443" t="s">
        <v>134</v>
      </c>
      <c r="BA1443" s="18" t="s">
        <v>798</v>
      </c>
      <c r="BB1443" t="b">
        <v>0</v>
      </c>
      <c r="BC1443" t="s">
        <v>81</v>
      </c>
      <c r="BD1443">
        <f>18</f>
        <v>18</v>
      </c>
      <c r="BE1443" t="s">
        <v>80</v>
      </c>
      <c r="BF1443" s="11">
        <v>24</v>
      </c>
      <c r="BG1443" t="s">
        <v>262</v>
      </c>
      <c r="BH1443" t="s">
        <v>31</v>
      </c>
      <c r="BI1443" t="s">
        <v>31</v>
      </c>
      <c r="BJ1443" s="3">
        <f t="shared" si="707"/>
        <v>2.04</v>
      </c>
      <c r="BK1443" s="3">
        <f t="shared" si="706"/>
        <v>0.30963016742589877</v>
      </c>
      <c r="BL1443">
        <v>2</v>
      </c>
      <c r="BM1443" s="3">
        <f t="shared" si="719"/>
        <v>1.8775542003029018</v>
      </c>
      <c r="BN1443" t="s">
        <v>33</v>
      </c>
      <c r="BO1443" s="3">
        <f t="shared" si="713"/>
        <v>75.431752941176484</v>
      </c>
      <c r="BP1443" t="s">
        <v>33</v>
      </c>
      <c r="BQ1443" t="s">
        <v>33</v>
      </c>
      <c r="BR1443" t="s">
        <v>33</v>
      </c>
      <c r="BS1443" t="s">
        <v>33</v>
      </c>
      <c r="BT1443" t="s">
        <v>31</v>
      </c>
      <c r="BU1443" t="s">
        <v>190</v>
      </c>
      <c r="BV1443">
        <v>2021</v>
      </c>
      <c r="BW1443" s="5" t="s">
        <v>191</v>
      </c>
      <c r="BX1443" t="s">
        <v>78</v>
      </c>
      <c r="BY1443" t="s">
        <v>33</v>
      </c>
      <c r="BZ1443" t="s">
        <v>150</v>
      </c>
      <c r="CA1443" t="str">
        <f t="shared" si="715"/>
        <v>high acid</v>
      </c>
    </row>
    <row r="1444" spans="1:79">
      <c r="A1444" t="s">
        <v>224</v>
      </c>
      <c r="B1444" t="s">
        <v>565</v>
      </c>
      <c r="C1444" t="s">
        <v>563</v>
      </c>
      <c r="D1444" t="s">
        <v>118</v>
      </c>
      <c r="E1444" t="s">
        <v>77</v>
      </c>
      <c r="F1444" t="s">
        <v>32</v>
      </c>
      <c r="G1444">
        <v>5</v>
      </c>
      <c r="H1444">
        <v>30.3</v>
      </c>
      <c r="I1444" t="b">
        <v>0</v>
      </c>
      <c r="J1444" t="s">
        <v>33</v>
      </c>
      <c r="K1444" t="s">
        <v>33</v>
      </c>
      <c r="L1444">
        <v>35</v>
      </c>
      <c r="M1444" s="4">
        <v>100</v>
      </c>
      <c r="N1444" s="3">
        <f>IFERROR(AF1444/((T1444*X1444/Y1444)*O1444*AI1444),"NA")</f>
        <v>2146.5468453538301</v>
      </c>
      <c r="O1444">
        <v>4</v>
      </c>
      <c r="P1444" t="s">
        <v>33</v>
      </c>
      <c r="Q1444">
        <f t="shared" si="720"/>
        <v>0.15625</v>
      </c>
      <c r="R1444" t="s">
        <v>183</v>
      </c>
      <c r="S1444" t="s">
        <v>613</v>
      </c>
      <c r="T1444" s="11">
        <v>8</v>
      </c>
      <c r="U1444">
        <v>2.92</v>
      </c>
      <c r="V1444">
        <v>2.2999999999999998</v>
      </c>
      <c r="W1444">
        <v>1.21E-2</v>
      </c>
      <c r="X1444" s="8">
        <f>IFERROR(((PI())*(((V1444*10^-1)/2)^2)*(U1444*10^-1)), "NA")</f>
        <v>1.2131888350367701E-2</v>
      </c>
      <c r="Y1444" s="6">
        <f>100/60</f>
        <v>1.6666666666666667</v>
      </c>
      <c r="Z1444" s="3">
        <f>IFERROR(X1444*M1444*O1444*T1444*AI1444/AF1444, "NA")</f>
        <v>7.7644085442353281E-2</v>
      </c>
      <c r="AA1444" t="s">
        <v>33</v>
      </c>
      <c r="AB1444" s="6">
        <f>IFERROR(((X1444*M1444)/Z1444), "NA")</f>
        <v>15.625000000000002</v>
      </c>
      <c r="AC1444" t="str">
        <f t="shared" si="721"/>
        <v>NA</v>
      </c>
      <c r="AD1444" s="4">
        <f>AB1444*T1444*AI1444</f>
        <v>125.00000000000001</v>
      </c>
      <c r="AE1444" s="3">
        <f t="shared" si="722"/>
        <v>2241.75</v>
      </c>
      <c r="AF1444">
        <v>500</v>
      </c>
      <c r="AG1444" t="str">
        <f>IFERROR((M1444*O1444*P1444), "NA")</f>
        <v>NA</v>
      </c>
      <c r="AH1444" t="str">
        <f>IFERROR((AG1444*T1444*AI1444), "NA")</f>
        <v>NA</v>
      </c>
      <c r="AI1444">
        <v>1</v>
      </c>
      <c r="AJ1444" t="s">
        <v>31</v>
      </c>
      <c r="AK1444">
        <v>3660</v>
      </c>
      <c r="AL1444" t="s">
        <v>541</v>
      </c>
      <c r="AM1444" t="s">
        <v>86</v>
      </c>
      <c r="AN1444" t="s">
        <v>186</v>
      </c>
      <c r="AO1444" t="s">
        <v>794</v>
      </c>
      <c r="AP1444">
        <v>5.46</v>
      </c>
      <c r="AQ1444" t="s">
        <v>33</v>
      </c>
      <c r="AR1444" t="s">
        <v>33</v>
      </c>
      <c r="AS1444" s="6">
        <f>LOG((10^7+10^8)/2)</f>
        <v>7.7403626894942441</v>
      </c>
      <c r="AT1444" s="3">
        <f>IFERROR(AS1444-AU1444,"NA")</f>
        <v>6.9623626894942436</v>
      </c>
      <c r="AU1444" s="6">
        <v>0.77800000000000002</v>
      </c>
      <c r="AV1444" t="b">
        <v>1</v>
      </c>
      <c r="AW1444" t="s">
        <v>92</v>
      </c>
      <c r="AX1444" t="s">
        <v>93</v>
      </c>
      <c r="AY1444" s="10">
        <v>1131</v>
      </c>
      <c r="AZ1444" t="s">
        <v>33</v>
      </c>
      <c r="BA1444" s="18" t="s">
        <v>801</v>
      </c>
      <c r="BB1444" t="b">
        <v>0</v>
      </c>
      <c r="BC1444" t="s">
        <v>81</v>
      </c>
      <c r="BD1444">
        <f>(16+14)/2</f>
        <v>15</v>
      </c>
      <c r="BE1444" t="s">
        <v>80</v>
      </c>
      <c r="BF1444" t="s">
        <v>33</v>
      </c>
      <c r="BG1444" t="s">
        <v>573</v>
      </c>
      <c r="BH1444" t="s">
        <v>31</v>
      </c>
      <c r="BI1444" t="s">
        <v>31</v>
      </c>
      <c r="BJ1444" s="3">
        <f t="shared" si="707"/>
        <v>0.77800000000000002</v>
      </c>
      <c r="BK1444" s="3">
        <f t="shared" si="706"/>
        <v>-0.10902040301031106</v>
      </c>
      <c r="BL1444">
        <v>2</v>
      </c>
      <c r="BM1444" s="3">
        <f t="shared" si="719"/>
        <v>3.4596075814412917</v>
      </c>
      <c r="BN1444" t="s">
        <v>33</v>
      </c>
      <c r="BO1444" s="3">
        <f t="shared" si="713"/>
        <v>2881.4267352185088</v>
      </c>
      <c r="BP1444" t="s">
        <v>33</v>
      </c>
      <c r="BQ1444" t="s">
        <v>33</v>
      </c>
      <c r="BR1444" t="s">
        <v>33</v>
      </c>
      <c r="BS1444" t="s">
        <v>33</v>
      </c>
      <c r="BT1444" t="s">
        <v>31</v>
      </c>
      <c r="BU1444" t="s">
        <v>219</v>
      </c>
      <c r="BV1444">
        <v>2007</v>
      </c>
      <c r="BW1444" t="s">
        <v>218</v>
      </c>
      <c r="BX1444" t="s">
        <v>78</v>
      </c>
      <c r="BY1444" t="s">
        <v>33</v>
      </c>
      <c r="BZ1444" t="s">
        <v>33</v>
      </c>
      <c r="CA1444" t="str">
        <f t="shared" si="715"/>
        <v>low acid</v>
      </c>
    </row>
    <row r="1445" spans="1:79">
      <c r="A1445" t="s">
        <v>589</v>
      </c>
      <c r="B1445" t="s">
        <v>566</v>
      </c>
      <c r="C1445" t="s">
        <v>563</v>
      </c>
      <c r="D1445" t="s">
        <v>33</v>
      </c>
      <c r="E1445" t="s">
        <v>77</v>
      </c>
      <c r="F1445" t="s">
        <v>33</v>
      </c>
      <c r="G1445" t="s">
        <v>33</v>
      </c>
      <c r="H1445">
        <v>35</v>
      </c>
      <c r="I1445" t="b">
        <v>0</v>
      </c>
      <c r="J1445" t="s">
        <v>33</v>
      </c>
      <c r="K1445" t="s">
        <v>33</v>
      </c>
      <c r="L1445">
        <v>15</v>
      </c>
      <c r="M1445" s="4">
        <v>1</v>
      </c>
      <c r="N1445" t="e">
        <f>(#REF!*Y1445)/(T1445*X1445*O1445)</f>
        <v>#REF!</v>
      </c>
      <c r="O1445">
        <v>2</v>
      </c>
      <c r="P1445" t="s">
        <v>33</v>
      </c>
      <c r="Q1445" s="1">
        <f t="shared" si="720"/>
        <v>3.085</v>
      </c>
      <c r="R1445" t="s">
        <v>183</v>
      </c>
      <c r="S1445" t="s">
        <v>613</v>
      </c>
      <c r="T1445">
        <v>1</v>
      </c>
      <c r="U1445">
        <v>2.5</v>
      </c>
      <c r="V1445" t="s">
        <v>33</v>
      </c>
      <c r="W1445">
        <v>0.50249999999999995</v>
      </c>
      <c r="X1445">
        <f>W1445</f>
        <v>0.50249999999999995</v>
      </c>
      <c r="Y1445" t="s">
        <v>33</v>
      </c>
      <c r="Z1445" s="3">
        <f>IFERROR(X1445*M1445*O1445*T1445*AI1445/AF1445, "NA")</f>
        <v>0.16288492706645055</v>
      </c>
      <c r="AA1445" t="s">
        <v>33</v>
      </c>
      <c r="AB1445">
        <f>IFERROR(((X1445*M1445)/Z1445), "NA")</f>
        <v>3.085</v>
      </c>
      <c r="AC1445" s="1" t="str">
        <f t="shared" si="721"/>
        <v>NA</v>
      </c>
      <c r="AE1445" s="3">
        <f t="shared" si="722"/>
        <v>2.7764999999999995</v>
      </c>
      <c r="AF1445">
        <v>6.17</v>
      </c>
      <c r="AG1445" s="1" t="str">
        <f>IFERROR((N1445*P1445*Q1445), "NA")</f>
        <v>NA</v>
      </c>
      <c r="AH1445" s="1" t="str">
        <f>IFERROR((AG1445*U1445*AI1445), "NA")</f>
        <v>NA</v>
      </c>
      <c r="AI1445" s="1">
        <v>1</v>
      </c>
      <c r="AJ1445" s="11" t="s">
        <v>31</v>
      </c>
      <c r="AK1445">
        <v>2000</v>
      </c>
      <c r="AL1445" t="s">
        <v>616</v>
      </c>
      <c r="AM1445" s="3" t="s">
        <v>103</v>
      </c>
      <c r="AN1445" t="s">
        <v>130</v>
      </c>
      <c r="AO1445" t="s">
        <v>795</v>
      </c>
      <c r="AP1445">
        <v>7</v>
      </c>
      <c r="AQ1445" t="s">
        <v>33</v>
      </c>
      <c r="AR1445" t="s">
        <v>33</v>
      </c>
      <c r="AS1445">
        <v>9</v>
      </c>
      <c r="AT1445">
        <f>AS1445-AU1445</f>
        <v>6.9700000000000006</v>
      </c>
      <c r="AU1445" s="6">
        <v>2.0299999999999998</v>
      </c>
      <c r="AV1445" t="b">
        <v>1</v>
      </c>
      <c r="AW1445" t="s">
        <v>617</v>
      </c>
      <c r="AX1445" t="s">
        <v>33</v>
      </c>
      <c r="AY1445" t="s">
        <v>629</v>
      </c>
      <c r="AZ1445" t="s">
        <v>630</v>
      </c>
      <c r="BA1445" s="18" t="s">
        <v>802</v>
      </c>
      <c r="BB1445" s="3" t="b">
        <v>0</v>
      </c>
      <c r="BC1445" t="s">
        <v>81</v>
      </c>
      <c r="BD1445">
        <v>24</v>
      </c>
      <c r="BE1445" t="s">
        <v>80</v>
      </c>
      <c r="BF1445">
        <v>24</v>
      </c>
      <c r="BG1445" t="s">
        <v>644</v>
      </c>
      <c r="BH1445" t="s">
        <v>31</v>
      </c>
      <c r="BI1445" t="s">
        <v>31</v>
      </c>
      <c r="BJ1445">
        <f t="shared" si="707"/>
        <v>2.0299999999999998</v>
      </c>
      <c r="BK1445" s="3">
        <f t="shared" si="706"/>
        <v>0.30749603791321289</v>
      </c>
      <c r="BL1445">
        <v>2</v>
      </c>
      <c r="BM1445" s="3">
        <f t="shared" si="719"/>
        <v>0.13600163989537242</v>
      </c>
      <c r="BN1445" t="s">
        <v>33</v>
      </c>
      <c r="BO1445" s="3">
        <f t="shared" si="713"/>
        <v>1.3677339901477832</v>
      </c>
      <c r="BP1445" t="s">
        <v>33</v>
      </c>
      <c r="BQ1445" t="s">
        <v>33</v>
      </c>
      <c r="BR1445" t="s">
        <v>33</v>
      </c>
      <c r="BS1445" t="s">
        <v>33</v>
      </c>
      <c r="BT1445" t="s">
        <v>31</v>
      </c>
      <c r="BU1445" s="15" t="s">
        <v>655</v>
      </c>
      <c r="BV1445">
        <v>2003</v>
      </c>
      <c r="BW1445" t="s">
        <v>656</v>
      </c>
      <c r="BX1445" t="s">
        <v>78</v>
      </c>
      <c r="BY1445" s="13" t="s">
        <v>677</v>
      </c>
      <c r="CA1445" t="str">
        <f t="shared" si="715"/>
        <v>low acid</v>
      </c>
    </row>
    <row r="1446" spans="1:79">
      <c r="A1446" t="s">
        <v>460</v>
      </c>
      <c r="B1446" t="s">
        <v>565</v>
      </c>
      <c r="C1446" t="s">
        <v>563</v>
      </c>
      <c r="D1446" t="s">
        <v>182</v>
      </c>
      <c r="E1446" t="s">
        <v>77</v>
      </c>
      <c r="F1446" t="s">
        <v>32</v>
      </c>
      <c r="G1446">
        <v>18</v>
      </c>
      <c r="H1446">
        <v>39</v>
      </c>
      <c r="I1446" t="b">
        <v>1</v>
      </c>
      <c r="J1446" t="s">
        <v>33</v>
      </c>
      <c r="K1446" t="s">
        <v>33</v>
      </c>
      <c r="L1446">
        <v>27</v>
      </c>
      <c r="M1446" s="4" t="s">
        <v>33</v>
      </c>
      <c r="N1446" s="3">
        <f>IFERROR(AF1446/((T1446*X1446/Y1446)*O1446*AI1446),"NA")</f>
        <v>329.67224855987649</v>
      </c>
      <c r="O1446">
        <v>8</v>
      </c>
      <c r="P1446">
        <f>0.047/2</f>
        <v>2.35E-2</v>
      </c>
      <c r="Q1446" s="8">
        <f t="shared" si="720"/>
        <v>2.3318614270936313E-2</v>
      </c>
      <c r="R1446" t="s">
        <v>183</v>
      </c>
      <c r="S1446" t="s">
        <v>613</v>
      </c>
      <c r="T1446" s="11">
        <v>2</v>
      </c>
      <c r="U1446">
        <v>5.6</v>
      </c>
      <c r="V1446">
        <v>4.5</v>
      </c>
      <c r="W1446" t="s">
        <v>33</v>
      </c>
      <c r="X1446" s="9">
        <f>IFERROR(((PI())*(((V1446*10^-1)/2)^2)*(U1446*10^-1)), "NA")</f>
        <v>8.9064151729270638E-2</v>
      </c>
      <c r="Y1446" s="6">
        <f>13750/3600</f>
        <v>3.8194444444444446</v>
      </c>
      <c r="Z1446" s="3">
        <f>IFERROR(X1446*N1446*O1446*T1446*AI1446/AF1446, "NA")</f>
        <v>3.8194444444444442</v>
      </c>
      <c r="AA1446" t="s">
        <v>33</v>
      </c>
      <c r="AB1446" s="4">
        <f>IFERROR(((X1446*N1446)/Y1446), "NA")</f>
        <v>7.6874999999999991</v>
      </c>
      <c r="AC1446" s="4">
        <f>IFERROR(N1446*P1446,"NA")</f>
        <v>7.7472978411570974</v>
      </c>
      <c r="AD1446" s="4">
        <f>AB1446*T1446*AI1446</f>
        <v>15.374999999999998</v>
      </c>
      <c r="AE1446" s="3">
        <f>IFERROR(((L1446^2)*N1446*O1446*AK1446*10^-6*Q1446*T1446*AI1446), "NA")</f>
        <v>206.23409999999998</v>
      </c>
      <c r="AF1446">
        <v>123</v>
      </c>
      <c r="AG1446" s="4">
        <f>IFERROR((N1446*O1446*P1446), "NA")</f>
        <v>61.978382729256779</v>
      </c>
      <c r="AH1446" s="4">
        <f>IFERROR((AG1446*T1446*AI1446), "NA")</f>
        <v>123.95676545851356</v>
      </c>
      <c r="AI1446" s="11">
        <v>1</v>
      </c>
      <c r="AJ1446" t="s">
        <v>31</v>
      </c>
      <c r="AK1446">
        <v>2300</v>
      </c>
      <c r="AL1446" t="s">
        <v>805</v>
      </c>
      <c r="AM1446" t="s">
        <v>515</v>
      </c>
      <c r="AN1446" t="s">
        <v>205</v>
      </c>
      <c r="AO1446" t="s">
        <v>788</v>
      </c>
      <c r="AP1446">
        <v>3.68</v>
      </c>
      <c r="AQ1446" t="s">
        <v>33</v>
      </c>
      <c r="AR1446" t="s">
        <v>33</v>
      </c>
      <c r="AS1446">
        <f>LOG(10^8)</f>
        <v>8</v>
      </c>
      <c r="AT1446" s="3">
        <f>IFERROR(AS1446-AU1446,"NA")</f>
        <v>6.98</v>
      </c>
      <c r="AU1446" s="6">
        <v>1.02</v>
      </c>
      <c r="AV1446" t="b">
        <v>1</v>
      </c>
      <c r="AW1446" t="s">
        <v>480</v>
      </c>
      <c r="AX1446" t="s">
        <v>479</v>
      </c>
      <c r="AY1446" t="s">
        <v>482</v>
      </c>
      <c r="AZ1446" t="s">
        <v>33</v>
      </c>
      <c r="BA1446" s="18" t="s">
        <v>579</v>
      </c>
      <c r="BB1446" t="b">
        <v>1</v>
      </c>
      <c r="BC1446" t="s">
        <v>81</v>
      </c>
      <c r="BD1446" t="s">
        <v>33</v>
      </c>
      <c r="BE1446" t="s">
        <v>80</v>
      </c>
      <c r="BF1446" t="s">
        <v>33</v>
      </c>
      <c r="BG1446" t="s">
        <v>395</v>
      </c>
      <c r="BH1446" t="s">
        <v>31</v>
      </c>
      <c r="BI1446" t="s">
        <v>31</v>
      </c>
      <c r="BJ1446" s="3">
        <f t="shared" si="707"/>
        <v>1.02</v>
      </c>
      <c r="BK1446" s="3">
        <f t="shared" si="706"/>
        <v>8.6001717619175692E-3</v>
      </c>
      <c r="BL1446">
        <v>2</v>
      </c>
      <c r="BM1446" s="3">
        <f t="shared" si="719"/>
        <v>2.3057603040130479</v>
      </c>
      <c r="BN1446" t="s">
        <v>33</v>
      </c>
      <c r="BO1446" s="3">
        <f t="shared" si="713"/>
        <v>202.19029411764703</v>
      </c>
      <c r="BP1446" t="s">
        <v>33</v>
      </c>
      <c r="BQ1446" t="s">
        <v>33</v>
      </c>
      <c r="BR1446" t="s">
        <v>33</v>
      </c>
      <c r="BS1446" t="s">
        <v>33</v>
      </c>
      <c r="BT1446" t="s">
        <v>32</v>
      </c>
      <c r="BU1446" t="s">
        <v>484</v>
      </c>
      <c r="BV1446">
        <v>2015</v>
      </c>
      <c r="BW1446" t="s">
        <v>485</v>
      </c>
      <c r="BX1446" t="s">
        <v>78</v>
      </c>
      <c r="BY1446" t="s">
        <v>486</v>
      </c>
      <c r="CA1446" t="str">
        <f t="shared" si="715"/>
        <v>high acid</v>
      </c>
    </row>
    <row r="1447" spans="1:79">
      <c r="A1447" t="s">
        <v>777</v>
      </c>
      <c r="B1447" t="s">
        <v>565</v>
      </c>
      <c r="C1447" t="s">
        <v>563</v>
      </c>
      <c r="D1447" t="s">
        <v>118</v>
      </c>
      <c r="E1447" t="s">
        <v>77</v>
      </c>
      <c r="F1447" t="s">
        <v>32</v>
      </c>
      <c r="G1447">
        <v>22</v>
      </c>
      <c r="H1447">
        <v>52</v>
      </c>
      <c r="I1447" t="b">
        <v>0</v>
      </c>
      <c r="J1447" t="s">
        <v>33</v>
      </c>
      <c r="K1447" t="s">
        <v>33</v>
      </c>
      <c r="L1447">
        <v>30</v>
      </c>
      <c r="M1447" s="4">
        <v>1000</v>
      </c>
      <c r="N1447" s="3">
        <f>IFERROR(AF1447/((T1447*X1447/Y1447)*O1447*AI1447),"NA")</f>
        <v>659.41919089269652</v>
      </c>
      <c r="O1447">
        <v>3</v>
      </c>
      <c r="P1447" s="8">
        <f>Q1447</f>
        <v>4.0000000000000001E-3</v>
      </c>
      <c r="Q1447" s="8">
        <f t="shared" si="720"/>
        <v>4.0000000000000001E-3</v>
      </c>
      <c r="R1447" t="s">
        <v>183</v>
      </c>
      <c r="S1447" t="s">
        <v>613</v>
      </c>
      <c r="T1447" s="11">
        <v>6</v>
      </c>
      <c r="U1447">
        <v>2.92</v>
      </c>
      <c r="V1447">
        <v>2.2999999999999998</v>
      </c>
      <c r="W1447" s="16">
        <f>X1447</f>
        <v>1.2131888350367701E-2</v>
      </c>
      <c r="X1447" s="16">
        <f>IFERROR(((PI())*(((V1447*10^-1)/2)^2)*(U1447*10^-1)), "NA")</f>
        <v>1.2131888350367701E-2</v>
      </c>
      <c r="Y1447" s="6">
        <f>2</f>
        <v>2</v>
      </c>
      <c r="Z1447" s="3">
        <f>IFERROR(X1447*M1447*O1447*T1447*AI1447/AF1447, "NA")</f>
        <v>3.0329720875919253</v>
      </c>
      <c r="AA1447" t="s">
        <v>33</v>
      </c>
      <c r="AB1447" s="4">
        <f>IFERROR(((X1447*M1447)/Y1447), "NA")</f>
        <v>6.0659441751838505</v>
      </c>
      <c r="AC1447" s="4">
        <f>IFERROR(M1447*P1447,"NA")</f>
        <v>4</v>
      </c>
      <c r="AD1447" s="4">
        <f>AB1447*T1447*AI1447</f>
        <v>36.395665051103101</v>
      </c>
      <c r="AE1447" s="3">
        <f>IFERROR(((L1447^2)*M1447*O1447*AK1447*10^-6*Q1447*T1447*AI1447), "NA")</f>
        <v>136.07999999999998</v>
      </c>
      <c r="AF1447">
        <v>72</v>
      </c>
      <c r="AG1447" s="4">
        <f>IFERROR((M1447*O1447*P1447), "NA")</f>
        <v>12</v>
      </c>
      <c r="AH1447" s="4">
        <f>IFERROR((AG1447*T1447*AI1447), "NA")</f>
        <v>72</v>
      </c>
      <c r="AI1447">
        <v>1</v>
      </c>
      <c r="AJ1447" s="11" t="s">
        <v>31</v>
      </c>
      <c r="AK1447">
        <f>0.21*1000000/100</f>
        <v>2100</v>
      </c>
      <c r="AL1447" t="s">
        <v>114</v>
      </c>
      <c r="AM1447" t="s">
        <v>103</v>
      </c>
      <c r="AN1447" t="s">
        <v>130</v>
      </c>
      <c r="AO1447" t="s">
        <v>795</v>
      </c>
      <c r="AP1447" t="s">
        <v>33</v>
      </c>
      <c r="AQ1447" t="s">
        <v>33</v>
      </c>
      <c r="AR1447" t="s">
        <v>33</v>
      </c>
      <c r="AS1447">
        <v>8.8659999999999997</v>
      </c>
      <c r="AT1447" s="3">
        <f>IFERROR(AS1447-AU1447,"NA")</f>
        <v>6.9859999999999998</v>
      </c>
      <c r="AU1447" s="6">
        <f>AS1447-6.986</f>
        <v>1.88</v>
      </c>
      <c r="AV1447" t="b">
        <v>1</v>
      </c>
      <c r="AW1447" t="s">
        <v>92</v>
      </c>
      <c r="AX1447" t="s">
        <v>93</v>
      </c>
      <c r="AY1447" t="s">
        <v>94</v>
      </c>
      <c r="AZ1447" t="s">
        <v>33</v>
      </c>
      <c r="BA1447" s="18" t="s">
        <v>801</v>
      </c>
      <c r="BB1447" s="3" t="b">
        <v>0</v>
      </c>
      <c r="BC1447" t="s">
        <v>81</v>
      </c>
      <c r="BD1447">
        <v>18</v>
      </c>
      <c r="BE1447" t="s">
        <v>80</v>
      </c>
      <c r="BF1447">
        <v>48</v>
      </c>
      <c r="BG1447" t="s">
        <v>568</v>
      </c>
      <c r="BH1447" t="s">
        <v>31</v>
      </c>
      <c r="BI1447" t="s">
        <v>31</v>
      </c>
      <c r="BJ1447" s="3">
        <f t="shared" si="707"/>
        <v>1.88</v>
      </c>
      <c r="BK1447" s="3">
        <f t="shared" si="706"/>
        <v>0.27415784926367981</v>
      </c>
      <c r="BL1447">
        <v>2</v>
      </c>
      <c r="BM1447" s="3">
        <f t="shared" si="719"/>
        <v>1.8596364513408328</v>
      </c>
      <c r="BN1447" t="s">
        <v>33</v>
      </c>
      <c r="BO1447" s="3">
        <f t="shared" si="713"/>
        <v>72.38297872340425</v>
      </c>
      <c r="BP1447" t="s">
        <v>33</v>
      </c>
      <c r="BQ1447" t="s">
        <v>33</v>
      </c>
      <c r="BR1447" t="s">
        <v>33</v>
      </c>
      <c r="BS1447" t="s">
        <v>33</v>
      </c>
      <c r="BT1447" t="s">
        <v>31</v>
      </c>
      <c r="BU1447" t="s">
        <v>163</v>
      </c>
      <c r="BV1447">
        <v>2011</v>
      </c>
      <c r="BW1447" t="s">
        <v>778</v>
      </c>
      <c r="BX1447" t="s">
        <v>78</v>
      </c>
      <c r="BY1447" t="s">
        <v>779</v>
      </c>
      <c r="CA1447" t="str">
        <f t="shared" si="715"/>
        <v>low acid</v>
      </c>
    </row>
    <row r="1448" spans="1:79">
      <c r="A1448" t="s">
        <v>450</v>
      </c>
      <c r="B1448" t="s">
        <v>565</v>
      </c>
      <c r="C1448" t="s">
        <v>563</v>
      </c>
      <c r="D1448" t="s">
        <v>182</v>
      </c>
      <c r="E1448" t="s">
        <v>77</v>
      </c>
      <c r="F1448" t="s">
        <v>32</v>
      </c>
      <c r="G1448">
        <v>18</v>
      </c>
      <c r="H1448">
        <v>39</v>
      </c>
      <c r="I1448" t="b">
        <v>1</v>
      </c>
      <c r="J1448" t="s">
        <v>33</v>
      </c>
      <c r="K1448" t="s">
        <v>33</v>
      </c>
      <c r="L1448">
        <v>27</v>
      </c>
      <c r="M1448" s="4" t="s">
        <v>33</v>
      </c>
      <c r="N1448" s="3">
        <f>IFERROR(AF1448/((T1448*X1448/Y1448)*O1448*AI1448),"NA")</f>
        <v>329.67224855987649</v>
      </c>
      <c r="O1448">
        <v>8</v>
      </c>
      <c r="P1448">
        <f>0.047/2</f>
        <v>2.35E-2</v>
      </c>
      <c r="Q1448" s="8">
        <f t="shared" si="720"/>
        <v>2.3318614270936313E-2</v>
      </c>
      <c r="R1448" t="s">
        <v>183</v>
      </c>
      <c r="S1448" t="s">
        <v>613</v>
      </c>
      <c r="T1448" s="11">
        <v>2</v>
      </c>
      <c r="U1448">
        <v>5.6</v>
      </c>
      <c r="V1448">
        <v>4.5</v>
      </c>
      <c r="W1448" t="s">
        <v>33</v>
      </c>
      <c r="X1448" s="9">
        <f>IFERROR(((PI())*(((V1448*10^-1)/2)^2)*(U1448*10^-1)), "NA")</f>
        <v>8.9064151729270638E-2</v>
      </c>
      <c r="Y1448" s="6">
        <f>13750/3600</f>
        <v>3.8194444444444446</v>
      </c>
      <c r="Z1448" s="3">
        <f>IFERROR(X1448*N1448*O1448*T1448*AI1448/AF1448, "NA")</f>
        <v>3.8194444444444442</v>
      </c>
      <c r="AA1448" t="s">
        <v>33</v>
      </c>
      <c r="AB1448" s="4">
        <f>IFERROR(((X1448*N1448)/Y1448), "NA")</f>
        <v>7.6874999999999991</v>
      </c>
      <c r="AC1448" s="4">
        <f>IFERROR(N1448*P1448,"NA")</f>
        <v>7.7472978411570974</v>
      </c>
      <c r="AD1448" s="4">
        <f>AB1448*T1448*AI1448</f>
        <v>15.374999999999998</v>
      </c>
      <c r="AE1448" s="3">
        <f>IFERROR(((L1448^2)*N1448*O1448*AK1448*10^-6*Q1448*T1448*AI1448), "NA")</f>
        <v>206.23409999999998</v>
      </c>
      <c r="AF1448">
        <v>123</v>
      </c>
      <c r="AG1448" s="4">
        <f>IFERROR((N1448*O1448*P1448), "NA")</f>
        <v>61.978382729256779</v>
      </c>
      <c r="AH1448" s="4">
        <f>IFERROR((AG1448*T1448*AI1448), "NA")</f>
        <v>123.95676545851356</v>
      </c>
      <c r="AI1448" s="11">
        <v>1</v>
      </c>
      <c r="AJ1448" t="s">
        <v>31</v>
      </c>
      <c r="AK1448">
        <v>2300</v>
      </c>
      <c r="AL1448" t="s">
        <v>805</v>
      </c>
      <c r="AM1448" t="s">
        <v>515</v>
      </c>
      <c r="AN1448" t="s">
        <v>205</v>
      </c>
      <c r="AO1448" t="s">
        <v>788</v>
      </c>
      <c r="AP1448">
        <v>3.68</v>
      </c>
      <c r="AQ1448" t="s">
        <v>33</v>
      </c>
      <c r="AR1448" t="s">
        <v>33</v>
      </c>
      <c r="AS1448">
        <f>LOG(10^8)</f>
        <v>8</v>
      </c>
      <c r="AT1448" s="3">
        <f>IFERROR(AS1448-AU1448,"NA")</f>
        <v>6.99</v>
      </c>
      <c r="AU1448" s="6">
        <v>1.01</v>
      </c>
      <c r="AV1448" t="b">
        <v>1</v>
      </c>
      <c r="AW1448" t="s">
        <v>123</v>
      </c>
      <c r="AX1448" t="s">
        <v>461</v>
      </c>
      <c r="AY1448" t="s">
        <v>466</v>
      </c>
      <c r="AZ1448" t="s">
        <v>33</v>
      </c>
      <c r="BA1448" s="18" t="s">
        <v>579</v>
      </c>
      <c r="BB1448" t="b">
        <v>1</v>
      </c>
      <c r="BC1448" t="s">
        <v>81</v>
      </c>
      <c r="BD1448" t="s">
        <v>33</v>
      </c>
      <c r="BE1448" t="s">
        <v>80</v>
      </c>
      <c r="BF1448" t="s">
        <v>33</v>
      </c>
      <c r="BG1448" t="s">
        <v>395</v>
      </c>
      <c r="BH1448" t="s">
        <v>31</v>
      </c>
      <c r="BI1448" t="s">
        <v>31</v>
      </c>
      <c r="BJ1448" s="3">
        <f t="shared" si="707"/>
        <v>1.01</v>
      </c>
      <c r="BK1448" s="3">
        <f t="shared" si="706"/>
        <v>4.3213737826425782E-3</v>
      </c>
      <c r="BL1448">
        <v>2</v>
      </c>
      <c r="BM1448" s="3">
        <f t="shared" si="719"/>
        <v>2.3100391019923228</v>
      </c>
      <c r="BN1448" t="s">
        <v>33</v>
      </c>
      <c r="BO1448" s="3">
        <f t="shared" si="713"/>
        <v>204.19217821782178</v>
      </c>
      <c r="BP1448" t="s">
        <v>33</v>
      </c>
      <c r="BQ1448" t="s">
        <v>33</v>
      </c>
      <c r="BR1448" t="s">
        <v>33</v>
      </c>
      <c r="BS1448" t="s">
        <v>33</v>
      </c>
      <c r="BT1448" t="s">
        <v>32</v>
      </c>
      <c r="BU1448" t="s">
        <v>484</v>
      </c>
      <c r="BV1448">
        <v>2015</v>
      </c>
      <c r="BW1448" t="s">
        <v>485</v>
      </c>
      <c r="BX1448" t="s">
        <v>78</v>
      </c>
      <c r="BY1448" t="s">
        <v>486</v>
      </c>
      <c r="CA1448" t="str">
        <f t="shared" si="715"/>
        <v>high acid</v>
      </c>
    </row>
    <row r="1449" spans="1:79">
      <c r="A1449" t="s">
        <v>229</v>
      </c>
      <c r="B1449" t="s">
        <v>565</v>
      </c>
      <c r="C1449" t="s">
        <v>563</v>
      </c>
      <c r="D1449" t="s">
        <v>33</v>
      </c>
      <c r="E1449" t="s">
        <v>77</v>
      </c>
      <c r="F1449" t="s">
        <v>32</v>
      </c>
      <c r="G1449">
        <v>30</v>
      </c>
      <c r="H1449">
        <v>61</v>
      </c>
      <c r="I1449" t="b">
        <v>1</v>
      </c>
      <c r="J1449" t="s">
        <v>33</v>
      </c>
      <c r="K1449" t="s">
        <v>33</v>
      </c>
      <c r="L1449">
        <v>30</v>
      </c>
      <c r="M1449" s="4">
        <v>250</v>
      </c>
      <c r="N1449" s="3">
        <f>IFERROR(AF1449/((T1449*X1449/Y1449)*O1449*AI1449),"NA")</f>
        <v>260.5243209473274</v>
      </c>
      <c r="O1449">
        <v>4</v>
      </c>
      <c r="P1449" t="s">
        <v>33</v>
      </c>
      <c r="Q1449" s="8">
        <f t="shared" si="720"/>
        <v>1.3333333333333332E-2</v>
      </c>
      <c r="R1449" t="s">
        <v>183</v>
      </c>
      <c r="S1449" t="s">
        <v>613</v>
      </c>
      <c r="T1449" s="11">
        <v>6</v>
      </c>
      <c r="U1449">
        <v>2.2999999999999998</v>
      </c>
      <c r="V1449">
        <v>2.2000000000000002</v>
      </c>
      <c r="W1449" t="s">
        <v>33</v>
      </c>
      <c r="X1449" s="8">
        <f>IFERROR(((PI())*(((V1449*10^-1)/2)^2)*(U1449*10^-1)), "NA")</f>
        <v>8.7430523549403959E-3</v>
      </c>
      <c r="Y1449" s="6">
        <f>41/60</f>
        <v>0.68333333333333335</v>
      </c>
      <c r="Z1449" s="3">
        <f t="shared" ref="Z1449:Z1461" si="723">IFERROR(X1449*M1449*O1449*T1449*AI1449/AF1449, "NA")</f>
        <v>0.65572892662052973</v>
      </c>
      <c r="AA1449" s="3">
        <f>20/6</f>
        <v>3.3333333333333335</v>
      </c>
      <c r="AB1449" s="6">
        <f>IFERROR(((X1449*M1449)/Z1449), "NA")</f>
        <v>3.333333333333333</v>
      </c>
      <c r="AC1449" t="str">
        <f t="shared" ref="AC1449:AC1463" si="724">IFERROR(M1449*P1449,"NA")</f>
        <v>NA</v>
      </c>
      <c r="AD1449" s="4">
        <f>AB1449*T1449*AI1449</f>
        <v>20</v>
      </c>
      <c r="AE1449" s="3">
        <f t="shared" ref="AE1449:AE1512" si="725">IFERROR(((L1449^2)*M1449*O1449*AK1449*10^-6*Q1449*T1449*AI1449), "NA")</f>
        <v>288</v>
      </c>
      <c r="AF1449">
        <v>80</v>
      </c>
      <c r="AG1449" t="str">
        <f>IFERROR((M1449*O1449*P1449), "NA")</f>
        <v>NA</v>
      </c>
      <c r="AH1449" t="str">
        <f>IFERROR((AG1449*T1449*AI1449), "NA")</f>
        <v>NA</v>
      </c>
      <c r="AI1449">
        <v>1</v>
      </c>
      <c r="AJ1449" t="s">
        <v>31</v>
      </c>
      <c r="AK1449">
        <v>4000</v>
      </c>
      <c r="AL1449" t="s">
        <v>546</v>
      </c>
      <c r="AM1449" t="s">
        <v>103</v>
      </c>
      <c r="AN1449" t="s">
        <v>130</v>
      </c>
      <c r="AO1449" t="s">
        <v>795</v>
      </c>
      <c r="AP1449">
        <v>5</v>
      </c>
      <c r="AQ1449" t="s">
        <v>33</v>
      </c>
      <c r="AR1449" t="s">
        <v>33</v>
      </c>
      <c r="AS1449" s="6">
        <v>8.4</v>
      </c>
      <c r="AT1449" s="3">
        <f>IFERROR(AS1449-AU1449,"NA")</f>
        <v>7</v>
      </c>
      <c r="AU1449" s="6">
        <v>1.4</v>
      </c>
      <c r="AV1449" t="b">
        <v>1</v>
      </c>
      <c r="AW1449" t="s">
        <v>92</v>
      </c>
      <c r="AX1449" t="s">
        <v>119</v>
      </c>
      <c r="AY1449" t="s">
        <v>230</v>
      </c>
      <c r="AZ1449" t="s">
        <v>33</v>
      </c>
      <c r="BA1449" s="18" t="s">
        <v>801</v>
      </c>
      <c r="BB1449" t="b">
        <v>0</v>
      </c>
      <c r="BC1449" t="s">
        <v>81</v>
      </c>
      <c r="BD1449">
        <v>14</v>
      </c>
      <c r="BE1449" t="s">
        <v>80</v>
      </c>
      <c r="BF1449" s="11">
        <v>120</v>
      </c>
      <c r="BG1449" t="s">
        <v>139</v>
      </c>
      <c r="BH1449" t="s">
        <v>31</v>
      </c>
      <c r="BI1449" t="s">
        <v>31</v>
      </c>
      <c r="BJ1449" s="3">
        <f t="shared" si="707"/>
        <v>1.4</v>
      </c>
      <c r="BK1449" s="3">
        <f t="shared" si="706"/>
        <v>0.14612803567823801</v>
      </c>
      <c r="BL1449">
        <v>2</v>
      </c>
      <c r="BM1449" s="3">
        <f t="shared" si="719"/>
        <v>2.3132644520809929</v>
      </c>
      <c r="BN1449" t="s">
        <v>33</v>
      </c>
      <c r="BO1449" s="3">
        <f t="shared" si="713"/>
        <v>205.71428571428572</v>
      </c>
      <c r="BP1449" t="s">
        <v>33</v>
      </c>
      <c r="BQ1449" t="s">
        <v>33</v>
      </c>
      <c r="BR1449" t="s">
        <v>33</v>
      </c>
      <c r="BS1449" t="s">
        <v>33</v>
      </c>
      <c r="BT1449" t="s">
        <v>31</v>
      </c>
      <c r="BU1449" t="s">
        <v>227</v>
      </c>
      <c r="BV1449">
        <v>2001</v>
      </c>
      <c r="BW1449" t="s">
        <v>228</v>
      </c>
      <c r="BX1449" t="s">
        <v>78</v>
      </c>
      <c r="BY1449" t="s">
        <v>33</v>
      </c>
      <c r="BZ1449" t="s">
        <v>33</v>
      </c>
      <c r="CA1449" t="str">
        <f t="shared" si="715"/>
        <v>low acid</v>
      </c>
    </row>
    <row r="1450" spans="1:79">
      <c r="A1450" t="s">
        <v>589</v>
      </c>
      <c r="B1450" t="s">
        <v>566</v>
      </c>
      <c r="C1450" t="s">
        <v>563</v>
      </c>
      <c r="D1450" t="s">
        <v>33</v>
      </c>
      <c r="E1450" t="s">
        <v>77</v>
      </c>
      <c r="F1450" t="s">
        <v>33</v>
      </c>
      <c r="G1450" t="s">
        <v>33</v>
      </c>
      <c r="H1450">
        <v>35</v>
      </c>
      <c r="I1450" t="b">
        <v>0</v>
      </c>
      <c r="J1450" t="s">
        <v>33</v>
      </c>
      <c r="K1450" t="s">
        <v>33</v>
      </c>
      <c r="L1450">
        <v>12</v>
      </c>
      <c r="M1450" s="4">
        <v>1</v>
      </c>
      <c r="N1450" t="e">
        <f>(#REF!*Y1450)/(T1450*X1450*O1450)</f>
        <v>#REF!</v>
      </c>
      <c r="O1450">
        <v>2</v>
      </c>
      <c r="P1450" t="s">
        <v>33</v>
      </c>
      <c r="Q1450" s="1">
        <f t="shared" si="720"/>
        <v>196.00000000000003</v>
      </c>
      <c r="R1450" t="s">
        <v>183</v>
      </c>
      <c r="S1450" t="s">
        <v>613</v>
      </c>
      <c r="T1450">
        <v>1</v>
      </c>
      <c r="U1450">
        <v>2.5</v>
      </c>
      <c r="V1450" t="s">
        <v>33</v>
      </c>
      <c r="W1450">
        <v>0.50249999999999995</v>
      </c>
      <c r="X1450">
        <f>W1450</f>
        <v>0.50249999999999995</v>
      </c>
      <c r="Y1450" t="s">
        <v>33</v>
      </c>
      <c r="Z1450" s="3">
        <f t="shared" si="723"/>
        <v>2.5637755102040811E-3</v>
      </c>
      <c r="AA1450" t="s">
        <v>33</v>
      </c>
      <c r="AB1450">
        <f>IFERROR(((X1450*M1450)/Z1450), "NA")</f>
        <v>196.00000000000003</v>
      </c>
      <c r="AC1450" s="1" t="str">
        <f t="shared" si="724"/>
        <v>NA</v>
      </c>
      <c r="AE1450" s="3">
        <f t="shared" si="725"/>
        <v>112.896</v>
      </c>
      <c r="AF1450">
        <v>392</v>
      </c>
      <c r="AG1450" s="1" t="str">
        <f>IFERROR((N1450*P1450*Q1450), "NA")</f>
        <v>NA</v>
      </c>
      <c r="AH1450" s="1" t="str">
        <f>IFERROR((AG1450*U1450*AI1450), "NA")</f>
        <v>NA</v>
      </c>
      <c r="AI1450" s="1">
        <v>1</v>
      </c>
      <c r="AJ1450" s="11" t="s">
        <v>31</v>
      </c>
      <c r="AK1450">
        <v>2000</v>
      </c>
      <c r="AL1450" t="s">
        <v>616</v>
      </c>
      <c r="AM1450" s="3" t="s">
        <v>103</v>
      </c>
      <c r="AN1450" t="s">
        <v>130</v>
      </c>
      <c r="AO1450" t="s">
        <v>795</v>
      </c>
      <c r="AP1450">
        <v>7</v>
      </c>
      <c r="AQ1450" t="s">
        <v>33</v>
      </c>
      <c r="AR1450" t="s">
        <v>33</v>
      </c>
      <c r="AS1450">
        <v>9</v>
      </c>
      <c r="AT1450">
        <f>AS1450-AU1450</f>
        <v>7</v>
      </c>
      <c r="AU1450" s="6">
        <v>2</v>
      </c>
      <c r="AV1450" t="b">
        <v>1</v>
      </c>
      <c r="AW1450" t="s">
        <v>617</v>
      </c>
      <c r="AX1450" t="s">
        <v>33</v>
      </c>
      <c r="AY1450" t="s">
        <v>628</v>
      </c>
      <c r="AZ1450" t="s">
        <v>619</v>
      </c>
      <c r="BA1450" s="18" t="s">
        <v>802</v>
      </c>
      <c r="BB1450" s="3" t="b">
        <v>0</v>
      </c>
      <c r="BC1450" t="s">
        <v>81</v>
      </c>
      <c r="BD1450">
        <v>24</v>
      </c>
      <c r="BE1450" t="s">
        <v>80</v>
      </c>
      <c r="BF1450">
        <v>24</v>
      </c>
      <c r="BG1450" t="s">
        <v>644</v>
      </c>
      <c r="BH1450" t="s">
        <v>31</v>
      </c>
      <c r="BI1450" t="s">
        <v>31</v>
      </c>
      <c r="BJ1450">
        <f t="shared" si="707"/>
        <v>2</v>
      </c>
      <c r="BK1450" s="3">
        <f t="shared" si="706"/>
        <v>0.3010299956639812</v>
      </c>
      <c r="BL1450">
        <v>2</v>
      </c>
      <c r="BM1450" s="3">
        <f t="shared" si="719"/>
        <v>1.7516485591157069</v>
      </c>
      <c r="BN1450" t="s">
        <v>33</v>
      </c>
      <c r="BO1450" s="3">
        <f t="shared" si="713"/>
        <v>56.448</v>
      </c>
      <c r="BP1450" t="s">
        <v>33</v>
      </c>
      <c r="BQ1450" t="s">
        <v>33</v>
      </c>
      <c r="BR1450" t="s">
        <v>33</v>
      </c>
      <c r="BS1450" t="s">
        <v>33</v>
      </c>
      <c r="BT1450" t="s">
        <v>31</v>
      </c>
      <c r="BU1450" s="15" t="s">
        <v>655</v>
      </c>
      <c r="BV1450">
        <v>2003</v>
      </c>
      <c r="BW1450" t="s">
        <v>656</v>
      </c>
      <c r="BX1450" t="s">
        <v>78</v>
      </c>
      <c r="BY1450" s="13" t="s">
        <v>677</v>
      </c>
      <c r="CA1450" t="str">
        <f t="shared" si="715"/>
        <v>low acid</v>
      </c>
    </row>
    <row r="1451" spans="1:79">
      <c r="A1451" t="s">
        <v>582</v>
      </c>
      <c r="B1451" t="s">
        <v>566</v>
      </c>
      <c r="C1451" t="s">
        <v>563</v>
      </c>
      <c r="D1451" t="s">
        <v>606</v>
      </c>
      <c r="E1451" t="s">
        <v>77</v>
      </c>
      <c r="F1451" t="s">
        <v>32</v>
      </c>
      <c r="G1451">
        <v>25</v>
      </c>
      <c r="H1451" t="s">
        <v>33</v>
      </c>
      <c r="I1451" t="b">
        <v>0</v>
      </c>
      <c r="J1451" t="s">
        <v>33</v>
      </c>
      <c r="K1451" t="s">
        <v>33</v>
      </c>
      <c r="L1451">
        <v>25</v>
      </c>
      <c r="M1451" s="4">
        <v>1000</v>
      </c>
      <c r="N1451" t="e">
        <f>(#REF!*Y1451)/(T1451*X1451*O1451)</f>
        <v>#REF!</v>
      </c>
      <c r="O1451">
        <v>40</v>
      </c>
      <c r="P1451" t="s">
        <v>33</v>
      </c>
      <c r="Q1451" s="1">
        <f t="shared" si="720"/>
        <v>3.0000000000000002E-2</v>
      </c>
      <c r="R1451" t="s">
        <v>183</v>
      </c>
      <c r="S1451" t="s">
        <v>613</v>
      </c>
      <c r="T1451">
        <v>1</v>
      </c>
      <c r="U1451">
        <v>3</v>
      </c>
      <c r="V1451" t="s">
        <v>33</v>
      </c>
      <c r="W1451">
        <v>0.02</v>
      </c>
      <c r="X1451">
        <f>W1451</f>
        <v>0.02</v>
      </c>
      <c r="Y1451">
        <v>0.66666700000000001</v>
      </c>
      <c r="Z1451" s="3">
        <f t="shared" si="723"/>
        <v>0.66666666666666663</v>
      </c>
      <c r="AA1451" t="s">
        <v>33</v>
      </c>
      <c r="AB1451">
        <f>IFERROR(((X1451*M1451)/Z1451), "NA")</f>
        <v>30</v>
      </c>
      <c r="AC1451" s="1" t="str">
        <f t="shared" si="724"/>
        <v>NA</v>
      </c>
      <c r="AE1451" s="3">
        <f t="shared" si="725"/>
        <v>135</v>
      </c>
      <c r="AF1451">
        <v>1200</v>
      </c>
      <c r="AG1451" s="1" t="str">
        <f>IFERROR((N1451*P1451*Q1451), "NA")</f>
        <v>NA</v>
      </c>
      <c r="AH1451" s="1" t="str">
        <f>IFERROR((AG1451*U1451*AI1451), "NA")</f>
        <v>NA</v>
      </c>
      <c r="AI1451" s="1">
        <v>1</v>
      </c>
      <c r="AJ1451" s="11" t="s">
        <v>31</v>
      </c>
      <c r="AK1451">
        <v>180</v>
      </c>
      <c r="AL1451" t="s">
        <v>614</v>
      </c>
      <c r="AM1451" s="3" t="s">
        <v>103</v>
      </c>
      <c r="AN1451" t="s">
        <v>130</v>
      </c>
      <c r="AO1451" t="s">
        <v>795</v>
      </c>
      <c r="AP1451">
        <v>6.9</v>
      </c>
      <c r="AQ1451" t="s">
        <v>33</v>
      </c>
      <c r="AR1451" t="s">
        <v>33</v>
      </c>
      <c r="AS1451">
        <v>9</v>
      </c>
      <c r="AT1451">
        <f>AS1451-AU1451</f>
        <v>7</v>
      </c>
      <c r="AU1451" s="6">
        <v>2</v>
      </c>
      <c r="AV1451" t="b">
        <v>1</v>
      </c>
      <c r="AW1451" t="s">
        <v>617</v>
      </c>
      <c r="AX1451" t="s">
        <v>33</v>
      </c>
      <c r="AY1451" t="s">
        <v>620</v>
      </c>
      <c r="AZ1451" t="s">
        <v>621</v>
      </c>
      <c r="BA1451" s="18" t="s">
        <v>802</v>
      </c>
      <c r="BB1451" s="3" t="b">
        <v>0</v>
      </c>
      <c r="BC1451" t="s">
        <v>81</v>
      </c>
      <c r="BD1451">
        <v>48</v>
      </c>
      <c r="BE1451" t="s">
        <v>80</v>
      </c>
      <c r="BF1451">
        <v>48</v>
      </c>
      <c r="BG1451" t="s">
        <v>569</v>
      </c>
      <c r="BH1451" t="s">
        <v>31</v>
      </c>
      <c r="BI1451" t="s">
        <v>31</v>
      </c>
      <c r="BJ1451">
        <f t="shared" si="707"/>
        <v>2</v>
      </c>
      <c r="BK1451" s="3">
        <f t="shared" si="706"/>
        <v>0.3010299956639812</v>
      </c>
      <c r="BL1451">
        <v>2</v>
      </c>
      <c r="BM1451" s="3">
        <f t="shared" si="719"/>
        <v>1.8293037728310249</v>
      </c>
      <c r="BN1451" t="s">
        <v>33</v>
      </c>
      <c r="BO1451" s="3">
        <f t="shared" si="713"/>
        <v>67.5</v>
      </c>
      <c r="BP1451" t="s">
        <v>33</v>
      </c>
      <c r="BQ1451" t="s">
        <v>33</v>
      </c>
      <c r="BR1451" t="s">
        <v>33</v>
      </c>
      <c r="BS1451" t="s">
        <v>33</v>
      </c>
      <c r="BT1451" t="s">
        <v>32</v>
      </c>
      <c r="BU1451" t="s">
        <v>649</v>
      </c>
      <c r="BV1451" s="14">
        <v>2016</v>
      </c>
      <c r="BW1451" t="s">
        <v>650</v>
      </c>
      <c r="BX1451" t="s">
        <v>78</v>
      </c>
      <c r="BY1451" s="13" t="s">
        <v>672</v>
      </c>
      <c r="CA1451" t="str">
        <f t="shared" si="715"/>
        <v>low acid</v>
      </c>
    </row>
    <row r="1452" spans="1:79">
      <c r="A1452" t="s">
        <v>597</v>
      </c>
      <c r="B1452" t="s">
        <v>565</v>
      </c>
      <c r="C1452" t="s">
        <v>563</v>
      </c>
      <c r="D1452" t="s">
        <v>33</v>
      </c>
      <c r="E1452" t="s">
        <v>77</v>
      </c>
      <c r="F1452" t="s">
        <v>33</v>
      </c>
      <c r="G1452">
        <v>20</v>
      </c>
      <c r="H1452">
        <v>35</v>
      </c>
      <c r="I1452" t="b">
        <v>0</v>
      </c>
      <c r="J1452" t="s">
        <v>33</v>
      </c>
      <c r="K1452" t="s">
        <v>33</v>
      </c>
      <c r="L1452">
        <v>15</v>
      </c>
      <c r="M1452" s="4">
        <v>1</v>
      </c>
      <c r="N1452" t="e">
        <f>(#REF!*Y1452)/(T1452*X1452*O1452)</f>
        <v>#REF!</v>
      </c>
      <c r="O1452">
        <v>2</v>
      </c>
      <c r="P1452" t="s">
        <v>33</v>
      </c>
      <c r="Q1452" s="1">
        <f t="shared" si="720"/>
        <v>751</v>
      </c>
      <c r="R1452" t="s">
        <v>183</v>
      </c>
      <c r="S1452" t="s">
        <v>33</v>
      </c>
      <c r="T1452">
        <v>1</v>
      </c>
      <c r="U1452">
        <v>2.5</v>
      </c>
      <c r="V1452" t="s">
        <v>33</v>
      </c>
      <c r="W1452">
        <v>0.50249999999999995</v>
      </c>
      <c r="X1452">
        <f>W1452</f>
        <v>0.50249999999999995</v>
      </c>
      <c r="Y1452" t="s">
        <v>33</v>
      </c>
      <c r="Z1452" s="3">
        <f t="shared" si="723"/>
        <v>6.691078561917443E-4</v>
      </c>
      <c r="AA1452" t="s">
        <v>33</v>
      </c>
      <c r="AB1452">
        <f>IFERROR(((X1452*M1452)/Z1452), "NA")</f>
        <v>751</v>
      </c>
      <c r="AC1452" s="1" t="str">
        <f t="shared" si="724"/>
        <v>NA</v>
      </c>
      <c r="AE1452" s="3">
        <f t="shared" si="725"/>
        <v>675.9</v>
      </c>
      <c r="AF1452">
        <v>1502</v>
      </c>
      <c r="AG1452" s="1" t="str">
        <f>IFERROR((N1452*P1452*Q1452), "NA")</f>
        <v>NA</v>
      </c>
      <c r="AH1452" s="1" t="str">
        <f>IFERROR((AG1452*U1452*AI1452), "NA")</f>
        <v>NA</v>
      </c>
      <c r="AI1452" s="1">
        <v>1</v>
      </c>
      <c r="AJ1452" s="11" t="s">
        <v>31</v>
      </c>
      <c r="AK1452">
        <v>2000</v>
      </c>
      <c r="AL1452" t="s">
        <v>784</v>
      </c>
      <c r="AM1452" s="3" t="s">
        <v>103</v>
      </c>
      <c r="AN1452" t="s">
        <v>130</v>
      </c>
      <c r="AO1452" t="s">
        <v>795</v>
      </c>
      <c r="AP1452">
        <v>7</v>
      </c>
      <c r="AQ1452" t="s">
        <v>33</v>
      </c>
      <c r="AR1452" t="s">
        <v>33</v>
      </c>
      <c r="AS1452">
        <v>9</v>
      </c>
      <c r="AT1452">
        <f>AS1452-AU1452</f>
        <v>7.01</v>
      </c>
      <c r="AU1452" s="6">
        <v>1.99</v>
      </c>
      <c r="AV1452" t="b">
        <v>1</v>
      </c>
      <c r="AW1452" t="s">
        <v>617</v>
      </c>
      <c r="AX1452" t="s">
        <v>635</v>
      </c>
      <c r="AY1452" t="s">
        <v>636</v>
      </c>
      <c r="AZ1452" t="s">
        <v>33</v>
      </c>
      <c r="BA1452" s="18" t="s">
        <v>802</v>
      </c>
      <c r="BB1452" s="3" t="b">
        <v>0</v>
      </c>
      <c r="BC1452" t="s">
        <v>81</v>
      </c>
      <c r="BD1452">
        <v>24</v>
      </c>
      <c r="BE1452" t="s">
        <v>80</v>
      </c>
      <c r="BF1452">
        <v>24</v>
      </c>
      <c r="BG1452" t="s">
        <v>644</v>
      </c>
      <c r="BH1452" t="s">
        <v>31</v>
      </c>
      <c r="BI1452" t="s">
        <v>31</v>
      </c>
      <c r="BJ1452">
        <f t="shared" si="707"/>
        <v>1.99</v>
      </c>
      <c r="BK1452" s="3">
        <f t="shared" ref="BK1452:BK1515" si="726">LOG10(BJ1452)</f>
        <v>0.29885307640970665</v>
      </c>
      <c r="BL1452">
        <v>2</v>
      </c>
      <c r="BM1452" s="3">
        <f t="shared" si="719"/>
        <v>2.5310293700337865</v>
      </c>
      <c r="BN1452" t="s">
        <v>33</v>
      </c>
      <c r="BO1452" s="3">
        <f t="shared" si="713"/>
        <v>339.64824120603015</v>
      </c>
      <c r="BP1452" t="s">
        <v>33</v>
      </c>
      <c r="BQ1452" t="s">
        <v>33</v>
      </c>
      <c r="BR1452" t="s">
        <v>33</v>
      </c>
      <c r="BS1452" t="s">
        <v>33</v>
      </c>
      <c r="BT1452" t="s">
        <v>31</v>
      </c>
      <c r="BU1452" t="s">
        <v>664</v>
      </c>
      <c r="BV1452">
        <v>2000</v>
      </c>
      <c r="BW1452" t="s">
        <v>665</v>
      </c>
      <c r="BX1452" t="s">
        <v>78</v>
      </c>
      <c r="BY1452" s="13" t="s">
        <v>685</v>
      </c>
      <c r="CA1452" t="str">
        <f t="shared" si="715"/>
        <v>low acid</v>
      </c>
    </row>
    <row r="1453" spans="1:79">
      <c r="A1453" t="s">
        <v>733</v>
      </c>
      <c r="B1453" t="s">
        <v>566</v>
      </c>
      <c r="C1453" t="s">
        <v>563</v>
      </c>
      <c r="D1453" t="s">
        <v>699</v>
      </c>
      <c r="E1453" t="s">
        <v>77</v>
      </c>
      <c r="F1453" t="s">
        <v>32</v>
      </c>
      <c r="G1453">
        <v>20</v>
      </c>
      <c r="H1453">
        <v>41</v>
      </c>
      <c r="I1453" t="b">
        <v>1</v>
      </c>
      <c r="J1453" t="s">
        <v>33</v>
      </c>
      <c r="K1453" t="s">
        <v>33</v>
      </c>
      <c r="L1453">
        <v>20</v>
      </c>
      <c r="M1453" s="4">
        <v>30</v>
      </c>
      <c r="N1453" s="3">
        <f>IFERROR(AF1453/((T1453*X1453/Y1453)*O1453*AI1453),"NA")</f>
        <v>29.861111111111104</v>
      </c>
      <c r="O1453">
        <v>5</v>
      </c>
      <c r="P1453">
        <v>0.43</v>
      </c>
      <c r="Q1453" s="8">
        <f>IFERROR(X1453/Y1453, "NA")</f>
        <v>0.43200000000000011</v>
      </c>
      <c r="R1453" t="s">
        <v>183</v>
      </c>
      <c r="S1453" t="s">
        <v>612</v>
      </c>
      <c r="T1453" s="11">
        <v>1</v>
      </c>
      <c r="U1453">
        <v>4</v>
      </c>
      <c r="V1453" t="s">
        <v>33</v>
      </c>
      <c r="W1453">
        <f>0.4*3*0.5</f>
        <v>0.60000000000000009</v>
      </c>
      <c r="X1453" s="9">
        <f>W1453</f>
        <v>0.60000000000000009</v>
      </c>
      <c r="Y1453" s="6">
        <f>5000/3600</f>
        <v>1.3888888888888888</v>
      </c>
      <c r="Z1453" s="3">
        <f t="shared" si="723"/>
        <v>1.3953488372093026</v>
      </c>
      <c r="AA1453" t="s">
        <v>33</v>
      </c>
      <c r="AB1453" s="4">
        <f>IFERROR(((X1453*M1453)/Y1453), "NA")</f>
        <v>12.960000000000003</v>
      </c>
      <c r="AC1453" s="4">
        <f t="shared" si="724"/>
        <v>12.9</v>
      </c>
      <c r="AD1453" s="4">
        <f>AB1453*T1453*AI1453</f>
        <v>12.960000000000003</v>
      </c>
      <c r="AE1453" s="3">
        <f t="shared" si="725"/>
        <v>51.840000000000011</v>
      </c>
      <c r="AF1453">
        <v>64.5</v>
      </c>
      <c r="AG1453" s="4">
        <f>IFERROR((M1453*O1453*P1453), "NA")</f>
        <v>64.5</v>
      </c>
      <c r="AH1453" s="4">
        <f>IFERROR((AG1453*T1453*AI1453), "NA")</f>
        <v>64.5</v>
      </c>
      <c r="AI1453">
        <v>1</v>
      </c>
      <c r="AJ1453" s="11" t="s">
        <v>31</v>
      </c>
      <c r="AK1453">
        <v>2000</v>
      </c>
      <c r="AL1453" t="s">
        <v>784</v>
      </c>
      <c r="AM1453" t="s">
        <v>103</v>
      </c>
      <c r="AN1453" t="s">
        <v>130</v>
      </c>
      <c r="AO1453" t="s">
        <v>795</v>
      </c>
      <c r="AP1453">
        <v>7</v>
      </c>
      <c r="AQ1453" t="s">
        <v>33</v>
      </c>
      <c r="AR1453" t="s">
        <v>33</v>
      </c>
      <c r="AS1453" s="6">
        <f>LOG(AVERAGE(10^8, 10^9))</f>
        <v>8.7403626894942441</v>
      </c>
      <c r="AT1453" s="3">
        <f>IFERROR(AS1453-AU1453,"NA")</f>
        <v>7.0123626894942443</v>
      </c>
      <c r="AU1453" s="6">
        <v>1.728</v>
      </c>
      <c r="AV1453" t="b">
        <v>1</v>
      </c>
      <c r="AW1453" t="s">
        <v>172</v>
      </c>
      <c r="AX1453" t="s">
        <v>173</v>
      </c>
      <c r="AY1453" t="s">
        <v>738</v>
      </c>
      <c r="AZ1453" t="s">
        <v>33</v>
      </c>
      <c r="BA1453" s="18" t="s">
        <v>799</v>
      </c>
      <c r="BB1453" s="3" t="b">
        <v>0</v>
      </c>
      <c r="BC1453" t="s">
        <v>81</v>
      </c>
      <c r="BD1453">
        <v>24</v>
      </c>
      <c r="BE1453" t="s">
        <v>80</v>
      </c>
      <c r="BF1453">
        <v>48</v>
      </c>
      <c r="BG1453" t="s">
        <v>734</v>
      </c>
      <c r="BH1453" t="s">
        <v>31</v>
      </c>
      <c r="BI1453" t="s">
        <v>31</v>
      </c>
      <c r="BJ1453" s="3">
        <f t="shared" ref="BJ1453:BJ1516" si="727">AU1453</f>
        <v>1.728</v>
      </c>
      <c r="BK1453" s="3">
        <f t="shared" si="726"/>
        <v>0.23754373814287447</v>
      </c>
      <c r="BL1453">
        <v>2</v>
      </c>
      <c r="BM1453" s="3">
        <f t="shared" si="719"/>
        <v>1.4771212547196626</v>
      </c>
      <c r="BN1453" t="s">
        <v>33</v>
      </c>
      <c r="BO1453" s="3">
        <f t="shared" si="713"/>
        <v>30.000000000000007</v>
      </c>
      <c r="BP1453" t="s">
        <v>33</v>
      </c>
      <c r="BQ1453" t="s">
        <v>33</v>
      </c>
      <c r="BR1453" t="s">
        <v>33</v>
      </c>
      <c r="BS1453" t="s">
        <v>33</v>
      </c>
      <c r="BT1453" t="s">
        <v>32</v>
      </c>
      <c r="BU1453" t="s">
        <v>709</v>
      </c>
      <c r="BV1453">
        <v>2024</v>
      </c>
      <c r="BW1453" t="s">
        <v>710</v>
      </c>
      <c r="BX1453" t="s">
        <v>78</v>
      </c>
      <c r="BY1453" t="s">
        <v>711</v>
      </c>
      <c r="CA1453" t="str">
        <f t="shared" si="715"/>
        <v>low acid</v>
      </c>
    </row>
    <row r="1454" spans="1:79">
      <c r="A1454" t="s">
        <v>516</v>
      </c>
      <c r="B1454" t="s">
        <v>565</v>
      </c>
      <c r="C1454" t="s">
        <v>563</v>
      </c>
      <c r="D1454" t="s">
        <v>118</v>
      </c>
      <c r="E1454" t="s">
        <v>77</v>
      </c>
      <c r="F1454" t="s">
        <v>32</v>
      </c>
      <c r="G1454">
        <v>20</v>
      </c>
      <c r="H1454">
        <v>23</v>
      </c>
      <c r="I1454" t="b">
        <v>0</v>
      </c>
      <c r="J1454" t="s">
        <v>33</v>
      </c>
      <c r="K1454" t="s">
        <v>33</v>
      </c>
      <c r="L1454">
        <v>30</v>
      </c>
      <c r="M1454" s="4">
        <v>100</v>
      </c>
      <c r="N1454" s="3">
        <f>IFERROR(AF1454/((T1454*X1454/Y1454)*O1454*AI1454),"NA")</f>
        <v>1923.3059734370315</v>
      </c>
      <c r="O1454">
        <v>2</v>
      </c>
      <c r="P1454" t="s">
        <v>33</v>
      </c>
      <c r="Q1454" s="8">
        <f>IFERROR(X1454/Z1454, "NA")</f>
        <v>0.16666666666666666</v>
      </c>
      <c r="R1454" t="s">
        <v>183</v>
      </c>
      <c r="S1454" t="s">
        <v>613</v>
      </c>
      <c r="T1454" s="11">
        <v>6</v>
      </c>
      <c r="U1454">
        <v>2.92</v>
      </c>
      <c r="V1454">
        <v>2.2999999999999998</v>
      </c>
      <c r="W1454" t="s">
        <v>33</v>
      </c>
      <c r="X1454" s="8">
        <f>IFERROR(((PI())*(((V1454*10^-1)/2)^2)*(U1454*10^-1)), "NA")</f>
        <v>1.2131888350367701E-2</v>
      </c>
      <c r="Y1454">
        <v>1.4</v>
      </c>
      <c r="Z1454" s="3">
        <f t="shared" si="723"/>
        <v>7.2791330102206203E-2</v>
      </c>
      <c r="AA1454" t="s">
        <v>33</v>
      </c>
      <c r="AB1454" s="6">
        <f>IFERROR(((X1454*M1454)/Z1454), "NA")</f>
        <v>16.666666666666668</v>
      </c>
      <c r="AC1454" t="str">
        <f t="shared" si="724"/>
        <v>NA</v>
      </c>
      <c r="AD1454" s="4">
        <f>AB1454*T1454*AI1454</f>
        <v>100</v>
      </c>
      <c r="AE1454" s="3">
        <f t="shared" si="725"/>
        <v>1116</v>
      </c>
      <c r="AF1454">
        <v>200</v>
      </c>
      <c r="AG1454" t="str">
        <f>IFERROR((M1454*O1454*P1454), "NA")</f>
        <v>NA</v>
      </c>
      <c r="AH1454" t="str">
        <f>IFERROR((AG1454*T1454*AI1454), "NA")</f>
        <v>NA</v>
      </c>
      <c r="AI1454">
        <v>1</v>
      </c>
      <c r="AJ1454" t="s">
        <v>31</v>
      </c>
      <c r="AK1454">
        <v>6200</v>
      </c>
      <c r="AL1454" t="s">
        <v>561</v>
      </c>
      <c r="AM1454" s="3" t="s">
        <v>786</v>
      </c>
      <c r="AN1454" t="s">
        <v>186</v>
      </c>
      <c r="AO1454" t="s">
        <v>793</v>
      </c>
      <c r="AP1454">
        <v>7.6</v>
      </c>
      <c r="AQ1454" t="s">
        <v>33</v>
      </c>
      <c r="AR1454" t="s">
        <v>33</v>
      </c>
      <c r="AS1454" s="6">
        <f>LOG(10^8)</f>
        <v>8</v>
      </c>
      <c r="AT1454" s="3">
        <f>IFERROR(AS1454-AU1454,"NA")</f>
        <v>7.016</v>
      </c>
      <c r="AU1454" s="6">
        <v>0.98399999999999999</v>
      </c>
      <c r="AV1454" t="b">
        <v>1</v>
      </c>
      <c r="AW1454" t="s">
        <v>29</v>
      </c>
      <c r="AX1454" t="s">
        <v>30</v>
      </c>
      <c r="AY1454" t="s">
        <v>216</v>
      </c>
      <c r="AZ1454" t="s">
        <v>33</v>
      </c>
      <c r="BA1454" s="18" t="s">
        <v>798</v>
      </c>
      <c r="BB1454" s="3" t="b">
        <v>0</v>
      </c>
      <c r="BC1454" t="s">
        <v>81</v>
      </c>
      <c r="BD1454">
        <v>13</v>
      </c>
      <c r="BE1454" t="s">
        <v>80</v>
      </c>
      <c r="BF1454" s="11">
        <v>48</v>
      </c>
      <c r="BG1454" t="s">
        <v>568</v>
      </c>
      <c r="BH1454" t="s">
        <v>31</v>
      </c>
      <c r="BI1454" t="s">
        <v>31</v>
      </c>
      <c r="BJ1454" s="3">
        <f t="shared" si="727"/>
        <v>0.98399999999999999</v>
      </c>
      <c r="BK1454" s="3">
        <f t="shared" si="726"/>
        <v>-7.0049015686584892E-3</v>
      </c>
      <c r="BL1454">
        <v>2</v>
      </c>
      <c r="BM1454" s="3">
        <f t="shared" si="719"/>
        <v>3.0546690961702185</v>
      </c>
      <c r="BN1454" t="s">
        <v>33</v>
      </c>
      <c r="BO1454" s="3">
        <f t="shared" si="713"/>
        <v>1134.1463414634147</v>
      </c>
      <c r="BP1454" t="s">
        <v>33</v>
      </c>
      <c r="BQ1454" t="s">
        <v>33</v>
      </c>
      <c r="BR1454" t="s">
        <v>33</v>
      </c>
      <c r="BS1454" t="s">
        <v>33</v>
      </c>
      <c r="BT1454" t="s">
        <v>31</v>
      </c>
      <c r="BU1454" t="s">
        <v>344</v>
      </c>
      <c r="BV1454">
        <v>2007</v>
      </c>
      <c r="BW1454" t="s">
        <v>345</v>
      </c>
      <c r="BX1454" t="s">
        <v>78</v>
      </c>
      <c r="BY1454" t="s">
        <v>33</v>
      </c>
      <c r="BZ1454" t="s">
        <v>33</v>
      </c>
      <c r="CA1454" t="str">
        <f t="shared" si="715"/>
        <v>low acid</v>
      </c>
    </row>
    <row r="1455" spans="1:79">
      <c r="A1455" t="s">
        <v>237</v>
      </c>
      <c r="B1455" t="s">
        <v>565</v>
      </c>
      <c r="C1455" t="s">
        <v>563</v>
      </c>
      <c r="D1455" t="s">
        <v>118</v>
      </c>
      <c r="E1455" t="s">
        <v>77</v>
      </c>
      <c r="F1455" t="s">
        <v>32</v>
      </c>
      <c r="G1455">
        <v>4</v>
      </c>
      <c r="H1455">
        <v>32.5</v>
      </c>
      <c r="I1455" t="b">
        <v>0</v>
      </c>
      <c r="J1455" t="s">
        <v>33</v>
      </c>
      <c r="K1455" t="s">
        <v>33</v>
      </c>
      <c r="L1455">
        <v>15</v>
      </c>
      <c r="M1455" s="4">
        <v>200</v>
      </c>
      <c r="N1455" s="3">
        <f>IFERROR(AF1455/((T1455*X1455/Y1455)*O1455*AI1455),"NA")</f>
        <v>772.75686432737871</v>
      </c>
      <c r="O1455">
        <v>4</v>
      </c>
      <c r="P1455" t="s">
        <v>33</v>
      </c>
      <c r="Q1455" s="9">
        <f>IFERROR(X1455/Z1455, "NA")</f>
        <v>4.6874999999999993E-2</v>
      </c>
      <c r="R1455" t="s">
        <v>183</v>
      </c>
      <c r="S1455" t="s">
        <v>612</v>
      </c>
      <c r="T1455" s="11">
        <v>8</v>
      </c>
      <c r="U1455">
        <v>2.92</v>
      </c>
      <c r="V1455">
        <v>2.2999999999999998</v>
      </c>
      <c r="W1455">
        <v>1.2E-2</v>
      </c>
      <c r="X1455" s="8">
        <f>IFERROR(((PI())*(((V1455*10^-1)/2)^2)*(U1455*10^-1)), "NA")</f>
        <v>1.2131888350367701E-2</v>
      </c>
      <c r="Y1455" s="6">
        <f>60/60</f>
        <v>1</v>
      </c>
      <c r="Z1455" s="3">
        <f t="shared" si="723"/>
        <v>0.25881361814117765</v>
      </c>
      <c r="AA1455" t="s">
        <v>33</v>
      </c>
      <c r="AB1455" s="6">
        <f>IFERROR(((X1455*M1455)/Z1455), "NA")</f>
        <v>9.3749999999999982</v>
      </c>
      <c r="AC1455" t="str">
        <f t="shared" si="724"/>
        <v>NA</v>
      </c>
      <c r="AD1455" s="4">
        <f>AB1455*T1455*AI1455</f>
        <v>74.999999999999986</v>
      </c>
      <c r="AE1455" s="3">
        <f t="shared" si="725"/>
        <v>286.19999999999993</v>
      </c>
      <c r="AF1455">
        <v>300</v>
      </c>
      <c r="AG1455" t="str">
        <f>IFERROR((M1455*O1455*P1455), "NA")</f>
        <v>NA</v>
      </c>
      <c r="AH1455" t="str">
        <f>IFERROR((AG1455*T1455*AI1455), "NA")</f>
        <v>NA</v>
      </c>
      <c r="AI1455">
        <v>1</v>
      </c>
      <c r="AJ1455" t="s">
        <v>31</v>
      </c>
      <c r="AK1455">
        <v>4240</v>
      </c>
      <c r="AL1455" t="s">
        <v>238</v>
      </c>
      <c r="AM1455" t="s">
        <v>86</v>
      </c>
      <c r="AN1455" t="s">
        <v>205</v>
      </c>
      <c r="AO1455" t="s">
        <v>789</v>
      </c>
      <c r="AP1455">
        <v>3.56</v>
      </c>
      <c r="AQ1455" t="s">
        <v>33</v>
      </c>
      <c r="AR1455" t="s">
        <v>33</v>
      </c>
      <c r="AS1455">
        <f>LOG(10^8)</f>
        <v>8</v>
      </c>
      <c r="AT1455" s="3">
        <f>IFERROR(AS1455-AU1455,"NA")</f>
        <v>7.0170000000000003</v>
      </c>
      <c r="AU1455" s="6">
        <v>0.98299999999999998</v>
      </c>
      <c r="AV1455" t="b">
        <v>1</v>
      </c>
      <c r="AW1455" t="s">
        <v>172</v>
      </c>
      <c r="AX1455" t="s">
        <v>173</v>
      </c>
      <c r="AY1455" t="s">
        <v>239</v>
      </c>
      <c r="AZ1455" t="s">
        <v>33</v>
      </c>
      <c r="BA1455" s="18" t="s">
        <v>799</v>
      </c>
      <c r="BB1455" t="b">
        <v>0</v>
      </c>
      <c r="BC1455" t="s">
        <v>81</v>
      </c>
      <c r="BD1455">
        <v>48</v>
      </c>
      <c r="BE1455" t="s">
        <v>80</v>
      </c>
      <c r="BF1455" s="11">
        <v>120</v>
      </c>
      <c r="BG1455" t="s">
        <v>571</v>
      </c>
      <c r="BH1455" t="s">
        <v>31</v>
      </c>
      <c r="BI1455" t="s">
        <v>31</v>
      </c>
      <c r="BJ1455" s="3">
        <f t="shared" si="727"/>
        <v>0.98299999999999998</v>
      </c>
      <c r="BK1455" s="3">
        <f t="shared" si="726"/>
        <v>-7.4464821678643838E-3</v>
      </c>
      <c r="BL1455">
        <v>2</v>
      </c>
      <c r="BM1455" s="3">
        <f t="shared" si="719"/>
        <v>2.4641161115916219</v>
      </c>
      <c r="BN1455" t="s">
        <v>33</v>
      </c>
      <c r="BO1455" s="3">
        <f t="shared" si="713"/>
        <v>291.14954221770085</v>
      </c>
      <c r="BP1455" t="s">
        <v>33</v>
      </c>
      <c r="BQ1455" t="s">
        <v>33</v>
      </c>
      <c r="BR1455" t="s">
        <v>33</v>
      </c>
      <c r="BS1455" t="s">
        <v>33</v>
      </c>
      <c r="BT1455" t="s">
        <v>31</v>
      </c>
      <c r="BU1455" t="s">
        <v>240</v>
      </c>
      <c r="BV1455">
        <v>2004</v>
      </c>
      <c r="BW1455" t="s">
        <v>241</v>
      </c>
      <c r="BX1455" t="s">
        <v>78</v>
      </c>
      <c r="BY1455" t="s">
        <v>33</v>
      </c>
      <c r="BZ1455" t="s">
        <v>33</v>
      </c>
      <c r="CA1455" t="str">
        <f t="shared" si="715"/>
        <v>high acid</v>
      </c>
    </row>
    <row r="1456" spans="1:79">
      <c r="A1456" t="s">
        <v>341</v>
      </c>
      <c r="B1456" t="s">
        <v>566</v>
      </c>
      <c r="C1456" t="s">
        <v>563</v>
      </c>
      <c r="D1456" t="s">
        <v>336</v>
      </c>
      <c r="E1456" t="s">
        <v>77</v>
      </c>
      <c r="F1456" t="s">
        <v>32</v>
      </c>
      <c r="G1456">
        <v>10</v>
      </c>
      <c r="H1456">
        <v>13</v>
      </c>
      <c r="I1456" t="b">
        <v>0</v>
      </c>
      <c r="J1456" t="s">
        <v>33</v>
      </c>
      <c r="K1456" t="s">
        <v>33</v>
      </c>
      <c r="L1456">
        <v>30</v>
      </c>
      <c r="M1456" s="4">
        <v>2</v>
      </c>
      <c r="N1456" s="3">
        <f>IFERROR(AF1456/((T1456*X1456/Y1456)*O1456*AI1456),"NA")</f>
        <v>2.1126760563380285</v>
      </c>
      <c r="O1456">
        <v>2</v>
      </c>
      <c r="P1456" t="s">
        <v>33</v>
      </c>
      <c r="Q1456" s="8">
        <f>IFERROR(X1456/Z1456, "NA")</f>
        <v>7.5</v>
      </c>
      <c r="R1456" t="s">
        <v>183</v>
      </c>
      <c r="S1456" t="s">
        <v>613</v>
      </c>
      <c r="T1456" s="11">
        <v>1</v>
      </c>
      <c r="U1456">
        <v>5</v>
      </c>
      <c r="V1456" t="s">
        <v>33</v>
      </c>
      <c r="W1456">
        <v>0.71</v>
      </c>
      <c r="X1456" s="8">
        <f>W1456</f>
        <v>0.71</v>
      </c>
      <c r="Y1456">
        <f>6/60</f>
        <v>0.1</v>
      </c>
      <c r="Z1456" s="3">
        <f t="shared" si="723"/>
        <v>9.4666666666666663E-2</v>
      </c>
      <c r="AA1456">
        <v>15</v>
      </c>
      <c r="AB1456" s="6">
        <f>IFERROR(((X1456*M1456)/Z1456), "NA")</f>
        <v>15</v>
      </c>
      <c r="AC1456" t="str">
        <f t="shared" si="724"/>
        <v>NA</v>
      </c>
      <c r="AD1456" s="4">
        <f>AB1456*T1456*AI1456</f>
        <v>45</v>
      </c>
      <c r="AE1456" s="3">
        <f t="shared" si="725"/>
        <v>413.09999999999997</v>
      </c>
      <c r="AF1456">
        <f>AI1456*AA1456*O1456</f>
        <v>90</v>
      </c>
      <c r="AG1456" t="str">
        <f>IFERROR((M1456*O1456*P1456), "NA")</f>
        <v>NA</v>
      </c>
      <c r="AH1456" t="str">
        <f>IFERROR((AG1456*T1456*AI1456), "NA")</f>
        <v>NA</v>
      </c>
      <c r="AI1456">
        <v>3</v>
      </c>
      <c r="AJ1456" s="11" t="s">
        <v>32</v>
      </c>
      <c r="AK1456">
        <v>5100</v>
      </c>
      <c r="AL1456" t="s">
        <v>561</v>
      </c>
      <c r="AM1456" s="3" t="s">
        <v>786</v>
      </c>
      <c r="AN1456" t="s">
        <v>186</v>
      </c>
      <c r="AO1456" t="s">
        <v>793</v>
      </c>
      <c r="AP1456" t="s">
        <v>33</v>
      </c>
      <c r="AQ1456" t="s">
        <v>33</v>
      </c>
      <c r="AR1456" t="s">
        <v>33</v>
      </c>
      <c r="AS1456" s="6">
        <f>LOG(10^8)</f>
        <v>8</v>
      </c>
      <c r="AT1456" s="3">
        <f>IFERROR(AS1456-AU1456,"NA")</f>
        <v>7.02</v>
      </c>
      <c r="AU1456" s="6">
        <v>0.98</v>
      </c>
      <c r="AV1456" t="b">
        <v>1</v>
      </c>
      <c r="AW1456" t="s">
        <v>29</v>
      </c>
      <c r="AX1456" t="s">
        <v>30</v>
      </c>
      <c r="AY1456" t="s">
        <v>33</v>
      </c>
      <c r="AZ1456" t="s">
        <v>134</v>
      </c>
      <c r="BA1456" s="18" t="s">
        <v>798</v>
      </c>
      <c r="BB1456" t="b">
        <v>0</v>
      </c>
      <c r="BC1456" t="s">
        <v>81</v>
      </c>
      <c r="BD1456">
        <v>18</v>
      </c>
      <c r="BE1456" t="s">
        <v>80</v>
      </c>
      <c r="BF1456" s="11">
        <v>24</v>
      </c>
      <c r="BG1456" t="s">
        <v>694</v>
      </c>
      <c r="BH1456" t="s">
        <v>31</v>
      </c>
      <c r="BI1456" t="s">
        <v>31</v>
      </c>
      <c r="BJ1456" s="3">
        <f t="shared" si="727"/>
        <v>0.98</v>
      </c>
      <c r="BK1456" s="3">
        <f t="shared" si="726"/>
        <v>-8.7739243075051505E-3</v>
      </c>
      <c r="BL1456">
        <v>2</v>
      </c>
      <c r="BM1456" s="3">
        <f t="shared" si="719"/>
        <v>2.6248291192840911</v>
      </c>
      <c r="BN1456" t="s">
        <v>33</v>
      </c>
      <c r="BO1456" s="3">
        <f t="shared" si="713"/>
        <v>421.53061224489795</v>
      </c>
      <c r="BP1456" t="s">
        <v>33</v>
      </c>
      <c r="BQ1456" t="s">
        <v>33</v>
      </c>
      <c r="BR1456" t="s">
        <v>33</v>
      </c>
      <c r="BS1456" t="s">
        <v>33</v>
      </c>
      <c r="BT1456" t="s">
        <v>31</v>
      </c>
      <c r="BU1456" t="s">
        <v>338</v>
      </c>
      <c r="BV1456">
        <v>2006</v>
      </c>
      <c r="BW1456" t="s">
        <v>339</v>
      </c>
      <c r="BX1456" t="s">
        <v>78</v>
      </c>
      <c r="BY1456" t="s">
        <v>340</v>
      </c>
      <c r="BZ1456" t="s">
        <v>337</v>
      </c>
      <c r="CA1456" t="str">
        <f t="shared" si="715"/>
        <v>low acid</v>
      </c>
    </row>
    <row r="1457" spans="1:79">
      <c r="A1457" t="s">
        <v>592</v>
      </c>
      <c r="B1457" t="s">
        <v>566</v>
      </c>
      <c r="C1457" t="s">
        <v>563</v>
      </c>
      <c r="D1457" t="s">
        <v>607</v>
      </c>
      <c r="E1457" t="s">
        <v>77</v>
      </c>
      <c r="F1457" t="s">
        <v>32</v>
      </c>
      <c r="G1457" t="s">
        <v>33</v>
      </c>
      <c r="H1457">
        <v>35</v>
      </c>
      <c r="I1457" t="b">
        <v>0</v>
      </c>
      <c r="J1457">
        <v>30000</v>
      </c>
      <c r="K1457">
        <v>200</v>
      </c>
      <c r="L1457">
        <v>25</v>
      </c>
      <c r="M1457" s="4">
        <v>1</v>
      </c>
      <c r="N1457" t="e">
        <f>(#REF!*Y1457)/(T1457*X1457*O1457)</f>
        <v>#REF!</v>
      </c>
      <c r="O1457">
        <v>3</v>
      </c>
      <c r="P1457" t="s">
        <v>33</v>
      </c>
      <c r="Q1457" s="1">
        <f>IFERROR(X1457/Z1457, "NA")</f>
        <v>10.6</v>
      </c>
      <c r="R1457" t="s">
        <v>183</v>
      </c>
      <c r="S1457" t="s">
        <v>33</v>
      </c>
      <c r="T1457">
        <v>1</v>
      </c>
      <c r="U1457">
        <v>2.5</v>
      </c>
      <c r="V1457" t="s">
        <v>33</v>
      </c>
      <c r="W1457">
        <v>0.50249999999999995</v>
      </c>
      <c r="X1457">
        <f>W1457</f>
        <v>0.50249999999999995</v>
      </c>
      <c r="Y1457" t="s">
        <v>33</v>
      </c>
      <c r="Z1457" s="3">
        <f t="shared" si="723"/>
        <v>4.7405660377358487E-2</v>
      </c>
      <c r="AA1457" t="s">
        <v>33</v>
      </c>
      <c r="AB1457">
        <f>IFERROR(((X1457*M1457)/Z1457), "NA")</f>
        <v>10.6</v>
      </c>
      <c r="AC1457" s="1" t="str">
        <f t="shared" si="724"/>
        <v>NA</v>
      </c>
      <c r="AE1457" s="3">
        <f t="shared" si="725"/>
        <v>19.875</v>
      </c>
      <c r="AF1457">
        <v>31.8</v>
      </c>
      <c r="AG1457" s="1" t="str">
        <f>IFERROR((N1457*P1457*Q1457), "NA")</f>
        <v>NA</v>
      </c>
      <c r="AH1457" s="1" t="str">
        <f>IFERROR((AG1457*U1457*AI1457), "NA")</f>
        <v>NA</v>
      </c>
      <c r="AI1457" s="1">
        <v>1</v>
      </c>
      <c r="AJ1457" s="11" t="s">
        <v>31</v>
      </c>
      <c r="AK1457">
        <v>1000</v>
      </c>
      <c r="AL1457" t="s">
        <v>614</v>
      </c>
      <c r="AM1457" s="3" t="s">
        <v>103</v>
      </c>
      <c r="AN1457" t="s">
        <v>130</v>
      </c>
      <c r="AO1457" t="s">
        <v>795</v>
      </c>
      <c r="AP1457">
        <v>5.5</v>
      </c>
      <c r="AQ1457" t="s">
        <v>33</v>
      </c>
      <c r="AR1457" t="s">
        <v>33</v>
      </c>
      <c r="AS1457">
        <v>8</v>
      </c>
      <c r="AT1457">
        <f>AS1457-AU1457</f>
        <v>7.02</v>
      </c>
      <c r="AU1457" s="6">
        <v>0.98</v>
      </c>
      <c r="AV1457" t="b">
        <v>1</v>
      </c>
      <c r="AW1457" t="s">
        <v>626</v>
      </c>
      <c r="AX1457" t="s">
        <v>627</v>
      </c>
      <c r="AY1457" t="s">
        <v>633</v>
      </c>
      <c r="AZ1457" t="s">
        <v>33</v>
      </c>
      <c r="BA1457" s="18" t="s">
        <v>800</v>
      </c>
      <c r="BB1457" s="3" t="b">
        <v>0</v>
      </c>
      <c r="BC1457" t="s">
        <v>81</v>
      </c>
      <c r="BD1457">
        <v>24</v>
      </c>
      <c r="BE1457" t="s">
        <v>80</v>
      </c>
      <c r="BF1457">
        <v>48</v>
      </c>
      <c r="BG1457" t="s">
        <v>569</v>
      </c>
      <c r="BH1457" t="s">
        <v>31</v>
      </c>
      <c r="BI1457" t="s">
        <v>31</v>
      </c>
      <c r="BJ1457">
        <f t="shared" si="727"/>
        <v>0.98</v>
      </c>
      <c r="BK1457" s="3">
        <f t="shared" si="726"/>
        <v>-8.7739243075051505E-3</v>
      </c>
      <c r="BL1457">
        <v>2</v>
      </c>
      <c r="BM1457" s="3">
        <f t="shared" si="719"/>
        <v>1.3070810616360131</v>
      </c>
      <c r="BN1457" t="s">
        <v>33</v>
      </c>
      <c r="BO1457" s="3">
        <f t="shared" si="713"/>
        <v>20.280612244897959</v>
      </c>
      <c r="BP1457" t="s">
        <v>33</v>
      </c>
      <c r="BQ1457" t="s">
        <v>33</v>
      </c>
      <c r="BR1457" t="s">
        <v>33</v>
      </c>
      <c r="BS1457" t="s">
        <v>33</v>
      </c>
      <c r="BT1457" t="s">
        <v>31</v>
      </c>
      <c r="BU1457" s="15" t="s">
        <v>255</v>
      </c>
      <c r="BV1457">
        <v>2010</v>
      </c>
      <c r="BW1457" t="s">
        <v>659</v>
      </c>
      <c r="BX1457" t="s">
        <v>78</v>
      </c>
      <c r="BY1457" s="13" t="s">
        <v>680</v>
      </c>
      <c r="CA1457" t="str">
        <f t="shared" si="715"/>
        <v>low acid</v>
      </c>
    </row>
    <row r="1458" spans="1:79">
      <c r="A1458" t="s">
        <v>722</v>
      </c>
      <c r="B1458" t="s">
        <v>566</v>
      </c>
      <c r="C1458" t="s">
        <v>563</v>
      </c>
      <c r="D1458" t="s">
        <v>699</v>
      </c>
      <c r="E1458" t="s">
        <v>77</v>
      </c>
      <c r="F1458" t="s">
        <v>32</v>
      </c>
      <c r="G1458">
        <v>20</v>
      </c>
      <c r="H1458">
        <v>41</v>
      </c>
      <c r="I1458" t="b">
        <v>1</v>
      </c>
      <c r="J1458" t="s">
        <v>33</v>
      </c>
      <c r="K1458" t="s">
        <v>33</v>
      </c>
      <c r="L1458">
        <v>20</v>
      </c>
      <c r="M1458" s="4">
        <v>30</v>
      </c>
      <c r="N1458" s="3">
        <f>IFERROR(AF1458/((T1458*X1458/Y1458)*O1458*AI1458),"NA")</f>
        <v>29.861111111111104</v>
      </c>
      <c r="O1458">
        <v>5</v>
      </c>
      <c r="P1458">
        <v>0.43</v>
      </c>
      <c r="Q1458" s="8">
        <f>IFERROR(X1458/Y1458, "NA")</f>
        <v>0.43200000000000011</v>
      </c>
      <c r="R1458" t="s">
        <v>183</v>
      </c>
      <c r="S1458" t="s">
        <v>612</v>
      </c>
      <c r="T1458" s="11">
        <v>1</v>
      </c>
      <c r="U1458">
        <v>4</v>
      </c>
      <c r="V1458" t="s">
        <v>33</v>
      </c>
      <c r="W1458">
        <f>0.4*3*0.5</f>
        <v>0.60000000000000009</v>
      </c>
      <c r="X1458" s="9">
        <f>W1458</f>
        <v>0.60000000000000009</v>
      </c>
      <c r="Y1458" s="6">
        <f>5000/3600</f>
        <v>1.3888888888888888</v>
      </c>
      <c r="Z1458" s="3">
        <f t="shared" si="723"/>
        <v>1.3953488372093026</v>
      </c>
      <c r="AA1458" t="s">
        <v>33</v>
      </c>
      <c r="AB1458" s="4">
        <f>IFERROR(((X1458*M1458)/Y1458), "NA")</f>
        <v>12.960000000000003</v>
      </c>
      <c r="AC1458" s="4">
        <f t="shared" si="724"/>
        <v>12.9</v>
      </c>
      <c r="AD1458" s="4">
        <f>AB1458*T1458*AI1458</f>
        <v>12.960000000000003</v>
      </c>
      <c r="AE1458" s="3">
        <f t="shared" si="725"/>
        <v>51.840000000000011</v>
      </c>
      <c r="AF1458">
        <v>64.5</v>
      </c>
      <c r="AG1458" s="4">
        <f>IFERROR((M1458*O1458*P1458), "NA")</f>
        <v>64.5</v>
      </c>
      <c r="AH1458" s="4">
        <f>IFERROR((AG1458*T1458*AI1458), "NA")</f>
        <v>64.5</v>
      </c>
      <c r="AI1458">
        <v>1</v>
      </c>
      <c r="AJ1458" s="11" t="s">
        <v>31</v>
      </c>
      <c r="AK1458">
        <v>2000</v>
      </c>
      <c r="AL1458" t="s">
        <v>784</v>
      </c>
      <c r="AM1458" t="s">
        <v>103</v>
      </c>
      <c r="AN1458" t="s">
        <v>130</v>
      </c>
      <c r="AO1458" t="s">
        <v>795</v>
      </c>
      <c r="AP1458">
        <v>7</v>
      </c>
      <c r="AQ1458" t="s">
        <v>33</v>
      </c>
      <c r="AR1458" t="s">
        <v>33</v>
      </c>
      <c r="AS1458" s="6">
        <f>LOG(AVERAGE(10^8, 10^9))</f>
        <v>8.7403626894942441</v>
      </c>
      <c r="AT1458" s="3">
        <f>IFERROR(AS1458-AU1458,"NA")</f>
        <v>7.0233626894942436</v>
      </c>
      <c r="AU1458" s="6">
        <v>1.7170000000000001</v>
      </c>
      <c r="AV1458" t="b">
        <v>1</v>
      </c>
      <c r="AW1458" t="s">
        <v>123</v>
      </c>
      <c r="AX1458" t="s">
        <v>88</v>
      </c>
      <c r="AY1458" t="s">
        <v>728</v>
      </c>
      <c r="AZ1458" t="s">
        <v>33</v>
      </c>
      <c r="BA1458" s="18" t="s">
        <v>579</v>
      </c>
      <c r="BB1458" s="3" t="b">
        <v>1</v>
      </c>
      <c r="BC1458" t="s">
        <v>81</v>
      </c>
      <c r="BD1458">
        <v>24</v>
      </c>
      <c r="BE1458" t="s">
        <v>80</v>
      </c>
      <c r="BF1458">
        <v>48</v>
      </c>
      <c r="BG1458" t="s">
        <v>395</v>
      </c>
      <c r="BH1458" t="s">
        <v>31</v>
      </c>
      <c r="BI1458" t="s">
        <v>31</v>
      </c>
      <c r="BJ1458" s="3">
        <f t="shared" si="727"/>
        <v>1.7170000000000001</v>
      </c>
      <c r="BK1458" s="3">
        <f t="shared" si="726"/>
        <v>0.23477029516091652</v>
      </c>
      <c r="BL1458">
        <v>2</v>
      </c>
      <c r="BM1458" s="3">
        <f t="shared" si="719"/>
        <v>1.4798946977016205</v>
      </c>
      <c r="BN1458" t="s">
        <v>33</v>
      </c>
      <c r="BO1458" s="3">
        <f t="shared" si="713"/>
        <v>30.192195690157256</v>
      </c>
      <c r="BP1458" t="s">
        <v>33</v>
      </c>
      <c r="BQ1458" t="s">
        <v>33</v>
      </c>
      <c r="BR1458" t="s">
        <v>33</v>
      </c>
      <c r="BS1458" t="s">
        <v>33</v>
      </c>
      <c r="BT1458" t="s">
        <v>32</v>
      </c>
      <c r="BU1458" t="s">
        <v>709</v>
      </c>
      <c r="BV1458">
        <v>2024</v>
      </c>
      <c r="BW1458" t="s">
        <v>710</v>
      </c>
      <c r="BX1458" t="s">
        <v>78</v>
      </c>
      <c r="BY1458" t="s">
        <v>711</v>
      </c>
      <c r="CA1458" t="str">
        <f t="shared" si="715"/>
        <v>low acid</v>
      </c>
    </row>
    <row r="1459" spans="1:79">
      <c r="A1459" t="s">
        <v>583</v>
      </c>
      <c r="B1459" t="s">
        <v>566</v>
      </c>
      <c r="C1459" t="s">
        <v>563</v>
      </c>
      <c r="D1459" t="s">
        <v>33</v>
      </c>
      <c r="E1459" t="s">
        <v>77</v>
      </c>
      <c r="F1459" t="s">
        <v>32</v>
      </c>
      <c r="G1459" t="s">
        <v>33</v>
      </c>
      <c r="H1459">
        <v>10</v>
      </c>
      <c r="I1459" t="b">
        <v>1</v>
      </c>
      <c r="J1459" t="s">
        <v>33</v>
      </c>
      <c r="K1459" t="s">
        <v>33</v>
      </c>
      <c r="L1459">
        <v>30</v>
      </c>
      <c r="M1459" s="4">
        <v>2</v>
      </c>
      <c r="N1459" t="e">
        <f>(#REF!*Y1459)/(T1459*X1459*O1459)</f>
        <v>#REF!</v>
      </c>
      <c r="O1459">
        <v>2</v>
      </c>
      <c r="P1459" t="s">
        <v>33</v>
      </c>
      <c r="Q1459" s="1">
        <f t="shared" ref="Q1459:Q1464" si="728">IFERROR(X1459/Z1459, "NA")</f>
        <v>30</v>
      </c>
      <c r="R1459" t="s">
        <v>183</v>
      </c>
      <c r="S1459" t="s">
        <v>613</v>
      </c>
      <c r="T1459">
        <v>1</v>
      </c>
      <c r="U1459">
        <v>5</v>
      </c>
      <c r="V1459" t="s">
        <v>33</v>
      </c>
      <c r="W1459">
        <v>0.71</v>
      </c>
      <c r="X1459">
        <f>W1459</f>
        <v>0.71</v>
      </c>
      <c r="Y1459">
        <v>0.1</v>
      </c>
      <c r="Z1459" s="3">
        <f t="shared" si="723"/>
        <v>2.3666666666666666E-2</v>
      </c>
      <c r="AA1459" t="s">
        <v>33</v>
      </c>
      <c r="AB1459">
        <f>IFERROR(((X1459*M1459)/Z1459), "NA")</f>
        <v>60</v>
      </c>
      <c r="AC1459" s="1" t="str">
        <f t="shared" si="724"/>
        <v>NA</v>
      </c>
      <c r="AE1459" s="3">
        <f t="shared" si="725"/>
        <v>507.59999999999997</v>
      </c>
      <c r="AF1459">
        <v>120</v>
      </c>
      <c r="AG1459" s="1" t="str">
        <f>IFERROR((N1459*P1459*Q1459), "NA")</f>
        <v>NA</v>
      </c>
      <c r="AH1459" s="1" t="str">
        <f>IFERROR((AG1459*U1459*AI1459), "NA")</f>
        <v>NA</v>
      </c>
      <c r="AI1459" s="1">
        <v>1</v>
      </c>
      <c r="AJ1459" s="11" t="s">
        <v>31</v>
      </c>
      <c r="AK1459">
        <v>4700</v>
      </c>
      <c r="AL1459" t="s">
        <v>562</v>
      </c>
      <c r="AM1459" s="3" t="s">
        <v>786</v>
      </c>
      <c r="AN1459" t="s">
        <v>186</v>
      </c>
      <c r="AO1459" t="s">
        <v>793</v>
      </c>
      <c r="AP1459" t="s">
        <v>33</v>
      </c>
      <c r="AQ1459" t="s">
        <v>33</v>
      </c>
      <c r="AR1459" t="s">
        <v>33</v>
      </c>
      <c r="AS1459">
        <v>8</v>
      </c>
      <c r="AT1459">
        <f>AS1459-AU1459</f>
        <v>7.03</v>
      </c>
      <c r="AU1459" s="6">
        <v>0.97</v>
      </c>
      <c r="AV1459" t="b">
        <v>1</v>
      </c>
      <c r="AW1459" t="s">
        <v>617</v>
      </c>
      <c r="AX1459" t="s">
        <v>33</v>
      </c>
      <c r="AY1459" t="s">
        <v>622</v>
      </c>
      <c r="AZ1459" t="s">
        <v>619</v>
      </c>
      <c r="BA1459" s="18" t="s">
        <v>802</v>
      </c>
      <c r="BB1459" s="3" t="b">
        <v>0</v>
      </c>
      <c r="BC1459" t="s">
        <v>81</v>
      </c>
      <c r="BD1459">
        <v>18</v>
      </c>
      <c r="BE1459" t="s">
        <v>80</v>
      </c>
      <c r="BF1459">
        <v>24</v>
      </c>
      <c r="BG1459" t="s">
        <v>696</v>
      </c>
      <c r="BH1459" t="s">
        <v>32</v>
      </c>
      <c r="BI1459" t="s">
        <v>31</v>
      </c>
      <c r="BJ1459">
        <f t="shared" si="727"/>
        <v>0.97</v>
      </c>
      <c r="BK1459" s="3">
        <f t="shared" si="726"/>
        <v>-1.322826573375516E-2</v>
      </c>
      <c r="BL1459">
        <v>2</v>
      </c>
      <c r="BM1459" s="3">
        <f t="shared" si="719"/>
        <v>2.7187498791564222</v>
      </c>
      <c r="BN1459" t="s">
        <v>33</v>
      </c>
      <c r="BO1459" s="3">
        <f t="shared" si="713"/>
        <v>523.29896907216494</v>
      </c>
      <c r="BP1459" t="s">
        <v>33</v>
      </c>
      <c r="BQ1459" t="s">
        <v>33</v>
      </c>
      <c r="BR1459" t="s">
        <v>33</v>
      </c>
      <c r="BS1459" t="s">
        <v>33</v>
      </c>
      <c r="BT1459" t="s">
        <v>31</v>
      </c>
      <c r="BU1459" t="s">
        <v>338</v>
      </c>
      <c r="BV1459">
        <v>2005</v>
      </c>
      <c r="BW1459" t="s">
        <v>342</v>
      </c>
      <c r="BX1459" t="s">
        <v>78</v>
      </c>
      <c r="BY1459" s="13" t="s">
        <v>673</v>
      </c>
      <c r="CA1459" t="str">
        <f t="shared" si="715"/>
        <v>low acid</v>
      </c>
    </row>
    <row r="1460" spans="1:79">
      <c r="A1460" t="s">
        <v>597</v>
      </c>
      <c r="B1460" t="s">
        <v>565</v>
      </c>
      <c r="C1460" t="s">
        <v>563</v>
      </c>
      <c r="D1460" t="s">
        <v>33</v>
      </c>
      <c r="E1460" t="s">
        <v>77</v>
      </c>
      <c r="F1460" t="s">
        <v>33</v>
      </c>
      <c r="G1460">
        <v>20</v>
      </c>
      <c r="H1460">
        <v>35</v>
      </c>
      <c r="I1460" t="b">
        <v>0</v>
      </c>
      <c r="J1460" t="s">
        <v>33</v>
      </c>
      <c r="K1460" t="s">
        <v>33</v>
      </c>
      <c r="L1460">
        <v>22</v>
      </c>
      <c r="M1460" s="4">
        <v>1</v>
      </c>
      <c r="N1460" t="e">
        <f>(#REF!*Y1460)/(T1460*X1460*O1460)</f>
        <v>#REF!</v>
      </c>
      <c r="O1460">
        <v>2</v>
      </c>
      <c r="P1460" t="s">
        <v>33</v>
      </c>
      <c r="Q1460" s="1">
        <f t="shared" si="728"/>
        <v>50.000000000000007</v>
      </c>
      <c r="R1460" t="s">
        <v>183</v>
      </c>
      <c r="S1460" t="s">
        <v>33</v>
      </c>
      <c r="T1460">
        <v>1</v>
      </c>
      <c r="U1460">
        <v>2.5</v>
      </c>
      <c r="V1460" t="s">
        <v>33</v>
      </c>
      <c r="W1460">
        <v>0.50249999999999995</v>
      </c>
      <c r="X1460">
        <f>W1460</f>
        <v>0.50249999999999995</v>
      </c>
      <c r="Y1460" t="s">
        <v>33</v>
      </c>
      <c r="Z1460" s="3">
        <f t="shared" si="723"/>
        <v>1.0049999999999998E-2</v>
      </c>
      <c r="AA1460" t="s">
        <v>33</v>
      </c>
      <c r="AB1460">
        <f>IFERROR(((X1460*M1460)/Z1460), "NA")</f>
        <v>50.000000000000007</v>
      </c>
      <c r="AC1460" s="1" t="str">
        <f t="shared" si="724"/>
        <v>NA</v>
      </c>
      <c r="AE1460" s="3">
        <f t="shared" si="725"/>
        <v>96.800000000000011</v>
      </c>
      <c r="AF1460">
        <v>100</v>
      </c>
      <c r="AG1460" s="1" t="str">
        <f>IFERROR((N1460*P1460*Q1460), "NA")</f>
        <v>NA</v>
      </c>
      <c r="AH1460" s="1" t="str">
        <f>IFERROR((AG1460*U1460*AI1460), "NA")</f>
        <v>NA</v>
      </c>
      <c r="AI1460" s="1">
        <v>1</v>
      </c>
      <c r="AJ1460" s="11" t="s">
        <v>31</v>
      </c>
      <c r="AK1460">
        <v>2000</v>
      </c>
      <c r="AL1460" t="s">
        <v>784</v>
      </c>
      <c r="AM1460" s="3" t="s">
        <v>103</v>
      </c>
      <c r="AN1460" t="s">
        <v>130</v>
      </c>
      <c r="AO1460" t="s">
        <v>795</v>
      </c>
      <c r="AP1460">
        <v>7</v>
      </c>
      <c r="AQ1460" t="s">
        <v>33</v>
      </c>
      <c r="AR1460" t="s">
        <v>33</v>
      </c>
      <c r="AS1460">
        <v>9</v>
      </c>
      <c r="AT1460">
        <f>AS1460-AU1460</f>
        <v>7.03</v>
      </c>
      <c r="AU1460" s="6">
        <v>1.97</v>
      </c>
      <c r="AV1460" t="b">
        <v>1</v>
      </c>
      <c r="AW1460" t="s">
        <v>617</v>
      </c>
      <c r="AX1460" t="s">
        <v>635</v>
      </c>
      <c r="AY1460" t="s">
        <v>636</v>
      </c>
      <c r="AZ1460" t="s">
        <v>33</v>
      </c>
      <c r="BA1460" s="18" t="s">
        <v>802</v>
      </c>
      <c r="BB1460" s="3" t="b">
        <v>0</v>
      </c>
      <c r="BC1460" t="s">
        <v>81</v>
      </c>
      <c r="BD1460">
        <v>24</v>
      </c>
      <c r="BE1460" t="s">
        <v>80</v>
      </c>
      <c r="BF1460">
        <v>24</v>
      </c>
      <c r="BG1460" t="s">
        <v>644</v>
      </c>
      <c r="BH1460" t="s">
        <v>31</v>
      </c>
      <c r="BI1460" t="s">
        <v>31</v>
      </c>
      <c r="BJ1460">
        <f t="shared" si="727"/>
        <v>1.97</v>
      </c>
      <c r="BK1460" s="3">
        <f t="shared" si="726"/>
        <v>0.2944662261615929</v>
      </c>
      <c r="BL1460">
        <v>2</v>
      </c>
      <c r="BM1460" s="3">
        <f t="shared" si="719"/>
        <v>1.6914091311468007</v>
      </c>
      <c r="BN1460" t="s">
        <v>33</v>
      </c>
      <c r="BO1460" s="3">
        <f t="shared" si="713"/>
        <v>49.137055837563459</v>
      </c>
      <c r="BP1460" t="s">
        <v>33</v>
      </c>
      <c r="BQ1460" t="s">
        <v>33</v>
      </c>
      <c r="BR1460" t="s">
        <v>33</v>
      </c>
      <c r="BS1460" t="s">
        <v>33</v>
      </c>
      <c r="BT1460" t="s">
        <v>31</v>
      </c>
      <c r="BU1460" t="s">
        <v>664</v>
      </c>
      <c r="BV1460">
        <v>2000</v>
      </c>
      <c r="BW1460" t="s">
        <v>665</v>
      </c>
      <c r="BX1460" t="s">
        <v>78</v>
      </c>
      <c r="BY1460" s="13" t="s">
        <v>685</v>
      </c>
      <c r="CA1460" t="str">
        <f t="shared" si="715"/>
        <v>low acid</v>
      </c>
    </row>
    <row r="1461" spans="1:79">
      <c r="A1461" t="s">
        <v>237</v>
      </c>
      <c r="B1461" t="s">
        <v>565</v>
      </c>
      <c r="C1461" t="s">
        <v>563</v>
      </c>
      <c r="D1461" t="s">
        <v>118</v>
      </c>
      <c r="E1461" t="s">
        <v>77</v>
      </c>
      <c r="F1461" t="s">
        <v>32</v>
      </c>
      <c r="G1461">
        <v>4</v>
      </c>
      <c r="H1461">
        <v>32.5</v>
      </c>
      <c r="I1461" t="b">
        <v>0</v>
      </c>
      <c r="J1461" t="s">
        <v>33</v>
      </c>
      <c r="K1461" t="s">
        <v>33</v>
      </c>
      <c r="L1461">
        <v>15</v>
      </c>
      <c r="M1461" s="4">
        <v>200</v>
      </c>
      <c r="N1461" s="3">
        <f>IFERROR(AF1461/((T1461*X1461/Y1461)*O1461*AI1461),"NA")</f>
        <v>386.37843216368935</v>
      </c>
      <c r="O1461">
        <v>4</v>
      </c>
      <c r="P1461" t="s">
        <v>33</v>
      </c>
      <c r="Q1461" s="9">
        <f t="shared" si="728"/>
        <v>2.3437499999999997E-2</v>
      </c>
      <c r="R1461" t="s">
        <v>183</v>
      </c>
      <c r="S1461" t="s">
        <v>613</v>
      </c>
      <c r="T1461" s="11">
        <v>8</v>
      </c>
      <c r="U1461">
        <v>2.92</v>
      </c>
      <c r="V1461">
        <v>2.2999999999999998</v>
      </c>
      <c r="W1461">
        <v>1.2E-2</v>
      </c>
      <c r="X1461" s="8">
        <f>IFERROR(((PI())*(((V1461*10^-1)/2)^2)*(U1461*10^-1)), "NA")</f>
        <v>1.2131888350367701E-2</v>
      </c>
      <c r="Y1461" s="6">
        <f>60/60</f>
        <v>1</v>
      </c>
      <c r="Z1461" s="3">
        <f t="shared" si="723"/>
        <v>0.5176272362823553</v>
      </c>
      <c r="AA1461" t="s">
        <v>33</v>
      </c>
      <c r="AB1461" s="6">
        <f>IFERROR(((X1461*M1461)/Z1461), "NA")</f>
        <v>4.6874999999999991</v>
      </c>
      <c r="AC1461" t="str">
        <f t="shared" si="724"/>
        <v>NA</v>
      </c>
      <c r="AD1461" s="4">
        <f>IFERROR(AB1461*T1461*AI1461, "NA")</f>
        <v>37.499999999999993</v>
      </c>
      <c r="AE1461" s="3">
        <f t="shared" si="725"/>
        <v>143.09999999999997</v>
      </c>
      <c r="AF1461">
        <v>150</v>
      </c>
      <c r="AG1461" t="str">
        <f>IFERROR((M1461*O1461*P1461), "NA")</f>
        <v>NA</v>
      </c>
      <c r="AH1461" t="str">
        <f>IFERROR((AG1461*T1461*AI1461), "NA")</f>
        <v>NA</v>
      </c>
      <c r="AI1461" s="11">
        <v>1</v>
      </c>
      <c r="AJ1461" t="s">
        <v>31</v>
      </c>
      <c r="AK1461">
        <v>4240</v>
      </c>
      <c r="AL1461" t="s">
        <v>238</v>
      </c>
      <c r="AM1461" t="s">
        <v>86</v>
      </c>
      <c r="AN1461" t="s">
        <v>205</v>
      </c>
      <c r="AO1461" t="s">
        <v>789</v>
      </c>
      <c r="AP1461">
        <v>3.56</v>
      </c>
      <c r="AQ1461" t="s">
        <v>33</v>
      </c>
      <c r="AR1461" t="s">
        <v>33</v>
      </c>
      <c r="AS1461">
        <f>LOG(10^8)</f>
        <v>8</v>
      </c>
      <c r="AT1461" s="3">
        <f>IFERROR(AS1461-AU1461,"NA")</f>
        <v>7.0339999999999998</v>
      </c>
      <c r="AU1461" s="6">
        <v>0.96599999999999997</v>
      </c>
      <c r="AV1461" t="b">
        <v>1</v>
      </c>
      <c r="AW1461" t="s">
        <v>172</v>
      </c>
      <c r="AX1461" t="s">
        <v>173</v>
      </c>
      <c r="AY1461" t="s">
        <v>239</v>
      </c>
      <c r="AZ1461" t="s">
        <v>33</v>
      </c>
      <c r="BA1461" s="18" t="s">
        <v>799</v>
      </c>
      <c r="BB1461" t="b">
        <v>0</v>
      </c>
      <c r="BC1461" t="s">
        <v>81</v>
      </c>
      <c r="BD1461">
        <v>48</v>
      </c>
      <c r="BE1461" t="s">
        <v>80</v>
      </c>
      <c r="BF1461" s="11">
        <v>120</v>
      </c>
      <c r="BG1461" t="s">
        <v>571</v>
      </c>
      <c r="BH1461" t="s">
        <v>31</v>
      </c>
      <c r="BI1461" t="s">
        <v>31</v>
      </c>
      <c r="BJ1461" s="3">
        <f t="shared" si="727"/>
        <v>0.96599999999999997</v>
      </c>
      <c r="BK1461" s="3">
        <f t="shared" si="726"/>
        <v>-1.5022873584506671E-2</v>
      </c>
      <c r="BL1461">
        <v>2</v>
      </c>
      <c r="BM1461" s="3">
        <f t="shared" si="719"/>
        <v>2.1706625073442831</v>
      </c>
      <c r="BN1461" t="s">
        <v>33</v>
      </c>
      <c r="BO1461" s="3">
        <f t="shared" si="713"/>
        <v>148.1366459627329</v>
      </c>
      <c r="BP1461" t="s">
        <v>33</v>
      </c>
      <c r="BQ1461" t="s">
        <v>33</v>
      </c>
      <c r="BR1461" t="s">
        <v>33</v>
      </c>
      <c r="BS1461" t="s">
        <v>33</v>
      </c>
      <c r="BT1461" t="s">
        <v>31</v>
      </c>
      <c r="BU1461" t="s">
        <v>240</v>
      </c>
      <c r="BV1461">
        <v>2004</v>
      </c>
      <c r="BW1461" t="s">
        <v>241</v>
      </c>
      <c r="BX1461" t="s">
        <v>78</v>
      </c>
      <c r="BY1461" t="s">
        <v>33</v>
      </c>
      <c r="BZ1461" t="s">
        <v>33</v>
      </c>
      <c r="CA1461" t="str">
        <f t="shared" si="715"/>
        <v>high acid</v>
      </c>
    </row>
    <row r="1462" spans="1:79">
      <c r="A1462" t="s">
        <v>594</v>
      </c>
      <c r="B1462" t="s">
        <v>566</v>
      </c>
      <c r="C1462" t="s">
        <v>563</v>
      </c>
      <c r="D1462" t="s">
        <v>33</v>
      </c>
      <c r="E1462" t="s">
        <v>77</v>
      </c>
      <c r="F1462" t="s">
        <v>32</v>
      </c>
      <c r="G1462" t="s">
        <v>33</v>
      </c>
      <c r="H1462">
        <v>30</v>
      </c>
      <c r="I1462" t="b">
        <v>1</v>
      </c>
      <c r="J1462" t="s">
        <v>33</v>
      </c>
      <c r="K1462" t="s">
        <v>33</v>
      </c>
      <c r="L1462">
        <v>20</v>
      </c>
      <c r="M1462" s="4">
        <v>2</v>
      </c>
      <c r="N1462" t="e">
        <f>(#REF!*Y1462)/(T1462*X1462*O1462)</f>
        <v>#REF!</v>
      </c>
      <c r="O1462">
        <v>2</v>
      </c>
      <c r="P1462" t="s">
        <v>33</v>
      </c>
      <c r="Q1462" s="1">
        <f t="shared" si="728"/>
        <v>7.1</v>
      </c>
      <c r="R1462" t="s">
        <v>183</v>
      </c>
      <c r="S1462" t="s">
        <v>613</v>
      </c>
      <c r="T1462">
        <v>1</v>
      </c>
      <c r="U1462">
        <v>5</v>
      </c>
      <c r="V1462" t="s">
        <v>33</v>
      </c>
      <c r="W1462">
        <v>0.71</v>
      </c>
      <c r="X1462">
        <f>W1462</f>
        <v>0.71</v>
      </c>
      <c r="Y1462">
        <v>0.1</v>
      </c>
      <c r="Z1462" s="3">
        <f>Y1462</f>
        <v>0.1</v>
      </c>
      <c r="AA1462" s="3">
        <v>14.8409893992932</v>
      </c>
      <c r="AB1462">
        <f>IFERROR(((X1462*M1462)/Y1462), "NA")</f>
        <v>14.2</v>
      </c>
      <c r="AC1462" s="1" t="str">
        <f t="shared" si="724"/>
        <v>NA</v>
      </c>
      <c r="AE1462" s="3">
        <f t="shared" si="725"/>
        <v>262.416</v>
      </c>
      <c r="AF1462" t="s">
        <v>33</v>
      </c>
      <c r="AG1462" s="1">
        <f>IFERROR((M1462*O1462*Q1462), "NA")</f>
        <v>28.4</v>
      </c>
      <c r="AH1462" s="1">
        <f>IFERROR((AG1462*U1462*AI1462), "NA")</f>
        <v>426</v>
      </c>
      <c r="AI1462" s="1">
        <v>3</v>
      </c>
      <c r="AJ1462" s="11" t="s">
        <v>31</v>
      </c>
      <c r="AK1462">
        <f>7700</f>
        <v>7700</v>
      </c>
      <c r="AL1462" t="s">
        <v>561</v>
      </c>
      <c r="AM1462" s="3" t="s">
        <v>786</v>
      </c>
      <c r="AN1462" t="s">
        <v>186</v>
      </c>
      <c r="AO1462" t="s">
        <v>793</v>
      </c>
      <c r="AP1462" t="s">
        <v>33</v>
      </c>
      <c r="AQ1462" t="s">
        <v>33</v>
      </c>
      <c r="AR1462" t="s">
        <v>33</v>
      </c>
      <c r="AS1462">
        <v>8</v>
      </c>
      <c r="AT1462">
        <f>AS1462-AU1462</f>
        <v>7.04</v>
      </c>
      <c r="AU1462" s="6">
        <v>0.96</v>
      </c>
      <c r="AV1462" t="b">
        <v>1</v>
      </c>
      <c r="AW1462" t="s">
        <v>617</v>
      </c>
      <c r="AX1462" t="s">
        <v>624</v>
      </c>
      <c r="AY1462" t="s">
        <v>622</v>
      </c>
      <c r="AZ1462" t="s">
        <v>33</v>
      </c>
      <c r="BA1462" s="18" t="s">
        <v>802</v>
      </c>
      <c r="BB1462" s="3" t="b">
        <v>0</v>
      </c>
      <c r="BC1462" t="s">
        <v>81</v>
      </c>
      <c r="BD1462">
        <v>18</v>
      </c>
      <c r="BE1462" t="s">
        <v>80</v>
      </c>
      <c r="BF1462">
        <v>24</v>
      </c>
      <c r="BG1462" t="s">
        <v>696</v>
      </c>
      <c r="BH1462" t="s">
        <v>32</v>
      </c>
      <c r="BI1462" t="s">
        <v>31</v>
      </c>
      <c r="BJ1462">
        <f t="shared" si="727"/>
        <v>0.96</v>
      </c>
      <c r="BK1462" s="3">
        <f t="shared" si="726"/>
        <v>-1.7728766960431602E-2</v>
      </c>
      <c r="BL1462">
        <v>2</v>
      </c>
      <c r="BM1462" s="3">
        <f t="shared" si="719"/>
        <v>2.4367190782275761</v>
      </c>
      <c r="BN1462" t="s">
        <v>33</v>
      </c>
      <c r="BO1462" s="3">
        <f t="shared" si="713"/>
        <v>273.35000000000002</v>
      </c>
      <c r="BP1462" t="s">
        <v>33</v>
      </c>
      <c r="BQ1462" t="s">
        <v>33</v>
      </c>
      <c r="BR1462" t="s">
        <v>33</v>
      </c>
      <c r="BS1462" t="s">
        <v>33</v>
      </c>
      <c r="BT1462" t="s">
        <v>31</v>
      </c>
      <c r="BU1462" t="s">
        <v>338</v>
      </c>
      <c r="BV1462">
        <v>2006</v>
      </c>
      <c r="BW1462" t="s">
        <v>339</v>
      </c>
      <c r="BX1462" t="s">
        <v>78</v>
      </c>
      <c r="BY1462" s="13" t="s">
        <v>682</v>
      </c>
      <c r="CA1462" t="str">
        <f t="shared" si="715"/>
        <v>low acid</v>
      </c>
    </row>
    <row r="1463" spans="1:79">
      <c r="A1463" t="s">
        <v>600</v>
      </c>
      <c r="B1463" t="s">
        <v>566</v>
      </c>
      <c r="C1463" t="s">
        <v>563</v>
      </c>
      <c r="D1463" t="s">
        <v>33</v>
      </c>
      <c r="E1463" t="s">
        <v>77</v>
      </c>
      <c r="F1463" t="s">
        <v>33</v>
      </c>
      <c r="G1463" t="s">
        <v>33</v>
      </c>
      <c r="H1463">
        <v>35</v>
      </c>
      <c r="I1463" t="b">
        <v>0</v>
      </c>
      <c r="J1463" t="s">
        <v>33</v>
      </c>
      <c r="K1463" t="s">
        <v>33</v>
      </c>
      <c r="L1463">
        <v>19</v>
      </c>
      <c r="M1463" s="4">
        <v>1</v>
      </c>
      <c r="N1463" t="e">
        <f>(#REF!*Y1463)/(T1463*X1463*O1463)</f>
        <v>#REF!</v>
      </c>
      <c r="O1463">
        <v>2</v>
      </c>
      <c r="P1463" t="s">
        <v>33</v>
      </c>
      <c r="Q1463" s="1">
        <f t="shared" si="728"/>
        <v>200.00000000000003</v>
      </c>
      <c r="R1463" t="s">
        <v>183</v>
      </c>
      <c r="S1463" t="s">
        <v>33</v>
      </c>
      <c r="T1463">
        <v>1</v>
      </c>
      <c r="U1463">
        <v>2.5</v>
      </c>
      <c r="V1463" t="s">
        <v>33</v>
      </c>
      <c r="W1463">
        <v>0.50249999999999995</v>
      </c>
      <c r="X1463">
        <f>W1463</f>
        <v>0.50249999999999995</v>
      </c>
      <c r="Y1463" t="s">
        <v>33</v>
      </c>
      <c r="Z1463" s="3">
        <f t="shared" ref="Z1463:Z1478" si="729">IFERROR(X1463*M1463*O1463*T1463*AI1463/AF1463, "NA")</f>
        <v>2.5124999999999995E-3</v>
      </c>
      <c r="AA1463" t="s">
        <v>33</v>
      </c>
      <c r="AB1463">
        <f>IFERROR(((X1463*M1463)/Z1463), "NA")</f>
        <v>200.00000000000003</v>
      </c>
      <c r="AC1463" s="1" t="str">
        <f t="shared" si="724"/>
        <v>NA</v>
      </c>
      <c r="AE1463" s="3">
        <f t="shared" si="725"/>
        <v>288.8</v>
      </c>
      <c r="AF1463">
        <v>400</v>
      </c>
      <c r="AG1463" s="1" t="str">
        <f>IFERROR((N1463*P1463*Q1463), "NA")</f>
        <v>NA</v>
      </c>
      <c r="AH1463" s="1" t="str">
        <f>IFERROR((AG1463*U1463*AI1463), "NA")</f>
        <v>NA</v>
      </c>
      <c r="AI1463" s="1">
        <v>1</v>
      </c>
      <c r="AJ1463" s="11" t="s">
        <v>31</v>
      </c>
      <c r="AK1463">
        <v>2000</v>
      </c>
      <c r="AL1463" t="s">
        <v>784</v>
      </c>
      <c r="AM1463" s="3" t="s">
        <v>103</v>
      </c>
      <c r="AN1463" t="s">
        <v>130</v>
      </c>
      <c r="AO1463" t="s">
        <v>795</v>
      </c>
      <c r="AP1463">
        <v>7</v>
      </c>
      <c r="AQ1463" t="s">
        <v>33</v>
      </c>
      <c r="AR1463" t="s">
        <v>33</v>
      </c>
      <c r="AS1463">
        <v>8</v>
      </c>
      <c r="AT1463">
        <f>AS1463-AU1463</f>
        <v>7.04</v>
      </c>
      <c r="AU1463" s="6">
        <v>0.96</v>
      </c>
      <c r="AV1463" t="b">
        <v>1</v>
      </c>
      <c r="AW1463" t="s">
        <v>626</v>
      </c>
      <c r="AX1463" t="s">
        <v>627</v>
      </c>
      <c r="AY1463" t="s">
        <v>640</v>
      </c>
      <c r="AZ1463" t="s">
        <v>33</v>
      </c>
      <c r="BA1463" s="18" t="s">
        <v>800</v>
      </c>
      <c r="BB1463" s="3" t="b">
        <v>0</v>
      </c>
      <c r="BC1463" t="s">
        <v>81</v>
      </c>
      <c r="BD1463">
        <f>AVERAGE(24,30)</f>
        <v>27</v>
      </c>
      <c r="BE1463" t="s">
        <v>80</v>
      </c>
      <c r="BF1463">
        <v>24</v>
      </c>
      <c r="BG1463" t="s">
        <v>568</v>
      </c>
      <c r="BH1463" t="s">
        <v>31</v>
      </c>
      <c r="BI1463" t="s">
        <v>31</v>
      </c>
      <c r="BJ1463" s="3">
        <f t="shared" si="727"/>
        <v>0.96</v>
      </c>
      <c r="BK1463" s="3">
        <f t="shared" si="726"/>
        <v>-1.7728766960431602E-2</v>
      </c>
      <c r="BL1463">
        <v>2</v>
      </c>
      <c r="BM1463" s="3">
        <f t="shared" si="719"/>
        <v>2.4783259558580331</v>
      </c>
      <c r="BN1463" t="s">
        <v>33</v>
      </c>
      <c r="BO1463" s="3">
        <f t="shared" si="713"/>
        <v>300.83333333333337</v>
      </c>
      <c r="BP1463" t="s">
        <v>33</v>
      </c>
      <c r="BQ1463" t="s">
        <v>33</v>
      </c>
      <c r="BR1463" t="s">
        <v>33</v>
      </c>
      <c r="BS1463" t="s">
        <v>33</v>
      </c>
      <c r="BT1463" t="s">
        <v>31</v>
      </c>
      <c r="BU1463" t="s">
        <v>666</v>
      </c>
      <c r="BV1463" s="14">
        <v>2006</v>
      </c>
      <c r="BW1463" t="s">
        <v>667</v>
      </c>
      <c r="BX1463" t="s">
        <v>78</v>
      </c>
      <c r="BY1463" s="13" t="s">
        <v>688</v>
      </c>
      <c r="CA1463" t="str">
        <f t="shared" si="715"/>
        <v>low acid</v>
      </c>
    </row>
    <row r="1464" spans="1:79">
      <c r="A1464" t="s">
        <v>597</v>
      </c>
      <c r="B1464" t="s">
        <v>565</v>
      </c>
      <c r="C1464" t="s">
        <v>563</v>
      </c>
      <c r="D1464" t="s">
        <v>33</v>
      </c>
      <c r="E1464" t="s">
        <v>77</v>
      </c>
      <c r="F1464" t="s">
        <v>33</v>
      </c>
      <c r="G1464">
        <v>20</v>
      </c>
      <c r="H1464">
        <v>35</v>
      </c>
      <c r="I1464" t="b">
        <v>0</v>
      </c>
      <c r="J1464" t="s">
        <v>33</v>
      </c>
      <c r="K1464" t="s">
        <v>33</v>
      </c>
      <c r="L1464">
        <v>22</v>
      </c>
      <c r="M1464" s="4">
        <v>2</v>
      </c>
      <c r="N1464" t="e">
        <f>(#REF!*Y1464)/(T1464*X1464*#REF!)</f>
        <v>#REF!</v>
      </c>
      <c r="O1464">
        <v>2</v>
      </c>
      <c r="P1464" t="s">
        <v>33</v>
      </c>
      <c r="Q1464" s="1">
        <f t="shared" si="728"/>
        <v>25.142499999999998</v>
      </c>
      <c r="R1464" t="s">
        <v>183</v>
      </c>
      <c r="S1464" t="s">
        <v>33</v>
      </c>
      <c r="T1464">
        <v>1</v>
      </c>
      <c r="U1464">
        <v>2.5</v>
      </c>
      <c r="V1464" t="s">
        <v>33</v>
      </c>
      <c r="W1464">
        <v>0.50249999999999995</v>
      </c>
      <c r="X1464">
        <f>W1464</f>
        <v>0.50249999999999995</v>
      </c>
      <c r="Y1464" t="s">
        <v>33</v>
      </c>
      <c r="Z1464" s="3">
        <f t="shared" si="729"/>
        <v>1.9986079347718008E-2</v>
      </c>
      <c r="AA1464" t="s">
        <v>33</v>
      </c>
      <c r="AB1464">
        <f>IFERROR(((X1464*O1464)/Z1464), "NA")</f>
        <v>50.284999999999997</v>
      </c>
      <c r="AC1464" s="1" t="str">
        <f>IFERROR(O1464*P1464,"NA")</f>
        <v>NA</v>
      </c>
      <c r="AE1464" s="3">
        <f t="shared" si="725"/>
        <v>97.351759999999985</v>
      </c>
      <c r="AF1464">
        <v>100.57</v>
      </c>
      <c r="AG1464" s="1" t="str">
        <f>IFERROR((P1464*#REF!*Q1464), "NA")</f>
        <v>NA</v>
      </c>
      <c r="AH1464" s="1" t="str">
        <f>IFERROR((AG1464*U1464*AI1464), "NA")</f>
        <v>NA</v>
      </c>
      <c r="AI1464" s="1">
        <v>1</v>
      </c>
      <c r="AJ1464" s="11" t="s">
        <v>31</v>
      </c>
      <c r="AK1464">
        <v>2000</v>
      </c>
      <c r="AL1464" t="s">
        <v>784</v>
      </c>
      <c r="AM1464" s="3" t="s">
        <v>103</v>
      </c>
      <c r="AN1464" t="s">
        <v>130</v>
      </c>
      <c r="AO1464" t="s">
        <v>795</v>
      </c>
      <c r="AP1464">
        <v>7</v>
      </c>
      <c r="AQ1464" t="s">
        <v>33</v>
      </c>
      <c r="AR1464" t="s">
        <v>33</v>
      </c>
      <c r="AS1464">
        <v>9</v>
      </c>
      <c r="AT1464">
        <f>AS1464-AU1464</f>
        <v>7.04</v>
      </c>
      <c r="AU1464" s="6">
        <v>1.96</v>
      </c>
      <c r="AV1464" t="b">
        <v>1</v>
      </c>
      <c r="AW1464" t="s">
        <v>617</v>
      </c>
      <c r="AX1464" t="s">
        <v>635</v>
      </c>
      <c r="AY1464" t="s">
        <v>636</v>
      </c>
      <c r="AZ1464" t="s">
        <v>33</v>
      </c>
      <c r="BA1464" s="18" t="s">
        <v>802</v>
      </c>
      <c r="BB1464" s="3" t="b">
        <v>0</v>
      </c>
      <c r="BC1464" t="s">
        <v>81</v>
      </c>
      <c r="BD1464">
        <v>24</v>
      </c>
      <c r="BE1464" t="s">
        <v>80</v>
      </c>
      <c r="BF1464">
        <v>24</v>
      </c>
      <c r="BG1464" t="s">
        <v>644</v>
      </c>
      <c r="BH1464" t="s">
        <v>31</v>
      </c>
      <c r="BI1464" t="s">
        <v>31</v>
      </c>
      <c r="BJ1464">
        <f t="shared" si="727"/>
        <v>1.96</v>
      </c>
      <c r="BK1464" s="3">
        <f t="shared" si="726"/>
        <v>0.29225607135647602</v>
      </c>
      <c r="BL1464">
        <v>2</v>
      </c>
      <c r="BM1464" s="3">
        <f t="shared" si="719"/>
        <v>1.69608773608025</v>
      </c>
      <c r="BN1464" t="s">
        <v>33</v>
      </c>
      <c r="BO1464" s="3">
        <f t="shared" si="713"/>
        <v>49.669265306122441</v>
      </c>
      <c r="BP1464" t="s">
        <v>33</v>
      </c>
      <c r="BQ1464" t="s">
        <v>33</v>
      </c>
      <c r="BR1464" t="s">
        <v>33</v>
      </c>
      <c r="BS1464" t="s">
        <v>33</v>
      </c>
      <c r="BT1464" t="s">
        <v>31</v>
      </c>
      <c r="BU1464" t="s">
        <v>664</v>
      </c>
      <c r="BV1464">
        <v>2000</v>
      </c>
      <c r="BW1464" t="s">
        <v>665</v>
      </c>
      <c r="BX1464" t="s">
        <v>78</v>
      </c>
      <c r="BY1464" s="13" t="s">
        <v>685</v>
      </c>
      <c r="CA1464" t="str">
        <f t="shared" si="715"/>
        <v>low acid</v>
      </c>
    </row>
    <row r="1465" spans="1:79">
      <c r="A1465" t="s">
        <v>712</v>
      </c>
      <c r="B1465" t="s">
        <v>566</v>
      </c>
      <c r="C1465" t="s">
        <v>563</v>
      </c>
      <c r="D1465" t="s">
        <v>699</v>
      </c>
      <c r="E1465" t="s">
        <v>77</v>
      </c>
      <c r="F1465" t="s">
        <v>32</v>
      </c>
      <c r="G1465">
        <v>20</v>
      </c>
      <c r="H1465">
        <v>64</v>
      </c>
      <c r="I1465" t="b">
        <v>1</v>
      </c>
      <c r="J1465" t="s">
        <v>33</v>
      </c>
      <c r="K1465" t="s">
        <v>33</v>
      </c>
      <c r="L1465">
        <v>20</v>
      </c>
      <c r="M1465" s="4">
        <v>64</v>
      </c>
      <c r="N1465" s="3">
        <f>IFERROR(AF1465/((T1465*X1465/Y1465)*O1465*AI1465),"NA")</f>
        <v>63.657407407407391</v>
      </c>
      <c r="O1465">
        <v>5</v>
      </c>
      <c r="P1465">
        <v>0.43</v>
      </c>
      <c r="Q1465" s="8">
        <f>IFERROR(X1465/Y1465, "NA")</f>
        <v>0.43200000000000011</v>
      </c>
      <c r="R1465" t="s">
        <v>183</v>
      </c>
      <c r="S1465" t="s">
        <v>612</v>
      </c>
      <c r="T1465" s="11">
        <v>1</v>
      </c>
      <c r="U1465">
        <v>4</v>
      </c>
      <c r="V1465" t="s">
        <v>33</v>
      </c>
      <c r="W1465">
        <f>0.4*3*0.5</f>
        <v>0.60000000000000009</v>
      </c>
      <c r="X1465" s="9">
        <f>W1465</f>
        <v>0.60000000000000009</v>
      </c>
      <c r="Y1465" s="6">
        <f>5000/3600</f>
        <v>1.3888888888888888</v>
      </c>
      <c r="Z1465" s="3">
        <f t="shared" si="729"/>
        <v>1.3963636363636365</v>
      </c>
      <c r="AA1465" t="s">
        <v>33</v>
      </c>
      <c r="AB1465" s="4">
        <f>IFERROR(((X1465*M1465)/Y1465), "NA")</f>
        <v>27.648000000000007</v>
      </c>
      <c r="AC1465" s="4">
        <f t="shared" ref="AC1465:AC1483" si="730">IFERROR(M1465*P1465,"NA")</f>
        <v>27.52</v>
      </c>
      <c r="AD1465" s="4">
        <f>AB1465*T1465*AI1465</f>
        <v>27.648000000000007</v>
      </c>
      <c r="AE1465" s="3">
        <f t="shared" si="725"/>
        <v>110.59200000000003</v>
      </c>
      <c r="AF1465">
        <v>137.5</v>
      </c>
      <c r="AG1465" s="4">
        <f>IFERROR((M1465*O1465*P1465), "NA")</f>
        <v>137.6</v>
      </c>
      <c r="AH1465" s="4">
        <f>IFERROR((AG1465*T1465*AI1465), "NA")</f>
        <v>137.6</v>
      </c>
      <c r="AI1465">
        <v>1</v>
      </c>
      <c r="AJ1465" s="11" t="s">
        <v>31</v>
      </c>
      <c r="AK1465">
        <v>2000</v>
      </c>
      <c r="AL1465" t="s">
        <v>784</v>
      </c>
      <c r="AM1465" t="s">
        <v>103</v>
      </c>
      <c r="AN1465" t="s">
        <v>130</v>
      </c>
      <c r="AO1465" t="s">
        <v>795</v>
      </c>
      <c r="AP1465">
        <v>7</v>
      </c>
      <c r="AQ1465" t="s">
        <v>33</v>
      </c>
      <c r="AR1465" t="s">
        <v>33</v>
      </c>
      <c r="AS1465" s="6">
        <f>LOG(AVERAGE(10^8, 10^9))</f>
        <v>8.7403626894942441</v>
      </c>
      <c r="AT1465" s="3">
        <f>IFERROR(AS1465-AU1465,"NA")</f>
        <v>7.0583626894942437</v>
      </c>
      <c r="AU1465" s="6">
        <v>1.6819999999999999</v>
      </c>
      <c r="AV1465" t="b">
        <v>1</v>
      </c>
      <c r="AW1465" t="s">
        <v>92</v>
      </c>
      <c r="AX1465" t="s">
        <v>93</v>
      </c>
      <c r="AY1465" t="s">
        <v>718</v>
      </c>
      <c r="AZ1465" t="s">
        <v>33</v>
      </c>
      <c r="BA1465" s="18" t="s">
        <v>801</v>
      </c>
      <c r="BB1465" s="3" t="b">
        <v>0</v>
      </c>
      <c r="BC1465" t="s">
        <v>81</v>
      </c>
      <c r="BD1465">
        <v>24</v>
      </c>
      <c r="BE1465" t="s">
        <v>80</v>
      </c>
      <c r="BF1465">
        <v>24</v>
      </c>
      <c r="BG1465" t="s">
        <v>568</v>
      </c>
      <c r="BH1465" t="s">
        <v>31</v>
      </c>
      <c r="BI1465" t="s">
        <v>31</v>
      </c>
      <c r="BJ1465" s="3">
        <f t="shared" si="727"/>
        <v>1.6819999999999999</v>
      </c>
      <c r="BK1465" s="3">
        <f t="shared" si="726"/>
        <v>0.22582599146189336</v>
      </c>
      <c r="BL1465">
        <v>2</v>
      </c>
      <c r="BM1465" s="3">
        <f t="shared" si="719"/>
        <v>1.8178977206648683</v>
      </c>
      <c r="BN1465" t="s">
        <v>33</v>
      </c>
      <c r="BO1465" s="3">
        <f t="shared" si="713"/>
        <v>65.75029726516054</v>
      </c>
      <c r="BP1465" t="s">
        <v>33</v>
      </c>
      <c r="BQ1465" t="s">
        <v>33</v>
      </c>
      <c r="BR1465" t="s">
        <v>33</v>
      </c>
      <c r="BS1465" t="s">
        <v>33</v>
      </c>
      <c r="BT1465" t="s">
        <v>32</v>
      </c>
      <c r="BU1465" t="s">
        <v>709</v>
      </c>
      <c r="BV1465">
        <v>2024</v>
      </c>
      <c r="BW1465" t="s">
        <v>710</v>
      </c>
      <c r="BX1465" t="s">
        <v>78</v>
      </c>
      <c r="BY1465" t="s">
        <v>711</v>
      </c>
      <c r="CA1465" t="str">
        <f t="shared" si="715"/>
        <v>low acid</v>
      </c>
    </row>
    <row r="1466" spans="1:79">
      <c r="A1466" t="s">
        <v>237</v>
      </c>
      <c r="B1466" t="s">
        <v>565</v>
      </c>
      <c r="C1466" t="s">
        <v>563</v>
      </c>
      <c r="D1466" t="s">
        <v>118</v>
      </c>
      <c r="E1466" t="s">
        <v>77</v>
      </c>
      <c r="F1466" t="s">
        <v>32</v>
      </c>
      <c r="G1466">
        <v>4</v>
      </c>
      <c r="H1466">
        <v>32.5</v>
      </c>
      <c r="I1466" t="b">
        <v>0</v>
      </c>
      <c r="J1466" t="s">
        <v>33</v>
      </c>
      <c r="K1466" t="s">
        <v>33</v>
      </c>
      <c r="L1466">
        <v>30</v>
      </c>
      <c r="M1466" s="4">
        <v>200</v>
      </c>
      <c r="N1466" s="3">
        <f>IFERROR(AF1466/((T1466*X1466/Y1466)*O1466*AI1466),"NA")</f>
        <v>103.03424857698383</v>
      </c>
      <c r="O1466">
        <v>5</v>
      </c>
      <c r="P1466" t="s">
        <v>33</v>
      </c>
      <c r="Q1466" s="9">
        <f>IFERROR(X1466/Z1466, "NA")</f>
        <v>6.2500000000000003E-3</v>
      </c>
      <c r="R1466" t="s">
        <v>183</v>
      </c>
      <c r="S1466" t="s">
        <v>613</v>
      </c>
      <c r="T1466" s="11">
        <v>8</v>
      </c>
      <c r="U1466">
        <v>2.92</v>
      </c>
      <c r="V1466">
        <v>2.2999999999999998</v>
      </c>
      <c r="W1466">
        <v>1.2E-2</v>
      </c>
      <c r="X1466" s="8">
        <f>IFERROR(((PI())*(((V1466*10^-1)/2)^2)*(U1466*10^-1)), "NA")</f>
        <v>1.2131888350367701E-2</v>
      </c>
      <c r="Y1466" s="6">
        <f>60/60</f>
        <v>1</v>
      </c>
      <c r="Z1466" s="3">
        <f t="shared" si="729"/>
        <v>1.9411021360588321</v>
      </c>
      <c r="AA1466" t="s">
        <v>33</v>
      </c>
      <c r="AB1466" s="6">
        <f>IFERROR(((X1466*M1466)/Z1466), "NA")</f>
        <v>1.25</v>
      </c>
      <c r="AC1466" t="str">
        <f t="shared" si="730"/>
        <v>NA</v>
      </c>
      <c r="AD1466" s="4">
        <f>IFERROR(AB1466*T1466*AI1466, "NA")</f>
        <v>10</v>
      </c>
      <c r="AE1466" s="3">
        <f t="shared" si="725"/>
        <v>190.8</v>
      </c>
      <c r="AF1466">
        <v>50</v>
      </c>
      <c r="AG1466" t="str">
        <f>IFERROR((M1466*O1466*P1466), "NA")</f>
        <v>NA</v>
      </c>
      <c r="AH1466" t="str">
        <f>IFERROR((AG1466*T1466*AI1466), "NA")</f>
        <v>NA</v>
      </c>
      <c r="AI1466" s="11">
        <v>1</v>
      </c>
      <c r="AJ1466" t="s">
        <v>31</v>
      </c>
      <c r="AK1466">
        <v>4240</v>
      </c>
      <c r="AL1466" t="s">
        <v>238</v>
      </c>
      <c r="AM1466" t="s">
        <v>86</v>
      </c>
      <c r="AN1466" t="s">
        <v>205</v>
      </c>
      <c r="AO1466" t="s">
        <v>789</v>
      </c>
      <c r="AP1466">
        <v>3.56</v>
      </c>
      <c r="AQ1466" t="s">
        <v>33</v>
      </c>
      <c r="AR1466" t="s">
        <v>33</v>
      </c>
      <c r="AS1466">
        <f>LOG(10^8)</f>
        <v>8</v>
      </c>
      <c r="AT1466" s="3">
        <f>IFERROR(AS1466-AU1466,"NA")</f>
        <v>7.0649999999999995</v>
      </c>
      <c r="AU1466" s="6">
        <v>0.93500000000000005</v>
      </c>
      <c r="AV1466" t="b">
        <v>1</v>
      </c>
      <c r="AW1466" t="s">
        <v>172</v>
      </c>
      <c r="AX1466" t="s">
        <v>173</v>
      </c>
      <c r="AY1466" t="s">
        <v>239</v>
      </c>
      <c r="AZ1466" t="s">
        <v>33</v>
      </c>
      <c r="BA1466" s="18" t="s">
        <v>799</v>
      </c>
      <c r="BB1466" t="b">
        <v>0</v>
      </c>
      <c r="BC1466" t="s">
        <v>81</v>
      </c>
      <c r="BD1466">
        <v>48</v>
      </c>
      <c r="BE1466" t="s">
        <v>80</v>
      </c>
      <c r="BF1466" s="11">
        <v>120</v>
      </c>
      <c r="BG1466" t="s">
        <v>571</v>
      </c>
      <c r="BH1466" t="s">
        <v>31</v>
      </c>
      <c r="BI1466" t="s">
        <v>31</v>
      </c>
      <c r="BJ1466" s="3">
        <f t="shared" si="727"/>
        <v>0.93500000000000005</v>
      </c>
      <c r="BK1466" s="3">
        <f t="shared" si="726"/>
        <v>-2.91883891274822E-2</v>
      </c>
      <c r="BL1466">
        <v>2</v>
      </c>
      <c r="BM1466" s="3">
        <f t="shared" si="719"/>
        <v>2.3097667594955587</v>
      </c>
      <c r="BN1466" t="s">
        <v>33</v>
      </c>
      <c r="BO1466" s="3">
        <f t="shared" si="713"/>
        <v>204.06417112299465</v>
      </c>
      <c r="BP1466" t="s">
        <v>33</v>
      </c>
      <c r="BQ1466" t="s">
        <v>33</v>
      </c>
      <c r="BR1466" t="s">
        <v>33</v>
      </c>
      <c r="BS1466" t="s">
        <v>33</v>
      </c>
      <c r="BT1466" t="s">
        <v>31</v>
      </c>
      <c r="BU1466" t="s">
        <v>240</v>
      </c>
      <c r="BV1466">
        <v>2004</v>
      </c>
      <c r="BW1466" t="s">
        <v>241</v>
      </c>
      <c r="BX1466" t="s">
        <v>78</v>
      </c>
      <c r="BY1466" t="s">
        <v>33</v>
      </c>
      <c r="BZ1466" t="s">
        <v>33</v>
      </c>
      <c r="CA1466" t="str">
        <f t="shared" si="715"/>
        <v>high acid</v>
      </c>
    </row>
    <row r="1467" spans="1:79">
      <c r="A1467" t="s">
        <v>592</v>
      </c>
      <c r="B1467" t="s">
        <v>566</v>
      </c>
      <c r="C1467" t="s">
        <v>563</v>
      </c>
      <c r="D1467" t="s">
        <v>607</v>
      </c>
      <c r="E1467" t="s">
        <v>77</v>
      </c>
      <c r="F1467" t="s">
        <v>32</v>
      </c>
      <c r="G1467" t="s">
        <v>33</v>
      </c>
      <c r="H1467">
        <v>35</v>
      </c>
      <c r="I1467" t="b">
        <v>0</v>
      </c>
      <c r="J1467">
        <v>30000</v>
      </c>
      <c r="K1467">
        <v>200</v>
      </c>
      <c r="L1467">
        <v>15</v>
      </c>
      <c r="M1467" s="4">
        <v>1</v>
      </c>
      <c r="N1467" t="e">
        <f>(#REF!*Y1467)/(T1467*X1467*O1467)</f>
        <v>#REF!</v>
      </c>
      <c r="O1467">
        <v>3</v>
      </c>
      <c r="P1467" t="s">
        <v>33</v>
      </c>
      <c r="Q1467" s="1">
        <f>IFERROR(X1467/Z1467, "NA")</f>
        <v>50.699999999999996</v>
      </c>
      <c r="R1467" t="s">
        <v>183</v>
      </c>
      <c r="S1467" t="s">
        <v>33</v>
      </c>
      <c r="T1467">
        <v>1</v>
      </c>
      <c r="U1467">
        <v>2.5</v>
      </c>
      <c r="V1467" t="s">
        <v>33</v>
      </c>
      <c r="W1467">
        <v>0.50249999999999995</v>
      </c>
      <c r="X1467">
        <f>W1467</f>
        <v>0.50249999999999995</v>
      </c>
      <c r="Y1467" t="s">
        <v>33</v>
      </c>
      <c r="Z1467" s="3">
        <f t="shared" si="729"/>
        <v>9.9112426035502955E-3</v>
      </c>
      <c r="AA1467" t="s">
        <v>33</v>
      </c>
      <c r="AB1467">
        <f>IFERROR(((X1467*M1467)/Z1467), "NA")</f>
        <v>50.699999999999996</v>
      </c>
      <c r="AC1467" s="1" t="str">
        <f t="shared" si="730"/>
        <v>NA</v>
      </c>
      <c r="AE1467" s="3">
        <f t="shared" si="725"/>
        <v>34.222499999999997</v>
      </c>
      <c r="AF1467">
        <v>152.1</v>
      </c>
      <c r="AG1467" s="1" t="str">
        <f>IFERROR((N1467*P1467*Q1467), "NA")</f>
        <v>NA</v>
      </c>
      <c r="AH1467" s="1" t="str">
        <f>IFERROR((AG1467*U1467*AI1467), "NA")</f>
        <v>NA</v>
      </c>
      <c r="AI1467" s="1">
        <v>1</v>
      </c>
      <c r="AJ1467" s="11" t="s">
        <v>31</v>
      </c>
      <c r="AK1467">
        <v>1000</v>
      </c>
      <c r="AL1467" t="s">
        <v>614</v>
      </c>
      <c r="AM1467" s="3" t="s">
        <v>103</v>
      </c>
      <c r="AN1467" t="s">
        <v>305</v>
      </c>
      <c r="AO1467" t="s">
        <v>790</v>
      </c>
      <c r="AP1467">
        <v>3.5</v>
      </c>
      <c r="AQ1467" t="s">
        <v>33</v>
      </c>
      <c r="AR1467" t="s">
        <v>33</v>
      </c>
      <c r="AS1467">
        <v>8</v>
      </c>
      <c r="AT1467">
        <f>AS1467-AU1467</f>
        <v>7.07</v>
      </c>
      <c r="AU1467" s="6">
        <v>0.93</v>
      </c>
      <c r="AV1467" t="b">
        <v>1</v>
      </c>
      <c r="AW1467" t="s">
        <v>626</v>
      </c>
      <c r="AX1467" t="s">
        <v>627</v>
      </c>
      <c r="AY1467" t="s">
        <v>633</v>
      </c>
      <c r="AZ1467" t="s">
        <v>33</v>
      </c>
      <c r="BA1467" s="18" t="s">
        <v>800</v>
      </c>
      <c r="BB1467" s="3" t="b">
        <v>0</v>
      </c>
      <c r="BC1467" t="s">
        <v>81</v>
      </c>
      <c r="BD1467">
        <v>24</v>
      </c>
      <c r="BE1467" t="s">
        <v>80</v>
      </c>
      <c r="BF1467">
        <v>48</v>
      </c>
      <c r="BG1467" t="s">
        <v>569</v>
      </c>
      <c r="BH1467" t="s">
        <v>31</v>
      </c>
      <c r="BI1467" t="s">
        <v>31</v>
      </c>
      <c r="BJ1467">
        <f t="shared" si="727"/>
        <v>0.93</v>
      </c>
      <c r="BK1467" s="3">
        <f t="shared" si="726"/>
        <v>-3.1517051446064863E-2</v>
      </c>
      <c r="BL1467">
        <v>2</v>
      </c>
      <c r="BM1467" s="3">
        <f t="shared" si="719"/>
        <v>1.5658287836104257</v>
      </c>
      <c r="BN1467" t="s">
        <v>33</v>
      </c>
      <c r="BO1467" s="3">
        <f t="shared" si="713"/>
        <v>36.798387096774185</v>
      </c>
      <c r="BP1467" t="s">
        <v>33</v>
      </c>
      <c r="BQ1467" t="s">
        <v>33</v>
      </c>
      <c r="BR1467" t="s">
        <v>33</v>
      </c>
      <c r="BS1467" t="s">
        <v>33</v>
      </c>
      <c r="BT1467" t="s">
        <v>31</v>
      </c>
      <c r="BU1467" s="15" t="s">
        <v>255</v>
      </c>
      <c r="BV1467">
        <v>2010</v>
      </c>
      <c r="BW1467" t="s">
        <v>659</v>
      </c>
      <c r="BX1467" t="s">
        <v>78</v>
      </c>
      <c r="BY1467" s="13" t="s">
        <v>680</v>
      </c>
      <c r="CA1467" t="str">
        <f t="shared" si="715"/>
        <v>high acid</v>
      </c>
    </row>
    <row r="1468" spans="1:79">
      <c r="A1468" t="s">
        <v>487</v>
      </c>
      <c r="B1468" t="s">
        <v>566</v>
      </c>
      <c r="C1468" t="s">
        <v>564</v>
      </c>
      <c r="D1468" t="s">
        <v>321</v>
      </c>
      <c r="E1468" t="s">
        <v>77</v>
      </c>
      <c r="F1468" t="s">
        <v>32</v>
      </c>
      <c r="G1468">
        <v>4</v>
      </c>
      <c r="H1468" t="s">
        <v>33</v>
      </c>
      <c r="I1468" t="b">
        <v>0</v>
      </c>
      <c r="J1468" t="s">
        <v>33</v>
      </c>
      <c r="K1468" t="s">
        <v>33</v>
      </c>
      <c r="L1468">
        <v>10</v>
      </c>
      <c r="M1468" s="4">
        <v>10</v>
      </c>
      <c r="N1468" s="3">
        <f>IFERROR(AF1468/((T1468*X1468/Y1468)*O1468*AI1468),"NA")</f>
        <v>10</v>
      </c>
      <c r="O1468">
        <v>1.5</v>
      </c>
      <c r="P1468" s="3">
        <f>6/(52.5/60)</f>
        <v>6.8571428571428568</v>
      </c>
      <c r="Q1468" s="8">
        <f>IFERROR(X1468/Z1468, "NA")</f>
        <v>6.8571428571428559</v>
      </c>
      <c r="R1468" t="s">
        <v>278</v>
      </c>
      <c r="S1468" t="s">
        <v>613</v>
      </c>
      <c r="T1468" s="11">
        <v>1</v>
      </c>
      <c r="U1468">
        <v>100</v>
      </c>
      <c r="V1468" t="s">
        <v>33</v>
      </c>
      <c r="W1468">
        <v>6</v>
      </c>
      <c r="X1468" s="9">
        <f>W1468</f>
        <v>6</v>
      </c>
      <c r="Y1468" s="6">
        <f>52.5/60</f>
        <v>0.875</v>
      </c>
      <c r="Z1468" s="3">
        <f t="shared" si="729"/>
        <v>0.87500000000000011</v>
      </c>
      <c r="AA1468" t="s">
        <v>33</v>
      </c>
      <c r="AB1468" s="4">
        <f>IFERROR(((X1468*M1468)/Y1468), "NA")</f>
        <v>68.571428571428569</v>
      </c>
      <c r="AC1468" s="4">
        <f t="shared" si="730"/>
        <v>68.571428571428569</v>
      </c>
      <c r="AD1468" s="4">
        <f>AB1468*T1468*AI1468</f>
        <v>1449</v>
      </c>
      <c r="AE1468" s="3">
        <f t="shared" si="725"/>
        <v>1108.4849999999997</v>
      </c>
      <c r="AF1468">
        <f>1449*O1468</f>
        <v>2173.5</v>
      </c>
      <c r="AG1468" s="4">
        <f>IFERROR((M1468*O1468*P1468), "NA")</f>
        <v>102.85714285714285</v>
      </c>
      <c r="AH1468" s="4">
        <f>IFERROR((AG1468*T1468*AI1468), "NA")</f>
        <v>2173.5</v>
      </c>
      <c r="AI1468" s="3">
        <f>AF1468/(AG1468*T1468)</f>
        <v>21.131250000000001</v>
      </c>
      <c r="AJ1468" s="11" t="s">
        <v>32</v>
      </c>
      <c r="AK1468">
        <v>5100</v>
      </c>
      <c r="AL1468" t="s">
        <v>319</v>
      </c>
      <c r="AM1468" t="s">
        <v>86</v>
      </c>
      <c r="AN1468" t="s">
        <v>186</v>
      </c>
      <c r="AO1468" t="s">
        <v>794</v>
      </c>
      <c r="AP1468">
        <v>6.05</v>
      </c>
      <c r="AQ1468" t="s">
        <v>33</v>
      </c>
      <c r="AR1468" t="s">
        <v>33</v>
      </c>
      <c r="AS1468" s="6">
        <f>LOG((10^7+10^8)/2)</f>
        <v>7.7403626894942441</v>
      </c>
      <c r="AT1468" s="3">
        <f>IFERROR(AS1468-AU1468,"NA")</f>
        <v>7.0773626894942439</v>
      </c>
      <c r="AU1468" s="6">
        <v>0.66300000000000003</v>
      </c>
      <c r="AV1468" t="b">
        <v>1</v>
      </c>
      <c r="AW1468" t="s">
        <v>29</v>
      </c>
      <c r="AX1468" t="s">
        <v>30</v>
      </c>
      <c r="AY1468" t="s">
        <v>320</v>
      </c>
      <c r="AZ1468" t="s">
        <v>33</v>
      </c>
      <c r="BA1468" s="18" t="s">
        <v>798</v>
      </c>
      <c r="BB1468" s="3" t="b">
        <v>0</v>
      </c>
      <c r="BC1468" t="s">
        <v>81</v>
      </c>
      <c r="BD1468">
        <v>12</v>
      </c>
      <c r="BE1468" t="s">
        <v>80</v>
      </c>
      <c r="BF1468" t="s">
        <v>33</v>
      </c>
      <c r="BG1468" t="s">
        <v>488</v>
      </c>
      <c r="BH1468" t="s">
        <v>31</v>
      </c>
      <c r="BI1468" t="s">
        <v>31</v>
      </c>
      <c r="BJ1468" s="3">
        <f t="shared" si="727"/>
        <v>0.66300000000000003</v>
      </c>
      <c r="BK1468" s="3">
        <f t="shared" si="726"/>
        <v>-0.17848647159522685</v>
      </c>
      <c r="BL1468">
        <v>2</v>
      </c>
      <c r="BM1468" s="3">
        <f t="shared" si="719"/>
        <v>3.2232162922200192</v>
      </c>
      <c r="BN1468" t="s">
        <v>33</v>
      </c>
      <c r="BO1468" s="3">
        <f t="shared" si="713"/>
        <v>1671.9230769230765</v>
      </c>
      <c r="BP1468" t="s">
        <v>33</v>
      </c>
      <c r="BQ1468" t="s">
        <v>33</v>
      </c>
      <c r="BR1468" t="s">
        <v>33</v>
      </c>
      <c r="BS1468" t="s">
        <v>33</v>
      </c>
      <c r="BT1468" t="s">
        <v>31</v>
      </c>
      <c r="BU1468" t="s">
        <v>318</v>
      </c>
      <c r="BV1468">
        <v>2005</v>
      </c>
      <c r="BW1468" t="s">
        <v>489</v>
      </c>
      <c r="BX1468" t="s">
        <v>78</v>
      </c>
      <c r="BY1468" t="s">
        <v>33</v>
      </c>
      <c r="BZ1468" t="s">
        <v>490</v>
      </c>
      <c r="CA1468" t="str">
        <f t="shared" si="715"/>
        <v>low acid</v>
      </c>
    </row>
    <row r="1469" spans="1:79">
      <c r="A1469" t="s">
        <v>584</v>
      </c>
      <c r="B1469" t="s">
        <v>566</v>
      </c>
      <c r="C1469" t="s">
        <v>563</v>
      </c>
      <c r="D1469" t="s">
        <v>607</v>
      </c>
      <c r="E1469" t="s">
        <v>77</v>
      </c>
      <c r="F1469" t="s">
        <v>33</v>
      </c>
      <c r="G1469">
        <v>20</v>
      </c>
      <c r="H1469">
        <v>35</v>
      </c>
      <c r="I1469" t="b">
        <v>0</v>
      </c>
      <c r="J1469">
        <v>1000</v>
      </c>
      <c r="K1469">
        <v>200</v>
      </c>
      <c r="L1469">
        <v>15</v>
      </c>
      <c r="M1469" s="4">
        <v>1</v>
      </c>
      <c r="N1469" t="e">
        <f>(#REF!*Y1469)/(T1469*X1469*O1469)</f>
        <v>#REF!</v>
      </c>
      <c r="O1469">
        <v>3</v>
      </c>
      <c r="P1469" t="s">
        <v>33</v>
      </c>
      <c r="Q1469" s="1">
        <f>IFERROR(X1469/Z1469, "NA")</f>
        <v>50.000000000000007</v>
      </c>
      <c r="R1469" t="s">
        <v>183</v>
      </c>
      <c r="S1469" t="s">
        <v>33</v>
      </c>
      <c r="T1469">
        <v>1</v>
      </c>
      <c r="U1469">
        <v>2.5</v>
      </c>
      <c r="V1469" t="s">
        <v>33</v>
      </c>
      <c r="W1469">
        <v>0.50249999999999995</v>
      </c>
      <c r="X1469">
        <f>W1469</f>
        <v>0.50249999999999995</v>
      </c>
      <c r="Y1469" t="s">
        <v>33</v>
      </c>
      <c r="Z1469" s="3">
        <f t="shared" si="729"/>
        <v>1.0049999999999998E-2</v>
      </c>
      <c r="AA1469" t="s">
        <v>33</v>
      </c>
      <c r="AB1469">
        <f>IFERROR(((X1469*M1469)/Z1469), "NA")</f>
        <v>50.000000000000007</v>
      </c>
      <c r="AC1469" s="1" t="str">
        <f t="shared" si="730"/>
        <v>NA</v>
      </c>
      <c r="AE1469" s="3">
        <f t="shared" si="725"/>
        <v>33.75</v>
      </c>
      <c r="AF1469">
        <v>150</v>
      </c>
      <c r="AG1469" s="1" t="str">
        <f>IFERROR((N1469*P1469*Q1469), "NA")</f>
        <v>NA</v>
      </c>
      <c r="AH1469" s="1" t="str">
        <f>IFERROR((AG1469*U1469*AI1469), "NA")</f>
        <v>NA</v>
      </c>
      <c r="AI1469" s="1">
        <v>1</v>
      </c>
      <c r="AJ1469" s="11" t="s">
        <v>31</v>
      </c>
      <c r="AK1469">
        <v>1000</v>
      </c>
      <c r="AL1469" t="s">
        <v>614</v>
      </c>
      <c r="AM1469" s="3" t="s">
        <v>103</v>
      </c>
      <c r="AN1469" t="s">
        <v>305</v>
      </c>
      <c r="AO1469" t="s">
        <v>790</v>
      </c>
      <c r="AP1469">
        <v>3.5</v>
      </c>
      <c r="AQ1469" t="s">
        <v>33</v>
      </c>
      <c r="AR1469" t="s">
        <v>33</v>
      </c>
      <c r="AS1469">
        <v>8</v>
      </c>
      <c r="AT1469">
        <f>AS1469-AU1469</f>
        <v>7.08</v>
      </c>
      <c r="AU1469" s="6">
        <v>0.92</v>
      </c>
      <c r="AV1469" t="b">
        <v>1</v>
      </c>
      <c r="AW1469" t="s">
        <v>617</v>
      </c>
      <c r="AX1469" t="s">
        <v>33</v>
      </c>
      <c r="AY1469" t="s">
        <v>623</v>
      </c>
      <c r="AZ1469" t="s">
        <v>621</v>
      </c>
      <c r="BA1469" s="18" t="s">
        <v>802</v>
      </c>
      <c r="BB1469" s="3" t="b">
        <v>0</v>
      </c>
      <c r="BC1469" t="s">
        <v>81</v>
      </c>
      <c r="BD1469">
        <v>18</v>
      </c>
      <c r="BE1469" t="s">
        <v>80</v>
      </c>
      <c r="BF1469">
        <v>24</v>
      </c>
      <c r="BG1469" t="s">
        <v>569</v>
      </c>
      <c r="BH1469" t="s">
        <v>31</v>
      </c>
      <c r="BI1469" t="s">
        <v>31</v>
      </c>
      <c r="BJ1469">
        <f t="shared" si="727"/>
        <v>0.92</v>
      </c>
      <c r="BK1469" s="3">
        <f t="shared" si="726"/>
        <v>-3.6212172654444715E-2</v>
      </c>
      <c r="BL1469">
        <v>2</v>
      </c>
      <c r="BM1469" s="3">
        <f t="shared" si="719"/>
        <v>1.5644859498214885</v>
      </c>
      <c r="BN1469" t="s">
        <v>33</v>
      </c>
      <c r="BO1469" s="3">
        <f t="shared" si="713"/>
        <v>36.684782608695649</v>
      </c>
      <c r="BP1469" t="s">
        <v>33</v>
      </c>
      <c r="BQ1469" t="s">
        <v>33</v>
      </c>
      <c r="BR1469" t="s">
        <v>33</v>
      </c>
      <c r="BS1469" t="s">
        <v>33</v>
      </c>
      <c r="BT1469" t="s">
        <v>31</v>
      </c>
      <c r="BU1469" t="s">
        <v>255</v>
      </c>
      <c r="BV1469">
        <v>2010</v>
      </c>
      <c r="BW1469" t="s">
        <v>651</v>
      </c>
      <c r="BX1469" t="s">
        <v>78</v>
      </c>
      <c r="BY1469" s="13" t="s">
        <v>674</v>
      </c>
      <c r="CA1469" t="str">
        <f t="shared" si="715"/>
        <v>high acid</v>
      </c>
    </row>
    <row r="1470" spans="1:79">
      <c r="A1470" t="s">
        <v>597</v>
      </c>
      <c r="B1470" t="s">
        <v>565</v>
      </c>
      <c r="C1470" t="s">
        <v>563</v>
      </c>
      <c r="D1470" t="s">
        <v>33</v>
      </c>
      <c r="E1470" t="s">
        <v>77</v>
      </c>
      <c r="F1470" t="s">
        <v>33</v>
      </c>
      <c r="G1470">
        <v>20</v>
      </c>
      <c r="H1470">
        <v>35</v>
      </c>
      <c r="I1470" t="b">
        <v>0</v>
      </c>
      <c r="J1470" t="s">
        <v>33</v>
      </c>
      <c r="K1470" t="s">
        <v>33</v>
      </c>
      <c r="L1470">
        <v>22</v>
      </c>
      <c r="M1470" s="4">
        <v>2</v>
      </c>
      <c r="N1470" t="e">
        <f>(#REF!*Y1470)/(T1470*X1470*O1470)</f>
        <v>#REF!</v>
      </c>
      <c r="O1470">
        <v>2</v>
      </c>
      <c r="P1470" t="s">
        <v>33</v>
      </c>
      <c r="Q1470" s="1">
        <f>IFERROR(X1470/Z1470, "NA")</f>
        <v>26.267499999999995</v>
      </c>
      <c r="R1470" t="s">
        <v>183</v>
      </c>
      <c r="S1470" t="s">
        <v>33</v>
      </c>
      <c r="T1470">
        <v>1</v>
      </c>
      <c r="U1470">
        <v>2.5</v>
      </c>
      <c r="V1470" t="s">
        <v>33</v>
      </c>
      <c r="W1470">
        <v>0.50249999999999995</v>
      </c>
      <c r="X1470">
        <f>W1470</f>
        <v>0.50249999999999995</v>
      </c>
      <c r="Y1470" t="s">
        <v>33</v>
      </c>
      <c r="Z1470" s="3">
        <f t="shared" si="729"/>
        <v>1.9130103740363568E-2</v>
      </c>
      <c r="AA1470" t="s">
        <v>33</v>
      </c>
      <c r="AB1470">
        <f>IFERROR(((X1470*M1470)/Z1470), "NA")</f>
        <v>52.534999999999989</v>
      </c>
      <c r="AC1470" s="1" t="str">
        <f t="shared" si="730"/>
        <v>NA</v>
      </c>
      <c r="AE1470" s="3">
        <f t="shared" si="725"/>
        <v>101.70775999999998</v>
      </c>
      <c r="AF1470">
        <v>105.07</v>
      </c>
      <c r="AG1470" s="1" t="str">
        <f>IFERROR((N1470*P1470*Q1470), "NA")</f>
        <v>NA</v>
      </c>
      <c r="AH1470" s="1" t="str">
        <f>IFERROR((AG1470*U1470*AI1470), "NA")</f>
        <v>NA</v>
      </c>
      <c r="AI1470" s="1">
        <v>1</v>
      </c>
      <c r="AJ1470" s="11" t="s">
        <v>31</v>
      </c>
      <c r="AK1470">
        <v>2000</v>
      </c>
      <c r="AL1470" t="s">
        <v>784</v>
      </c>
      <c r="AM1470" s="3" t="s">
        <v>103</v>
      </c>
      <c r="AN1470" t="s">
        <v>130</v>
      </c>
      <c r="AO1470" t="s">
        <v>795</v>
      </c>
      <c r="AP1470">
        <v>7</v>
      </c>
      <c r="AQ1470" t="s">
        <v>33</v>
      </c>
      <c r="AR1470" t="s">
        <v>33</v>
      </c>
      <c r="AS1470">
        <v>9</v>
      </c>
      <c r="AT1470">
        <f>AS1470-AU1470</f>
        <v>7.08</v>
      </c>
      <c r="AU1470" s="6">
        <v>1.92</v>
      </c>
      <c r="AV1470" t="b">
        <v>1</v>
      </c>
      <c r="AW1470" t="s">
        <v>617</v>
      </c>
      <c r="AX1470" t="s">
        <v>635</v>
      </c>
      <c r="AY1470" t="s">
        <v>636</v>
      </c>
      <c r="AZ1470" t="s">
        <v>33</v>
      </c>
      <c r="BA1470" s="18" t="s">
        <v>802</v>
      </c>
      <c r="BB1470" s="3" t="b">
        <v>0</v>
      </c>
      <c r="BC1470" t="s">
        <v>81</v>
      </c>
      <c r="BD1470">
        <v>24</v>
      </c>
      <c r="BE1470" t="s">
        <v>80</v>
      </c>
      <c r="BF1470">
        <v>24</v>
      </c>
      <c r="BG1470" t="s">
        <v>644</v>
      </c>
      <c r="BH1470" t="s">
        <v>31</v>
      </c>
      <c r="BI1470" t="s">
        <v>31</v>
      </c>
      <c r="BJ1470">
        <f t="shared" si="727"/>
        <v>1.92</v>
      </c>
      <c r="BK1470" s="3">
        <f t="shared" si="726"/>
        <v>0.28330122870354957</v>
      </c>
      <c r="BL1470">
        <v>2</v>
      </c>
      <c r="BM1470" s="3">
        <f t="shared" si="719"/>
        <v>1.7240528608623713</v>
      </c>
      <c r="BN1470" t="s">
        <v>33</v>
      </c>
      <c r="BO1470" s="3">
        <f t="shared" si="713"/>
        <v>52.972791666666659</v>
      </c>
      <c r="BP1470" t="s">
        <v>33</v>
      </c>
      <c r="BQ1470" t="s">
        <v>33</v>
      </c>
      <c r="BR1470" t="s">
        <v>33</v>
      </c>
      <c r="BS1470" t="s">
        <v>33</v>
      </c>
      <c r="BT1470" t="s">
        <v>31</v>
      </c>
      <c r="BU1470" t="s">
        <v>664</v>
      </c>
      <c r="BV1470">
        <v>2000</v>
      </c>
      <c r="BW1470" t="s">
        <v>665</v>
      </c>
      <c r="BX1470" t="s">
        <v>78</v>
      </c>
      <c r="BY1470" s="13" t="s">
        <v>685</v>
      </c>
      <c r="CA1470" t="str">
        <f t="shared" si="715"/>
        <v>low acid</v>
      </c>
    </row>
    <row r="1471" spans="1:79">
      <c r="A1471" t="s">
        <v>712</v>
      </c>
      <c r="B1471" t="s">
        <v>566</v>
      </c>
      <c r="C1471" t="s">
        <v>563</v>
      </c>
      <c r="D1471" t="s">
        <v>699</v>
      </c>
      <c r="E1471" t="s">
        <v>77</v>
      </c>
      <c r="F1471" t="s">
        <v>32</v>
      </c>
      <c r="G1471">
        <v>20</v>
      </c>
      <c r="H1471">
        <v>64</v>
      </c>
      <c r="I1471" t="b">
        <v>1</v>
      </c>
      <c r="J1471" t="s">
        <v>33</v>
      </c>
      <c r="K1471" t="s">
        <v>33</v>
      </c>
      <c r="L1471">
        <v>20</v>
      </c>
      <c r="M1471" s="4">
        <v>64</v>
      </c>
      <c r="N1471" s="3">
        <f>IFERROR(AF1471/((T1471*X1471/Y1471)*O1471*AI1471),"NA")</f>
        <v>63.657407407407391</v>
      </c>
      <c r="O1471">
        <v>5</v>
      </c>
      <c r="P1471">
        <v>0.43</v>
      </c>
      <c r="Q1471" s="8">
        <f>IFERROR(X1471/Y1471, "NA")</f>
        <v>0.43200000000000011</v>
      </c>
      <c r="R1471" t="s">
        <v>183</v>
      </c>
      <c r="S1471" t="s">
        <v>612</v>
      </c>
      <c r="T1471" s="11">
        <v>1</v>
      </c>
      <c r="U1471">
        <v>4</v>
      </c>
      <c r="V1471" t="s">
        <v>33</v>
      </c>
      <c r="W1471">
        <f>0.4*3*0.5</f>
        <v>0.60000000000000009</v>
      </c>
      <c r="X1471" s="9">
        <f>W1471</f>
        <v>0.60000000000000009</v>
      </c>
      <c r="Y1471" s="6">
        <f>5000/3600</f>
        <v>1.3888888888888888</v>
      </c>
      <c r="Z1471" s="3">
        <f t="shared" si="729"/>
        <v>1.3963636363636365</v>
      </c>
      <c r="AA1471" t="s">
        <v>33</v>
      </c>
      <c r="AB1471" s="4">
        <f>IFERROR(((X1471*M1471)/Y1471), "NA")</f>
        <v>27.648000000000007</v>
      </c>
      <c r="AC1471" s="4">
        <f t="shared" si="730"/>
        <v>27.52</v>
      </c>
      <c r="AD1471" s="4">
        <f>AB1471*T1471*AI1471</f>
        <v>27.648000000000007</v>
      </c>
      <c r="AE1471" s="3">
        <f t="shared" si="725"/>
        <v>110.59200000000003</v>
      </c>
      <c r="AF1471">
        <v>137.5</v>
      </c>
      <c r="AG1471" s="4">
        <f>IFERROR((M1471*O1471*P1471), "NA")</f>
        <v>137.6</v>
      </c>
      <c r="AH1471" s="4">
        <f>IFERROR((AG1471*T1471*AI1471), "NA")</f>
        <v>137.6</v>
      </c>
      <c r="AI1471">
        <v>1</v>
      </c>
      <c r="AJ1471" s="11" t="s">
        <v>31</v>
      </c>
      <c r="AK1471">
        <v>2000</v>
      </c>
      <c r="AL1471" t="s">
        <v>784</v>
      </c>
      <c r="AM1471" t="s">
        <v>103</v>
      </c>
      <c r="AN1471" t="s">
        <v>130</v>
      </c>
      <c r="AO1471" t="s">
        <v>795</v>
      </c>
      <c r="AP1471">
        <v>7</v>
      </c>
      <c r="AQ1471" t="s">
        <v>33</v>
      </c>
      <c r="AR1471" t="s">
        <v>33</v>
      </c>
      <c r="AS1471" s="6">
        <f>LOG(AVERAGE(10^8, 10^9))</f>
        <v>8.7403626894942441</v>
      </c>
      <c r="AT1471" s="3">
        <f>IFERROR(AS1471-AU1471,"NA")</f>
        <v>7.0853626894942439</v>
      </c>
      <c r="AU1471" s="6">
        <v>1.655</v>
      </c>
      <c r="AV1471" t="b">
        <v>1</v>
      </c>
      <c r="AW1471" t="s">
        <v>92</v>
      </c>
      <c r="AX1471" t="s">
        <v>93</v>
      </c>
      <c r="AY1471" t="s">
        <v>719</v>
      </c>
      <c r="AZ1471" t="s">
        <v>33</v>
      </c>
      <c r="BA1471" s="18" t="s">
        <v>801</v>
      </c>
      <c r="BB1471" s="3" t="b">
        <v>0</v>
      </c>
      <c r="BC1471" t="s">
        <v>81</v>
      </c>
      <c r="BD1471">
        <v>24</v>
      </c>
      <c r="BE1471" t="s">
        <v>80</v>
      </c>
      <c r="BF1471">
        <v>24</v>
      </c>
      <c r="BG1471" t="s">
        <v>568</v>
      </c>
      <c r="BH1471" t="s">
        <v>31</v>
      </c>
      <c r="BI1471" t="s">
        <v>31</v>
      </c>
      <c r="BJ1471" s="3">
        <f t="shared" si="727"/>
        <v>1.655</v>
      </c>
      <c r="BK1471" s="3">
        <f t="shared" si="726"/>
        <v>0.21879799811173756</v>
      </c>
      <c r="BL1471">
        <v>2</v>
      </c>
      <c r="BM1471" s="3">
        <f t="shared" si="719"/>
        <v>1.8249257140150241</v>
      </c>
      <c r="BN1471" t="s">
        <v>33</v>
      </c>
      <c r="BO1471" s="3">
        <f t="shared" si="713"/>
        <v>66.822960725075546</v>
      </c>
      <c r="BP1471" t="s">
        <v>33</v>
      </c>
      <c r="BQ1471" t="s">
        <v>33</v>
      </c>
      <c r="BR1471" t="s">
        <v>33</v>
      </c>
      <c r="BS1471" t="s">
        <v>33</v>
      </c>
      <c r="BT1471" t="s">
        <v>32</v>
      </c>
      <c r="BU1471" t="s">
        <v>709</v>
      </c>
      <c r="BV1471">
        <v>2024</v>
      </c>
      <c r="BW1471" t="s">
        <v>710</v>
      </c>
      <c r="BX1471" t="s">
        <v>78</v>
      </c>
      <c r="BY1471" t="s">
        <v>711</v>
      </c>
      <c r="CA1471" t="str">
        <f t="shared" si="715"/>
        <v>low acid</v>
      </c>
    </row>
    <row r="1472" spans="1:79">
      <c r="A1472" t="s">
        <v>383</v>
      </c>
      <c r="B1472" t="s">
        <v>565</v>
      </c>
      <c r="C1472" t="s">
        <v>563</v>
      </c>
      <c r="D1472" t="s">
        <v>378</v>
      </c>
      <c r="E1472" t="s">
        <v>77</v>
      </c>
      <c r="F1472" t="s">
        <v>32</v>
      </c>
      <c r="G1472">
        <v>30</v>
      </c>
      <c r="H1472">
        <v>32</v>
      </c>
      <c r="I1472" t="b">
        <v>1</v>
      </c>
      <c r="J1472">
        <v>4063</v>
      </c>
      <c r="K1472">
        <v>11.3</v>
      </c>
      <c r="L1472">
        <v>15</v>
      </c>
      <c r="M1472" s="4">
        <v>250</v>
      </c>
      <c r="N1472" s="3">
        <f>IFERROR(AF1472/((T1472*X1472/Y1472)*O1472*AI1472),"NA")</f>
        <v>251.11113243387931</v>
      </c>
      <c r="O1472">
        <v>2</v>
      </c>
      <c r="P1472" t="s">
        <v>33</v>
      </c>
      <c r="Q1472" s="8">
        <f>IFERROR(X1472/Z1472, "NA")</f>
        <v>1.4200000000000001E-2</v>
      </c>
      <c r="R1472" t="s">
        <v>183</v>
      </c>
      <c r="S1472" t="s">
        <v>612</v>
      </c>
      <c r="T1472" s="11">
        <v>6</v>
      </c>
      <c r="U1472">
        <v>2.7</v>
      </c>
      <c r="V1472">
        <v>2</v>
      </c>
      <c r="W1472">
        <v>8.5000000000000006E-3</v>
      </c>
      <c r="X1472" s="8">
        <f>IFERROR(((PI())*(((V1472*10^-1)/2)^2)*(U1472*10^-1)), "NA")</f>
        <v>8.4823001646924419E-3</v>
      </c>
      <c r="Y1472" s="4">
        <f>36/60</f>
        <v>0.6</v>
      </c>
      <c r="Z1472" s="3">
        <f t="shared" si="729"/>
        <v>0.59734508202059444</v>
      </c>
      <c r="AA1472">
        <f>21.3/6</f>
        <v>3.5500000000000003</v>
      </c>
      <c r="AB1472" s="6">
        <f>IFERROR(((X1472*M1472)/Z1472), "NA")</f>
        <v>3.5500000000000003</v>
      </c>
      <c r="AC1472" t="str">
        <f t="shared" si="730"/>
        <v>NA</v>
      </c>
      <c r="AD1472" s="4">
        <f>IFERROR(AB1472*T1472*AI1472, "NA")</f>
        <v>21.3</v>
      </c>
      <c r="AE1472" s="3">
        <f t="shared" si="725"/>
        <v>38.340000000000003</v>
      </c>
      <c r="AF1472">
        <f>AA1472*O1472*T1472*AI1472</f>
        <v>42.6</v>
      </c>
      <c r="AG1472" t="str">
        <f>IFERROR((M1472*O1472*P1472), "NA")</f>
        <v>NA</v>
      </c>
      <c r="AH1472" t="str">
        <f>IFERROR((AG1472*T1472*AI1472), "NA")</f>
        <v>NA</v>
      </c>
      <c r="AI1472" s="1">
        <v>1</v>
      </c>
      <c r="AJ1472" t="s">
        <v>31</v>
      </c>
      <c r="AK1472">
        <v>4000</v>
      </c>
      <c r="AL1472" t="s">
        <v>545</v>
      </c>
      <c r="AM1472" t="s">
        <v>103</v>
      </c>
      <c r="AN1472" t="s">
        <v>130</v>
      </c>
      <c r="AO1472" t="s">
        <v>795</v>
      </c>
      <c r="AP1472">
        <v>7</v>
      </c>
      <c r="AQ1472" t="s">
        <v>33</v>
      </c>
      <c r="AR1472" t="s">
        <v>33</v>
      </c>
      <c r="AS1472" s="6">
        <f>LOG(10^8)</f>
        <v>8</v>
      </c>
      <c r="AT1472" s="3">
        <f>IFERROR(AS1472-AU1472,"NA")</f>
        <v>7.0860000000000003</v>
      </c>
      <c r="AU1472" s="6">
        <v>0.91400000000000003</v>
      </c>
      <c r="AV1472" t="b">
        <v>1</v>
      </c>
      <c r="AW1472" t="s">
        <v>29</v>
      </c>
      <c r="AX1472" t="s">
        <v>30</v>
      </c>
      <c r="AY1472" t="s">
        <v>226</v>
      </c>
      <c r="AZ1472" t="s">
        <v>33</v>
      </c>
      <c r="BA1472" s="18" t="s">
        <v>798</v>
      </c>
      <c r="BB1472" t="b">
        <v>0</v>
      </c>
      <c r="BC1472" t="s">
        <v>81</v>
      </c>
      <c r="BD1472">
        <v>14</v>
      </c>
      <c r="BE1472" t="s">
        <v>80</v>
      </c>
      <c r="BF1472" s="11">
        <v>48</v>
      </c>
      <c r="BG1472" t="s">
        <v>139</v>
      </c>
      <c r="BH1472" t="s">
        <v>31</v>
      </c>
      <c r="BI1472" t="s">
        <v>31</v>
      </c>
      <c r="BJ1472" s="3">
        <f t="shared" si="727"/>
        <v>0.91400000000000003</v>
      </c>
      <c r="BK1472" s="3">
        <f t="shared" si="726"/>
        <v>-3.9053804266168564E-2</v>
      </c>
      <c r="BL1472">
        <v>2</v>
      </c>
      <c r="BM1472" s="3">
        <f t="shared" si="719"/>
        <v>1.6227059128082124</v>
      </c>
      <c r="BN1472" t="s">
        <v>33</v>
      </c>
      <c r="BO1472" s="3">
        <f t="shared" si="713"/>
        <v>41.947483588621445</v>
      </c>
      <c r="BP1472" t="s">
        <v>33</v>
      </c>
      <c r="BQ1472" t="s">
        <v>33</v>
      </c>
      <c r="BR1472" t="s">
        <v>33</v>
      </c>
      <c r="BS1472" t="s">
        <v>33</v>
      </c>
      <c r="BT1472" t="s">
        <v>31</v>
      </c>
      <c r="BU1472" t="s">
        <v>227</v>
      </c>
      <c r="BV1472">
        <v>2004</v>
      </c>
      <c r="BW1472" t="s">
        <v>381</v>
      </c>
      <c r="BX1472" t="s">
        <v>78</v>
      </c>
      <c r="BY1472" t="s">
        <v>33</v>
      </c>
      <c r="BZ1472" t="s">
        <v>33</v>
      </c>
      <c r="CA1472" t="str">
        <f t="shared" si="715"/>
        <v>low acid</v>
      </c>
    </row>
    <row r="1473" spans="1:79">
      <c r="A1473" t="s">
        <v>343</v>
      </c>
      <c r="B1473" t="s">
        <v>566</v>
      </c>
      <c r="C1473" t="s">
        <v>563</v>
      </c>
      <c r="D1473" t="s">
        <v>33</v>
      </c>
      <c r="E1473" t="s">
        <v>77</v>
      </c>
      <c r="F1473" t="s">
        <v>32</v>
      </c>
      <c r="G1473">
        <v>10</v>
      </c>
      <c r="H1473">
        <v>13</v>
      </c>
      <c r="I1473" t="b">
        <v>0</v>
      </c>
      <c r="J1473" t="s">
        <v>33</v>
      </c>
      <c r="K1473" t="s">
        <v>33</v>
      </c>
      <c r="L1473">
        <v>20</v>
      </c>
      <c r="M1473" s="4">
        <v>2</v>
      </c>
      <c r="N1473" s="3">
        <f>IFERROR(AF1473/((T1473*X1473/Y1473)*O1473*AI1473),"NA")</f>
        <v>2.1126760563380285</v>
      </c>
      <c r="O1473">
        <v>2</v>
      </c>
      <c r="P1473" t="s">
        <v>33</v>
      </c>
      <c r="Q1473" s="8">
        <f>IFERROR(X1473/Z1473, "NA")</f>
        <v>7.5</v>
      </c>
      <c r="R1473" t="s">
        <v>183</v>
      </c>
      <c r="S1473" t="s">
        <v>613</v>
      </c>
      <c r="T1473" s="11">
        <v>1</v>
      </c>
      <c r="U1473">
        <v>5</v>
      </c>
      <c r="V1473" t="s">
        <v>33</v>
      </c>
      <c r="W1473">
        <v>0.71</v>
      </c>
      <c r="X1473" s="8">
        <f>W1473</f>
        <v>0.71</v>
      </c>
      <c r="Y1473">
        <f>6/60</f>
        <v>0.1</v>
      </c>
      <c r="Z1473" s="3">
        <f t="shared" si="729"/>
        <v>9.4666666666666663E-2</v>
      </c>
      <c r="AA1473">
        <v>15</v>
      </c>
      <c r="AB1473" s="6">
        <f>IFERROR(((X1473*M1473)/Z1473), "NA")</f>
        <v>15</v>
      </c>
      <c r="AC1473" t="str">
        <f t="shared" si="730"/>
        <v>NA</v>
      </c>
      <c r="AD1473" s="4">
        <f>AB1473*T1473*AI1473</f>
        <v>60</v>
      </c>
      <c r="AE1473" s="3">
        <f t="shared" si="725"/>
        <v>225.6</v>
      </c>
      <c r="AF1473">
        <v>120</v>
      </c>
      <c r="AG1473" t="str">
        <f>IFERROR((M1473*O1473*P1473), "NA")</f>
        <v>NA</v>
      </c>
      <c r="AH1473" t="str">
        <f>IFERROR((AG1473*T1473*AI1473), "NA")</f>
        <v>NA</v>
      </c>
      <c r="AI1473">
        <v>4</v>
      </c>
      <c r="AJ1473" s="11" t="s">
        <v>32</v>
      </c>
      <c r="AK1473">
        <v>4700</v>
      </c>
      <c r="AL1473" t="s">
        <v>562</v>
      </c>
      <c r="AM1473" s="3" t="s">
        <v>786</v>
      </c>
      <c r="AN1473" t="s">
        <v>186</v>
      </c>
      <c r="AO1473" t="s">
        <v>793</v>
      </c>
      <c r="AP1473" t="s">
        <v>33</v>
      </c>
      <c r="AQ1473" t="s">
        <v>33</v>
      </c>
      <c r="AR1473" t="s">
        <v>33</v>
      </c>
      <c r="AS1473" s="6">
        <f>LOG(10^8)</f>
        <v>8</v>
      </c>
      <c r="AT1473" s="3">
        <f>IFERROR(AS1473-AU1473,"NA")</f>
        <v>7.0869999999999997</v>
      </c>
      <c r="AU1473" s="6">
        <v>0.91300000000000003</v>
      </c>
      <c r="AV1473" t="b">
        <v>1</v>
      </c>
      <c r="AW1473" t="s">
        <v>29</v>
      </c>
      <c r="AX1473" t="s">
        <v>30</v>
      </c>
      <c r="AY1473" t="s">
        <v>33</v>
      </c>
      <c r="AZ1473" t="s">
        <v>134</v>
      </c>
      <c r="BA1473" s="18" t="s">
        <v>798</v>
      </c>
      <c r="BB1473" t="b">
        <v>0</v>
      </c>
      <c r="BC1473" t="s">
        <v>81</v>
      </c>
      <c r="BD1473">
        <v>18</v>
      </c>
      <c r="BE1473" t="s">
        <v>80</v>
      </c>
      <c r="BF1473" s="11">
        <v>21</v>
      </c>
      <c r="BG1473" t="s">
        <v>694</v>
      </c>
      <c r="BH1473" t="s">
        <v>31</v>
      </c>
      <c r="BI1473" t="s">
        <v>31</v>
      </c>
      <c r="BJ1473" s="3">
        <f t="shared" si="727"/>
        <v>0.91300000000000003</v>
      </c>
      <c r="BK1473" s="3">
        <f t="shared" si="726"/>
        <v>-3.9529222465701036E-2</v>
      </c>
      <c r="BL1473">
        <v>2</v>
      </c>
      <c r="BM1473" s="3">
        <f t="shared" si="719"/>
        <v>2.3928683177770056</v>
      </c>
      <c r="BN1473" t="s">
        <v>33</v>
      </c>
      <c r="BO1473" s="3">
        <f t="shared" si="713"/>
        <v>247.09748083242059</v>
      </c>
      <c r="BP1473" t="s">
        <v>33</v>
      </c>
      <c r="BQ1473" t="s">
        <v>33</v>
      </c>
      <c r="BR1473" t="s">
        <v>33</v>
      </c>
      <c r="BS1473" t="s">
        <v>33</v>
      </c>
      <c r="BT1473" t="s">
        <v>31</v>
      </c>
      <c r="BU1473" t="s">
        <v>338</v>
      </c>
      <c r="BV1473">
        <v>2005</v>
      </c>
      <c r="BW1473" s="2" t="s">
        <v>342</v>
      </c>
      <c r="BX1473" t="s">
        <v>78</v>
      </c>
      <c r="BY1473" t="s">
        <v>340</v>
      </c>
      <c r="BZ1473" t="s">
        <v>33</v>
      </c>
      <c r="CA1473" t="str">
        <f t="shared" si="715"/>
        <v>low acid</v>
      </c>
    </row>
    <row r="1474" spans="1:79">
      <c r="A1474" t="s">
        <v>584</v>
      </c>
      <c r="B1474" t="s">
        <v>566</v>
      </c>
      <c r="C1474" t="s">
        <v>563</v>
      </c>
      <c r="D1474" t="s">
        <v>607</v>
      </c>
      <c r="E1474" t="s">
        <v>77</v>
      </c>
      <c r="F1474" t="s">
        <v>33</v>
      </c>
      <c r="G1474">
        <v>20</v>
      </c>
      <c r="H1474">
        <v>35</v>
      </c>
      <c r="I1474" t="b">
        <v>0</v>
      </c>
      <c r="J1474">
        <v>1000</v>
      </c>
      <c r="K1474">
        <v>200</v>
      </c>
      <c r="L1474">
        <v>15</v>
      </c>
      <c r="M1474" s="4">
        <v>1</v>
      </c>
      <c r="N1474" t="e">
        <f>(#REF!*Y1474)/(T1474*X1474*O1474)</f>
        <v>#REF!</v>
      </c>
      <c r="O1474">
        <v>3</v>
      </c>
      <c r="P1474" t="s">
        <v>33</v>
      </c>
      <c r="Q1474" s="1">
        <f>IFERROR(X1474/Z1474, "NA")</f>
        <v>100.00000000000001</v>
      </c>
      <c r="R1474" t="s">
        <v>183</v>
      </c>
      <c r="S1474" t="s">
        <v>33</v>
      </c>
      <c r="T1474">
        <v>1</v>
      </c>
      <c r="U1474">
        <v>2.5</v>
      </c>
      <c r="V1474" t="s">
        <v>33</v>
      </c>
      <c r="W1474">
        <v>0.50249999999999995</v>
      </c>
      <c r="X1474">
        <f>W1474</f>
        <v>0.50249999999999995</v>
      </c>
      <c r="Y1474" t="s">
        <v>33</v>
      </c>
      <c r="Z1474" s="3">
        <f t="shared" si="729"/>
        <v>5.0249999999999991E-3</v>
      </c>
      <c r="AA1474" t="s">
        <v>33</v>
      </c>
      <c r="AB1474">
        <f>IFERROR(((X1474*M1474)/Z1474), "NA")</f>
        <v>100.00000000000001</v>
      </c>
      <c r="AC1474" s="1" t="str">
        <f t="shared" si="730"/>
        <v>NA</v>
      </c>
      <c r="AE1474" s="3">
        <f t="shared" si="725"/>
        <v>67.5</v>
      </c>
      <c r="AF1474">
        <v>300</v>
      </c>
      <c r="AG1474" s="1" t="str">
        <f>IFERROR((N1474*P1474*Q1474), "NA")</f>
        <v>NA</v>
      </c>
      <c r="AH1474" s="1" t="str">
        <f>IFERROR((AG1474*U1474*AI1474), "NA")</f>
        <v>NA</v>
      </c>
      <c r="AI1474" s="1">
        <v>1</v>
      </c>
      <c r="AJ1474" s="11" t="s">
        <v>31</v>
      </c>
      <c r="AK1474">
        <v>1000</v>
      </c>
      <c r="AL1474" t="s">
        <v>614</v>
      </c>
      <c r="AM1474" s="3" t="s">
        <v>103</v>
      </c>
      <c r="AN1474" t="s">
        <v>305</v>
      </c>
      <c r="AO1474" t="s">
        <v>790</v>
      </c>
      <c r="AP1474">
        <v>3.5</v>
      </c>
      <c r="AQ1474" t="s">
        <v>33</v>
      </c>
      <c r="AR1474" t="s">
        <v>33</v>
      </c>
      <c r="AS1474">
        <v>8</v>
      </c>
      <c r="AT1474">
        <f>AS1474-AU1474</f>
        <v>7.09</v>
      </c>
      <c r="AU1474" s="6">
        <v>0.91</v>
      </c>
      <c r="AV1474" t="b">
        <v>1</v>
      </c>
      <c r="AW1474" t="s">
        <v>617</v>
      </c>
      <c r="AX1474" t="s">
        <v>33</v>
      </c>
      <c r="AY1474" t="s">
        <v>623</v>
      </c>
      <c r="AZ1474" t="s">
        <v>621</v>
      </c>
      <c r="BA1474" s="18" t="s">
        <v>802</v>
      </c>
      <c r="BB1474" s="3" t="b">
        <v>0</v>
      </c>
      <c r="BC1474" t="s">
        <v>81</v>
      </c>
      <c r="BD1474">
        <v>18</v>
      </c>
      <c r="BE1474" t="s">
        <v>80</v>
      </c>
      <c r="BF1474">
        <v>24</v>
      </c>
      <c r="BG1474" t="s">
        <v>569</v>
      </c>
      <c r="BH1474" t="s">
        <v>31</v>
      </c>
      <c r="BI1474" t="s">
        <v>31</v>
      </c>
      <c r="BJ1474">
        <f t="shared" si="727"/>
        <v>0.91</v>
      </c>
      <c r="BK1474" s="3">
        <f t="shared" si="726"/>
        <v>-4.0958607678906384E-2</v>
      </c>
      <c r="BL1474">
        <v>2</v>
      </c>
      <c r="BM1474" s="3">
        <f t="shared" si="719"/>
        <v>1.8702623805099312</v>
      </c>
      <c r="BN1474" t="s">
        <v>33</v>
      </c>
      <c r="BO1474" s="3">
        <f t="shared" ref="BO1474:BO1537" si="731">IFERROR((AE1474/BJ1474),"NA")</f>
        <v>74.175824175824175</v>
      </c>
      <c r="BP1474" t="s">
        <v>33</v>
      </c>
      <c r="BQ1474" t="s">
        <v>33</v>
      </c>
      <c r="BR1474" t="s">
        <v>33</v>
      </c>
      <c r="BS1474" t="s">
        <v>33</v>
      </c>
      <c r="BT1474" t="s">
        <v>31</v>
      </c>
      <c r="BU1474" t="s">
        <v>255</v>
      </c>
      <c r="BV1474">
        <v>2010</v>
      </c>
      <c r="BW1474" t="s">
        <v>651</v>
      </c>
      <c r="BX1474" t="s">
        <v>78</v>
      </c>
      <c r="BY1474" s="13" t="s">
        <v>674</v>
      </c>
      <c r="CA1474" t="str">
        <f t="shared" si="715"/>
        <v>high acid</v>
      </c>
    </row>
    <row r="1475" spans="1:79">
      <c r="A1475" t="s">
        <v>733</v>
      </c>
      <c r="B1475" t="s">
        <v>566</v>
      </c>
      <c r="C1475" t="s">
        <v>563</v>
      </c>
      <c r="D1475" t="s">
        <v>699</v>
      </c>
      <c r="E1475" t="s">
        <v>77</v>
      </c>
      <c r="F1475" t="s">
        <v>32</v>
      </c>
      <c r="G1475">
        <v>20</v>
      </c>
      <c r="H1475">
        <v>42.5</v>
      </c>
      <c r="I1475" t="b">
        <v>1</v>
      </c>
      <c r="J1475" t="s">
        <v>33</v>
      </c>
      <c r="K1475" t="s">
        <v>33</v>
      </c>
      <c r="L1475">
        <v>20</v>
      </c>
      <c r="M1475" s="4">
        <v>47</v>
      </c>
      <c r="N1475" s="3">
        <f>IFERROR(AF1475/((T1475*X1475/Y1475)*O1475*AI1475),"NA")</f>
        <v>46.759259259259245</v>
      </c>
      <c r="O1475">
        <v>5</v>
      </c>
      <c r="P1475">
        <v>0.43</v>
      </c>
      <c r="Q1475" s="8">
        <f>IFERROR(X1475/Y1475, "NA")</f>
        <v>0.43200000000000011</v>
      </c>
      <c r="R1475" t="s">
        <v>183</v>
      </c>
      <c r="S1475" t="s">
        <v>612</v>
      </c>
      <c r="T1475" s="11">
        <v>1</v>
      </c>
      <c r="U1475">
        <v>4</v>
      </c>
      <c r="V1475" t="s">
        <v>33</v>
      </c>
      <c r="W1475">
        <f>0.4*3*0.5</f>
        <v>0.60000000000000009</v>
      </c>
      <c r="X1475" s="9">
        <f>W1475</f>
        <v>0.60000000000000009</v>
      </c>
      <c r="Y1475" s="6">
        <f>5000/3600</f>
        <v>1.3888888888888888</v>
      </c>
      <c r="Z1475" s="3">
        <f t="shared" si="729"/>
        <v>1.3960396039603959</v>
      </c>
      <c r="AA1475" t="s">
        <v>33</v>
      </c>
      <c r="AB1475" s="4">
        <f>IFERROR(((X1475*M1475)/Y1475), "NA")</f>
        <v>20.304000000000002</v>
      </c>
      <c r="AC1475" s="4">
        <f t="shared" si="730"/>
        <v>20.21</v>
      </c>
      <c r="AD1475" s="4">
        <f>AB1475*T1475*AI1475</f>
        <v>20.304000000000002</v>
      </c>
      <c r="AE1475" s="3">
        <f t="shared" si="725"/>
        <v>81.216000000000022</v>
      </c>
      <c r="AF1475">
        <v>101</v>
      </c>
      <c r="AG1475" s="4">
        <f>IFERROR((M1475*O1475*P1475), "NA")</f>
        <v>101.05</v>
      </c>
      <c r="AH1475" s="4">
        <f>IFERROR((AG1475*T1475*AI1475), "NA")</f>
        <v>101.05</v>
      </c>
      <c r="AI1475">
        <v>1</v>
      </c>
      <c r="AJ1475" s="11" t="s">
        <v>31</v>
      </c>
      <c r="AK1475">
        <v>2000</v>
      </c>
      <c r="AL1475" t="s">
        <v>784</v>
      </c>
      <c r="AM1475" t="s">
        <v>103</v>
      </c>
      <c r="AN1475" t="s">
        <v>130</v>
      </c>
      <c r="AO1475" t="s">
        <v>795</v>
      </c>
      <c r="AP1475">
        <v>7</v>
      </c>
      <c r="AQ1475" t="s">
        <v>33</v>
      </c>
      <c r="AR1475" t="s">
        <v>33</v>
      </c>
      <c r="AS1475" s="6">
        <f>LOG(AVERAGE(10^8, 10^9))</f>
        <v>8.7403626894942441</v>
      </c>
      <c r="AT1475" s="3">
        <f>IFERROR(AS1475-AU1475,"NA")</f>
        <v>7.0923626894942444</v>
      </c>
      <c r="AU1475" s="6">
        <v>1.6479999999999999</v>
      </c>
      <c r="AV1475" t="b">
        <v>1</v>
      </c>
      <c r="AW1475" t="s">
        <v>172</v>
      </c>
      <c r="AX1475" t="s">
        <v>173</v>
      </c>
      <c r="AY1475">
        <v>130.00139999999999</v>
      </c>
      <c r="AZ1475" t="s">
        <v>33</v>
      </c>
      <c r="BA1475" s="18" t="s">
        <v>799</v>
      </c>
      <c r="BB1475" s="3" t="b">
        <v>0</v>
      </c>
      <c r="BC1475" t="s">
        <v>81</v>
      </c>
      <c r="BD1475">
        <v>24</v>
      </c>
      <c r="BE1475" t="s">
        <v>80</v>
      </c>
      <c r="BF1475">
        <v>48</v>
      </c>
      <c r="BG1475" t="s">
        <v>734</v>
      </c>
      <c r="BH1475" t="s">
        <v>31</v>
      </c>
      <c r="BI1475" t="s">
        <v>31</v>
      </c>
      <c r="BJ1475" s="3">
        <f t="shared" si="727"/>
        <v>1.6479999999999999</v>
      </c>
      <c r="BK1475" s="3">
        <f t="shared" si="726"/>
        <v>0.21695720736109697</v>
      </c>
      <c r="BL1475">
        <v>2</v>
      </c>
      <c r="BM1475" s="3">
        <f t="shared" si="719"/>
        <v>1.6926843887174952</v>
      </c>
      <c r="BN1475" t="s">
        <v>33</v>
      </c>
      <c r="BO1475" s="3">
        <f t="shared" si="731"/>
        <v>49.281553398058271</v>
      </c>
      <c r="BP1475" t="s">
        <v>33</v>
      </c>
      <c r="BQ1475" t="s">
        <v>33</v>
      </c>
      <c r="BR1475" t="s">
        <v>33</v>
      </c>
      <c r="BS1475" t="s">
        <v>33</v>
      </c>
      <c r="BT1475" t="s">
        <v>32</v>
      </c>
      <c r="BU1475" t="s">
        <v>709</v>
      </c>
      <c r="BV1475">
        <v>2024</v>
      </c>
      <c r="BW1475" t="s">
        <v>710</v>
      </c>
      <c r="BX1475" t="s">
        <v>78</v>
      </c>
      <c r="BY1475" t="s">
        <v>711</v>
      </c>
      <c r="CA1475" t="str">
        <f t="shared" ref="CA1475:CA1538" si="732">IF(OR(AN1475="low acidic liquid medium", AN1475="low acidic food product"), "low acid",
    IF(OR(AN1475="high acidic food product", AN1475="high acidic liquid medium"), "high acid", "NA"))</f>
        <v>low acid</v>
      </c>
    </row>
    <row r="1476" spans="1:79">
      <c r="A1476" t="s">
        <v>584</v>
      </c>
      <c r="B1476" t="s">
        <v>566</v>
      </c>
      <c r="C1476" t="s">
        <v>563</v>
      </c>
      <c r="D1476" t="s">
        <v>607</v>
      </c>
      <c r="E1476" t="s">
        <v>77</v>
      </c>
      <c r="F1476" t="s">
        <v>33</v>
      </c>
      <c r="G1476">
        <v>20</v>
      </c>
      <c r="H1476">
        <v>35</v>
      </c>
      <c r="I1476" t="b">
        <v>0</v>
      </c>
      <c r="J1476">
        <v>1000</v>
      </c>
      <c r="K1476">
        <v>200</v>
      </c>
      <c r="L1476">
        <v>15</v>
      </c>
      <c r="M1476" s="4">
        <v>1</v>
      </c>
      <c r="N1476" t="e">
        <f>(#REF!*Y1476)/(T1476*X1476*O1476)</f>
        <v>#REF!</v>
      </c>
      <c r="O1476">
        <v>3</v>
      </c>
      <c r="P1476" t="s">
        <v>33</v>
      </c>
      <c r="Q1476" s="1">
        <f t="shared" ref="Q1476:Q1497" si="733">IFERROR(X1476/Z1476, "NA")</f>
        <v>5</v>
      </c>
      <c r="R1476" t="s">
        <v>183</v>
      </c>
      <c r="S1476" t="s">
        <v>33</v>
      </c>
      <c r="T1476">
        <v>1</v>
      </c>
      <c r="U1476">
        <v>2.5</v>
      </c>
      <c r="V1476" t="s">
        <v>33</v>
      </c>
      <c r="W1476">
        <v>0.50249999999999995</v>
      </c>
      <c r="X1476">
        <f>W1476</f>
        <v>0.50249999999999995</v>
      </c>
      <c r="Y1476" t="s">
        <v>33</v>
      </c>
      <c r="Z1476" s="3">
        <f t="shared" si="729"/>
        <v>0.10049999999999999</v>
      </c>
      <c r="AA1476" t="s">
        <v>33</v>
      </c>
      <c r="AB1476">
        <f>IFERROR(((X1476*M1476)/Z1476), "NA")</f>
        <v>5</v>
      </c>
      <c r="AC1476" s="1" t="str">
        <f t="shared" si="730"/>
        <v>NA</v>
      </c>
      <c r="AE1476" s="3">
        <f t="shared" si="725"/>
        <v>3.3749999999999996</v>
      </c>
      <c r="AF1476">
        <v>15</v>
      </c>
      <c r="AG1476" s="1" t="str">
        <f>IFERROR((N1476*P1476*Q1476), "NA")</f>
        <v>NA</v>
      </c>
      <c r="AH1476" s="1" t="str">
        <f>IFERROR((AG1476*U1476*AI1476), "NA")</f>
        <v>NA</v>
      </c>
      <c r="AI1476" s="1">
        <v>1</v>
      </c>
      <c r="AJ1476" s="11" t="s">
        <v>31</v>
      </c>
      <c r="AK1476">
        <v>1000</v>
      </c>
      <c r="AL1476" t="s">
        <v>614</v>
      </c>
      <c r="AM1476" s="3" t="s">
        <v>103</v>
      </c>
      <c r="AN1476" t="s">
        <v>305</v>
      </c>
      <c r="AO1476" t="s">
        <v>790</v>
      </c>
      <c r="AP1476">
        <v>3.5</v>
      </c>
      <c r="AQ1476" t="s">
        <v>33</v>
      </c>
      <c r="AR1476" t="s">
        <v>33</v>
      </c>
      <c r="AS1476">
        <v>8</v>
      </c>
      <c r="AT1476">
        <f>AS1476-AU1476</f>
        <v>7.11</v>
      </c>
      <c r="AU1476" s="6">
        <v>0.89</v>
      </c>
      <c r="AV1476" t="b">
        <v>1</v>
      </c>
      <c r="AW1476" t="s">
        <v>617</v>
      </c>
      <c r="AX1476" t="s">
        <v>33</v>
      </c>
      <c r="AY1476" t="s">
        <v>623</v>
      </c>
      <c r="AZ1476" t="s">
        <v>621</v>
      </c>
      <c r="BA1476" s="18" t="s">
        <v>802</v>
      </c>
      <c r="BB1476" s="3" t="b">
        <v>0</v>
      </c>
      <c r="BC1476" t="s">
        <v>81</v>
      </c>
      <c r="BD1476">
        <v>18</v>
      </c>
      <c r="BE1476" t="s">
        <v>80</v>
      </c>
      <c r="BF1476">
        <v>24</v>
      </c>
      <c r="BG1476" t="s">
        <v>642</v>
      </c>
      <c r="BH1476" t="s">
        <v>32</v>
      </c>
      <c r="BI1476" t="s">
        <v>31</v>
      </c>
      <c r="BJ1476">
        <f t="shared" si="727"/>
        <v>0.89</v>
      </c>
      <c r="BK1476" s="3">
        <f t="shared" si="726"/>
        <v>-5.0609993355087209E-2</v>
      </c>
      <c r="BL1476">
        <v>2</v>
      </c>
      <c r="BM1476" s="3">
        <f t="shared" si="719"/>
        <v>0.57888377052213091</v>
      </c>
      <c r="BN1476" t="s">
        <v>33</v>
      </c>
      <c r="BO1476" s="3">
        <f t="shared" si="731"/>
        <v>3.7921348314606735</v>
      </c>
      <c r="BP1476" t="s">
        <v>33</v>
      </c>
      <c r="BQ1476" t="s">
        <v>33</v>
      </c>
      <c r="BR1476" t="s">
        <v>33</v>
      </c>
      <c r="BS1476" t="s">
        <v>33</v>
      </c>
      <c r="BT1476" t="s">
        <v>31</v>
      </c>
      <c r="BU1476" t="s">
        <v>255</v>
      </c>
      <c r="BV1476">
        <v>2010</v>
      </c>
      <c r="BW1476" t="s">
        <v>651</v>
      </c>
      <c r="BX1476" t="s">
        <v>78</v>
      </c>
      <c r="BY1476" s="13" t="s">
        <v>674</v>
      </c>
      <c r="CA1476" t="str">
        <f t="shared" si="732"/>
        <v>high acid</v>
      </c>
    </row>
    <row r="1477" spans="1:79">
      <c r="A1477" t="s">
        <v>391</v>
      </c>
      <c r="B1477" t="s">
        <v>565</v>
      </c>
      <c r="C1477" t="s">
        <v>563</v>
      </c>
      <c r="D1477" t="s">
        <v>118</v>
      </c>
      <c r="E1477" t="s">
        <v>77</v>
      </c>
      <c r="F1477" t="s">
        <v>32</v>
      </c>
      <c r="G1477">
        <v>25</v>
      </c>
      <c r="H1477">
        <v>36</v>
      </c>
      <c r="I1477" t="b">
        <v>0</v>
      </c>
      <c r="J1477" t="s">
        <v>33</v>
      </c>
      <c r="K1477" t="s">
        <v>33</v>
      </c>
      <c r="L1477">
        <v>15</v>
      </c>
      <c r="M1477" s="4">
        <v>200</v>
      </c>
      <c r="N1477" s="3" t="str">
        <f>IFERROR(AF1477/((T1477*X1477/Y1477)*O1477*AI1477),"NA")</f>
        <v>NA</v>
      </c>
      <c r="O1477">
        <v>4</v>
      </c>
      <c r="P1477" t="s">
        <v>33</v>
      </c>
      <c r="Q1477" s="8">
        <f t="shared" si="733"/>
        <v>4.6875000000000007E-2</v>
      </c>
      <c r="R1477" t="s">
        <v>183</v>
      </c>
      <c r="S1477" t="s">
        <v>612</v>
      </c>
      <c r="T1477" s="11">
        <v>8</v>
      </c>
      <c r="U1477">
        <v>2.9</v>
      </c>
      <c r="V1477">
        <v>2.2999999999999998</v>
      </c>
      <c r="W1477">
        <v>1.2E-2</v>
      </c>
      <c r="X1477" s="8">
        <f>IFERROR(((PI())*(((V1477*10^-1)/2)^2)*(U1477*10^-1)), "NA")</f>
        <v>1.204879322468025E-2</v>
      </c>
      <c r="Y1477" t="s">
        <v>33</v>
      </c>
      <c r="Z1477" s="3">
        <f t="shared" si="729"/>
        <v>0.25704092212651197</v>
      </c>
      <c r="AA1477" t="s">
        <v>33</v>
      </c>
      <c r="AB1477" s="6">
        <f>IFERROR(((X1477*M1477)/Z1477), "NA")</f>
        <v>9.375</v>
      </c>
      <c r="AC1477" t="str">
        <f t="shared" si="730"/>
        <v>NA</v>
      </c>
      <c r="AD1477" s="4">
        <f>AB1477*T1477*AI1477</f>
        <v>75</v>
      </c>
      <c r="AE1477" s="3">
        <f t="shared" si="725"/>
        <v>286.2</v>
      </c>
      <c r="AF1477">
        <v>300</v>
      </c>
      <c r="AG1477" t="str">
        <f>IFERROR((M1477*O1477*P1477), "NA")</f>
        <v>NA</v>
      </c>
      <c r="AH1477" t="str">
        <f>IFERROR((AG1477*T1477*AI1477), "NA")</f>
        <v>NA</v>
      </c>
      <c r="AI1477">
        <v>1</v>
      </c>
      <c r="AJ1477" t="s">
        <v>31</v>
      </c>
      <c r="AK1477">
        <v>4240</v>
      </c>
      <c r="AL1477" t="s">
        <v>238</v>
      </c>
      <c r="AM1477" t="s">
        <v>86</v>
      </c>
      <c r="AN1477" t="s">
        <v>205</v>
      </c>
      <c r="AO1477" t="s">
        <v>789</v>
      </c>
      <c r="AP1477">
        <v>3.56</v>
      </c>
      <c r="AQ1477" t="s">
        <v>33</v>
      </c>
      <c r="AR1477" t="s">
        <v>33</v>
      </c>
      <c r="AS1477" s="6">
        <f>LOG(10^8)</f>
        <v>8</v>
      </c>
      <c r="AT1477" s="3">
        <f>IFERROR(AS1477-AU1477,"NA")</f>
        <v>7.1120000000000001</v>
      </c>
      <c r="AU1477" s="6">
        <v>0.88800000000000001</v>
      </c>
      <c r="AV1477" t="b">
        <v>1</v>
      </c>
      <c r="AW1477" t="s">
        <v>123</v>
      </c>
      <c r="AX1477" t="s">
        <v>393</v>
      </c>
      <c r="AY1477" t="s">
        <v>394</v>
      </c>
      <c r="AZ1477" t="s">
        <v>33</v>
      </c>
      <c r="BA1477" s="18" t="s">
        <v>579</v>
      </c>
      <c r="BB1477" t="b">
        <v>1</v>
      </c>
      <c r="BC1477" t="s">
        <v>81</v>
      </c>
      <c r="BD1477">
        <v>72</v>
      </c>
      <c r="BE1477" t="s">
        <v>80</v>
      </c>
      <c r="BF1477" s="11">
        <v>72</v>
      </c>
      <c r="BG1477" t="s">
        <v>395</v>
      </c>
      <c r="BH1477" t="s">
        <v>31</v>
      </c>
      <c r="BI1477" t="s">
        <v>31</v>
      </c>
      <c r="BJ1477" s="3">
        <f t="shared" si="727"/>
        <v>0.88800000000000001</v>
      </c>
      <c r="BK1477" s="3">
        <f t="shared" si="726"/>
        <v>-5.1587034221398972E-2</v>
      </c>
      <c r="BL1477">
        <v>2</v>
      </c>
      <c r="BM1477" s="3">
        <f t="shared" si="719"/>
        <v>2.5082566636451564</v>
      </c>
      <c r="BN1477" t="s">
        <v>33</v>
      </c>
      <c r="BO1477" s="3">
        <f t="shared" si="731"/>
        <v>322.29729729729729</v>
      </c>
      <c r="BP1477" t="s">
        <v>33</v>
      </c>
      <c r="BQ1477" t="s">
        <v>33</v>
      </c>
      <c r="BR1477" t="s">
        <v>33</v>
      </c>
      <c r="BS1477" t="s">
        <v>33</v>
      </c>
      <c r="BT1477" t="s">
        <v>31</v>
      </c>
      <c r="BU1477" t="s">
        <v>240</v>
      </c>
      <c r="BV1477">
        <v>2005</v>
      </c>
      <c r="BW1477" t="s">
        <v>396</v>
      </c>
      <c r="BX1477" t="s">
        <v>78</v>
      </c>
      <c r="BY1477" t="s">
        <v>33</v>
      </c>
      <c r="BZ1477" t="s">
        <v>33</v>
      </c>
      <c r="CA1477" t="str">
        <f t="shared" si="732"/>
        <v>high acid</v>
      </c>
    </row>
    <row r="1478" spans="1:79">
      <c r="A1478" t="s">
        <v>392</v>
      </c>
      <c r="B1478" t="s">
        <v>565</v>
      </c>
      <c r="C1478" t="s">
        <v>563</v>
      </c>
      <c r="D1478" t="s">
        <v>118</v>
      </c>
      <c r="E1478" t="s">
        <v>77</v>
      </c>
      <c r="F1478" t="s">
        <v>32</v>
      </c>
      <c r="G1478">
        <v>25</v>
      </c>
      <c r="H1478">
        <v>36</v>
      </c>
      <c r="I1478" t="b">
        <v>0</v>
      </c>
      <c r="J1478" t="s">
        <v>33</v>
      </c>
      <c r="K1478" t="s">
        <v>33</v>
      </c>
      <c r="L1478">
        <v>35</v>
      </c>
      <c r="M1478" s="4">
        <v>200</v>
      </c>
      <c r="N1478" s="3" t="str">
        <f>IFERROR(AF1478/((T1478*X1478/Y1478)*O1478*AI1478),"NA")</f>
        <v>NA</v>
      </c>
      <c r="O1478">
        <v>4</v>
      </c>
      <c r="P1478" t="s">
        <v>33</v>
      </c>
      <c r="Q1478" s="8">
        <f t="shared" si="733"/>
        <v>7.8125E-3</v>
      </c>
      <c r="R1478" t="s">
        <v>183</v>
      </c>
      <c r="S1478" t="s">
        <v>613</v>
      </c>
      <c r="T1478" s="11">
        <v>8</v>
      </c>
      <c r="U1478">
        <v>2.9</v>
      </c>
      <c r="V1478">
        <v>2.2999999999999998</v>
      </c>
      <c r="W1478">
        <v>1.2E-2</v>
      </c>
      <c r="X1478" s="8">
        <f>IFERROR(((PI())*(((V1478*10^-1)/2)^2)*(U1478*10^-1)), "NA")</f>
        <v>1.204879322468025E-2</v>
      </c>
      <c r="Y1478" t="s">
        <v>33</v>
      </c>
      <c r="Z1478" s="3">
        <f t="shared" si="729"/>
        <v>1.5422455327590721</v>
      </c>
      <c r="AA1478" t="s">
        <v>33</v>
      </c>
      <c r="AB1478" s="6">
        <f>IFERROR(((X1478*M1478)/Z1478), "NA")</f>
        <v>1.5625</v>
      </c>
      <c r="AC1478" t="str">
        <f t="shared" si="730"/>
        <v>NA</v>
      </c>
      <c r="AD1478" s="4">
        <f>AB1478*T1478*AI1478</f>
        <v>12.5</v>
      </c>
      <c r="AE1478" s="3">
        <f t="shared" si="725"/>
        <v>259.7</v>
      </c>
      <c r="AF1478">
        <v>50</v>
      </c>
      <c r="AG1478" t="str">
        <f>IFERROR((M1478*O1478*P1478), "NA")</f>
        <v>NA</v>
      </c>
      <c r="AH1478" t="str">
        <f>IFERROR((AG1478*T1478*AI1478), "NA")</f>
        <v>NA</v>
      </c>
      <c r="AI1478">
        <v>1</v>
      </c>
      <c r="AJ1478" t="s">
        <v>31</v>
      </c>
      <c r="AK1478">
        <v>4240</v>
      </c>
      <c r="AL1478" t="s">
        <v>238</v>
      </c>
      <c r="AM1478" t="s">
        <v>86</v>
      </c>
      <c r="AN1478" t="s">
        <v>205</v>
      </c>
      <c r="AO1478" t="s">
        <v>789</v>
      </c>
      <c r="AP1478">
        <v>3.56</v>
      </c>
      <c r="AQ1478" t="s">
        <v>33</v>
      </c>
      <c r="AR1478" t="s">
        <v>33</v>
      </c>
      <c r="AS1478" s="6">
        <f>LOG(10^8)</f>
        <v>8</v>
      </c>
      <c r="AT1478" s="3">
        <f>IFERROR(AS1478-AU1478,"NA")</f>
        <v>7.1129999999999995</v>
      </c>
      <c r="AU1478" s="6">
        <v>0.88700000000000001</v>
      </c>
      <c r="AV1478" t="b">
        <v>1</v>
      </c>
      <c r="AW1478" t="s">
        <v>123</v>
      </c>
      <c r="AX1478" t="s">
        <v>393</v>
      </c>
      <c r="AY1478" t="s">
        <v>394</v>
      </c>
      <c r="AZ1478" t="s">
        <v>33</v>
      </c>
      <c r="BA1478" s="18" t="s">
        <v>579</v>
      </c>
      <c r="BB1478" t="b">
        <v>1</v>
      </c>
      <c r="BC1478" t="s">
        <v>81</v>
      </c>
      <c r="BD1478">
        <v>72</v>
      </c>
      <c r="BE1478" t="s">
        <v>80</v>
      </c>
      <c r="BF1478" s="11">
        <v>72</v>
      </c>
      <c r="BG1478" t="s">
        <v>395</v>
      </c>
      <c r="BH1478" t="s">
        <v>31</v>
      </c>
      <c r="BI1478" t="s">
        <v>31</v>
      </c>
      <c r="BJ1478" s="3">
        <f t="shared" si="727"/>
        <v>0.88700000000000001</v>
      </c>
      <c r="BK1478" s="3">
        <f t="shared" si="726"/>
        <v>-5.2076380168273602E-2</v>
      </c>
      <c r="BL1478">
        <v>2</v>
      </c>
      <c r="BM1478" s="3">
        <f t="shared" si="719"/>
        <v>2.4665483297975763</v>
      </c>
      <c r="BN1478" t="s">
        <v>33</v>
      </c>
      <c r="BO1478" s="3">
        <f t="shared" si="731"/>
        <v>292.78466741826378</v>
      </c>
      <c r="BP1478" t="s">
        <v>33</v>
      </c>
      <c r="BQ1478" t="s">
        <v>33</v>
      </c>
      <c r="BR1478" t="s">
        <v>33</v>
      </c>
      <c r="BS1478" t="s">
        <v>33</v>
      </c>
      <c r="BT1478" t="s">
        <v>31</v>
      </c>
      <c r="BU1478" t="s">
        <v>240</v>
      </c>
      <c r="BV1478">
        <v>2005</v>
      </c>
      <c r="BW1478" t="s">
        <v>396</v>
      </c>
      <c r="BX1478" t="s">
        <v>78</v>
      </c>
      <c r="BY1478" t="s">
        <v>33</v>
      </c>
      <c r="BZ1478" t="s">
        <v>33</v>
      </c>
      <c r="CA1478" t="str">
        <f t="shared" si="732"/>
        <v>high acid</v>
      </c>
    </row>
    <row r="1479" spans="1:79">
      <c r="A1479" t="s">
        <v>594</v>
      </c>
      <c r="B1479" t="s">
        <v>566</v>
      </c>
      <c r="C1479" t="s">
        <v>563</v>
      </c>
      <c r="D1479" t="s">
        <v>33</v>
      </c>
      <c r="E1479" t="s">
        <v>77</v>
      </c>
      <c r="F1479" t="s">
        <v>32</v>
      </c>
      <c r="G1479" t="s">
        <v>33</v>
      </c>
      <c r="H1479">
        <v>20</v>
      </c>
      <c r="I1479" t="b">
        <v>1</v>
      </c>
      <c r="J1479" t="s">
        <v>33</v>
      </c>
      <c r="K1479" t="s">
        <v>33</v>
      </c>
      <c r="L1479">
        <v>20</v>
      </c>
      <c r="M1479" s="4">
        <v>2</v>
      </c>
      <c r="N1479" t="e">
        <f>(#REF!*Y1479)/(T1479*X1479*O1479)</f>
        <v>#REF!</v>
      </c>
      <c r="O1479">
        <v>2</v>
      </c>
      <c r="P1479" t="s">
        <v>33</v>
      </c>
      <c r="Q1479" s="1">
        <f t="shared" si="733"/>
        <v>7.1</v>
      </c>
      <c r="R1479" t="s">
        <v>183</v>
      </c>
      <c r="S1479" t="s">
        <v>613</v>
      </c>
      <c r="T1479">
        <v>1</v>
      </c>
      <c r="U1479">
        <v>5</v>
      </c>
      <c r="V1479" t="s">
        <v>33</v>
      </c>
      <c r="W1479">
        <v>0.71</v>
      </c>
      <c r="X1479">
        <f>W1479</f>
        <v>0.71</v>
      </c>
      <c r="Y1479">
        <v>0.1</v>
      </c>
      <c r="Z1479" s="3">
        <f>Y1479</f>
        <v>0.1</v>
      </c>
      <c r="AA1479" s="3">
        <v>14.8409893992932</v>
      </c>
      <c r="AB1479">
        <f>IFERROR(((X1479*M1479)/Y1479), "NA")</f>
        <v>14.2</v>
      </c>
      <c r="AC1479" s="1" t="str">
        <f t="shared" si="730"/>
        <v>NA</v>
      </c>
      <c r="AE1479" s="3">
        <f t="shared" si="725"/>
        <v>290.81599999999997</v>
      </c>
      <c r="AF1479" t="s">
        <v>33</v>
      </c>
      <c r="AG1479" s="1">
        <f>IFERROR((M1479*O1479*Q1479), "NA")</f>
        <v>28.4</v>
      </c>
      <c r="AH1479" s="1">
        <f>IFERROR((AG1479*U1479*AI1479), "NA")</f>
        <v>568</v>
      </c>
      <c r="AI1479" s="1">
        <v>4</v>
      </c>
      <c r="AJ1479" s="11" t="s">
        <v>31</v>
      </c>
      <c r="AK1479">
        <f>AVERAGE(5100, 7700)</f>
        <v>6400</v>
      </c>
      <c r="AL1479" t="s">
        <v>561</v>
      </c>
      <c r="AM1479" s="3" t="s">
        <v>786</v>
      </c>
      <c r="AN1479" t="s">
        <v>186</v>
      </c>
      <c r="AO1479" t="s">
        <v>793</v>
      </c>
      <c r="AP1479" t="s">
        <v>33</v>
      </c>
      <c r="AQ1479" t="s">
        <v>33</v>
      </c>
      <c r="AR1479" t="s">
        <v>33</v>
      </c>
      <c r="AS1479">
        <v>8</v>
      </c>
      <c r="AT1479">
        <f>AS1479-AU1479</f>
        <v>7.12</v>
      </c>
      <c r="AU1479" s="6">
        <v>0.88</v>
      </c>
      <c r="AV1479" t="b">
        <v>1</v>
      </c>
      <c r="AW1479" t="s">
        <v>617</v>
      </c>
      <c r="AX1479" t="s">
        <v>624</v>
      </c>
      <c r="AY1479" t="s">
        <v>622</v>
      </c>
      <c r="AZ1479" t="s">
        <v>33</v>
      </c>
      <c r="BA1479" s="18" t="s">
        <v>802</v>
      </c>
      <c r="BB1479" s="3" t="b">
        <v>0</v>
      </c>
      <c r="BC1479" t="s">
        <v>81</v>
      </c>
      <c r="BD1479">
        <v>18</v>
      </c>
      <c r="BE1479" t="s">
        <v>80</v>
      </c>
      <c r="BF1479">
        <v>24</v>
      </c>
      <c r="BG1479" t="s">
        <v>696</v>
      </c>
      <c r="BH1479" t="s">
        <v>32</v>
      </c>
      <c r="BI1479" t="s">
        <v>31</v>
      </c>
      <c r="BJ1479">
        <f t="shared" si="727"/>
        <v>0.88</v>
      </c>
      <c r="BK1479" s="3">
        <f t="shared" si="726"/>
        <v>-5.551732784983137E-2</v>
      </c>
      <c r="BL1479">
        <v>2</v>
      </c>
      <c r="BM1479" s="3">
        <f t="shared" si="719"/>
        <v>2.5191356245366809</v>
      </c>
      <c r="BN1479" t="s">
        <v>33</v>
      </c>
      <c r="BO1479" s="3">
        <f t="shared" si="731"/>
        <v>330.47272727272724</v>
      </c>
      <c r="BP1479" t="s">
        <v>33</v>
      </c>
      <c r="BQ1479" t="s">
        <v>33</v>
      </c>
      <c r="BR1479" t="s">
        <v>33</v>
      </c>
      <c r="BS1479" t="s">
        <v>33</v>
      </c>
      <c r="BT1479" t="s">
        <v>31</v>
      </c>
      <c r="BU1479" t="s">
        <v>338</v>
      </c>
      <c r="BV1479">
        <v>2006</v>
      </c>
      <c r="BW1479" t="s">
        <v>339</v>
      </c>
      <c r="BX1479" t="s">
        <v>78</v>
      </c>
      <c r="BY1479" s="13" t="s">
        <v>682</v>
      </c>
      <c r="CA1479" t="str">
        <f t="shared" si="732"/>
        <v>low acid</v>
      </c>
    </row>
    <row r="1480" spans="1:79">
      <c r="A1480" t="s">
        <v>592</v>
      </c>
      <c r="B1480" t="s">
        <v>566</v>
      </c>
      <c r="C1480" t="s">
        <v>563</v>
      </c>
      <c r="D1480" t="s">
        <v>607</v>
      </c>
      <c r="E1480" t="s">
        <v>77</v>
      </c>
      <c r="F1480" t="s">
        <v>32</v>
      </c>
      <c r="G1480" t="s">
        <v>33</v>
      </c>
      <c r="H1480">
        <v>35</v>
      </c>
      <c r="I1480" t="b">
        <v>0</v>
      </c>
      <c r="J1480">
        <v>30000</v>
      </c>
      <c r="K1480">
        <v>200</v>
      </c>
      <c r="L1480">
        <v>35</v>
      </c>
      <c r="M1480" s="4">
        <v>1</v>
      </c>
      <c r="N1480" t="e">
        <f>(#REF!*Y1480)/(T1480*X1480*O1480)</f>
        <v>#REF!</v>
      </c>
      <c r="O1480">
        <v>3</v>
      </c>
      <c r="P1480" t="s">
        <v>33</v>
      </c>
      <c r="Q1480" s="1">
        <f t="shared" si="733"/>
        <v>5.3933333333333326</v>
      </c>
      <c r="R1480" t="s">
        <v>183</v>
      </c>
      <c r="S1480" t="s">
        <v>33</v>
      </c>
      <c r="T1480">
        <v>1</v>
      </c>
      <c r="U1480">
        <v>2.5</v>
      </c>
      <c r="V1480" t="s">
        <v>33</v>
      </c>
      <c r="W1480">
        <v>0.50249999999999995</v>
      </c>
      <c r="X1480">
        <f>W1480</f>
        <v>0.50249999999999995</v>
      </c>
      <c r="Y1480" t="s">
        <v>33</v>
      </c>
      <c r="Z1480" s="3">
        <f t="shared" ref="Z1480:Z1487" si="734">IFERROR(X1480*M1480*O1480*T1480*AI1480/AF1480, "NA")</f>
        <v>9.3170580964153274E-2</v>
      </c>
      <c r="AA1480" t="s">
        <v>33</v>
      </c>
      <c r="AB1480">
        <f>IFERROR(((X1480*M1480)/Z1480), "NA")</f>
        <v>5.3933333333333326</v>
      </c>
      <c r="AC1480" s="1" t="str">
        <f t="shared" si="730"/>
        <v>NA</v>
      </c>
      <c r="AE1480" s="3">
        <f t="shared" si="725"/>
        <v>19.820499999999996</v>
      </c>
      <c r="AF1480">
        <v>16.18</v>
      </c>
      <c r="AG1480" s="1" t="str">
        <f>IFERROR((N1480*P1480*Q1480), "NA")</f>
        <v>NA</v>
      </c>
      <c r="AH1480" s="1" t="str">
        <f>IFERROR((AG1480*U1480*AI1480), "NA")</f>
        <v>NA</v>
      </c>
      <c r="AI1480" s="1">
        <v>1</v>
      </c>
      <c r="AJ1480" s="11" t="s">
        <v>31</v>
      </c>
      <c r="AK1480">
        <v>1000</v>
      </c>
      <c r="AL1480" t="s">
        <v>614</v>
      </c>
      <c r="AM1480" s="3" t="s">
        <v>103</v>
      </c>
      <c r="AN1480" t="s">
        <v>130</v>
      </c>
      <c r="AO1480" t="s">
        <v>795</v>
      </c>
      <c r="AP1480">
        <v>7</v>
      </c>
      <c r="AQ1480" t="s">
        <v>33</v>
      </c>
      <c r="AR1480" t="s">
        <v>33</v>
      </c>
      <c r="AS1480">
        <v>8</v>
      </c>
      <c r="AT1480">
        <f>AS1480-AU1480</f>
        <v>7.12</v>
      </c>
      <c r="AU1480" s="6">
        <v>0.88</v>
      </c>
      <c r="AV1480" t="b">
        <v>1</v>
      </c>
      <c r="AW1480" t="s">
        <v>626</v>
      </c>
      <c r="AX1480" t="s">
        <v>627</v>
      </c>
      <c r="AY1480" t="s">
        <v>633</v>
      </c>
      <c r="AZ1480" t="s">
        <v>33</v>
      </c>
      <c r="BA1480" s="18" t="s">
        <v>800</v>
      </c>
      <c r="BB1480" s="3" t="b">
        <v>0</v>
      </c>
      <c r="BC1480" t="s">
        <v>81</v>
      </c>
      <c r="BD1480">
        <v>24</v>
      </c>
      <c r="BE1480" t="s">
        <v>80</v>
      </c>
      <c r="BF1480">
        <v>48</v>
      </c>
      <c r="BG1480" t="s">
        <v>569</v>
      </c>
      <c r="BH1480" t="s">
        <v>31</v>
      </c>
      <c r="BI1480" t="s">
        <v>31</v>
      </c>
      <c r="BJ1480">
        <f t="shared" si="727"/>
        <v>0.88</v>
      </c>
      <c r="BK1480" s="3">
        <f t="shared" si="726"/>
        <v>-5.551732784983137E-2</v>
      </c>
      <c r="BL1480">
        <v>2</v>
      </c>
      <c r="BM1480" s="3">
        <f t="shared" si="719"/>
        <v>1.3526319338266362</v>
      </c>
      <c r="BN1480" t="s">
        <v>33</v>
      </c>
      <c r="BO1480" s="3">
        <f t="shared" si="731"/>
        <v>22.523295454545451</v>
      </c>
      <c r="BP1480" t="s">
        <v>33</v>
      </c>
      <c r="BQ1480" t="s">
        <v>33</v>
      </c>
      <c r="BR1480" t="s">
        <v>33</v>
      </c>
      <c r="BS1480" t="s">
        <v>33</v>
      </c>
      <c r="BT1480" t="s">
        <v>31</v>
      </c>
      <c r="BU1480" s="15" t="s">
        <v>255</v>
      </c>
      <c r="BV1480">
        <v>2010</v>
      </c>
      <c r="BW1480" t="s">
        <v>659</v>
      </c>
      <c r="BX1480" t="s">
        <v>78</v>
      </c>
      <c r="BY1480" s="13" t="s">
        <v>680</v>
      </c>
      <c r="CA1480" t="str">
        <f t="shared" si="732"/>
        <v>low acid</v>
      </c>
    </row>
    <row r="1481" spans="1:79">
      <c r="A1481" t="s">
        <v>582</v>
      </c>
      <c r="B1481" t="s">
        <v>566</v>
      </c>
      <c r="C1481" t="s">
        <v>563</v>
      </c>
      <c r="D1481" t="s">
        <v>606</v>
      </c>
      <c r="E1481" t="s">
        <v>77</v>
      </c>
      <c r="F1481" t="s">
        <v>32</v>
      </c>
      <c r="G1481">
        <v>25</v>
      </c>
      <c r="H1481" t="s">
        <v>33</v>
      </c>
      <c r="I1481" t="b">
        <v>0</v>
      </c>
      <c r="J1481" t="s">
        <v>33</v>
      </c>
      <c r="K1481" t="s">
        <v>33</v>
      </c>
      <c r="L1481">
        <v>25</v>
      </c>
      <c r="M1481" s="4">
        <v>1000</v>
      </c>
      <c r="N1481" t="e">
        <f>(#REF!*Y1481)/(T1481*X1481*O1481)</f>
        <v>#REF!</v>
      </c>
      <c r="O1481">
        <v>40</v>
      </c>
      <c r="P1481" t="s">
        <v>33</v>
      </c>
      <c r="Q1481" s="1">
        <f t="shared" si="733"/>
        <v>3.0000000000000002E-2</v>
      </c>
      <c r="R1481" t="s">
        <v>183</v>
      </c>
      <c r="S1481" t="s">
        <v>613</v>
      </c>
      <c r="T1481">
        <v>1</v>
      </c>
      <c r="U1481">
        <v>3</v>
      </c>
      <c r="V1481" t="s">
        <v>33</v>
      </c>
      <c r="W1481">
        <v>0.02</v>
      </c>
      <c r="X1481">
        <f>W1481</f>
        <v>0.02</v>
      </c>
      <c r="Y1481">
        <v>0.66666700000000001</v>
      </c>
      <c r="Z1481" s="3">
        <f t="shared" si="734"/>
        <v>0.66666666666666663</v>
      </c>
      <c r="AA1481" t="s">
        <v>33</v>
      </c>
      <c r="AB1481">
        <f>IFERROR(((X1481*M1481)/Z1481), "NA")</f>
        <v>30</v>
      </c>
      <c r="AC1481" s="1" t="str">
        <f t="shared" si="730"/>
        <v>NA</v>
      </c>
      <c r="AE1481" s="3">
        <f t="shared" si="725"/>
        <v>135</v>
      </c>
      <c r="AF1481">
        <v>1200</v>
      </c>
      <c r="AG1481" s="1" t="str">
        <f>IFERROR((N1481*P1481*Q1481), "NA")</f>
        <v>NA</v>
      </c>
      <c r="AH1481" s="1" t="str">
        <f>IFERROR((AG1481*U1481*AI1481), "NA")</f>
        <v>NA</v>
      </c>
      <c r="AI1481" s="1">
        <v>1</v>
      </c>
      <c r="AJ1481" s="11" t="s">
        <v>31</v>
      </c>
      <c r="AK1481">
        <v>180</v>
      </c>
      <c r="AL1481" t="s">
        <v>614</v>
      </c>
      <c r="AM1481" s="3" t="s">
        <v>103</v>
      </c>
      <c r="AN1481" t="s">
        <v>130</v>
      </c>
      <c r="AO1481" t="s">
        <v>795</v>
      </c>
      <c r="AP1481">
        <v>6.9</v>
      </c>
      <c r="AQ1481" t="s">
        <v>33</v>
      </c>
      <c r="AR1481" t="s">
        <v>33</v>
      </c>
      <c r="AS1481">
        <v>9</v>
      </c>
      <c r="AT1481">
        <f>AS1481-AU1481</f>
        <v>7.12</v>
      </c>
      <c r="AU1481" s="6">
        <v>1.88</v>
      </c>
      <c r="AV1481" t="b">
        <v>1</v>
      </c>
      <c r="AW1481" t="s">
        <v>617</v>
      </c>
      <c r="AX1481" t="s">
        <v>33</v>
      </c>
      <c r="AY1481" t="s">
        <v>620</v>
      </c>
      <c r="AZ1481" t="s">
        <v>621</v>
      </c>
      <c r="BA1481" s="18" t="s">
        <v>802</v>
      </c>
      <c r="BB1481" s="3" t="b">
        <v>0</v>
      </c>
      <c r="BC1481" t="s">
        <v>81</v>
      </c>
      <c r="BD1481">
        <v>48</v>
      </c>
      <c r="BE1481" t="s">
        <v>80</v>
      </c>
      <c r="BF1481">
        <v>48</v>
      </c>
      <c r="BG1481" t="s">
        <v>569</v>
      </c>
      <c r="BH1481" t="s">
        <v>31</v>
      </c>
      <c r="BI1481" t="s">
        <v>31</v>
      </c>
      <c r="BJ1481">
        <f t="shared" si="727"/>
        <v>1.88</v>
      </c>
      <c r="BK1481" s="3">
        <f t="shared" si="726"/>
        <v>0.27415784926367981</v>
      </c>
      <c r="BL1481">
        <v>2</v>
      </c>
      <c r="BM1481" s="3">
        <f t="shared" si="719"/>
        <v>1.8561759192313263</v>
      </c>
      <c r="BN1481" t="s">
        <v>33</v>
      </c>
      <c r="BO1481" s="3">
        <f t="shared" si="731"/>
        <v>71.808510638297875</v>
      </c>
      <c r="BP1481" t="s">
        <v>33</v>
      </c>
      <c r="BQ1481" t="s">
        <v>33</v>
      </c>
      <c r="BR1481" t="s">
        <v>33</v>
      </c>
      <c r="BS1481" t="s">
        <v>33</v>
      </c>
      <c r="BT1481" t="s">
        <v>32</v>
      </c>
      <c r="BU1481" t="s">
        <v>649</v>
      </c>
      <c r="BV1481" s="14">
        <v>2016</v>
      </c>
      <c r="BW1481" t="s">
        <v>650</v>
      </c>
      <c r="BX1481" t="s">
        <v>78</v>
      </c>
      <c r="BY1481" s="13" t="s">
        <v>672</v>
      </c>
      <c r="CA1481" t="str">
        <f t="shared" si="732"/>
        <v>low acid</v>
      </c>
    </row>
    <row r="1482" spans="1:79">
      <c r="A1482" t="s">
        <v>539</v>
      </c>
      <c r="B1482" t="s">
        <v>566</v>
      </c>
      <c r="C1482" t="s">
        <v>563</v>
      </c>
      <c r="D1482" t="s">
        <v>33</v>
      </c>
      <c r="E1482" t="s">
        <v>77</v>
      </c>
      <c r="F1482" t="s">
        <v>32</v>
      </c>
      <c r="G1482">
        <v>20</v>
      </c>
      <c r="H1482">
        <v>29.4</v>
      </c>
      <c r="I1482" t="b">
        <v>1</v>
      </c>
      <c r="J1482" t="s">
        <v>33</v>
      </c>
      <c r="K1482" t="s">
        <v>33</v>
      </c>
      <c r="L1482">
        <v>30</v>
      </c>
      <c r="M1482" s="4">
        <v>52</v>
      </c>
      <c r="N1482" s="3">
        <f>IFERROR(AF1482/((T1482*X1482/Y1482)*O1482*AI1482),"NA")</f>
        <v>7.2646342487612339</v>
      </c>
      <c r="O1482">
        <v>3</v>
      </c>
      <c r="P1482" t="s">
        <v>33</v>
      </c>
      <c r="Q1482" s="8">
        <f t="shared" si="733"/>
        <v>0.11089743589743591</v>
      </c>
      <c r="R1482" t="s">
        <v>183</v>
      </c>
      <c r="S1482" t="s">
        <v>612</v>
      </c>
      <c r="T1482" s="11">
        <v>1</v>
      </c>
      <c r="U1482">
        <v>4.5</v>
      </c>
      <c r="V1482" t="s">
        <v>33</v>
      </c>
      <c r="W1482" t="s">
        <v>33</v>
      </c>
      <c r="X1482">
        <f>U1482*0.1*1.47</f>
        <v>0.66149999999999998</v>
      </c>
      <c r="Y1482" s="6">
        <f>3000/3600</f>
        <v>0.83333333333333337</v>
      </c>
      <c r="Z1482" s="3">
        <f t="shared" si="734"/>
        <v>5.9649710982658952</v>
      </c>
      <c r="AA1482" t="s">
        <v>33</v>
      </c>
      <c r="AB1482" s="6">
        <f>IFERROR(((X1482*M1482)/Z1482), "NA")</f>
        <v>5.7666666666666666</v>
      </c>
      <c r="AC1482" t="str">
        <f t="shared" si="730"/>
        <v>NA</v>
      </c>
      <c r="AD1482" s="4">
        <f>IFERROR(AB1482*T1482*AI1482, "NA")</f>
        <v>5.7666666666666666</v>
      </c>
      <c r="AE1482" s="3">
        <f t="shared" si="725"/>
        <v>42.039000000000001</v>
      </c>
      <c r="AF1482">
        <v>17.3</v>
      </c>
      <c r="AG1482" t="str">
        <f>IFERROR((M1482*O1482*P1482), "NA")</f>
        <v>NA</v>
      </c>
      <c r="AH1482" t="str">
        <f>IFERROR((AG1482*T1482*AI1482), "NA")</f>
        <v>NA</v>
      </c>
      <c r="AI1482" s="11">
        <v>1</v>
      </c>
      <c r="AJ1482" t="s">
        <v>31</v>
      </c>
      <c r="AK1482" s="11">
        <v>2700</v>
      </c>
      <c r="AL1482" t="s">
        <v>149</v>
      </c>
      <c r="AM1482" t="s">
        <v>86</v>
      </c>
      <c r="AN1482" t="s">
        <v>205</v>
      </c>
      <c r="AO1482" t="s">
        <v>789</v>
      </c>
      <c r="AP1482">
        <v>3.5</v>
      </c>
      <c r="AQ1482" t="s">
        <v>33</v>
      </c>
      <c r="AR1482" t="s">
        <v>33</v>
      </c>
      <c r="AS1482" s="6">
        <f>LOG(10^8)</f>
        <v>8</v>
      </c>
      <c r="AT1482" s="3">
        <f>IFERROR(AS1482-AU1482,"NA")</f>
        <v>7.12</v>
      </c>
      <c r="AU1482" s="6">
        <v>0.88</v>
      </c>
      <c r="AV1482" t="b">
        <v>1</v>
      </c>
      <c r="AW1482" t="s">
        <v>29</v>
      </c>
      <c r="AX1482" t="s">
        <v>30</v>
      </c>
      <c r="AY1482" t="s">
        <v>33</v>
      </c>
      <c r="AZ1482" t="s">
        <v>134</v>
      </c>
      <c r="BA1482" s="18" t="s">
        <v>798</v>
      </c>
      <c r="BB1482" t="b">
        <v>0</v>
      </c>
      <c r="BC1482" t="s">
        <v>81</v>
      </c>
      <c r="BD1482">
        <v>12</v>
      </c>
      <c r="BE1482" t="s">
        <v>80</v>
      </c>
      <c r="BF1482" s="11">
        <v>48</v>
      </c>
      <c r="BG1482" t="s">
        <v>569</v>
      </c>
      <c r="BH1482" t="s">
        <v>31</v>
      </c>
      <c r="BI1482" t="s">
        <v>31</v>
      </c>
      <c r="BJ1482" s="3">
        <f t="shared" si="727"/>
        <v>0.88</v>
      </c>
      <c r="BK1482" s="3">
        <f t="shared" si="726"/>
        <v>-5.551732784983137E-2</v>
      </c>
      <c r="BL1482">
        <v>2</v>
      </c>
      <c r="BM1482" s="3">
        <f t="shared" si="719"/>
        <v>1.6791697045769389</v>
      </c>
      <c r="BN1482" t="s">
        <v>33</v>
      </c>
      <c r="BO1482" s="3">
        <f t="shared" si="731"/>
        <v>47.771590909090911</v>
      </c>
      <c r="BP1482" t="s">
        <v>33</v>
      </c>
      <c r="BQ1482" t="s">
        <v>33</v>
      </c>
      <c r="BR1482" t="s">
        <v>33</v>
      </c>
      <c r="BS1482" t="s">
        <v>33</v>
      </c>
      <c r="BT1482" t="s">
        <v>32</v>
      </c>
      <c r="BU1482" t="s">
        <v>255</v>
      </c>
      <c r="BV1482">
        <v>2011</v>
      </c>
      <c r="BW1482" s="2" t="s">
        <v>256</v>
      </c>
      <c r="BX1482" t="s">
        <v>78</v>
      </c>
      <c r="BY1482" t="s">
        <v>33</v>
      </c>
      <c r="BZ1482" t="s">
        <v>33</v>
      </c>
      <c r="CA1482" t="str">
        <f t="shared" si="732"/>
        <v>high acid</v>
      </c>
    </row>
    <row r="1483" spans="1:79">
      <c r="A1483" t="s">
        <v>597</v>
      </c>
      <c r="B1483" t="s">
        <v>565</v>
      </c>
      <c r="C1483" t="s">
        <v>563</v>
      </c>
      <c r="D1483" t="s">
        <v>33</v>
      </c>
      <c r="E1483" t="s">
        <v>77</v>
      </c>
      <c r="F1483" t="s">
        <v>33</v>
      </c>
      <c r="G1483">
        <v>20</v>
      </c>
      <c r="H1483">
        <v>35</v>
      </c>
      <c r="I1483" t="b">
        <v>0</v>
      </c>
      <c r="J1483" t="s">
        <v>33</v>
      </c>
      <c r="K1483" t="s">
        <v>33</v>
      </c>
      <c r="L1483">
        <v>22</v>
      </c>
      <c r="M1483" s="4">
        <v>2</v>
      </c>
      <c r="N1483" t="e">
        <f>(#REF!*Y1483)/(T1483*X1483*O1483)</f>
        <v>#REF!</v>
      </c>
      <c r="O1483">
        <v>15</v>
      </c>
      <c r="P1483" t="s">
        <v>33</v>
      </c>
      <c r="Q1483" s="1">
        <f t="shared" si="733"/>
        <v>3.336666666666666</v>
      </c>
      <c r="R1483" t="s">
        <v>183</v>
      </c>
      <c r="S1483" t="s">
        <v>33</v>
      </c>
      <c r="T1483">
        <v>1</v>
      </c>
      <c r="U1483">
        <v>2.5</v>
      </c>
      <c r="V1483" t="s">
        <v>33</v>
      </c>
      <c r="W1483">
        <v>0.50249999999999995</v>
      </c>
      <c r="X1483">
        <f t="shared" ref="X1483:X1489" si="735">W1483</f>
        <v>0.50249999999999995</v>
      </c>
      <c r="Y1483" t="s">
        <v>33</v>
      </c>
      <c r="Z1483" s="3">
        <f t="shared" si="734"/>
        <v>0.15059940059940061</v>
      </c>
      <c r="AA1483" t="s">
        <v>33</v>
      </c>
      <c r="AB1483">
        <f>IFERROR(((X1483*M1483)/Z1483), "NA")</f>
        <v>6.673333333333332</v>
      </c>
      <c r="AC1483" s="1" t="str">
        <f t="shared" si="730"/>
        <v>NA</v>
      </c>
      <c r="AE1483" s="3">
        <f t="shared" si="725"/>
        <v>96.896799999999985</v>
      </c>
      <c r="AF1483">
        <v>100.1</v>
      </c>
      <c r="AG1483" s="1" t="str">
        <f>IFERROR((N1483*P1483*Q1483), "NA")</f>
        <v>NA</v>
      </c>
      <c r="AH1483" s="1" t="str">
        <f>IFERROR((AG1483*U1483*AI1483), "NA")</f>
        <v>NA</v>
      </c>
      <c r="AI1483" s="1">
        <v>1</v>
      </c>
      <c r="AJ1483" s="11" t="s">
        <v>31</v>
      </c>
      <c r="AK1483">
        <v>2000</v>
      </c>
      <c r="AL1483" t="s">
        <v>784</v>
      </c>
      <c r="AM1483" s="3" t="s">
        <v>103</v>
      </c>
      <c r="AN1483" t="s">
        <v>130</v>
      </c>
      <c r="AO1483" t="s">
        <v>795</v>
      </c>
      <c r="AP1483">
        <v>7</v>
      </c>
      <c r="AQ1483" t="s">
        <v>33</v>
      </c>
      <c r="AR1483" t="s">
        <v>33</v>
      </c>
      <c r="AS1483">
        <v>9</v>
      </c>
      <c r="AT1483">
        <f>AS1483-AU1483</f>
        <v>7.13</v>
      </c>
      <c r="AU1483" s="6">
        <v>1.87</v>
      </c>
      <c r="AV1483" t="b">
        <v>1</v>
      </c>
      <c r="AW1483" t="s">
        <v>617</v>
      </c>
      <c r="AX1483" t="s">
        <v>635</v>
      </c>
      <c r="AY1483" t="s">
        <v>636</v>
      </c>
      <c r="AZ1483" t="s">
        <v>33</v>
      </c>
      <c r="BA1483" s="18" t="s">
        <v>802</v>
      </c>
      <c r="BB1483" s="3" t="b">
        <v>0</v>
      </c>
      <c r="BC1483" t="s">
        <v>81</v>
      </c>
      <c r="BD1483">
        <v>24</v>
      </c>
      <c r="BE1483" t="s">
        <v>80</v>
      </c>
      <c r="BF1483">
        <v>24</v>
      </c>
      <c r="BG1483" t="s">
        <v>644</v>
      </c>
      <c r="BH1483" t="s">
        <v>31</v>
      </c>
      <c r="BI1483" t="s">
        <v>31</v>
      </c>
      <c r="BJ1483">
        <f t="shared" si="727"/>
        <v>1.87</v>
      </c>
      <c r="BK1483" s="3">
        <f t="shared" si="726"/>
        <v>0.27184160653649897</v>
      </c>
      <c r="BL1483">
        <v>2</v>
      </c>
      <c r="BM1483" s="3">
        <f t="shared" si="719"/>
        <v>1.7144678282512134</v>
      </c>
      <c r="BN1483" t="s">
        <v>33</v>
      </c>
      <c r="BO1483" s="3">
        <f t="shared" si="731"/>
        <v>51.816470588235283</v>
      </c>
      <c r="BP1483" t="s">
        <v>33</v>
      </c>
      <c r="BQ1483" t="s">
        <v>33</v>
      </c>
      <c r="BR1483" t="s">
        <v>33</v>
      </c>
      <c r="BS1483" t="s">
        <v>33</v>
      </c>
      <c r="BT1483" t="s">
        <v>31</v>
      </c>
      <c r="BU1483" t="s">
        <v>664</v>
      </c>
      <c r="BV1483">
        <v>2000</v>
      </c>
      <c r="BW1483" t="s">
        <v>665</v>
      </c>
      <c r="BX1483" t="s">
        <v>78</v>
      </c>
      <c r="BY1483" s="13" t="s">
        <v>685</v>
      </c>
      <c r="CA1483" t="str">
        <f t="shared" si="732"/>
        <v>low acid</v>
      </c>
    </row>
    <row r="1484" spans="1:79">
      <c r="A1484" t="s">
        <v>597</v>
      </c>
      <c r="B1484" t="s">
        <v>565</v>
      </c>
      <c r="C1484" t="s">
        <v>563</v>
      </c>
      <c r="D1484" t="s">
        <v>33</v>
      </c>
      <c r="E1484" t="s">
        <v>77</v>
      </c>
      <c r="F1484" t="s">
        <v>33</v>
      </c>
      <c r="G1484">
        <v>20</v>
      </c>
      <c r="H1484">
        <v>35</v>
      </c>
      <c r="I1484" t="b">
        <v>0</v>
      </c>
      <c r="J1484" t="s">
        <v>33</v>
      </c>
      <c r="K1484" t="s">
        <v>33</v>
      </c>
      <c r="L1484">
        <v>22</v>
      </c>
      <c r="M1484" s="4">
        <v>2</v>
      </c>
      <c r="N1484" t="e">
        <f>(#REF!*Y1484)/(T1484*X1484*#REF!)</f>
        <v>#REF!</v>
      </c>
      <c r="O1484">
        <v>5</v>
      </c>
      <c r="P1484" t="s">
        <v>33</v>
      </c>
      <c r="Q1484" s="1">
        <f t="shared" si="733"/>
        <v>10.049999999999999</v>
      </c>
      <c r="R1484" t="s">
        <v>183</v>
      </c>
      <c r="S1484" t="s">
        <v>33</v>
      </c>
      <c r="T1484">
        <v>1</v>
      </c>
      <c r="U1484">
        <v>2.5</v>
      </c>
      <c r="V1484" t="s">
        <v>33</v>
      </c>
      <c r="W1484">
        <v>0.50249999999999995</v>
      </c>
      <c r="X1484">
        <f t="shared" si="735"/>
        <v>0.50249999999999995</v>
      </c>
      <c r="Y1484" t="s">
        <v>33</v>
      </c>
      <c r="Z1484" s="3">
        <f t="shared" si="734"/>
        <v>4.9999999999999996E-2</v>
      </c>
      <c r="AA1484" t="s">
        <v>33</v>
      </c>
      <c r="AB1484">
        <f>IFERROR(((X1484*O1484)/Z1484), "NA")</f>
        <v>50.25</v>
      </c>
      <c r="AC1484" s="1" t="str">
        <f>IFERROR(O1484*P1484,"NA")</f>
        <v>NA</v>
      </c>
      <c r="AE1484" s="3">
        <f t="shared" si="725"/>
        <v>97.283999999999992</v>
      </c>
      <c r="AF1484">
        <v>100.5</v>
      </c>
      <c r="AG1484" s="1" t="str">
        <f>IFERROR((P1484*#REF!*Q1484), "NA")</f>
        <v>NA</v>
      </c>
      <c r="AH1484" s="1" t="str">
        <f>IFERROR((AG1484*U1484*AI1484), "NA")</f>
        <v>NA</v>
      </c>
      <c r="AI1484" s="1">
        <v>1</v>
      </c>
      <c r="AJ1484" s="11" t="s">
        <v>31</v>
      </c>
      <c r="AK1484">
        <v>2000</v>
      </c>
      <c r="AL1484" t="s">
        <v>784</v>
      </c>
      <c r="AM1484" s="3" t="s">
        <v>103</v>
      </c>
      <c r="AN1484" t="s">
        <v>130</v>
      </c>
      <c r="AO1484" t="s">
        <v>795</v>
      </c>
      <c r="AP1484">
        <v>7</v>
      </c>
      <c r="AQ1484" t="s">
        <v>33</v>
      </c>
      <c r="AR1484" t="s">
        <v>33</v>
      </c>
      <c r="AS1484">
        <v>9</v>
      </c>
      <c r="AT1484">
        <f>AS1484-AU1484</f>
        <v>7.14</v>
      </c>
      <c r="AU1484" s="6">
        <v>1.86</v>
      </c>
      <c r="AV1484" t="b">
        <v>1</v>
      </c>
      <c r="AW1484" t="s">
        <v>617</v>
      </c>
      <c r="AX1484" t="s">
        <v>635</v>
      </c>
      <c r="AY1484" t="s">
        <v>636</v>
      </c>
      <c r="AZ1484" t="s">
        <v>33</v>
      </c>
      <c r="BA1484" s="18" t="s">
        <v>802</v>
      </c>
      <c r="BB1484" s="3" t="b">
        <v>0</v>
      </c>
      <c r="BC1484" t="s">
        <v>81</v>
      </c>
      <c r="BD1484">
        <v>24</v>
      </c>
      <c r="BE1484" t="s">
        <v>80</v>
      </c>
      <c r="BF1484">
        <v>24</v>
      </c>
      <c r="BG1484" t="s">
        <v>644</v>
      </c>
      <c r="BH1484" t="s">
        <v>31</v>
      </c>
      <c r="BI1484" t="s">
        <v>31</v>
      </c>
      <c r="BJ1484">
        <f t="shared" si="727"/>
        <v>1.86</v>
      </c>
      <c r="BK1484" s="3">
        <f t="shared" si="726"/>
        <v>0.26951294421791633</v>
      </c>
      <c r="BL1484">
        <v>2</v>
      </c>
      <c r="BM1484" s="3">
        <f t="shared" si="719"/>
        <v>1.7185284748469849</v>
      </c>
      <c r="BN1484" t="s">
        <v>33</v>
      </c>
      <c r="BO1484" s="3">
        <f t="shared" si="731"/>
        <v>52.303225806451607</v>
      </c>
      <c r="BP1484" t="s">
        <v>33</v>
      </c>
      <c r="BQ1484" t="s">
        <v>33</v>
      </c>
      <c r="BR1484" t="s">
        <v>33</v>
      </c>
      <c r="BS1484" t="s">
        <v>33</v>
      </c>
      <c r="BT1484" t="s">
        <v>31</v>
      </c>
      <c r="BU1484" t="s">
        <v>664</v>
      </c>
      <c r="BV1484">
        <v>2000</v>
      </c>
      <c r="BW1484" t="s">
        <v>665</v>
      </c>
      <c r="BX1484" t="s">
        <v>78</v>
      </c>
      <c r="BY1484" s="13" t="s">
        <v>685</v>
      </c>
      <c r="CA1484" t="str">
        <f t="shared" si="732"/>
        <v>low acid</v>
      </c>
    </row>
    <row r="1485" spans="1:79">
      <c r="A1485" t="s">
        <v>597</v>
      </c>
      <c r="B1485" t="s">
        <v>565</v>
      </c>
      <c r="C1485" t="s">
        <v>563</v>
      </c>
      <c r="D1485" t="s">
        <v>33</v>
      </c>
      <c r="E1485" t="s">
        <v>77</v>
      </c>
      <c r="F1485" t="s">
        <v>33</v>
      </c>
      <c r="G1485">
        <v>20</v>
      </c>
      <c r="H1485">
        <v>35</v>
      </c>
      <c r="I1485" t="b">
        <v>0</v>
      </c>
      <c r="J1485" t="s">
        <v>33</v>
      </c>
      <c r="K1485" t="s">
        <v>33</v>
      </c>
      <c r="L1485">
        <v>22</v>
      </c>
      <c r="M1485" s="4">
        <v>2</v>
      </c>
      <c r="N1485" t="e">
        <f>(#REF!*Y1485)/(T1485*X1485*#REF!)</f>
        <v>#REF!</v>
      </c>
      <c r="O1485">
        <v>10</v>
      </c>
      <c r="P1485" t="s">
        <v>33</v>
      </c>
      <c r="Q1485" s="1">
        <f t="shared" si="733"/>
        <v>5.0249999999999995</v>
      </c>
      <c r="R1485" t="s">
        <v>183</v>
      </c>
      <c r="S1485" t="s">
        <v>33</v>
      </c>
      <c r="T1485">
        <v>1</v>
      </c>
      <c r="U1485">
        <v>2.5</v>
      </c>
      <c r="V1485" t="s">
        <v>33</v>
      </c>
      <c r="W1485">
        <v>0.50249999999999995</v>
      </c>
      <c r="X1485">
        <f t="shared" si="735"/>
        <v>0.50249999999999995</v>
      </c>
      <c r="Y1485" t="s">
        <v>33</v>
      </c>
      <c r="Z1485" s="3">
        <f t="shared" si="734"/>
        <v>9.9999999999999992E-2</v>
      </c>
      <c r="AA1485" t="s">
        <v>33</v>
      </c>
      <c r="AB1485">
        <f>IFERROR(((X1485*O1485)/Z1485), "NA")</f>
        <v>50.25</v>
      </c>
      <c r="AC1485" s="1" t="str">
        <f>IFERROR(O1485*P1485,"NA")</f>
        <v>NA</v>
      </c>
      <c r="AE1485" s="3">
        <f t="shared" si="725"/>
        <v>97.283999999999992</v>
      </c>
      <c r="AF1485">
        <v>100.5</v>
      </c>
      <c r="AG1485" s="1" t="str">
        <f>IFERROR((P1485*#REF!*Q1485), "NA")</f>
        <v>NA</v>
      </c>
      <c r="AH1485" s="1" t="str">
        <f>IFERROR((AG1485*U1485*AI1485), "NA")</f>
        <v>NA</v>
      </c>
      <c r="AI1485" s="1">
        <v>1</v>
      </c>
      <c r="AJ1485" s="11" t="s">
        <v>31</v>
      </c>
      <c r="AK1485">
        <v>2000</v>
      </c>
      <c r="AL1485" t="s">
        <v>784</v>
      </c>
      <c r="AM1485" s="3" t="s">
        <v>103</v>
      </c>
      <c r="AN1485" t="s">
        <v>130</v>
      </c>
      <c r="AO1485" t="s">
        <v>795</v>
      </c>
      <c r="AP1485">
        <v>7</v>
      </c>
      <c r="AQ1485" t="s">
        <v>33</v>
      </c>
      <c r="AR1485" t="s">
        <v>33</v>
      </c>
      <c r="AS1485">
        <v>9</v>
      </c>
      <c r="AT1485">
        <f>AS1485-AU1485</f>
        <v>7.14</v>
      </c>
      <c r="AU1485" s="6">
        <v>1.86</v>
      </c>
      <c r="AV1485" t="b">
        <v>1</v>
      </c>
      <c r="AW1485" t="s">
        <v>617</v>
      </c>
      <c r="AX1485" t="s">
        <v>635</v>
      </c>
      <c r="AY1485" t="s">
        <v>636</v>
      </c>
      <c r="AZ1485" t="s">
        <v>33</v>
      </c>
      <c r="BA1485" s="18" t="s">
        <v>802</v>
      </c>
      <c r="BB1485" s="3" t="b">
        <v>0</v>
      </c>
      <c r="BC1485" t="s">
        <v>81</v>
      </c>
      <c r="BD1485">
        <v>24</v>
      </c>
      <c r="BE1485" t="s">
        <v>80</v>
      </c>
      <c r="BF1485">
        <v>24</v>
      </c>
      <c r="BG1485" t="s">
        <v>644</v>
      </c>
      <c r="BH1485" t="s">
        <v>31</v>
      </c>
      <c r="BI1485" t="s">
        <v>31</v>
      </c>
      <c r="BJ1485">
        <f t="shared" si="727"/>
        <v>1.86</v>
      </c>
      <c r="BK1485" s="3">
        <f t="shared" si="726"/>
        <v>0.26951294421791633</v>
      </c>
      <c r="BL1485">
        <v>2</v>
      </c>
      <c r="BM1485" s="3">
        <f t="shared" si="719"/>
        <v>1.7185284748469849</v>
      </c>
      <c r="BN1485" t="s">
        <v>33</v>
      </c>
      <c r="BO1485" s="3">
        <f t="shared" si="731"/>
        <v>52.303225806451607</v>
      </c>
      <c r="BP1485" t="s">
        <v>33</v>
      </c>
      <c r="BQ1485" t="s">
        <v>33</v>
      </c>
      <c r="BR1485" t="s">
        <v>33</v>
      </c>
      <c r="BS1485" t="s">
        <v>33</v>
      </c>
      <c r="BT1485" t="s">
        <v>31</v>
      </c>
      <c r="BU1485" t="s">
        <v>664</v>
      </c>
      <c r="BV1485">
        <v>2000</v>
      </c>
      <c r="BW1485" t="s">
        <v>665</v>
      </c>
      <c r="BX1485" t="s">
        <v>78</v>
      </c>
      <c r="BY1485" s="13" t="s">
        <v>685</v>
      </c>
      <c r="CA1485" t="str">
        <f t="shared" si="732"/>
        <v>low acid</v>
      </c>
    </row>
    <row r="1486" spans="1:79">
      <c r="A1486" t="s">
        <v>341</v>
      </c>
      <c r="B1486" t="s">
        <v>566</v>
      </c>
      <c r="C1486" t="s">
        <v>563</v>
      </c>
      <c r="D1486" t="s">
        <v>336</v>
      </c>
      <c r="E1486" t="s">
        <v>77</v>
      </c>
      <c r="F1486" t="s">
        <v>32</v>
      </c>
      <c r="G1486">
        <v>20</v>
      </c>
      <c r="H1486">
        <v>23</v>
      </c>
      <c r="I1486" t="b">
        <v>0</v>
      </c>
      <c r="J1486" t="s">
        <v>33</v>
      </c>
      <c r="K1486" t="s">
        <v>33</v>
      </c>
      <c r="L1486">
        <v>20</v>
      </c>
      <c r="M1486" s="4">
        <v>2</v>
      </c>
      <c r="N1486" s="3">
        <f>IFERROR(AF1486/((T1486*X1486/Y1486)*O1486*AI1486),"NA")</f>
        <v>2.1126760563380285</v>
      </c>
      <c r="O1486">
        <v>2</v>
      </c>
      <c r="P1486" t="s">
        <v>33</v>
      </c>
      <c r="Q1486" s="8">
        <f t="shared" si="733"/>
        <v>7.5</v>
      </c>
      <c r="R1486" t="s">
        <v>183</v>
      </c>
      <c r="S1486" t="s">
        <v>613</v>
      </c>
      <c r="T1486" s="11">
        <v>1</v>
      </c>
      <c r="U1486">
        <v>5</v>
      </c>
      <c r="V1486" t="s">
        <v>33</v>
      </c>
      <c r="W1486">
        <v>0.71</v>
      </c>
      <c r="X1486" s="8">
        <f t="shared" si="735"/>
        <v>0.71</v>
      </c>
      <c r="Y1486">
        <f>6/60</f>
        <v>0.1</v>
      </c>
      <c r="Z1486" s="3">
        <f t="shared" si="734"/>
        <v>9.4666666666666663E-2</v>
      </c>
      <c r="AA1486">
        <v>15</v>
      </c>
      <c r="AB1486" s="6">
        <f>IFERROR(((X1486*M1486)/Z1486), "NA")</f>
        <v>15</v>
      </c>
      <c r="AC1486" t="str">
        <f t="shared" ref="AC1486:AC1531" si="736">IFERROR(M1486*P1486,"NA")</f>
        <v>NA</v>
      </c>
      <c r="AD1486" s="4">
        <f>AB1486*T1486*AI1486</f>
        <v>60</v>
      </c>
      <c r="AE1486" s="3">
        <f t="shared" si="725"/>
        <v>307.2</v>
      </c>
      <c r="AF1486">
        <f>AI1486*AA1486*O1486</f>
        <v>120</v>
      </c>
      <c r="AG1486" t="str">
        <f>IFERROR((M1486*O1486*P1486), "NA")</f>
        <v>NA</v>
      </c>
      <c r="AH1486" t="str">
        <f>IFERROR((AG1486*T1486*AI1486), "NA")</f>
        <v>NA</v>
      </c>
      <c r="AI1486">
        <v>4</v>
      </c>
      <c r="AJ1486" s="11" t="s">
        <v>32</v>
      </c>
      <c r="AK1486">
        <v>6400</v>
      </c>
      <c r="AL1486" t="s">
        <v>561</v>
      </c>
      <c r="AM1486" s="3" t="s">
        <v>786</v>
      </c>
      <c r="AN1486" t="s">
        <v>186</v>
      </c>
      <c r="AO1486" t="s">
        <v>793</v>
      </c>
      <c r="AP1486" t="s">
        <v>33</v>
      </c>
      <c r="AQ1486" t="s">
        <v>33</v>
      </c>
      <c r="AR1486" t="s">
        <v>33</v>
      </c>
      <c r="AS1486" s="6">
        <f>LOG(10^8)</f>
        <v>8</v>
      </c>
      <c r="AT1486" s="3">
        <f>IFERROR(AS1486-AU1486,"NA")</f>
        <v>7.1459999999999999</v>
      </c>
      <c r="AU1486" s="6">
        <v>0.85399999999999998</v>
      </c>
      <c r="AV1486" t="b">
        <v>1</v>
      </c>
      <c r="AW1486" t="s">
        <v>29</v>
      </c>
      <c r="AX1486" t="s">
        <v>30</v>
      </c>
      <c r="AY1486" t="s">
        <v>33</v>
      </c>
      <c r="AZ1486" t="s">
        <v>134</v>
      </c>
      <c r="BA1486" s="18" t="s">
        <v>798</v>
      </c>
      <c r="BB1486" t="b">
        <v>0</v>
      </c>
      <c r="BC1486" t="s">
        <v>81</v>
      </c>
      <c r="BD1486">
        <v>18</v>
      </c>
      <c r="BE1486" t="s">
        <v>80</v>
      </c>
      <c r="BF1486" s="11">
        <v>24</v>
      </c>
      <c r="BG1486" t="s">
        <v>694</v>
      </c>
      <c r="BH1486" t="s">
        <v>31</v>
      </c>
      <c r="BI1486" t="s">
        <v>31</v>
      </c>
      <c r="BJ1486" s="3">
        <f t="shared" si="727"/>
        <v>0.85399999999999998</v>
      </c>
      <c r="BK1486" s="3">
        <f t="shared" si="726"/>
        <v>-6.8542129310994945E-2</v>
      </c>
      <c r="BL1486">
        <v>2</v>
      </c>
      <c r="BM1486" s="3">
        <f t="shared" si="719"/>
        <v>2.5559633406704694</v>
      </c>
      <c r="BN1486" t="s">
        <v>33</v>
      </c>
      <c r="BO1486" s="3">
        <f t="shared" si="731"/>
        <v>359.71896955503513</v>
      </c>
      <c r="BP1486" t="s">
        <v>33</v>
      </c>
      <c r="BQ1486" t="s">
        <v>33</v>
      </c>
      <c r="BR1486" t="s">
        <v>33</v>
      </c>
      <c r="BS1486" t="s">
        <v>33</v>
      </c>
      <c r="BT1486" t="s">
        <v>31</v>
      </c>
      <c r="BU1486" t="s">
        <v>338</v>
      </c>
      <c r="BV1486">
        <v>2006</v>
      </c>
      <c r="BW1486" t="s">
        <v>339</v>
      </c>
      <c r="BX1486" t="s">
        <v>78</v>
      </c>
      <c r="BY1486" t="s">
        <v>340</v>
      </c>
      <c r="BZ1486" t="s">
        <v>337</v>
      </c>
      <c r="CA1486" t="str">
        <f t="shared" si="732"/>
        <v>low acid</v>
      </c>
    </row>
    <row r="1487" spans="1:79">
      <c r="A1487" t="s">
        <v>600</v>
      </c>
      <c r="B1487" t="s">
        <v>566</v>
      </c>
      <c r="C1487" t="s">
        <v>563</v>
      </c>
      <c r="D1487" t="s">
        <v>33</v>
      </c>
      <c r="E1487" t="s">
        <v>77</v>
      </c>
      <c r="F1487" t="s">
        <v>33</v>
      </c>
      <c r="G1487" t="s">
        <v>33</v>
      </c>
      <c r="H1487">
        <v>35</v>
      </c>
      <c r="I1487" t="b">
        <v>0</v>
      </c>
      <c r="J1487" t="s">
        <v>33</v>
      </c>
      <c r="K1487" t="s">
        <v>33</v>
      </c>
      <c r="L1487">
        <v>25</v>
      </c>
      <c r="M1487" s="4">
        <v>1</v>
      </c>
      <c r="N1487" t="e">
        <f>(#REF!*Y1487)/(T1487*X1487*O1487)</f>
        <v>#REF!</v>
      </c>
      <c r="O1487">
        <v>2</v>
      </c>
      <c r="P1487" t="s">
        <v>33</v>
      </c>
      <c r="Q1487" s="1">
        <f t="shared" si="733"/>
        <v>10.734999999999999</v>
      </c>
      <c r="R1487" t="s">
        <v>183</v>
      </c>
      <c r="S1487" t="s">
        <v>33</v>
      </c>
      <c r="T1487">
        <v>1</v>
      </c>
      <c r="U1487">
        <v>2.5</v>
      </c>
      <c r="V1487" t="s">
        <v>33</v>
      </c>
      <c r="W1487">
        <v>0.50249999999999995</v>
      </c>
      <c r="X1487">
        <f t="shared" si="735"/>
        <v>0.50249999999999995</v>
      </c>
      <c r="Y1487" t="s">
        <v>33</v>
      </c>
      <c r="Z1487" s="3">
        <f t="shared" si="734"/>
        <v>4.6809501630181646E-2</v>
      </c>
      <c r="AA1487" t="s">
        <v>33</v>
      </c>
      <c r="AB1487">
        <f>IFERROR(((X1487*M1487)/Z1487), "NA")</f>
        <v>10.734999999999999</v>
      </c>
      <c r="AC1487" s="1" t="str">
        <f t="shared" si="736"/>
        <v>NA</v>
      </c>
      <c r="AE1487" s="3">
        <f t="shared" si="725"/>
        <v>26.837499999999999</v>
      </c>
      <c r="AF1487">
        <v>21.47</v>
      </c>
      <c r="AG1487" s="1" t="str">
        <f>IFERROR((N1487*P1487*Q1487), "NA")</f>
        <v>NA</v>
      </c>
      <c r="AH1487" s="1" t="str">
        <f>IFERROR((AG1487*U1487*AI1487), "NA")</f>
        <v>NA</v>
      </c>
      <c r="AI1487" s="1">
        <v>1</v>
      </c>
      <c r="AJ1487" s="11" t="s">
        <v>31</v>
      </c>
      <c r="AK1487">
        <v>2000</v>
      </c>
      <c r="AL1487" t="s">
        <v>784</v>
      </c>
      <c r="AM1487" s="3" t="s">
        <v>103</v>
      </c>
      <c r="AN1487" t="s">
        <v>130</v>
      </c>
      <c r="AO1487" t="s">
        <v>795</v>
      </c>
      <c r="AP1487">
        <v>7</v>
      </c>
      <c r="AQ1487" t="s">
        <v>33</v>
      </c>
      <c r="AR1487" t="s">
        <v>33</v>
      </c>
      <c r="AS1487">
        <v>8</v>
      </c>
      <c r="AT1487">
        <f>AS1487-AU1487</f>
        <v>7.15</v>
      </c>
      <c r="AU1487" s="6">
        <v>0.85</v>
      </c>
      <c r="AV1487" t="b">
        <v>1</v>
      </c>
      <c r="AW1487" t="s">
        <v>626</v>
      </c>
      <c r="AX1487" t="s">
        <v>627</v>
      </c>
      <c r="AY1487" t="s">
        <v>640</v>
      </c>
      <c r="AZ1487" t="s">
        <v>33</v>
      </c>
      <c r="BA1487" s="18" t="s">
        <v>800</v>
      </c>
      <c r="BB1487" s="3" t="b">
        <v>0</v>
      </c>
      <c r="BC1487" t="s">
        <v>81</v>
      </c>
      <c r="BD1487">
        <f>AVERAGE(24,30)</f>
        <v>27</v>
      </c>
      <c r="BE1487" t="s">
        <v>80</v>
      </c>
      <c r="BF1487">
        <v>24</v>
      </c>
      <c r="BG1487" t="s">
        <v>568</v>
      </c>
      <c r="BH1487" t="s">
        <v>31</v>
      </c>
      <c r="BI1487" t="s">
        <v>31</v>
      </c>
      <c r="BJ1487" s="3">
        <f t="shared" si="727"/>
        <v>0.85</v>
      </c>
      <c r="BK1487" s="3">
        <f t="shared" si="726"/>
        <v>-7.0581074285707285E-2</v>
      </c>
      <c r="BL1487">
        <v>2</v>
      </c>
      <c r="BM1487" s="3">
        <f t="shared" si="719"/>
        <v>1.4993231317300124</v>
      </c>
      <c r="BN1487" t="s">
        <v>33</v>
      </c>
      <c r="BO1487" s="3">
        <f t="shared" si="731"/>
        <v>31.573529411764707</v>
      </c>
      <c r="BP1487" t="s">
        <v>33</v>
      </c>
      <c r="BQ1487" t="s">
        <v>33</v>
      </c>
      <c r="BR1487" t="s">
        <v>33</v>
      </c>
      <c r="BS1487" t="s">
        <v>33</v>
      </c>
      <c r="BT1487" t="s">
        <v>31</v>
      </c>
      <c r="BU1487" t="s">
        <v>666</v>
      </c>
      <c r="BV1487" s="14">
        <v>2006</v>
      </c>
      <c r="BW1487" t="s">
        <v>667</v>
      </c>
      <c r="BX1487" t="s">
        <v>78</v>
      </c>
      <c r="BY1487" s="13" t="s">
        <v>688</v>
      </c>
      <c r="CA1487" t="str">
        <f t="shared" si="732"/>
        <v>low acid</v>
      </c>
    </row>
    <row r="1488" spans="1:79">
      <c r="A1488" t="s">
        <v>594</v>
      </c>
      <c r="B1488" t="s">
        <v>566</v>
      </c>
      <c r="C1488" t="s">
        <v>563</v>
      </c>
      <c r="D1488" t="s">
        <v>33</v>
      </c>
      <c r="E1488" t="s">
        <v>77</v>
      </c>
      <c r="F1488" t="s">
        <v>32</v>
      </c>
      <c r="G1488" t="s">
        <v>33</v>
      </c>
      <c r="H1488">
        <v>10</v>
      </c>
      <c r="I1488" t="b">
        <v>1</v>
      </c>
      <c r="J1488" t="s">
        <v>33</v>
      </c>
      <c r="K1488" t="s">
        <v>33</v>
      </c>
      <c r="L1488">
        <v>30</v>
      </c>
      <c r="M1488" s="4">
        <v>2</v>
      </c>
      <c r="N1488" t="e">
        <f>(#REF!*Y1488)/(T1488*X1488*O1488)</f>
        <v>#REF!</v>
      </c>
      <c r="O1488">
        <v>2</v>
      </c>
      <c r="P1488" t="s">
        <v>33</v>
      </c>
      <c r="Q1488" s="1">
        <f t="shared" si="733"/>
        <v>7.1</v>
      </c>
      <c r="R1488" t="s">
        <v>183</v>
      </c>
      <c r="S1488" t="s">
        <v>613</v>
      </c>
      <c r="T1488">
        <v>1</v>
      </c>
      <c r="U1488">
        <v>5</v>
      </c>
      <c r="V1488" t="s">
        <v>33</v>
      </c>
      <c r="W1488">
        <v>0.71</v>
      </c>
      <c r="X1488">
        <f t="shared" si="735"/>
        <v>0.71</v>
      </c>
      <c r="Y1488">
        <v>0.1</v>
      </c>
      <c r="Z1488" s="3">
        <f>Y1488</f>
        <v>0.1</v>
      </c>
      <c r="AA1488" s="3">
        <v>14.8409893992932</v>
      </c>
      <c r="AB1488">
        <f>IFERROR(((X1488*M1488)/Y1488), "NA")</f>
        <v>14.2</v>
      </c>
      <c r="AC1488" s="1" t="str">
        <f t="shared" si="736"/>
        <v>NA</v>
      </c>
      <c r="AE1488" s="3">
        <f t="shared" si="725"/>
        <v>391.06799999999998</v>
      </c>
      <c r="AF1488" t="s">
        <v>33</v>
      </c>
      <c r="AG1488" s="1">
        <f>IFERROR((M1488*O1488*Q1488), "NA")</f>
        <v>28.4</v>
      </c>
      <c r="AH1488" s="1">
        <f>IFERROR((AG1488*U1488*AI1488), "NA")</f>
        <v>426</v>
      </c>
      <c r="AI1488" s="1">
        <v>3</v>
      </c>
      <c r="AJ1488" s="11" t="s">
        <v>31</v>
      </c>
      <c r="AK1488">
        <f>5100</f>
        <v>5100</v>
      </c>
      <c r="AL1488" t="s">
        <v>561</v>
      </c>
      <c r="AM1488" s="3" t="s">
        <v>786</v>
      </c>
      <c r="AN1488" t="s">
        <v>186</v>
      </c>
      <c r="AO1488" t="s">
        <v>793</v>
      </c>
      <c r="AP1488" t="s">
        <v>33</v>
      </c>
      <c r="AQ1488" t="s">
        <v>33</v>
      </c>
      <c r="AR1488" t="s">
        <v>33</v>
      </c>
      <c r="AS1488">
        <v>8</v>
      </c>
      <c r="AT1488">
        <f>AS1488-AU1488</f>
        <v>7.16</v>
      </c>
      <c r="AU1488" s="6">
        <v>0.84</v>
      </c>
      <c r="AV1488" t="b">
        <v>1</v>
      </c>
      <c r="AW1488" t="s">
        <v>617</v>
      </c>
      <c r="AX1488" t="s">
        <v>624</v>
      </c>
      <c r="AY1488" t="s">
        <v>622</v>
      </c>
      <c r="AZ1488" t="s">
        <v>33</v>
      </c>
      <c r="BA1488" s="18" t="s">
        <v>802</v>
      </c>
      <c r="BB1488" s="3" t="b">
        <v>0</v>
      </c>
      <c r="BC1488" t="s">
        <v>81</v>
      </c>
      <c r="BD1488">
        <v>18</v>
      </c>
      <c r="BE1488" t="s">
        <v>80</v>
      </c>
      <c r="BF1488">
        <v>24</v>
      </c>
      <c r="BG1488" t="s">
        <v>696</v>
      </c>
      <c r="BH1488" t="s">
        <v>32</v>
      </c>
      <c r="BI1488" t="s">
        <v>31</v>
      </c>
      <c r="BJ1488">
        <f t="shared" si="727"/>
        <v>0.84</v>
      </c>
      <c r="BK1488" s="3">
        <f t="shared" si="726"/>
        <v>-7.5720713938118356E-2</v>
      </c>
      <c r="BL1488">
        <v>2</v>
      </c>
      <c r="BM1488" s="3">
        <f t="shared" si="719"/>
        <v>2.6679729942420796</v>
      </c>
      <c r="BN1488" t="s">
        <v>33</v>
      </c>
      <c r="BO1488" s="3">
        <f t="shared" si="731"/>
        <v>465.55714285714288</v>
      </c>
      <c r="BP1488" t="s">
        <v>33</v>
      </c>
      <c r="BQ1488" t="s">
        <v>33</v>
      </c>
      <c r="BR1488" t="s">
        <v>33</v>
      </c>
      <c r="BS1488" t="s">
        <v>33</v>
      </c>
      <c r="BT1488" t="s">
        <v>31</v>
      </c>
      <c r="BU1488" t="s">
        <v>338</v>
      </c>
      <c r="BV1488">
        <v>2006</v>
      </c>
      <c r="BW1488" t="s">
        <v>339</v>
      </c>
      <c r="BX1488" t="s">
        <v>78</v>
      </c>
      <c r="BY1488" s="13" t="s">
        <v>682</v>
      </c>
      <c r="CA1488" t="str">
        <f t="shared" si="732"/>
        <v>low acid</v>
      </c>
    </row>
    <row r="1489" spans="1:79">
      <c r="A1489" t="s">
        <v>592</v>
      </c>
      <c r="B1489" t="s">
        <v>566</v>
      </c>
      <c r="C1489" t="s">
        <v>563</v>
      </c>
      <c r="D1489" t="s">
        <v>607</v>
      </c>
      <c r="E1489" t="s">
        <v>77</v>
      </c>
      <c r="F1489" t="s">
        <v>32</v>
      </c>
      <c r="G1489" t="s">
        <v>33</v>
      </c>
      <c r="H1489">
        <v>35</v>
      </c>
      <c r="I1489" t="b">
        <v>0</v>
      </c>
      <c r="J1489">
        <v>30000</v>
      </c>
      <c r="K1489">
        <v>200</v>
      </c>
      <c r="L1489">
        <v>15</v>
      </c>
      <c r="M1489" s="4">
        <v>1</v>
      </c>
      <c r="N1489" t="e">
        <f>(#REF!*Y1489)/(T1489*X1489*O1489)</f>
        <v>#REF!</v>
      </c>
      <c r="O1489">
        <v>3</v>
      </c>
      <c r="P1489" t="s">
        <v>33</v>
      </c>
      <c r="Q1489" s="1">
        <f t="shared" si="733"/>
        <v>25.699999999999996</v>
      </c>
      <c r="R1489" t="s">
        <v>183</v>
      </c>
      <c r="S1489" t="s">
        <v>33</v>
      </c>
      <c r="T1489">
        <v>1</v>
      </c>
      <c r="U1489">
        <v>2.5</v>
      </c>
      <c r="V1489" t="s">
        <v>33</v>
      </c>
      <c r="W1489">
        <v>0.50249999999999995</v>
      </c>
      <c r="X1489">
        <f t="shared" si="735"/>
        <v>0.50249999999999995</v>
      </c>
      <c r="Y1489" t="s">
        <v>33</v>
      </c>
      <c r="Z1489" s="3">
        <f>IFERROR(X1489*M1489*O1489*T1489*AI1489/AF1489, "NA")</f>
        <v>1.9552529182879377E-2</v>
      </c>
      <c r="AA1489" t="s">
        <v>33</v>
      </c>
      <c r="AB1489">
        <f>IFERROR(((X1489*M1489)/Z1489), "NA")</f>
        <v>25.699999999999996</v>
      </c>
      <c r="AC1489" s="1" t="str">
        <f t="shared" si="736"/>
        <v>NA</v>
      </c>
      <c r="AE1489" s="3">
        <f t="shared" si="725"/>
        <v>17.347499999999997</v>
      </c>
      <c r="AF1489">
        <v>77.099999999999994</v>
      </c>
      <c r="AG1489" s="1" t="str">
        <f>IFERROR((N1489*P1489*Q1489), "NA")</f>
        <v>NA</v>
      </c>
      <c r="AH1489" s="1" t="str">
        <f>IFERROR((AG1489*U1489*AI1489), "NA")</f>
        <v>NA</v>
      </c>
      <c r="AI1489" s="1">
        <v>1</v>
      </c>
      <c r="AJ1489" s="11" t="s">
        <v>31</v>
      </c>
      <c r="AK1489">
        <v>1000</v>
      </c>
      <c r="AL1489" t="s">
        <v>614</v>
      </c>
      <c r="AM1489" s="3" t="s">
        <v>103</v>
      </c>
      <c r="AN1489" t="s">
        <v>305</v>
      </c>
      <c r="AO1489" t="s">
        <v>790</v>
      </c>
      <c r="AP1489">
        <v>3.5</v>
      </c>
      <c r="AQ1489" t="s">
        <v>33</v>
      </c>
      <c r="AR1489" t="s">
        <v>33</v>
      </c>
      <c r="AS1489">
        <v>8</v>
      </c>
      <c r="AT1489">
        <f>AS1489-AU1489</f>
        <v>7.16</v>
      </c>
      <c r="AU1489" s="6">
        <v>0.84</v>
      </c>
      <c r="AV1489" t="b">
        <v>1</v>
      </c>
      <c r="AW1489" t="s">
        <v>626</v>
      </c>
      <c r="AX1489" t="s">
        <v>627</v>
      </c>
      <c r="AY1489" t="s">
        <v>633</v>
      </c>
      <c r="AZ1489" t="s">
        <v>33</v>
      </c>
      <c r="BA1489" s="18" t="s">
        <v>800</v>
      </c>
      <c r="BB1489" s="3" t="b">
        <v>0</v>
      </c>
      <c r="BC1489" t="s">
        <v>81</v>
      </c>
      <c r="BD1489">
        <v>24</v>
      </c>
      <c r="BE1489" t="s">
        <v>80</v>
      </c>
      <c r="BF1489">
        <v>48</v>
      </c>
      <c r="BG1489" t="s">
        <v>569</v>
      </c>
      <c r="BH1489" t="s">
        <v>31</v>
      </c>
      <c r="BI1489" t="s">
        <v>31</v>
      </c>
      <c r="BJ1489">
        <f t="shared" si="727"/>
        <v>0.84</v>
      </c>
      <c r="BK1489" s="3">
        <f t="shared" si="726"/>
        <v>-7.5720713938118356E-2</v>
      </c>
      <c r="BL1489">
        <v>2</v>
      </c>
      <c r="BM1489" s="3">
        <f t="shared" si="719"/>
        <v>1.3149576101004377</v>
      </c>
      <c r="BN1489" t="s">
        <v>33</v>
      </c>
      <c r="BO1489" s="3">
        <f t="shared" si="731"/>
        <v>20.651785714285712</v>
      </c>
      <c r="BP1489" t="s">
        <v>33</v>
      </c>
      <c r="BQ1489" t="s">
        <v>33</v>
      </c>
      <c r="BR1489" t="s">
        <v>33</v>
      </c>
      <c r="BS1489" t="s">
        <v>33</v>
      </c>
      <c r="BT1489" t="s">
        <v>31</v>
      </c>
      <c r="BU1489" s="15" t="s">
        <v>255</v>
      </c>
      <c r="BV1489">
        <v>2010</v>
      </c>
      <c r="BW1489" t="s">
        <v>659</v>
      </c>
      <c r="BX1489" t="s">
        <v>78</v>
      </c>
      <c r="BY1489" s="13" t="s">
        <v>680</v>
      </c>
      <c r="CA1489" t="str">
        <f t="shared" si="732"/>
        <v>high acid</v>
      </c>
    </row>
    <row r="1490" spans="1:79">
      <c r="A1490" t="s">
        <v>537</v>
      </c>
      <c r="B1490" t="s">
        <v>565</v>
      </c>
      <c r="C1490" t="s">
        <v>563</v>
      </c>
      <c r="D1490" t="s">
        <v>118</v>
      </c>
      <c r="E1490" t="s">
        <v>77</v>
      </c>
      <c r="F1490" t="s">
        <v>32</v>
      </c>
      <c r="G1490">
        <v>5</v>
      </c>
      <c r="H1490">
        <v>50</v>
      </c>
      <c r="I1490" t="b">
        <v>0</v>
      </c>
      <c r="J1490" t="s">
        <v>33</v>
      </c>
      <c r="K1490" t="s">
        <v>33</v>
      </c>
      <c r="L1490">
        <v>21</v>
      </c>
      <c r="M1490" s="4">
        <v>1250</v>
      </c>
      <c r="N1490" s="3">
        <f>IFERROR(AF1490/((T1490*X1490/Y1490)*O1490*AI1490),"NA")</f>
        <v>1251.8542771932757</v>
      </c>
      <c r="O1490">
        <v>2</v>
      </c>
      <c r="P1490" t="s">
        <v>33</v>
      </c>
      <c r="Q1490" s="8">
        <f t="shared" si="733"/>
        <v>1.2066666666666668E-2</v>
      </c>
      <c r="R1490" t="s">
        <v>183</v>
      </c>
      <c r="S1490" t="s">
        <v>613</v>
      </c>
      <c r="T1490" s="11">
        <v>6</v>
      </c>
      <c r="U1490">
        <v>2.9</v>
      </c>
      <c r="V1490">
        <v>2.2999999999999998</v>
      </c>
      <c r="W1490" t="s">
        <v>33</v>
      </c>
      <c r="X1490" s="8">
        <f>IFERROR(((PI())*(((V1490*10^-1)/2)^2)*(U1490*10^-1)), "NA")</f>
        <v>1.204879322468025E-2</v>
      </c>
      <c r="Y1490" s="6">
        <f>60/60</f>
        <v>1</v>
      </c>
      <c r="Z1490" s="3">
        <f>IFERROR(X1490*M1490*O1490*T1490*AI1490/AF1490, "NA")</f>
        <v>0.99851877552598745</v>
      </c>
      <c r="AA1490" t="s">
        <v>33</v>
      </c>
      <c r="AB1490" s="6">
        <f>IFERROR(((X1490*M1490)/Z1490), "NA")</f>
        <v>15.083333333333336</v>
      </c>
      <c r="AC1490" t="str">
        <f t="shared" si="736"/>
        <v>NA</v>
      </c>
      <c r="AD1490" s="4">
        <f>IFERROR(AB1490*T1490*AI1490, "NA")</f>
        <v>90.500000000000014</v>
      </c>
      <c r="AE1490" s="3">
        <f t="shared" si="725"/>
        <v>128.35216800000001</v>
      </c>
      <c r="AF1490">
        <v>181</v>
      </c>
      <c r="AG1490" t="str">
        <f>IFERROR((M1490*O1490*P1490), "NA")</f>
        <v>NA</v>
      </c>
      <c r="AH1490" t="str">
        <f>IFERROR((AG1490*T1490*AI1490), "NA")</f>
        <v>NA</v>
      </c>
      <c r="AI1490" s="11">
        <v>1</v>
      </c>
      <c r="AJ1490" t="s">
        <v>31</v>
      </c>
      <c r="AK1490">
        <v>1608</v>
      </c>
      <c r="AL1490" t="s">
        <v>149</v>
      </c>
      <c r="AM1490" t="s">
        <v>86</v>
      </c>
      <c r="AN1490" t="s">
        <v>205</v>
      </c>
      <c r="AO1490" t="s">
        <v>789</v>
      </c>
      <c r="AP1490">
        <v>3.41</v>
      </c>
      <c r="AQ1490" t="s">
        <v>33</v>
      </c>
      <c r="AR1490" t="s">
        <v>33</v>
      </c>
      <c r="AS1490" s="3">
        <v>9</v>
      </c>
      <c r="AT1490" s="3">
        <f>IFERROR(AS1490-AU1490,"NA")</f>
        <v>7.16</v>
      </c>
      <c r="AU1490" s="6">
        <v>1.84</v>
      </c>
      <c r="AV1490" t="b">
        <v>1</v>
      </c>
      <c r="AW1490" t="s">
        <v>29</v>
      </c>
      <c r="AX1490" t="s">
        <v>30</v>
      </c>
      <c r="AY1490" t="s">
        <v>33</v>
      </c>
      <c r="AZ1490" t="s">
        <v>134</v>
      </c>
      <c r="BA1490" s="18" t="s">
        <v>798</v>
      </c>
      <c r="BB1490" t="b">
        <v>0</v>
      </c>
      <c r="BC1490" t="s">
        <v>81</v>
      </c>
      <c r="BD1490">
        <f>18</f>
        <v>18</v>
      </c>
      <c r="BE1490" t="s">
        <v>80</v>
      </c>
      <c r="BF1490" s="11">
        <v>24</v>
      </c>
      <c r="BG1490" t="s">
        <v>262</v>
      </c>
      <c r="BH1490" t="s">
        <v>31</v>
      </c>
      <c r="BI1490" t="s">
        <v>31</v>
      </c>
      <c r="BJ1490" s="3">
        <f t="shared" si="727"/>
        <v>1.84</v>
      </c>
      <c r="BK1490" s="3">
        <f t="shared" si="726"/>
        <v>0.26481782300953649</v>
      </c>
      <c r="BL1490">
        <v>2</v>
      </c>
      <c r="BM1490" s="3">
        <f t="shared" si="719"/>
        <v>1.8435853857399191</v>
      </c>
      <c r="BN1490" t="s">
        <v>33</v>
      </c>
      <c r="BO1490" s="3">
        <f t="shared" si="731"/>
        <v>69.756613043478268</v>
      </c>
      <c r="BP1490" t="s">
        <v>33</v>
      </c>
      <c r="BQ1490" t="s">
        <v>33</v>
      </c>
      <c r="BR1490" t="s">
        <v>33</v>
      </c>
      <c r="BS1490" t="s">
        <v>33</v>
      </c>
      <c r="BT1490" t="s">
        <v>31</v>
      </c>
      <c r="BU1490" t="s">
        <v>190</v>
      </c>
      <c r="BV1490">
        <v>2021</v>
      </c>
      <c r="BW1490" s="5" t="s">
        <v>191</v>
      </c>
      <c r="BX1490" t="s">
        <v>78</v>
      </c>
      <c r="BY1490" t="s">
        <v>33</v>
      </c>
      <c r="BZ1490" t="s">
        <v>150</v>
      </c>
      <c r="CA1490" t="str">
        <f t="shared" si="732"/>
        <v>high acid</v>
      </c>
    </row>
    <row r="1491" spans="1:79">
      <c r="A1491" t="s">
        <v>594</v>
      </c>
      <c r="B1491" t="s">
        <v>566</v>
      </c>
      <c r="C1491" t="s">
        <v>563</v>
      </c>
      <c r="D1491" t="s">
        <v>33</v>
      </c>
      <c r="E1491" t="s">
        <v>77</v>
      </c>
      <c r="F1491" t="s">
        <v>32</v>
      </c>
      <c r="G1491" t="s">
        <v>33</v>
      </c>
      <c r="H1491">
        <v>20</v>
      </c>
      <c r="I1491" t="b">
        <v>1</v>
      </c>
      <c r="J1491" t="s">
        <v>33</v>
      </c>
      <c r="K1491" t="s">
        <v>33</v>
      </c>
      <c r="L1491">
        <v>20</v>
      </c>
      <c r="M1491" s="4">
        <v>2</v>
      </c>
      <c r="N1491" t="e">
        <f>(#REF!*Y1491)/(T1491*X1491*O1491)</f>
        <v>#REF!</v>
      </c>
      <c r="O1491">
        <v>2</v>
      </c>
      <c r="P1491" t="s">
        <v>33</v>
      </c>
      <c r="Q1491" s="1">
        <f t="shared" si="733"/>
        <v>7.1</v>
      </c>
      <c r="R1491" t="s">
        <v>183</v>
      </c>
      <c r="S1491" t="s">
        <v>613</v>
      </c>
      <c r="T1491">
        <v>1</v>
      </c>
      <c r="U1491">
        <v>5</v>
      </c>
      <c r="V1491" t="s">
        <v>33</v>
      </c>
      <c r="W1491">
        <v>0.71</v>
      </c>
      <c r="X1491">
        <f>W1491</f>
        <v>0.71</v>
      </c>
      <c r="Y1491">
        <v>0.1</v>
      </c>
      <c r="Z1491" s="3">
        <f>Y1491</f>
        <v>0.1</v>
      </c>
      <c r="AA1491" s="3">
        <v>14.8409893992932</v>
      </c>
      <c r="AB1491">
        <f>IFERROR(((X1491*M1491)/Y1491), "NA")</f>
        <v>14.2</v>
      </c>
      <c r="AC1491" s="1" t="str">
        <f t="shared" si="736"/>
        <v>NA</v>
      </c>
      <c r="AE1491" s="3">
        <f t="shared" si="725"/>
        <v>218.11199999999997</v>
      </c>
      <c r="AF1491" t="s">
        <v>33</v>
      </c>
      <c r="AG1491" s="1">
        <f>IFERROR((M1491*O1491*Q1491), "NA")</f>
        <v>28.4</v>
      </c>
      <c r="AH1491" s="1">
        <f>IFERROR((AG1491*U1491*AI1491), "NA")</f>
        <v>426</v>
      </c>
      <c r="AI1491" s="1">
        <v>3</v>
      </c>
      <c r="AJ1491" s="11" t="s">
        <v>31</v>
      </c>
      <c r="AK1491">
        <f>AVERAGE(5100, 7700)</f>
        <v>6400</v>
      </c>
      <c r="AL1491" t="s">
        <v>561</v>
      </c>
      <c r="AM1491" s="3" t="s">
        <v>786</v>
      </c>
      <c r="AN1491" t="s">
        <v>186</v>
      </c>
      <c r="AO1491" t="s">
        <v>793</v>
      </c>
      <c r="AP1491" t="s">
        <v>33</v>
      </c>
      <c r="AQ1491" t="s">
        <v>33</v>
      </c>
      <c r="AR1491" t="s">
        <v>33</v>
      </c>
      <c r="AS1491">
        <v>8</v>
      </c>
      <c r="AT1491">
        <f>AS1491-AU1491</f>
        <v>7.17</v>
      </c>
      <c r="AU1491" s="6">
        <v>0.83</v>
      </c>
      <c r="AV1491" t="b">
        <v>1</v>
      </c>
      <c r="AW1491" t="s">
        <v>617</v>
      </c>
      <c r="AX1491" t="s">
        <v>624</v>
      </c>
      <c r="AY1491" t="s">
        <v>622</v>
      </c>
      <c r="AZ1491" t="s">
        <v>33</v>
      </c>
      <c r="BA1491" s="18" t="s">
        <v>802</v>
      </c>
      <c r="BB1491" s="3" t="b">
        <v>0</v>
      </c>
      <c r="BC1491" t="s">
        <v>81</v>
      </c>
      <c r="BD1491">
        <v>18</v>
      </c>
      <c r="BE1491" t="s">
        <v>80</v>
      </c>
      <c r="BF1491">
        <v>24</v>
      </c>
      <c r="BG1491" t="s">
        <v>696</v>
      </c>
      <c r="BH1491" t="s">
        <v>32</v>
      </c>
      <c r="BI1491" t="s">
        <v>31</v>
      </c>
      <c r="BJ1491">
        <f t="shared" si="727"/>
        <v>0.83</v>
      </c>
      <c r="BK1491" s="3">
        <f t="shared" si="726"/>
        <v>-8.092190762392612E-2</v>
      </c>
      <c r="BL1491">
        <v>2</v>
      </c>
      <c r="BM1491" s="3">
        <f t="shared" ref="BM1491:BM1530" si="737">IFERROR(LOG(BO1491),"NA")</f>
        <v>2.4196014677024755</v>
      </c>
      <c r="BN1491" t="s">
        <v>33</v>
      </c>
      <c r="BO1491" s="3">
        <f t="shared" si="731"/>
        <v>262.78554216867468</v>
      </c>
      <c r="BP1491" t="s">
        <v>33</v>
      </c>
      <c r="BQ1491" t="s">
        <v>33</v>
      </c>
      <c r="BR1491" t="s">
        <v>33</v>
      </c>
      <c r="BS1491" t="s">
        <v>33</v>
      </c>
      <c r="BT1491" t="s">
        <v>31</v>
      </c>
      <c r="BU1491" t="s">
        <v>338</v>
      </c>
      <c r="BV1491">
        <v>2006</v>
      </c>
      <c r="BW1491" t="s">
        <v>339</v>
      </c>
      <c r="BX1491" t="s">
        <v>78</v>
      </c>
      <c r="BY1491" s="13" t="s">
        <v>682</v>
      </c>
      <c r="CA1491" t="str">
        <f t="shared" si="732"/>
        <v>low acid</v>
      </c>
    </row>
    <row r="1492" spans="1:79">
      <c r="A1492" t="s">
        <v>592</v>
      </c>
      <c r="B1492" t="s">
        <v>566</v>
      </c>
      <c r="C1492" t="s">
        <v>563</v>
      </c>
      <c r="D1492" t="s">
        <v>607</v>
      </c>
      <c r="E1492" t="s">
        <v>77</v>
      </c>
      <c r="F1492" t="s">
        <v>32</v>
      </c>
      <c r="G1492" t="s">
        <v>33</v>
      </c>
      <c r="H1492">
        <v>35</v>
      </c>
      <c r="I1492" t="b">
        <v>0</v>
      </c>
      <c r="J1492">
        <v>30000</v>
      </c>
      <c r="K1492">
        <v>200</v>
      </c>
      <c r="L1492">
        <v>15</v>
      </c>
      <c r="M1492" s="4">
        <v>1</v>
      </c>
      <c r="N1492" t="e">
        <f>(#REF!*Y1492)/(T1492*X1492*O1492)</f>
        <v>#REF!</v>
      </c>
      <c r="O1492">
        <v>3</v>
      </c>
      <c r="P1492" t="s">
        <v>33</v>
      </c>
      <c r="Q1492" s="1">
        <f t="shared" si="733"/>
        <v>168.33333333333334</v>
      </c>
      <c r="R1492" t="s">
        <v>183</v>
      </c>
      <c r="S1492" t="s">
        <v>33</v>
      </c>
      <c r="T1492">
        <v>1</v>
      </c>
      <c r="U1492">
        <v>2.5</v>
      </c>
      <c r="V1492" t="s">
        <v>33</v>
      </c>
      <c r="W1492">
        <v>0.50249999999999995</v>
      </c>
      <c r="X1492">
        <f>W1492</f>
        <v>0.50249999999999995</v>
      </c>
      <c r="Y1492" t="s">
        <v>33</v>
      </c>
      <c r="Z1492" s="3">
        <f t="shared" ref="Z1492:Z1500" si="738">IFERROR(X1492*M1492*O1492*T1492*AI1492/AF1492, "NA")</f>
        <v>2.9851485148514848E-3</v>
      </c>
      <c r="AA1492" t="s">
        <v>33</v>
      </c>
      <c r="AB1492">
        <f>IFERROR(((X1492*M1492)/Z1492), "NA")</f>
        <v>168.33333333333334</v>
      </c>
      <c r="AC1492" s="1" t="str">
        <f t="shared" si="736"/>
        <v>NA</v>
      </c>
      <c r="AE1492" s="3">
        <f t="shared" si="725"/>
        <v>113.625</v>
      </c>
      <c r="AF1492">
        <v>505</v>
      </c>
      <c r="AG1492" s="1" t="str">
        <f>IFERROR((N1492*P1492*Q1492), "NA")</f>
        <v>NA</v>
      </c>
      <c r="AH1492" s="1" t="str">
        <f>IFERROR((AG1492*U1492*AI1492), "NA")</f>
        <v>NA</v>
      </c>
      <c r="AI1492" s="1">
        <v>1</v>
      </c>
      <c r="AJ1492" s="11" t="s">
        <v>31</v>
      </c>
      <c r="AK1492">
        <v>1000</v>
      </c>
      <c r="AL1492" t="s">
        <v>614</v>
      </c>
      <c r="AM1492" s="3" t="s">
        <v>103</v>
      </c>
      <c r="AN1492" t="s">
        <v>130</v>
      </c>
      <c r="AO1492" t="s">
        <v>795</v>
      </c>
      <c r="AP1492">
        <v>5.5</v>
      </c>
      <c r="AQ1492" t="s">
        <v>33</v>
      </c>
      <c r="AR1492" t="s">
        <v>33</v>
      </c>
      <c r="AS1492">
        <v>8</v>
      </c>
      <c r="AT1492">
        <f>AS1492-AU1492</f>
        <v>7.17</v>
      </c>
      <c r="AU1492" s="6">
        <v>0.83</v>
      </c>
      <c r="AV1492" t="b">
        <v>1</v>
      </c>
      <c r="AW1492" t="s">
        <v>626</v>
      </c>
      <c r="AX1492" t="s">
        <v>627</v>
      </c>
      <c r="AY1492" t="s">
        <v>633</v>
      </c>
      <c r="AZ1492" t="s">
        <v>33</v>
      </c>
      <c r="BA1492" s="18" t="s">
        <v>800</v>
      </c>
      <c r="BB1492" s="3" t="b">
        <v>0</v>
      </c>
      <c r="BC1492" t="s">
        <v>81</v>
      </c>
      <c r="BD1492">
        <v>24</v>
      </c>
      <c r="BE1492" t="s">
        <v>80</v>
      </c>
      <c r="BF1492">
        <v>48</v>
      </c>
      <c r="BG1492" t="s">
        <v>569</v>
      </c>
      <c r="BH1492" t="s">
        <v>31</v>
      </c>
      <c r="BI1492" t="s">
        <v>31</v>
      </c>
      <c r="BJ1492">
        <f t="shared" si="727"/>
        <v>0.83</v>
      </c>
      <c r="BK1492" s="3">
        <f t="shared" si="726"/>
        <v>-8.092190762392612E-2</v>
      </c>
      <c r="BL1492">
        <v>2</v>
      </c>
      <c r="BM1492" s="3">
        <f t="shared" si="737"/>
        <v>2.1363958038539499</v>
      </c>
      <c r="BN1492" t="s">
        <v>33</v>
      </c>
      <c r="BO1492" s="3">
        <f t="shared" si="731"/>
        <v>136.89759036144579</v>
      </c>
      <c r="BP1492" t="s">
        <v>33</v>
      </c>
      <c r="BQ1492" t="s">
        <v>33</v>
      </c>
      <c r="BR1492" t="s">
        <v>33</v>
      </c>
      <c r="BS1492" t="s">
        <v>33</v>
      </c>
      <c r="BT1492" t="s">
        <v>31</v>
      </c>
      <c r="BU1492" s="15" t="s">
        <v>255</v>
      </c>
      <c r="BV1492">
        <v>2010</v>
      </c>
      <c r="BW1492" t="s">
        <v>659</v>
      </c>
      <c r="BX1492" t="s">
        <v>78</v>
      </c>
      <c r="BY1492" s="13" t="s">
        <v>680</v>
      </c>
      <c r="CA1492" t="str">
        <f t="shared" si="732"/>
        <v>low acid</v>
      </c>
    </row>
    <row r="1493" spans="1:79">
      <c r="A1493" t="s">
        <v>597</v>
      </c>
      <c r="B1493" t="s">
        <v>565</v>
      </c>
      <c r="C1493" t="s">
        <v>563</v>
      </c>
      <c r="D1493" t="s">
        <v>33</v>
      </c>
      <c r="E1493" t="s">
        <v>77</v>
      </c>
      <c r="F1493" t="s">
        <v>33</v>
      </c>
      <c r="G1493">
        <v>20</v>
      </c>
      <c r="H1493">
        <v>35</v>
      </c>
      <c r="I1493" t="b">
        <v>0</v>
      </c>
      <c r="J1493" t="s">
        <v>33</v>
      </c>
      <c r="K1493" t="s">
        <v>33</v>
      </c>
      <c r="L1493">
        <v>22</v>
      </c>
      <c r="M1493" s="4">
        <v>3</v>
      </c>
      <c r="N1493" t="e">
        <f>(#REF!*Y1493)/(T1493*X1493*O1493)</f>
        <v>#REF!</v>
      </c>
      <c r="O1493">
        <v>2</v>
      </c>
      <c r="P1493" t="s">
        <v>33</v>
      </c>
      <c r="Q1493" s="1">
        <f t="shared" si="733"/>
        <v>17.515000000000001</v>
      </c>
      <c r="R1493" t="s">
        <v>183</v>
      </c>
      <c r="S1493" t="s">
        <v>33</v>
      </c>
      <c r="T1493">
        <v>1</v>
      </c>
      <c r="U1493">
        <v>2.5</v>
      </c>
      <c r="V1493" t="s">
        <v>33</v>
      </c>
      <c r="W1493">
        <v>0.50249999999999995</v>
      </c>
      <c r="X1493">
        <f>W1493</f>
        <v>0.50249999999999995</v>
      </c>
      <c r="Y1493" t="s">
        <v>33</v>
      </c>
      <c r="Z1493" s="3">
        <f t="shared" si="738"/>
        <v>2.8689694547530686E-2</v>
      </c>
      <c r="AA1493" t="s">
        <v>33</v>
      </c>
      <c r="AB1493">
        <f>IFERROR(((X1493*M1493)/Z1493), "NA")</f>
        <v>52.545000000000002</v>
      </c>
      <c r="AC1493" s="1" t="str">
        <f t="shared" si="736"/>
        <v>NA</v>
      </c>
      <c r="AE1493" s="3">
        <f t="shared" si="725"/>
        <v>101.72712</v>
      </c>
      <c r="AF1493">
        <v>105.09</v>
      </c>
      <c r="AG1493" s="1" t="str">
        <f>IFERROR((N1493*P1493*Q1493), "NA")</f>
        <v>NA</v>
      </c>
      <c r="AH1493" s="1" t="str">
        <f>IFERROR((AG1493*U1493*AI1493), "NA")</f>
        <v>NA</v>
      </c>
      <c r="AI1493" s="1">
        <v>1</v>
      </c>
      <c r="AJ1493" s="11" t="s">
        <v>31</v>
      </c>
      <c r="AK1493">
        <v>2000</v>
      </c>
      <c r="AL1493" t="s">
        <v>784</v>
      </c>
      <c r="AM1493" s="3" t="s">
        <v>103</v>
      </c>
      <c r="AN1493" t="s">
        <v>130</v>
      </c>
      <c r="AO1493" t="s">
        <v>795</v>
      </c>
      <c r="AP1493">
        <v>7</v>
      </c>
      <c r="AQ1493" t="s">
        <v>33</v>
      </c>
      <c r="AR1493" t="s">
        <v>33</v>
      </c>
      <c r="AS1493">
        <v>9</v>
      </c>
      <c r="AT1493">
        <f>AS1493-AU1493</f>
        <v>7.17</v>
      </c>
      <c r="AU1493" s="6">
        <v>1.83</v>
      </c>
      <c r="AV1493" t="b">
        <v>1</v>
      </c>
      <c r="AW1493" t="s">
        <v>617</v>
      </c>
      <c r="AX1493" t="s">
        <v>635</v>
      </c>
      <c r="AY1493" t="s">
        <v>636</v>
      </c>
      <c r="AZ1493" t="s">
        <v>33</v>
      </c>
      <c r="BA1493" s="18" t="s">
        <v>802</v>
      </c>
      <c r="BB1493" s="3" t="b">
        <v>0</v>
      </c>
      <c r="BC1493" t="s">
        <v>81</v>
      </c>
      <c r="BD1493">
        <v>24</v>
      </c>
      <c r="BE1493" t="s">
        <v>80</v>
      </c>
      <c r="BF1493">
        <v>24</v>
      </c>
      <c r="BG1493" t="s">
        <v>644</v>
      </c>
      <c r="BH1493" t="s">
        <v>31</v>
      </c>
      <c r="BI1493" t="s">
        <v>31</v>
      </c>
      <c r="BJ1493">
        <f t="shared" si="727"/>
        <v>1.83</v>
      </c>
      <c r="BK1493" s="3">
        <f t="shared" si="726"/>
        <v>0.26245108973042947</v>
      </c>
      <c r="BL1493">
        <v>2</v>
      </c>
      <c r="BM1493" s="3">
        <f t="shared" si="737"/>
        <v>1.744985659615319</v>
      </c>
      <c r="BN1493" t="s">
        <v>33</v>
      </c>
      <c r="BO1493" s="3">
        <f t="shared" si="731"/>
        <v>55.588590163934427</v>
      </c>
      <c r="BP1493" t="s">
        <v>33</v>
      </c>
      <c r="BQ1493" t="s">
        <v>33</v>
      </c>
      <c r="BR1493" t="s">
        <v>33</v>
      </c>
      <c r="BS1493" t="s">
        <v>33</v>
      </c>
      <c r="BT1493" t="s">
        <v>31</v>
      </c>
      <c r="BU1493" t="s">
        <v>664</v>
      </c>
      <c r="BV1493">
        <v>2000</v>
      </c>
      <c r="BW1493" t="s">
        <v>665</v>
      </c>
      <c r="BX1493" t="s">
        <v>78</v>
      </c>
      <c r="BY1493" s="13" t="s">
        <v>685</v>
      </c>
      <c r="CA1493" t="str">
        <f t="shared" si="732"/>
        <v>low acid</v>
      </c>
    </row>
    <row r="1494" spans="1:79">
      <c r="A1494" t="s">
        <v>584</v>
      </c>
      <c r="B1494" t="s">
        <v>566</v>
      </c>
      <c r="C1494" t="s">
        <v>563</v>
      </c>
      <c r="D1494" t="s">
        <v>607</v>
      </c>
      <c r="E1494" t="s">
        <v>77</v>
      </c>
      <c r="F1494" t="s">
        <v>33</v>
      </c>
      <c r="G1494">
        <v>20</v>
      </c>
      <c r="H1494">
        <v>35</v>
      </c>
      <c r="I1494" t="b">
        <v>0</v>
      </c>
      <c r="J1494">
        <v>1000</v>
      </c>
      <c r="K1494">
        <v>200</v>
      </c>
      <c r="L1494">
        <v>15</v>
      </c>
      <c r="M1494" s="4">
        <v>1</v>
      </c>
      <c r="N1494" t="e">
        <f>(#REF!*Y1494)/(T1494*X1494*O1494)</f>
        <v>#REF!</v>
      </c>
      <c r="O1494">
        <v>3</v>
      </c>
      <c r="P1494" t="s">
        <v>33</v>
      </c>
      <c r="Q1494" s="1">
        <f t="shared" si="733"/>
        <v>25.000000000000004</v>
      </c>
      <c r="R1494" t="s">
        <v>183</v>
      </c>
      <c r="S1494" t="s">
        <v>33</v>
      </c>
      <c r="T1494">
        <v>1</v>
      </c>
      <c r="U1494">
        <v>2.5</v>
      </c>
      <c r="V1494" t="s">
        <v>33</v>
      </c>
      <c r="W1494">
        <v>0.50249999999999995</v>
      </c>
      <c r="X1494">
        <f>W1494</f>
        <v>0.50249999999999995</v>
      </c>
      <c r="Y1494" t="s">
        <v>33</v>
      </c>
      <c r="Z1494" s="3">
        <f t="shared" si="738"/>
        <v>2.0099999999999996E-2</v>
      </c>
      <c r="AA1494" t="s">
        <v>33</v>
      </c>
      <c r="AB1494">
        <f>IFERROR(((X1494*M1494)/Z1494), "NA")</f>
        <v>25.000000000000004</v>
      </c>
      <c r="AC1494" s="1" t="str">
        <f t="shared" si="736"/>
        <v>NA</v>
      </c>
      <c r="AE1494" s="3">
        <f t="shared" si="725"/>
        <v>16.875</v>
      </c>
      <c r="AF1494">
        <v>75</v>
      </c>
      <c r="AG1494" s="1" t="str">
        <f>IFERROR((N1494*P1494*Q1494), "NA")</f>
        <v>NA</v>
      </c>
      <c r="AH1494" s="1" t="str">
        <f>IFERROR((AG1494*U1494*AI1494), "NA")</f>
        <v>NA</v>
      </c>
      <c r="AI1494" s="1">
        <v>1</v>
      </c>
      <c r="AJ1494" s="11" t="s">
        <v>31</v>
      </c>
      <c r="AK1494">
        <v>1000</v>
      </c>
      <c r="AL1494" t="s">
        <v>614</v>
      </c>
      <c r="AM1494" s="3" t="s">
        <v>103</v>
      </c>
      <c r="AN1494" t="s">
        <v>305</v>
      </c>
      <c r="AO1494" t="s">
        <v>790</v>
      </c>
      <c r="AP1494">
        <v>3.5</v>
      </c>
      <c r="AQ1494" t="s">
        <v>33</v>
      </c>
      <c r="AR1494" t="s">
        <v>33</v>
      </c>
      <c r="AS1494">
        <v>8</v>
      </c>
      <c r="AT1494">
        <f>AS1494-AU1494</f>
        <v>7.18</v>
      </c>
      <c r="AU1494" s="6">
        <v>0.82</v>
      </c>
      <c r="AV1494" t="b">
        <v>1</v>
      </c>
      <c r="AW1494" t="s">
        <v>617</v>
      </c>
      <c r="AX1494" t="s">
        <v>33</v>
      </c>
      <c r="AY1494" t="s">
        <v>623</v>
      </c>
      <c r="AZ1494" t="s">
        <v>621</v>
      </c>
      <c r="BA1494" s="18" t="s">
        <v>802</v>
      </c>
      <c r="BB1494" s="3" t="b">
        <v>0</v>
      </c>
      <c r="BC1494" t="s">
        <v>81</v>
      </c>
      <c r="BD1494">
        <v>18</v>
      </c>
      <c r="BE1494" t="s">
        <v>80</v>
      </c>
      <c r="BF1494">
        <v>24</v>
      </c>
      <c r="BG1494" t="s">
        <v>569</v>
      </c>
      <c r="BH1494" t="s">
        <v>31</v>
      </c>
      <c r="BI1494" t="s">
        <v>31</v>
      </c>
      <c r="BJ1494">
        <f t="shared" si="727"/>
        <v>0.82</v>
      </c>
      <c r="BK1494" s="3">
        <f t="shared" si="726"/>
        <v>-8.6186147616283335E-2</v>
      </c>
      <c r="BL1494">
        <v>2</v>
      </c>
      <c r="BM1494" s="3">
        <f t="shared" si="737"/>
        <v>1.3134299291193459</v>
      </c>
      <c r="BN1494" t="s">
        <v>33</v>
      </c>
      <c r="BO1494" s="3">
        <f t="shared" si="731"/>
        <v>20.579268292682929</v>
      </c>
      <c r="BP1494" t="s">
        <v>33</v>
      </c>
      <c r="BQ1494" t="s">
        <v>33</v>
      </c>
      <c r="BR1494" t="s">
        <v>33</v>
      </c>
      <c r="BS1494" t="s">
        <v>33</v>
      </c>
      <c r="BT1494" t="s">
        <v>31</v>
      </c>
      <c r="BU1494" t="s">
        <v>255</v>
      </c>
      <c r="BV1494">
        <v>2010</v>
      </c>
      <c r="BW1494" t="s">
        <v>651</v>
      </c>
      <c r="BX1494" t="s">
        <v>78</v>
      </c>
      <c r="BY1494" s="13" t="s">
        <v>674</v>
      </c>
      <c r="CA1494" t="str">
        <f t="shared" si="732"/>
        <v>high acid</v>
      </c>
    </row>
    <row r="1495" spans="1:79">
      <c r="A1495" t="s">
        <v>341</v>
      </c>
      <c r="B1495" t="s">
        <v>566</v>
      </c>
      <c r="C1495" t="s">
        <v>563</v>
      </c>
      <c r="D1495" t="s">
        <v>336</v>
      </c>
      <c r="E1495" t="s">
        <v>77</v>
      </c>
      <c r="F1495" t="s">
        <v>32</v>
      </c>
      <c r="G1495">
        <v>30</v>
      </c>
      <c r="H1495">
        <v>33</v>
      </c>
      <c r="I1495" t="b">
        <v>0</v>
      </c>
      <c r="J1495" t="s">
        <v>33</v>
      </c>
      <c r="K1495" t="s">
        <v>33</v>
      </c>
      <c r="L1495">
        <v>20</v>
      </c>
      <c r="M1495" s="4">
        <v>2</v>
      </c>
      <c r="N1495" s="3">
        <f t="shared" ref="N1495:N1500" si="739">IFERROR(AF1495/((T1495*X1495/Y1495)*O1495*AI1495),"NA")</f>
        <v>2.1126760563380285</v>
      </c>
      <c r="O1495">
        <v>2</v>
      </c>
      <c r="P1495" t="s">
        <v>33</v>
      </c>
      <c r="Q1495" s="8">
        <f t="shared" si="733"/>
        <v>7.5</v>
      </c>
      <c r="R1495" t="s">
        <v>183</v>
      </c>
      <c r="S1495" t="s">
        <v>613</v>
      </c>
      <c r="T1495" s="11">
        <v>1</v>
      </c>
      <c r="U1495">
        <v>5</v>
      </c>
      <c r="V1495" t="s">
        <v>33</v>
      </c>
      <c r="W1495">
        <v>0.71</v>
      </c>
      <c r="X1495" s="8">
        <f>W1495</f>
        <v>0.71</v>
      </c>
      <c r="Y1495">
        <f>6/60</f>
        <v>0.1</v>
      </c>
      <c r="Z1495" s="3">
        <f t="shared" si="738"/>
        <v>9.4666666666666663E-2</v>
      </c>
      <c r="AA1495">
        <v>15</v>
      </c>
      <c r="AB1495" s="6">
        <f>IFERROR(((X1495*M1495)/Z1495), "NA")</f>
        <v>15</v>
      </c>
      <c r="AC1495" t="str">
        <f t="shared" si="736"/>
        <v>NA</v>
      </c>
      <c r="AD1495" s="4">
        <f>AB1495*T1495*AI1495</f>
        <v>45</v>
      </c>
      <c r="AE1495" s="3">
        <f t="shared" si="725"/>
        <v>277.20000000000005</v>
      </c>
      <c r="AF1495">
        <f>AI1495*AA1495*O1495</f>
        <v>90</v>
      </c>
      <c r="AG1495" t="str">
        <f t="shared" ref="AG1495:AG1500" si="740">IFERROR((M1495*O1495*P1495), "NA")</f>
        <v>NA</v>
      </c>
      <c r="AH1495" t="str">
        <f t="shared" ref="AH1495:AH1500" si="741">IFERROR((AG1495*T1495*AI1495), "NA")</f>
        <v>NA</v>
      </c>
      <c r="AI1495">
        <v>3</v>
      </c>
      <c r="AJ1495" s="11" t="s">
        <v>32</v>
      </c>
      <c r="AK1495">
        <v>7700</v>
      </c>
      <c r="AL1495" t="s">
        <v>561</v>
      </c>
      <c r="AM1495" s="3" t="s">
        <v>786</v>
      </c>
      <c r="AN1495" t="s">
        <v>186</v>
      </c>
      <c r="AO1495" t="s">
        <v>793</v>
      </c>
      <c r="AP1495" t="s">
        <v>33</v>
      </c>
      <c r="AQ1495" t="s">
        <v>33</v>
      </c>
      <c r="AR1495" t="s">
        <v>33</v>
      </c>
      <c r="AS1495" s="6">
        <f>LOG(10^8)</f>
        <v>8</v>
      </c>
      <c r="AT1495" s="3">
        <f t="shared" ref="AT1495:AT1500" si="742">IFERROR(AS1495-AU1495,"NA")</f>
        <v>7.181</v>
      </c>
      <c r="AU1495" s="6">
        <v>0.81899999999999995</v>
      </c>
      <c r="AV1495" t="b">
        <v>1</v>
      </c>
      <c r="AW1495" t="s">
        <v>29</v>
      </c>
      <c r="AX1495" t="s">
        <v>30</v>
      </c>
      <c r="AY1495" t="s">
        <v>33</v>
      </c>
      <c r="AZ1495" t="s">
        <v>134</v>
      </c>
      <c r="BA1495" s="18" t="s">
        <v>798</v>
      </c>
      <c r="BB1495" t="b">
        <v>0</v>
      </c>
      <c r="BC1495" t="s">
        <v>81</v>
      </c>
      <c r="BD1495">
        <v>18</v>
      </c>
      <c r="BE1495" t="s">
        <v>80</v>
      </c>
      <c r="BF1495" s="11">
        <v>24</v>
      </c>
      <c r="BG1495" t="s">
        <v>694</v>
      </c>
      <c r="BH1495" t="s">
        <v>31</v>
      </c>
      <c r="BI1495" t="s">
        <v>31</v>
      </c>
      <c r="BJ1495" s="3">
        <f t="shared" si="727"/>
        <v>0.81899999999999995</v>
      </c>
      <c r="BK1495" s="3">
        <f t="shared" si="726"/>
        <v>-8.6716098239581554E-2</v>
      </c>
      <c r="BL1495">
        <v>2</v>
      </c>
      <c r="BM1495" s="3">
        <f t="shared" si="737"/>
        <v>2.5295093241793509</v>
      </c>
      <c r="BN1495" t="s">
        <v>33</v>
      </c>
      <c r="BO1495" s="3">
        <f t="shared" si="731"/>
        <v>338.46153846153851</v>
      </c>
      <c r="BP1495" t="s">
        <v>33</v>
      </c>
      <c r="BQ1495" t="s">
        <v>33</v>
      </c>
      <c r="BR1495" t="s">
        <v>33</v>
      </c>
      <c r="BS1495" t="s">
        <v>33</v>
      </c>
      <c r="BT1495" t="s">
        <v>31</v>
      </c>
      <c r="BU1495" t="s">
        <v>338</v>
      </c>
      <c r="BV1495">
        <v>2006</v>
      </c>
      <c r="BW1495" t="s">
        <v>339</v>
      </c>
      <c r="BX1495" t="s">
        <v>78</v>
      </c>
      <c r="BY1495" t="s">
        <v>340</v>
      </c>
      <c r="BZ1495" t="s">
        <v>337</v>
      </c>
      <c r="CA1495" t="str">
        <f t="shared" si="732"/>
        <v>low acid</v>
      </c>
    </row>
    <row r="1496" spans="1:79">
      <c r="A1496" t="s">
        <v>505</v>
      </c>
      <c r="B1496" t="s">
        <v>565</v>
      </c>
      <c r="C1496" t="s">
        <v>563</v>
      </c>
      <c r="D1496" t="s">
        <v>118</v>
      </c>
      <c r="E1496" t="s">
        <v>77</v>
      </c>
      <c r="F1496" t="s">
        <v>32</v>
      </c>
      <c r="G1496">
        <v>15</v>
      </c>
      <c r="H1496">
        <v>30</v>
      </c>
      <c r="I1496" t="b">
        <v>0</v>
      </c>
      <c r="J1496" t="s">
        <v>33</v>
      </c>
      <c r="K1496" t="s">
        <v>33</v>
      </c>
      <c r="L1496">
        <v>20</v>
      </c>
      <c r="M1496" s="4">
        <v>200</v>
      </c>
      <c r="N1496" s="3" t="str">
        <f t="shared" si="739"/>
        <v>NA</v>
      </c>
      <c r="O1496">
        <v>2</v>
      </c>
      <c r="P1496" s="9" t="s">
        <v>33</v>
      </c>
      <c r="Q1496" s="8">
        <f t="shared" si="733"/>
        <v>4.1666666666666664E-2</v>
      </c>
      <c r="R1496" t="s">
        <v>183</v>
      </c>
      <c r="S1496" t="s">
        <v>613</v>
      </c>
      <c r="T1496" s="11">
        <v>6</v>
      </c>
      <c r="U1496">
        <v>2.92</v>
      </c>
      <c r="V1496">
        <v>2.2999999999999998</v>
      </c>
      <c r="W1496" t="s">
        <v>33</v>
      </c>
      <c r="X1496" s="9">
        <f>IFERROR(((PI())*(((V1496*10^-1)/2)^2)*(U1496*10^-1)), "NA")</f>
        <v>1.2131888350367701E-2</v>
      </c>
      <c r="Y1496" s="6" t="s">
        <v>33</v>
      </c>
      <c r="Z1496" s="3">
        <f t="shared" si="738"/>
        <v>0.29116532040882481</v>
      </c>
      <c r="AA1496" t="s">
        <v>33</v>
      </c>
      <c r="AB1496" s="4" t="str">
        <f>IFERROR(((X1496*M1496)/Y1496), "NA")</f>
        <v>NA</v>
      </c>
      <c r="AC1496" s="4" t="str">
        <f t="shared" si="736"/>
        <v>NA</v>
      </c>
      <c r="AD1496" s="4" t="str">
        <f>IFERROR(AB1496*T1496*AI1496, "NA")</f>
        <v>NA</v>
      </c>
      <c r="AE1496" s="3">
        <f t="shared" si="725"/>
        <v>80</v>
      </c>
      <c r="AF1496">
        <v>100</v>
      </c>
      <c r="AG1496" s="4" t="str">
        <f t="shared" si="740"/>
        <v>NA</v>
      </c>
      <c r="AH1496" s="4" t="str">
        <f t="shared" si="741"/>
        <v>NA</v>
      </c>
      <c r="AI1496" s="11">
        <v>1</v>
      </c>
      <c r="AJ1496" t="s">
        <v>31</v>
      </c>
      <c r="AK1496">
        <v>2000</v>
      </c>
      <c r="AL1496" t="s">
        <v>506</v>
      </c>
      <c r="AM1496" s="3" t="s">
        <v>103</v>
      </c>
      <c r="AN1496" t="s">
        <v>130</v>
      </c>
      <c r="AO1496" t="s">
        <v>795</v>
      </c>
      <c r="AP1496">
        <v>7.2</v>
      </c>
      <c r="AQ1496" t="s">
        <v>33</v>
      </c>
      <c r="AR1496" t="s">
        <v>33</v>
      </c>
      <c r="AS1496" s="6">
        <f>LOG(10^8)</f>
        <v>8</v>
      </c>
      <c r="AT1496" s="3">
        <f t="shared" si="742"/>
        <v>7.1970000000000001</v>
      </c>
      <c r="AU1496" s="6">
        <v>0.80300000000000005</v>
      </c>
      <c r="AV1496" t="b">
        <v>1</v>
      </c>
      <c r="AW1496" t="s">
        <v>172</v>
      </c>
      <c r="AX1496" t="s">
        <v>173</v>
      </c>
      <c r="AY1496" t="s">
        <v>213</v>
      </c>
      <c r="AZ1496" t="s">
        <v>33</v>
      </c>
      <c r="BA1496" s="18" t="s">
        <v>799</v>
      </c>
      <c r="BB1496" s="3" t="b">
        <v>0</v>
      </c>
      <c r="BC1496" t="s">
        <v>81</v>
      </c>
      <c r="BD1496">
        <v>16</v>
      </c>
      <c r="BE1496" t="s">
        <v>80</v>
      </c>
      <c r="BF1496" s="11">
        <v>48</v>
      </c>
      <c r="BG1496" t="s">
        <v>522</v>
      </c>
      <c r="BH1496" t="s">
        <v>31</v>
      </c>
      <c r="BI1496" t="s">
        <v>31</v>
      </c>
      <c r="BJ1496" s="3">
        <f t="shared" si="727"/>
        <v>0.80300000000000005</v>
      </c>
      <c r="BK1496" s="3">
        <f t="shared" si="726"/>
        <v>-9.5284454721319037E-2</v>
      </c>
      <c r="BL1496">
        <v>2</v>
      </c>
      <c r="BM1496" s="3">
        <f t="shared" si="737"/>
        <v>1.9983744417132627</v>
      </c>
      <c r="BN1496" t="s">
        <v>33</v>
      </c>
      <c r="BO1496" s="3">
        <f t="shared" si="731"/>
        <v>99.62640099626401</v>
      </c>
      <c r="BP1496" t="s">
        <v>33</v>
      </c>
      <c r="BQ1496" t="s">
        <v>33</v>
      </c>
      <c r="BR1496" t="s">
        <v>33</v>
      </c>
      <c r="BS1496" t="s">
        <v>33</v>
      </c>
      <c r="BT1496" t="s">
        <v>31</v>
      </c>
      <c r="BU1496" t="s">
        <v>344</v>
      </c>
      <c r="BV1496">
        <v>2014</v>
      </c>
      <c r="BW1496" t="s">
        <v>507</v>
      </c>
      <c r="BX1496" t="s">
        <v>78</v>
      </c>
      <c r="BY1496" t="s">
        <v>33</v>
      </c>
      <c r="BZ1496" t="s">
        <v>33</v>
      </c>
      <c r="CA1496" t="str">
        <f t="shared" si="732"/>
        <v>low acid</v>
      </c>
    </row>
    <row r="1497" spans="1:79">
      <c r="A1497" t="s">
        <v>181</v>
      </c>
      <c r="B1497" t="s">
        <v>565</v>
      </c>
      <c r="C1497" t="s">
        <v>563</v>
      </c>
      <c r="D1497" t="s">
        <v>118</v>
      </c>
      <c r="E1497" t="s">
        <v>77</v>
      </c>
      <c r="F1497" t="s">
        <v>32</v>
      </c>
      <c r="G1497">
        <v>22</v>
      </c>
      <c r="H1497">
        <v>35</v>
      </c>
      <c r="I1497" t="b">
        <v>0</v>
      </c>
      <c r="J1497" t="s">
        <v>33</v>
      </c>
      <c r="K1497" t="s">
        <v>33</v>
      </c>
      <c r="L1497">
        <v>20</v>
      </c>
      <c r="M1497" s="4">
        <v>1000</v>
      </c>
      <c r="N1497" s="3">
        <f t="shared" si="739"/>
        <v>1000.1191061872564</v>
      </c>
      <c r="O1497">
        <v>3</v>
      </c>
      <c r="P1497" t="s">
        <v>33</v>
      </c>
      <c r="Q1497" s="8">
        <f t="shared" si="733"/>
        <v>1.2133333333333333E-2</v>
      </c>
      <c r="R1497" t="s">
        <v>183</v>
      </c>
      <c r="S1497" t="s">
        <v>613</v>
      </c>
      <c r="T1497" s="11">
        <v>4</v>
      </c>
      <c r="U1497">
        <v>2.92</v>
      </c>
      <c r="V1497">
        <v>2.2999999999999998</v>
      </c>
      <c r="W1497" t="s">
        <v>33</v>
      </c>
      <c r="X1497" s="8">
        <f>IFERROR(((PI())*(((V1497*10^-1)/2)^2)*(U1497*10^-1)), "NA")</f>
        <v>1.2131888350367701E-2</v>
      </c>
      <c r="Y1497">
        <v>1</v>
      </c>
      <c r="Z1497" s="9">
        <f t="shared" si="738"/>
        <v>0.99988090799733798</v>
      </c>
      <c r="AA1497">
        <v>12</v>
      </c>
      <c r="AB1497" s="6">
        <f>IFERROR(((X1497*M1497)/Z1497), "NA")</f>
        <v>12.133333333333333</v>
      </c>
      <c r="AC1497" t="str">
        <f t="shared" si="736"/>
        <v>NA</v>
      </c>
      <c r="AD1497" s="4">
        <f>IFERROR(AB1497*T1497*AI1497, "NA")</f>
        <v>48.533333333333331</v>
      </c>
      <c r="AE1497" s="3">
        <f t="shared" si="725"/>
        <v>116.47999999999999</v>
      </c>
      <c r="AF1497">
        <v>145.6</v>
      </c>
      <c r="AG1497" t="str">
        <f t="shared" si="740"/>
        <v>NA</v>
      </c>
      <c r="AH1497" t="str">
        <f t="shared" si="741"/>
        <v>NA</v>
      </c>
      <c r="AI1497" s="11">
        <v>1</v>
      </c>
      <c r="AJ1497" t="s">
        <v>31</v>
      </c>
      <c r="AK1497">
        <v>2000</v>
      </c>
      <c r="AL1497" t="s">
        <v>114</v>
      </c>
      <c r="AM1497" t="s">
        <v>103</v>
      </c>
      <c r="AN1497" t="s">
        <v>130</v>
      </c>
      <c r="AO1497" t="s">
        <v>795</v>
      </c>
      <c r="AP1497" t="s">
        <v>33</v>
      </c>
      <c r="AQ1497" t="s">
        <v>33</v>
      </c>
      <c r="AR1497" t="s">
        <v>33</v>
      </c>
      <c r="AS1497" s="6">
        <f>LOG(2*10^8)</f>
        <v>8.3010299956639813</v>
      </c>
      <c r="AT1497" s="3">
        <f t="shared" si="742"/>
        <v>7.2010299956639816</v>
      </c>
      <c r="AU1497" s="6">
        <v>1.1000000000000001</v>
      </c>
      <c r="AV1497" t="b">
        <v>1</v>
      </c>
      <c r="AW1497" t="s">
        <v>92</v>
      </c>
      <c r="AX1497" t="s">
        <v>93</v>
      </c>
      <c r="AY1497" t="s">
        <v>94</v>
      </c>
      <c r="AZ1497" t="s">
        <v>33</v>
      </c>
      <c r="BA1497" s="18" t="s">
        <v>801</v>
      </c>
      <c r="BB1497" t="b">
        <v>0</v>
      </c>
      <c r="BC1497" t="s">
        <v>81</v>
      </c>
      <c r="BD1497" t="s">
        <v>33</v>
      </c>
      <c r="BE1497" t="s">
        <v>33</v>
      </c>
      <c r="BF1497" s="11">
        <v>48</v>
      </c>
      <c r="BG1497" t="s">
        <v>569</v>
      </c>
      <c r="BH1497" t="s">
        <v>31</v>
      </c>
      <c r="BI1497" t="s">
        <v>31</v>
      </c>
      <c r="BJ1497" s="3">
        <f t="shared" si="727"/>
        <v>1.1000000000000001</v>
      </c>
      <c r="BK1497" s="3">
        <f t="shared" si="726"/>
        <v>4.1392685158225077E-2</v>
      </c>
      <c r="BL1497">
        <v>2</v>
      </c>
      <c r="BM1497" s="3">
        <f t="shared" si="737"/>
        <v>2.0248586768107368</v>
      </c>
      <c r="BN1497" t="s">
        <v>33</v>
      </c>
      <c r="BO1497" s="3">
        <f t="shared" si="731"/>
        <v>105.89090909090908</v>
      </c>
      <c r="BP1497" t="s">
        <v>33</v>
      </c>
      <c r="BQ1497" t="s">
        <v>33</v>
      </c>
      <c r="BR1497" t="s">
        <v>33</v>
      </c>
      <c r="BS1497" t="s">
        <v>33</v>
      </c>
      <c r="BT1497" t="s">
        <v>32</v>
      </c>
      <c r="BU1497" t="s">
        <v>177</v>
      </c>
      <c r="BV1497">
        <v>2001</v>
      </c>
      <c r="BW1497" s="2" t="s">
        <v>178</v>
      </c>
      <c r="BX1497" t="s">
        <v>78</v>
      </c>
      <c r="BY1497" t="s">
        <v>33</v>
      </c>
      <c r="BZ1497" t="s">
        <v>33</v>
      </c>
      <c r="CA1497" t="str">
        <f t="shared" si="732"/>
        <v>low acid</v>
      </c>
    </row>
    <row r="1498" spans="1:79">
      <c r="A1498" t="s">
        <v>722</v>
      </c>
      <c r="B1498" t="s">
        <v>566</v>
      </c>
      <c r="C1498" t="s">
        <v>563</v>
      </c>
      <c r="D1498" t="s">
        <v>699</v>
      </c>
      <c r="E1498" t="s">
        <v>77</v>
      </c>
      <c r="F1498" t="s">
        <v>32</v>
      </c>
      <c r="G1498">
        <v>20</v>
      </c>
      <c r="H1498">
        <v>41</v>
      </c>
      <c r="I1498" t="b">
        <v>1</v>
      </c>
      <c r="J1498" t="s">
        <v>33</v>
      </c>
      <c r="K1498" t="s">
        <v>33</v>
      </c>
      <c r="L1498">
        <v>20</v>
      </c>
      <c r="M1498" s="4">
        <v>30</v>
      </c>
      <c r="N1498" s="3">
        <f t="shared" si="739"/>
        <v>29.861111111111104</v>
      </c>
      <c r="O1498">
        <v>5</v>
      </c>
      <c r="P1498">
        <v>0.43</v>
      </c>
      <c r="Q1498" s="8">
        <f>IFERROR(X1498/Y1498, "NA")</f>
        <v>0.43200000000000011</v>
      </c>
      <c r="R1498" t="s">
        <v>183</v>
      </c>
      <c r="S1498" t="s">
        <v>612</v>
      </c>
      <c r="T1498" s="11">
        <v>1</v>
      </c>
      <c r="U1498">
        <v>4</v>
      </c>
      <c r="V1498" t="s">
        <v>33</v>
      </c>
      <c r="W1498">
        <f>0.4*3*0.5</f>
        <v>0.60000000000000009</v>
      </c>
      <c r="X1498" s="9">
        <f>W1498</f>
        <v>0.60000000000000009</v>
      </c>
      <c r="Y1498" s="6">
        <f>5000/3600</f>
        <v>1.3888888888888888</v>
      </c>
      <c r="Z1498" s="3">
        <f t="shared" si="738"/>
        <v>1.3953488372093026</v>
      </c>
      <c r="AA1498" t="s">
        <v>33</v>
      </c>
      <c r="AB1498" s="4">
        <f>IFERROR(((X1498*M1498)/Y1498), "NA")</f>
        <v>12.960000000000003</v>
      </c>
      <c r="AC1498" s="4">
        <f t="shared" si="736"/>
        <v>12.9</v>
      </c>
      <c r="AD1498" s="4">
        <f>AB1498*T1498*AI1498</f>
        <v>12.960000000000003</v>
      </c>
      <c r="AE1498" s="3">
        <f t="shared" si="725"/>
        <v>51.840000000000011</v>
      </c>
      <c r="AF1498">
        <v>64.5</v>
      </c>
      <c r="AG1498" s="4">
        <f t="shared" si="740"/>
        <v>64.5</v>
      </c>
      <c r="AH1498" s="4">
        <f t="shared" si="741"/>
        <v>64.5</v>
      </c>
      <c r="AI1498">
        <v>1</v>
      </c>
      <c r="AJ1498" s="11" t="s">
        <v>31</v>
      </c>
      <c r="AK1498">
        <v>2000</v>
      </c>
      <c r="AL1498" t="s">
        <v>784</v>
      </c>
      <c r="AM1498" t="s">
        <v>103</v>
      </c>
      <c r="AN1498" t="s">
        <v>130</v>
      </c>
      <c r="AO1498" t="s">
        <v>795</v>
      </c>
      <c r="AP1498">
        <v>7</v>
      </c>
      <c r="AQ1498" t="s">
        <v>33</v>
      </c>
      <c r="AR1498" t="s">
        <v>33</v>
      </c>
      <c r="AS1498" s="6">
        <f>LOG(AVERAGE(10^8, 10^9))</f>
        <v>8.7403626894942441</v>
      </c>
      <c r="AT1498" s="3">
        <f t="shared" si="742"/>
        <v>7.2043626894942445</v>
      </c>
      <c r="AU1498" s="6">
        <v>1.536</v>
      </c>
      <c r="AV1498" t="b">
        <v>1</v>
      </c>
      <c r="AW1498" t="s">
        <v>123</v>
      </c>
      <c r="AX1498" t="s">
        <v>88</v>
      </c>
      <c r="AY1498" t="s">
        <v>732</v>
      </c>
      <c r="AZ1498" t="s">
        <v>33</v>
      </c>
      <c r="BA1498" s="18" t="s">
        <v>579</v>
      </c>
      <c r="BB1498" s="3" t="b">
        <v>1</v>
      </c>
      <c r="BC1498" t="s">
        <v>81</v>
      </c>
      <c r="BD1498">
        <v>24</v>
      </c>
      <c r="BE1498" t="s">
        <v>80</v>
      </c>
      <c r="BF1498">
        <v>48</v>
      </c>
      <c r="BG1498" t="s">
        <v>395</v>
      </c>
      <c r="BH1498" t="s">
        <v>31</v>
      </c>
      <c r="BI1498" t="s">
        <v>31</v>
      </c>
      <c r="BJ1498" s="3">
        <f t="shared" si="727"/>
        <v>1.536</v>
      </c>
      <c r="BK1498" s="3">
        <f t="shared" si="726"/>
        <v>0.18639121569549319</v>
      </c>
      <c r="BL1498">
        <v>2</v>
      </c>
      <c r="BM1498" s="3">
        <f t="shared" si="737"/>
        <v>1.5282737771670438</v>
      </c>
      <c r="BN1498" t="s">
        <v>33</v>
      </c>
      <c r="BO1498" s="3">
        <f t="shared" si="731"/>
        <v>33.750000000000007</v>
      </c>
      <c r="BP1498" t="s">
        <v>33</v>
      </c>
      <c r="BQ1498" t="s">
        <v>33</v>
      </c>
      <c r="BR1498" t="s">
        <v>33</v>
      </c>
      <c r="BS1498" t="s">
        <v>33</v>
      </c>
      <c r="BT1498" t="s">
        <v>32</v>
      </c>
      <c r="BU1498" t="s">
        <v>709</v>
      </c>
      <c r="BV1498">
        <v>2024</v>
      </c>
      <c r="BW1498" t="s">
        <v>710</v>
      </c>
      <c r="BX1498" t="s">
        <v>78</v>
      </c>
      <c r="BY1498" t="s">
        <v>711</v>
      </c>
      <c r="CA1498" t="str">
        <f t="shared" si="732"/>
        <v>low acid</v>
      </c>
    </row>
    <row r="1499" spans="1:79">
      <c r="A1499" t="s">
        <v>392</v>
      </c>
      <c r="B1499" t="s">
        <v>565</v>
      </c>
      <c r="C1499" t="s">
        <v>563</v>
      </c>
      <c r="D1499" t="s">
        <v>118</v>
      </c>
      <c r="E1499" t="s">
        <v>77</v>
      </c>
      <c r="F1499" t="s">
        <v>32</v>
      </c>
      <c r="G1499">
        <v>25</v>
      </c>
      <c r="H1499">
        <v>36</v>
      </c>
      <c r="I1499" t="b">
        <v>0</v>
      </c>
      <c r="J1499" t="s">
        <v>33</v>
      </c>
      <c r="K1499" t="s">
        <v>33</v>
      </c>
      <c r="L1499">
        <v>15</v>
      </c>
      <c r="M1499" s="4">
        <v>200</v>
      </c>
      <c r="N1499" s="3" t="str">
        <f t="shared" si="739"/>
        <v>NA</v>
      </c>
      <c r="O1499">
        <v>4</v>
      </c>
      <c r="P1499" t="s">
        <v>33</v>
      </c>
      <c r="Q1499" s="8">
        <f t="shared" ref="Q1499:Q1506" si="743">IFERROR(X1499/Z1499, "NA")</f>
        <v>2.3437500000000003E-2</v>
      </c>
      <c r="R1499" t="s">
        <v>183</v>
      </c>
      <c r="S1499" t="s">
        <v>613</v>
      </c>
      <c r="T1499" s="11">
        <v>8</v>
      </c>
      <c r="U1499">
        <v>2.9</v>
      </c>
      <c r="V1499">
        <v>2.2999999999999998</v>
      </c>
      <c r="W1499">
        <v>1.2E-2</v>
      </c>
      <c r="X1499" s="8">
        <f>IFERROR(((PI())*(((V1499*10^-1)/2)^2)*(U1499*10^-1)), "NA")</f>
        <v>1.204879322468025E-2</v>
      </c>
      <c r="Y1499" t="s">
        <v>33</v>
      </c>
      <c r="Z1499" s="3">
        <f t="shared" si="738"/>
        <v>0.51408184425302395</v>
      </c>
      <c r="AA1499" t="s">
        <v>33</v>
      </c>
      <c r="AB1499" s="6">
        <f>IFERROR(((X1499*M1499)/Z1499), "NA")</f>
        <v>4.6875</v>
      </c>
      <c r="AC1499" t="str">
        <f t="shared" si="736"/>
        <v>NA</v>
      </c>
      <c r="AD1499" s="4">
        <f>IFERROR(AB1499*T1499*AI1499, "NA")</f>
        <v>37.5</v>
      </c>
      <c r="AE1499" s="3">
        <f t="shared" si="725"/>
        <v>143.1</v>
      </c>
      <c r="AF1499">
        <v>150</v>
      </c>
      <c r="AG1499" t="str">
        <f t="shared" si="740"/>
        <v>NA</v>
      </c>
      <c r="AH1499" t="str">
        <f t="shared" si="741"/>
        <v>NA</v>
      </c>
      <c r="AI1499" s="11">
        <v>1</v>
      </c>
      <c r="AJ1499" t="s">
        <v>31</v>
      </c>
      <c r="AK1499">
        <v>4240</v>
      </c>
      <c r="AL1499" t="s">
        <v>238</v>
      </c>
      <c r="AM1499" t="s">
        <v>86</v>
      </c>
      <c r="AN1499" t="s">
        <v>205</v>
      </c>
      <c r="AO1499" t="s">
        <v>789</v>
      </c>
      <c r="AP1499">
        <v>3.56</v>
      </c>
      <c r="AQ1499" t="s">
        <v>33</v>
      </c>
      <c r="AR1499" t="s">
        <v>33</v>
      </c>
      <c r="AS1499" s="6">
        <f>LOG(10^8)</f>
        <v>8</v>
      </c>
      <c r="AT1499" s="3">
        <f t="shared" si="742"/>
        <v>7.2050000000000001</v>
      </c>
      <c r="AU1499" s="6">
        <v>0.79500000000000004</v>
      </c>
      <c r="AV1499" t="b">
        <v>1</v>
      </c>
      <c r="AW1499" t="s">
        <v>123</v>
      </c>
      <c r="AX1499" t="s">
        <v>393</v>
      </c>
      <c r="AY1499" t="s">
        <v>394</v>
      </c>
      <c r="AZ1499" t="s">
        <v>33</v>
      </c>
      <c r="BA1499" s="18" t="s">
        <v>579</v>
      </c>
      <c r="BB1499" t="b">
        <v>1</v>
      </c>
      <c r="BC1499" t="s">
        <v>81</v>
      </c>
      <c r="BD1499">
        <v>72</v>
      </c>
      <c r="BE1499" t="s">
        <v>80</v>
      </c>
      <c r="BF1499" s="11">
        <v>72</v>
      </c>
      <c r="BG1499" t="s">
        <v>395</v>
      </c>
      <c r="BH1499" t="s">
        <v>31</v>
      </c>
      <c r="BI1499" t="s">
        <v>31</v>
      </c>
      <c r="BJ1499" s="3">
        <f t="shared" si="727"/>
        <v>0.79500000000000004</v>
      </c>
      <c r="BK1499" s="3">
        <f t="shared" si="726"/>
        <v>-9.9632871343529689E-2</v>
      </c>
      <c r="BL1499">
        <v>2</v>
      </c>
      <c r="BM1499" s="3">
        <f t="shared" si="737"/>
        <v>2.255272505103306</v>
      </c>
      <c r="BN1499" t="s">
        <v>33</v>
      </c>
      <c r="BO1499" s="3">
        <f t="shared" si="731"/>
        <v>179.99999999999997</v>
      </c>
      <c r="BP1499" t="s">
        <v>33</v>
      </c>
      <c r="BQ1499" t="s">
        <v>33</v>
      </c>
      <c r="BR1499" t="s">
        <v>33</v>
      </c>
      <c r="BS1499" t="s">
        <v>33</v>
      </c>
      <c r="BT1499" t="s">
        <v>31</v>
      </c>
      <c r="BU1499" t="s">
        <v>240</v>
      </c>
      <c r="BV1499">
        <v>2005</v>
      </c>
      <c r="BW1499" t="s">
        <v>396</v>
      </c>
      <c r="BX1499" t="s">
        <v>78</v>
      </c>
      <c r="BY1499" t="s">
        <v>33</v>
      </c>
      <c r="BZ1499" t="s">
        <v>33</v>
      </c>
      <c r="CA1499" t="str">
        <f t="shared" si="732"/>
        <v>high acid</v>
      </c>
    </row>
    <row r="1500" spans="1:79">
      <c r="A1500" t="s">
        <v>341</v>
      </c>
      <c r="B1500" t="s">
        <v>566</v>
      </c>
      <c r="C1500" t="s">
        <v>563</v>
      </c>
      <c r="D1500" t="s">
        <v>336</v>
      </c>
      <c r="E1500" t="s">
        <v>77</v>
      </c>
      <c r="F1500" t="s">
        <v>32</v>
      </c>
      <c r="G1500">
        <v>30</v>
      </c>
      <c r="H1500">
        <v>33</v>
      </c>
      <c r="I1500" t="b">
        <v>0</v>
      </c>
      <c r="J1500" t="s">
        <v>33</v>
      </c>
      <c r="K1500" t="s">
        <v>33</v>
      </c>
      <c r="L1500">
        <v>30</v>
      </c>
      <c r="M1500" s="4">
        <v>2</v>
      </c>
      <c r="N1500" s="3">
        <f t="shared" si="739"/>
        <v>2.1126760563380285</v>
      </c>
      <c r="O1500">
        <v>2</v>
      </c>
      <c r="P1500" t="s">
        <v>33</v>
      </c>
      <c r="Q1500" s="8">
        <f t="shared" si="743"/>
        <v>7.5</v>
      </c>
      <c r="R1500" t="s">
        <v>183</v>
      </c>
      <c r="S1500" t="s">
        <v>613</v>
      </c>
      <c r="T1500" s="11">
        <v>1</v>
      </c>
      <c r="U1500">
        <v>5</v>
      </c>
      <c r="V1500" t="s">
        <v>33</v>
      </c>
      <c r="W1500">
        <v>0.71</v>
      </c>
      <c r="X1500" s="8">
        <f>W1500</f>
        <v>0.71</v>
      </c>
      <c r="Y1500">
        <f>6/60</f>
        <v>0.1</v>
      </c>
      <c r="Z1500" s="3">
        <f t="shared" si="738"/>
        <v>9.4666666666666663E-2</v>
      </c>
      <c r="AA1500">
        <v>15</v>
      </c>
      <c r="AB1500" s="6">
        <f>IFERROR(((X1500*M1500)/Z1500), "NA")</f>
        <v>15</v>
      </c>
      <c r="AC1500" t="str">
        <f t="shared" si="736"/>
        <v>NA</v>
      </c>
      <c r="AD1500" s="4">
        <f>AB1500*T1500*AI1500</f>
        <v>30</v>
      </c>
      <c r="AE1500" s="3">
        <f t="shared" si="725"/>
        <v>415.79999999999995</v>
      </c>
      <c r="AF1500">
        <f>AI1500*AA1500*O1500</f>
        <v>60</v>
      </c>
      <c r="AG1500" t="str">
        <f t="shared" si="740"/>
        <v>NA</v>
      </c>
      <c r="AH1500" t="str">
        <f t="shared" si="741"/>
        <v>NA</v>
      </c>
      <c r="AI1500">
        <v>2</v>
      </c>
      <c r="AJ1500" s="11" t="s">
        <v>32</v>
      </c>
      <c r="AK1500">
        <v>7700</v>
      </c>
      <c r="AL1500" t="s">
        <v>561</v>
      </c>
      <c r="AM1500" s="3" t="s">
        <v>786</v>
      </c>
      <c r="AN1500" t="s">
        <v>186</v>
      </c>
      <c r="AO1500" t="s">
        <v>793</v>
      </c>
      <c r="AP1500" t="s">
        <v>33</v>
      </c>
      <c r="AQ1500" t="s">
        <v>33</v>
      </c>
      <c r="AR1500" t="s">
        <v>33</v>
      </c>
      <c r="AS1500" s="6">
        <f>LOG(10^8)</f>
        <v>8</v>
      </c>
      <c r="AT1500" s="3">
        <f t="shared" si="742"/>
        <v>7.2130000000000001</v>
      </c>
      <c r="AU1500" s="6">
        <v>0.78700000000000003</v>
      </c>
      <c r="AV1500" t="b">
        <v>1</v>
      </c>
      <c r="AW1500" t="s">
        <v>29</v>
      </c>
      <c r="AX1500" t="s">
        <v>30</v>
      </c>
      <c r="AY1500" t="s">
        <v>33</v>
      </c>
      <c r="AZ1500" t="s">
        <v>134</v>
      </c>
      <c r="BA1500" s="18" t="s">
        <v>798</v>
      </c>
      <c r="BB1500" t="b">
        <v>0</v>
      </c>
      <c r="BC1500" t="s">
        <v>81</v>
      </c>
      <c r="BD1500">
        <v>18</v>
      </c>
      <c r="BE1500" t="s">
        <v>80</v>
      </c>
      <c r="BF1500" s="11">
        <v>24</v>
      </c>
      <c r="BG1500" t="s">
        <v>694</v>
      </c>
      <c r="BH1500" t="s">
        <v>31</v>
      </c>
      <c r="BI1500" t="s">
        <v>31</v>
      </c>
      <c r="BJ1500" s="3">
        <f t="shared" si="727"/>
        <v>0.78700000000000003</v>
      </c>
      <c r="BK1500" s="3">
        <f t="shared" si="726"/>
        <v>-0.10402526764093542</v>
      </c>
      <c r="BL1500">
        <v>2</v>
      </c>
      <c r="BM1500" s="3">
        <f t="shared" si="737"/>
        <v>2.7229097526363857</v>
      </c>
      <c r="BN1500" t="s">
        <v>33</v>
      </c>
      <c r="BO1500" s="3">
        <f t="shared" si="731"/>
        <v>528.3354510800508</v>
      </c>
      <c r="BP1500" t="s">
        <v>33</v>
      </c>
      <c r="BQ1500" t="s">
        <v>33</v>
      </c>
      <c r="BR1500" t="s">
        <v>33</v>
      </c>
      <c r="BS1500" t="s">
        <v>33</v>
      </c>
      <c r="BT1500" t="s">
        <v>31</v>
      </c>
      <c r="BU1500" t="s">
        <v>338</v>
      </c>
      <c r="BV1500">
        <v>2006</v>
      </c>
      <c r="BW1500" t="s">
        <v>339</v>
      </c>
      <c r="BX1500" t="s">
        <v>78</v>
      </c>
      <c r="BY1500" t="s">
        <v>340</v>
      </c>
      <c r="BZ1500" t="s">
        <v>337</v>
      </c>
      <c r="CA1500" t="str">
        <f t="shared" si="732"/>
        <v>low acid</v>
      </c>
    </row>
    <row r="1501" spans="1:79">
      <c r="A1501" t="s">
        <v>594</v>
      </c>
      <c r="B1501" t="s">
        <v>566</v>
      </c>
      <c r="C1501" t="s">
        <v>563</v>
      </c>
      <c r="D1501" t="s">
        <v>33</v>
      </c>
      <c r="E1501" t="s">
        <v>77</v>
      </c>
      <c r="F1501" t="s">
        <v>32</v>
      </c>
      <c r="G1501" t="s">
        <v>33</v>
      </c>
      <c r="H1501">
        <v>10</v>
      </c>
      <c r="I1501" t="b">
        <v>1</v>
      </c>
      <c r="J1501" t="s">
        <v>33</v>
      </c>
      <c r="K1501" t="s">
        <v>33</v>
      </c>
      <c r="L1501">
        <v>20</v>
      </c>
      <c r="M1501" s="4">
        <v>2</v>
      </c>
      <c r="N1501" t="e">
        <f>(#REF!*Y1501)/(T1501*X1501*O1501)</f>
        <v>#REF!</v>
      </c>
      <c r="O1501">
        <v>2</v>
      </c>
      <c r="P1501" t="s">
        <v>33</v>
      </c>
      <c r="Q1501" s="1">
        <f t="shared" si="743"/>
        <v>7.1</v>
      </c>
      <c r="R1501" t="s">
        <v>183</v>
      </c>
      <c r="S1501" t="s">
        <v>613</v>
      </c>
      <c r="T1501">
        <v>1</v>
      </c>
      <c r="U1501">
        <v>5</v>
      </c>
      <c r="V1501" t="s">
        <v>33</v>
      </c>
      <c r="W1501">
        <v>0.71</v>
      </c>
      <c r="X1501">
        <f>W1501</f>
        <v>0.71</v>
      </c>
      <c r="Y1501">
        <v>0.1</v>
      </c>
      <c r="Z1501" s="3">
        <f>Y1501</f>
        <v>0.1</v>
      </c>
      <c r="AA1501" s="3">
        <v>14.8409893992932</v>
      </c>
      <c r="AB1501">
        <f>IFERROR(((X1501*M1501)/Y1501), "NA")</f>
        <v>14.2</v>
      </c>
      <c r="AC1501" s="1" t="str">
        <f t="shared" si="736"/>
        <v>NA</v>
      </c>
      <c r="AE1501" s="3">
        <f t="shared" si="725"/>
        <v>231.744</v>
      </c>
      <c r="AF1501" t="s">
        <v>33</v>
      </c>
      <c r="AG1501" s="1">
        <f>IFERROR((M1501*O1501*Q1501), "NA")</f>
        <v>28.4</v>
      </c>
      <c r="AH1501" s="1">
        <f>IFERROR((AG1501*U1501*AI1501), "NA")</f>
        <v>568</v>
      </c>
      <c r="AI1501" s="1">
        <v>4</v>
      </c>
      <c r="AJ1501" s="11" t="s">
        <v>31</v>
      </c>
      <c r="AK1501">
        <f>5100</f>
        <v>5100</v>
      </c>
      <c r="AL1501" t="s">
        <v>561</v>
      </c>
      <c r="AM1501" s="3" t="s">
        <v>786</v>
      </c>
      <c r="AN1501" t="s">
        <v>186</v>
      </c>
      <c r="AO1501" t="s">
        <v>793</v>
      </c>
      <c r="AP1501" t="s">
        <v>33</v>
      </c>
      <c r="AQ1501" t="s">
        <v>33</v>
      </c>
      <c r="AR1501" t="s">
        <v>33</v>
      </c>
      <c r="AS1501">
        <v>8</v>
      </c>
      <c r="AT1501">
        <f>AS1501-AU1501</f>
        <v>7.22</v>
      </c>
      <c r="AU1501" s="6">
        <v>0.78</v>
      </c>
      <c r="AV1501" t="b">
        <v>1</v>
      </c>
      <c r="AW1501" t="s">
        <v>617</v>
      </c>
      <c r="AX1501" t="s">
        <v>624</v>
      </c>
      <c r="AY1501" t="s">
        <v>622</v>
      </c>
      <c r="AZ1501" t="s">
        <v>33</v>
      </c>
      <c r="BA1501" s="18" t="s">
        <v>802</v>
      </c>
      <c r="BB1501" s="3" t="b">
        <v>0</v>
      </c>
      <c r="BC1501" t="s">
        <v>81</v>
      </c>
      <c r="BD1501">
        <v>18</v>
      </c>
      <c r="BE1501" t="s">
        <v>80</v>
      </c>
      <c r="BF1501">
        <v>24</v>
      </c>
      <c r="BG1501" t="s">
        <v>696</v>
      </c>
      <c r="BH1501" t="s">
        <v>32</v>
      </c>
      <c r="BI1501" t="s">
        <v>31</v>
      </c>
      <c r="BJ1501">
        <f t="shared" si="727"/>
        <v>0.78</v>
      </c>
      <c r="BK1501" s="3">
        <f t="shared" si="726"/>
        <v>-0.10790539730951958</v>
      </c>
      <c r="BL1501">
        <v>2</v>
      </c>
      <c r="BM1501" s="3">
        <f t="shared" si="737"/>
        <v>2.4729138961104185</v>
      </c>
      <c r="BN1501" t="s">
        <v>33</v>
      </c>
      <c r="BO1501" s="3">
        <f t="shared" si="731"/>
        <v>297.10769230769228</v>
      </c>
      <c r="BP1501" t="s">
        <v>33</v>
      </c>
      <c r="BQ1501" t="s">
        <v>33</v>
      </c>
      <c r="BR1501" t="s">
        <v>33</v>
      </c>
      <c r="BS1501" t="s">
        <v>33</v>
      </c>
      <c r="BT1501" t="s">
        <v>31</v>
      </c>
      <c r="BU1501" t="s">
        <v>338</v>
      </c>
      <c r="BV1501">
        <v>2006</v>
      </c>
      <c r="BW1501" t="s">
        <v>339</v>
      </c>
      <c r="BX1501" t="s">
        <v>78</v>
      </c>
      <c r="BY1501" s="13" t="s">
        <v>682</v>
      </c>
      <c r="CA1501" t="str">
        <f t="shared" si="732"/>
        <v>low acid</v>
      </c>
    </row>
    <row r="1502" spans="1:79">
      <c r="A1502" t="s">
        <v>599</v>
      </c>
      <c r="B1502" t="s">
        <v>565</v>
      </c>
      <c r="C1502" t="s">
        <v>563</v>
      </c>
      <c r="D1502" t="s">
        <v>118</v>
      </c>
      <c r="E1502" t="s">
        <v>77</v>
      </c>
      <c r="F1502" t="s">
        <v>32</v>
      </c>
      <c r="G1502" t="s">
        <v>33</v>
      </c>
      <c r="H1502" t="s">
        <v>33</v>
      </c>
      <c r="I1502" t="b">
        <v>0</v>
      </c>
      <c r="J1502" t="s">
        <v>33</v>
      </c>
      <c r="K1502" t="s">
        <v>33</v>
      </c>
      <c r="L1502">
        <v>17</v>
      </c>
      <c r="M1502" s="4">
        <v>500</v>
      </c>
      <c r="N1502" t="e">
        <f>(#REF!*Y1502)/(T1502*X1502*O1502)</f>
        <v>#REF!</v>
      </c>
      <c r="O1502">
        <v>3</v>
      </c>
      <c r="P1502" t="s">
        <v>33</v>
      </c>
      <c r="Q1502" s="1">
        <f t="shared" si="743"/>
        <v>1.4555555555555554E-2</v>
      </c>
      <c r="R1502" t="s">
        <v>183</v>
      </c>
      <c r="S1502" t="s">
        <v>613</v>
      </c>
      <c r="T1502">
        <v>6</v>
      </c>
      <c r="U1502">
        <v>2.2999999999999998</v>
      </c>
      <c r="V1502">
        <v>2.9</v>
      </c>
      <c r="W1502">
        <v>0.36420000000000002</v>
      </c>
      <c r="X1502">
        <f>IFERROR(((PI())*(((V1502*10^-1)/2)^2)*(U1502*10^-1)), "NA")</f>
        <v>1.519195667459684E-2</v>
      </c>
      <c r="Y1502">
        <v>0.83333299999999999</v>
      </c>
      <c r="Z1502" s="3">
        <f>IFERROR(X1502*M1502*O1502*T1502*AI1502/AF1502, "NA")</f>
        <v>1.0437222142852791</v>
      </c>
      <c r="AA1502" t="s">
        <v>33</v>
      </c>
      <c r="AB1502">
        <f>IFERROR(((X1502*M1502)/Z1502), "NA")</f>
        <v>7.2777777777777777</v>
      </c>
      <c r="AC1502" s="1" t="str">
        <f t="shared" si="736"/>
        <v>NA</v>
      </c>
      <c r="AE1502" s="3">
        <f t="shared" si="725"/>
        <v>137.80675999999997</v>
      </c>
      <c r="AF1502">
        <v>131</v>
      </c>
      <c r="AG1502" s="1" t="str">
        <f>IFERROR((N1502*P1502*Q1502), "NA")</f>
        <v>NA</v>
      </c>
      <c r="AH1502" s="1" t="str">
        <f>IFERROR((AG1502*U1502*AI1502), "NA")</f>
        <v>NA</v>
      </c>
      <c r="AI1502" s="1">
        <v>1</v>
      </c>
      <c r="AJ1502" s="11" t="s">
        <v>31</v>
      </c>
      <c r="AK1502">
        <f>3.64*10^3</f>
        <v>3640</v>
      </c>
      <c r="AL1502" t="s">
        <v>145</v>
      </c>
      <c r="AM1502" t="s">
        <v>86</v>
      </c>
      <c r="AN1502" t="s">
        <v>205</v>
      </c>
      <c r="AO1502" t="s">
        <v>789</v>
      </c>
      <c r="AP1502">
        <v>3.19</v>
      </c>
      <c r="AQ1502" t="s">
        <v>33</v>
      </c>
      <c r="AR1502" t="s">
        <v>33</v>
      </c>
      <c r="AS1502">
        <v>7.94</v>
      </c>
      <c r="AT1502">
        <v>7.22</v>
      </c>
      <c r="AU1502" s="6">
        <f>AS1502-AT1502</f>
        <v>0.72000000000000064</v>
      </c>
      <c r="AV1502" t="b">
        <v>1</v>
      </c>
      <c r="AW1502" t="s">
        <v>626</v>
      </c>
      <c r="AX1502" t="s">
        <v>627</v>
      </c>
      <c r="AY1502">
        <v>95047</v>
      </c>
      <c r="AZ1502" t="s">
        <v>33</v>
      </c>
      <c r="BA1502" s="18" t="s">
        <v>800</v>
      </c>
      <c r="BB1502" s="3" t="b">
        <v>0</v>
      </c>
      <c r="BC1502" t="s">
        <v>81</v>
      </c>
      <c r="BD1502">
        <f>AVERAGE(24, 48)</f>
        <v>36</v>
      </c>
      <c r="BE1502" t="s">
        <v>80</v>
      </c>
      <c r="BF1502">
        <v>48</v>
      </c>
      <c r="BG1502" t="s">
        <v>647</v>
      </c>
      <c r="BH1502" t="s">
        <v>31</v>
      </c>
      <c r="BI1502" t="s">
        <v>31</v>
      </c>
      <c r="BJ1502" s="3">
        <f t="shared" si="727"/>
        <v>0.72000000000000064</v>
      </c>
      <c r="BK1502" s="3">
        <f t="shared" si="726"/>
        <v>-0.14266750356873115</v>
      </c>
      <c r="BL1502">
        <v>2</v>
      </c>
      <c r="BM1502" s="3">
        <f t="shared" si="737"/>
        <v>2.2819380256300992</v>
      </c>
      <c r="BN1502" t="s">
        <v>33</v>
      </c>
      <c r="BO1502" s="3">
        <f t="shared" si="731"/>
        <v>191.39827777777757</v>
      </c>
      <c r="BP1502" t="s">
        <v>33</v>
      </c>
      <c r="BQ1502" t="s">
        <v>33</v>
      </c>
      <c r="BR1502" t="s">
        <v>33</v>
      </c>
      <c r="BS1502" t="s">
        <v>33</v>
      </c>
      <c r="BT1502" t="s">
        <v>31</v>
      </c>
      <c r="BU1502" s="13" t="s">
        <v>135</v>
      </c>
      <c r="BV1502" s="14">
        <v>2010</v>
      </c>
      <c r="BW1502" s="13" t="s">
        <v>140</v>
      </c>
      <c r="BX1502" t="s">
        <v>78</v>
      </c>
      <c r="BY1502" s="13" t="s">
        <v>687</v>
      </c>
      <c r="CA1502" t="str">
        <f t="shared" si="732"/>
        <v>high acid</v>
      </c>
    </row>
    <row r="1503" spans="1:79">
      <c r="A1503" t="s">
        <v>487</v>
      </c>
      <c r="B1503" t="s">
        <v>566</v>
      </c>
      <c r="C1503" t="s">
        <v>564</v>
      </c>
      <c r="D1503" t="s">
        <v>321</v>
      </c>
      <c r="E1503" t="s">
        <v>77</v>
      </c>
      <c r="F1503" t="s">
        <v>32</v>
      </c>
      <c r="G1503">
        <v>4</v>
      </c>
      <c r="H1503" t="s">
        <v>33</v>
      </c>
      <c r="I1503" t="b">
        <v>0</v>
      </c>
      <c r="J1503" t="s">
        <v>33</v>
      </c>
      <c r="K1503" t="s">
        <v>33</v>
      </c>
      <c r="L1503">
        <v>10</v>
      </c>
      <c r="M1503" s="4">
        <v>10</v>
      </c>
      <c r="N1503" s="3">
        <f>IFERROR(AF1503/((T1503*X1503/Y1503)*O1503*AI1503),"NA")</f>
        <v>10.000000000000002</v>
      </c>
      <c r="O1503">
        <v>1.5</v>
      </c>
      <c r="P1503" s="3">
        <f>6/(52.5/60)</f>
        <v>6.8571428571428568</v>
      </c>
      <c r="Q1503" s="8">
        <f t="shared" si="743"/>
        <v>6.8571428571428568</v>
      </c>
      <c r="R1503" t="s">
        <v>278</v>
      </c>
      <c r="S1503" t="s">
        <v>613</v>
      </c>
      <c r="T1503" s="11">
        <v>1</v>
      </c>
      <c r="U1503">
        <v>100</v>
      </c>
      <c r="V1503" t="s">
        <v>33</v>
      </c>
      <c r="W1503">
        <v>6</v>
      </c>
      <c r="X1503" s="9">
        <f t="shared" ref="X1503:X1511" si="744">W1503</f>
        <v>6</v>
      </c>
      <c r="Y1503" s="6">
        <f>52.5/60</f>
        <v>0.875</v>
      </c>
      <c r="Z1503" s="3">
        <f>IFERROR(X1503*M1503*O1503*T1503*AI1503/AF1503, "NA")</f>
        <v>0.875</v>
      </c>
      <c r="AA1503" t="s">
        <v>33</v>
      </c>
      <c r="AB1503" s="4">
        <f>IFERROR(((X1503*M1503)/Y1503), "NA")</f>
        <v>68.571428571428569</v>
      </c>
      <c r="AC1503" s="4">
        <f t="shared" si="736"/>
        <v>68.571428571428569</v>
      </c>
      <c r="AD1503" s="4">
        <f>AB1503*T1503*AI1503</f>
        <v>1242</v>
      </c>
      <c r="AE1503" s="3">
        <f t="shared" si="725"/>
        <v>950.12999999999988</v>
      </c>
      <c r="AF1503">
        <f>1242*O1503</f>
        <v>1863</v>
      </c>
      <c r="AG1503" s="4">
        <f>IFERROR((M1503*O1503*P1503), "NA")</f>
        <v>102.85714285714285</v>
      </c>
      <c r="AH1503" s="4">
        <f>IFERROR((AG1503*T1503*AI1503), "NA")</f>
        <v>1863</v>
      </c>
      <c r="AI1503" s="3">
        <f>AF1503/(AG1503*T1503)</f>
        <v>18.112500000000001</v>
      </c>
      <c r="AJ1503" s="11" t="s">
        <v>32</v>
      </c>
      <c r="AK1503">
        <v>5100</v>
      </c>
      <c r="AL1503" t="s">
        <v>319</v>
      </c>
      <c r="AM1503" t="s">
        <v>86</v>
      </c>
      <c r="AN1503" t="s">
        <v>186</v>
      </c>
      <c r="AO1503" t="s">
        <v>794</v>
      </c>
      <c r="AP1503">
        <v>6.05</v>
      </c>
      <c r="AQ1503" t="s">
        <v>33</v>
      </c>
      <c r="AR1503" t="s">
        <v>33</v>
      </c>
      <c r="AS1503" s="6">
        <f>LOG((10^7+10^8)/2)</f>
        <v>7.7403626894942441</v>
      </c>
      <c r="AT1503" s="3">
        <f>IFERROR(AS1503-AU1503,"NA")</f>
        <v>7.2363626894942445</v>
      </c>
      <c r="AU1503" s="6">
        <v>0.504</v>
      </c>
      <c r="AV1503" t="b">
        <v>1</v>
      </c>
      <c r="AW1503" t="s">
        <v>29</v>
      </c>
      <c r="AX1503" t="s">
        <v>30</v>
      </c>
      <c r="AY1503" t="s">
        <v>320</v>
      </c>
      <c r="AZ1503" t="s">
        <v>33</v>
      </c>
      <c r="BA1503" s="18" t="s">
        <v>798</v>
      </c>
      <c r="BB1503" s="3" t="b">
        <v>0</v>
      </c>
      <c r="BC1503" t="s">
        <v>81</v>
      </c>
      <c r="BD1503">
        <v>12</v>
      </c>
      <c r="BE1503" t="s">
        <v>80</v>
      </c>
      <c r="BF1503" t="s">
        <v>33</v>
      </c>
      <c r="BG1503" t="s">
        <v>488</v>
      </c>
      <c r="BH1503" t="s">
        <v>31</v>
      </c>
      <c r="BI1503" t="s">
        <v>31</v>
      </c>
      <c r="BJ1503" s="3">
        <f t="shared" si="727"/>
        <v>0.504</v>
      </c>
      <c r="BK1503" s="3">
        <f t="shared" si="726"/>
        <v>-0.29756946355447472</v>
      </c>
      <c r="BL1503">
        <v>2</v>
      </c>
      <c r="BM1503" s="3">
        <f t="shared" si="737"/>
        <v>3.2753524945486538</v>
      </c>
      <c r="BN1503" t="s">
        <v>33</v>
      </c>
      <c r="BO1503" s="3">
        <f t="shared" si="731"/>
        <v>1885.1785714285711</v>
      </c>
      <c r="BP1503" t="s">
        <v>33</v>
      </c>
      <c r="BQ1503" t="s">
        <v>33</v>
      </c>
      <c r="BR1503" t="s">
        <v>33</v>
      </c>
      <c r="BS1503" t="s">
        <v>33</v>
      </c>
      <c r="BT1503" t="s">
        <v>31</v>
      </c>
      <c r="BU1503" t="s">
        <v>318</v>
      </c>
      <c r="BV1503">
        <v>2005</v>
      </c>
      <c r="BW1503" t="s">
        <v>489</v>
      </c>
      <c r="BX1503" t="s">
        <v>78</v>
      </c>
      <c r="BY1503" t="s">
        <v>33</v>
      </c>
      <c r="BZ1503" t="s">
        <v>490</v>
      </c>
      <c r="CA1503" t="str">
        <f t="shared" si="732"/>
        <v>low acid</v>
      </c>
    </row>
    <row r="1504" spans="1:79">
      <c r="A1504" t="s">
        <v>594</v>
      </c>
      <c r="B1504" t="s">
        <v>566</v>
      </c>
      <c r="C1504" t="s">
        <v>563</v>
      </c>
      <c r="D1504" t="s">
        <v>33</v>
      </c>
      <c r="E1504" t="s">
        <v>77</v>
      </c>
      <c r="F1504" t="s">
        <v>32</v>
      </c>
      <c r="G1504" t="s">
        <v>33</v>
      </c>
      <c r="H1504">
        <v>10</v>
      </c>
      <c r="I1504" t="b">
        <v>1</v>
      </c>
      <c r="J1504" t="s">
        <v>33</v>
      </c>
      <c r="K1504" t="s">
        <v>33</v>
      </c>
      <c r="L1504">
        <v>30</v>
      </c>
      <c r="M1504" s="4">
        <v>2</v>
      </c>
      <c r="N1504" t="e">
        <f>(#REF!*Y1504)/(T1504*X1504*O1504)</f>
        <v>#REF!</v>
      </c>
      <c r="O1504">
        <v>2</v>
      </c>
      <c r="P1504" t="s">
        <v>33</v>
      </c>
      <c r="Q1504" s="1">
        <f t="shared" si="743"/>
        <v>7.1</v>
      </c>
      <c r="R1504" t="s">
        <v>183</v>
      </c>
      <c r="S1504" t="s">
        <v>613</v>
      </c>
      <c r="T1504">
        <v>1</v>
      </c>
      <c r="U1504">
        <v>5</v>
      </c>
      <c r="V1504" t="s">
        <v>33</v>
      </c>
      <c r="W1504">
        <v>0.71</v>
      </c>
      <c r="X1504">
        <f t="shared" si="744"/>
        <v>0.71</v>
      </c>
      <c r="Y1504">
        <v>0.1</v>
      </c>
      <c r="Z1504" s="3">
        <f>Y1504</f>
        <v>0.1</v>
      </c>
      <c r="AA1504" s="3">
        <v>14.8409893992932</v>
      </c>
      <c r="AB1504">
        <f>IFERROR(((X1504*M1504)/Y1504), "NA")</f>
        <v>14.2</v>
      </c>
      <c r="AC1504" s="1" t="str">
        <f t="shared" si="736"/>
        <v>NA</v>
      </c>
      <c r="AE1504" s="3">
        <f t="shared" si="725"/>
        <v>260.71199999999999</v>
      </c>
      <c r="AF1504" t="s">
        <v>33</v>
      </c>
      <c r="AG1504" s="1">
        <f>IFERROR((M1504*O1504*Q1504), "NA")</f>
        <v>28.4</v>
      </c>
      <c r="AH1504" s="1">
        <f>IFERROR((AG1504*U1504*AI1504), "NA")</f>
        <v>284</v>
      </c>
      <c r="AI1504" s="1">
        <v>2</v>
      </c>
      <c r="AJ1504" s="11" t="s">
        <v>31</v>
      </c>
      <c r="AK1504">
        <f>5100</f>
        <v>5100</v>
      </c>
      <c r="AL1504" t="s">
        <v>561</v>
      </c>
      <c r="AM1504" s="3" t="s">
        <v>786</v>
      </c>
      <c r="AN1504" t="s">
        <v>186</v>
      </c>
      <c r="AO1504" t="s">
        <v>793</v>
      </c>
      <c r="AP1504" t="s">
        <v>33</v>
      </c>
      <c r="AQ1504" t="s">
        <v>33</v>
      </c>
      <c r="AR1504" t="s">
        <v>33</v>
      </c>
      <c r="AS1504">
        <v>8</v>
      </c>
      <c r="AT1504">
        <f>AS1504-AU1504</f>
        <v>7.24</v>
      </c>
      <c r="AU1504" s="6">
        <v>0.76</v>
      </c>
      <c r="AV1504" t="b">
        <v>1</v>
      </c>
      <c r="AW1504" t="s">
        <v>617</v>
      </c>
      <c r="AX1504" t="s">
        <v>624</v>
      </c>
      <c r="AY1504" t="s">
        <v>622</v>
      </c>
      <c r="AZ1504" t="s">
        <v>33</v>
      </c>
      <c r="BA1504" s="18" t="s">
        <v>802</v>
      </c>
      <c r="BB1504" s="3" t="b">
        <v>0</v>
      </c>
      <c r="BC1504" t="s">
        <v>81</v>
      </c>
      <c r="BD1504">
        <v>18</v>
      </c>
      <c r="BE1504" t="s">
        <v>80</v>
      </c>
      <c r="BF1504">
        <v>24</v>
      </c>
      <c r="BG1504" t="s">
        <v>696</v>
      </c>
      <c r="BH1504" t="s">
        <v>32</v>
      </c>
      <c r="BI1504" t="s">
        <v>31</v>
      </c>
      <c r="BJ1504">
        <f t="shared" si="727"/>
        <v>0.76</v>
      </c>
      <c r="BK1504" s="3">
        <f t="shared" si="726"/>
        <v>-0.11918640771920865</v>
      </c>
      <c r="BL1504">
        <v>2</v>
      </c>
      <c r="BM1504" s="3">
        <f t="shared" si="737"/>
        <v>2.5353474289674889</v>
      </c>
      <c r="BN1504" t="s">
        <v>33</v>
      </c>
      <c r="BO1504" s="3">
        <f t="shared" si="731"/>
        <v>343.04210526315785</v>
      </c>
      <c r="BP1504" t="s">
        <v>33</v>
      </c>
      <c r="BQ1504" t="s">
        <v>33</v>
      </c>
      <c r="BR1504" t="s">
        <v>33</v>
      </c>
      <c r="BS1504" t="s">
        <v>33</v>
      </c>
      <c r="BT1504" t="s">
        <v>31</v>
      </c>
      <c r="BU1504" t="s">
        <v>338</v>
      </c>
      <c r="BV1504">
        <v>2006</v>
      </c>
      <c r="BW1504" t="s">
        <v>339</v>
      </c>
      <c r="BX1504" t="s">
        <v>78</v>
      </c>
      <c r="BY1504" s="13" t="s">
        <v>682</v>
      </c>
      <c r="CA1504" t="str">
        <f t="shared" si="732"/>
        <v>low acid</v>
      </c>
    </row>
    <row r="1505" spans="1:79">
      <c r="A1505" t="s">
        <v>597</v>
      </c>
      <c r="B1505" t="s">
        <v>565</v>
      </c>
      <c r="C1505" t="s">
        <v>563</v>
      </c>
      <c r="D1505" t="s">
        <v>33</v>
      </c>
      <c r="E1505" t="s">
        <v>77</v>
      </c>
      <c r="F1505" t="s">
        <v>33</v>
      </c>
      <c r="G1505">
        <v>20</v>
      </c>
      <c r="H1505">
        <v>35</v>
      </c>
      <c r="I1505" t="b">
        <v>0</v>
      </c>
      <c r="J1505" t="s">
        <v>33</v>
      </c>
      <c r="K1505" t="s">
        <v>33</v>
      </c>
      <c r="L1505">
        <v>19</v>
      </c>
      <c r="M1505" s="4">
        <v>1</v>
      </c>
      <c r="N1505" t="e">
        <f>(#REF!*Y1505)/(T1505*X1505*O1505)</f>
        <v>#REF!</v>
      </c>
      <c r="O1505">
        <v>2</v>
      </c>
      <c r="P1505" t="s">
        <v>33</v>
      </c>
      <c r="Q1505" s="1">
        <f t="shared" si="743"/>
        <v>96.385000000000005</v>
      </c>
      <c r="R1505" t="s">
        <v>183</v>
      </c>
      <c r="S1505" t="s">
        <v>33</v>
      </c>
      <c r="T1505">
        <v>1</v>
      </c>
      <c r="U1505">
        <v>2.5</v>
      </c>
      <c r="V1505" t="s">
        <v>33</v>
      </c>
      <c r="W1505">
        <v>0.50249999999999995</v>
      </c>
      <c r="X1505">
        <f t="shared" si="744"/>
        <v>0.50249999999999995</v>
      </c>
      <c r="Y1505" t="s">
        <v>33</v>
      </c>
      <c r="Z1505" s="3">
        <f>IFERROR(X1505*M1505*O1505*T1505*AI1505/AF1505, "NA")</f>
        <v>5.2134668257508938E-3</v>
      </c>
      <c r="AA1505" t="s">
        <v>33</v>
      </c>
      <c r="AB1505">
        <f>IFERROR(((X1505*M1505)/Z1505), "NA")</f>
        <v>96.385000000000005</v>
      </c>
      <c r="AC1505" s="1" t="str">
        <f t="shared" si="736"/>
        <v>NA</v>
      </c>
      <c r="AE1505" s="3">
        <f t="shared" si="725"/>
        <v>139.17994000000002</v>
      </c>
      <c r="AF1505">
        <v>192.77</v>
      </c>
      <c r="AG1505" s="1" t="str">
        <f>IFERROR((N1505*P1505*Q1505), "NA")</f>
        <v>NA</v>
      </c>
      <c r="AH1505" s="1" t="str">
        <f>IFERROR((AG1505*U1505*AI1505), "NA")</f>
        <v>NA</v>
      </c>
      <c r="AI1505" s="1">
        <v>1</v>
      </c>
      <c r="AJ1505" s="11" t="s">
        <v>31</v>
      </c>
      <c r="AK1505">
        <v>2000</v>
      </c>
      <c r="AL1505" t="s">
        <v>784</v>
      </c>
      <c r="AM1505" s="3" t="s">
        <v>103</v>
      </c>
      <c r="AN1505" t="s">
        <v>130</v>
      </c>
      <c r="AO1505" t="s">
        <v>795</v>
      </c>
      <c r="AP1505">
        <v>7</v>
      </c>
      <c r="AQ1505" t="s">
        <v>33</v>
      </c>
      <c r="AR1505" t="s">
        <v>33</v>
      </c>
      <c r="AS1505">
        <v>9</v>
      </c>
      <c r="AT1505">
        <f>AS1505-AU1505</f>
        <v>7.24</v>
      </c>
      <c r="AU1505" s="6">
        <v>1.76</v>
      </c>
      <c r="AV1505" t="b">
        <v>1</v>
      </c>
      <c r="AW1505" t="s">
        <v>617</v>
      </c>
      <c r="AX1505" t="s">
        <v>635</v>
      </c>
      <c r="AY1505" t="s">
        <v>636</v>
      </c>
      <c r="AZ1505" t="s">
        <v>33</v>
      </c>
      <c r="BA1505" s="18" t="s">
        <v>802</v>
      </c>
      <c r="BB1505" s="3" t="b">
        <v>0</v>
      </c>
      <c r="BC1505" t="s">
        <v>81</v>
      </c>
      <c r="BD1505">
        <v>24</v>
      </c>
      <c r="BE1505" t="s">
        <v>80</v>
      </c>
      <c r="BF1505">
        <v>24</v>
      </c>
      <c r="BG1505" t="s">
        <v>644</v>
      </c>
      <c r="BH1505" t="s">
        <v>31</v>
      </c>
      <c r="BI1505" t="s">
        <v>31</v>
      </c>
      <c r="BJ1505">
        <f t="shared" si="727"/>
        <v>1.76</v>
      </c>
      <c r="BK1505" s="3">
        <f t="shared" si="726"/>
        <v>0.24551266781414982</v>
      </c>
      <c r="BL1505">
        <v>2</v>
      </c>
      <c r="BM1505" s="3">
        <f t="shared" si="737"/>
        <v>1.8980639771220089</v>
      </c>
      <c r="BN1505" t="s">
        <v>33</v>
      </c>
      <c r="BO1505" s="3">
        <f t="shared" si="731"/>
        <v>79.079511363636371</v>
      </c>
      <c r="BP1505" t="s">
        <v>33</v>
      </c>
      <c r="BQ1505" t="s">
        <v>33</v>
      </c>
      <c r="BR1505" t="s">
        <v>33</v>
      </c>
      <c r="BS1505" t="s">
        <v>33</v>
      </c>
      <c r="BT1505" t="s">
        <v>31</v>
      </c>
      <c r="BU1505" t="s">
        <v>664</v>
      </c>
      <c r="BV1505">
        <v>2000</v>
      </c>
      <c r="BW1505" t="s">
        <v>665</v>
      </c>
      <c r="BX1505" t="s">
        <v>78</v>
      </c>
      <c r="BY1505" s="13" t="s">
        <v>685</v>
      </c>
      <c r="CA1505" t="str">
        <f t="shared" si="732"/>
        <v>low acid</v>
      </c>
    </row>
    <row r="1506" spans="1:79">
      <c r="A1506" t="s">
        <v>597</v>
      </c>
      <c r="B1506" t="s">
        <v>565</v>
      </c>
      <c r="C1506" t="s">
        <v>563</v>
      </c>
      <c r="D1506" t="s">
        <v>33</v>
      </c>
      <c r="E1506" t="s">
        <v>77</v>
      </c>
      <c r="F1506" t="s">
        <v>33</v>
      </c>
      <c r="G1506">
        <v>20</v>
      </c>
      <c r="H1506">
        <v>35</v>
      </c>
      <c r="I1506" t="b">
        <v>0</v>
      </c>
      <c r="J1506" t="s">
        <v>33</v>
      </c>
      <c r="K1506" t="s">
        <v>33</v>
      </c>
      <c r="L1506">
        <v>22</v>
      </c>
      <c r="M1506" s="4">
        <v>1</v>
      </c>
      <c r="N1506" t="e">
        <f>(#REF!*Y1506)/(T1506*X1506*O1506)</f>
        <v>#REF!</v>
      </c>
      <c r="O1506">
        <v>2</v>
      </c>
      <c r="P1506" t="s">
        <v>33</v>
      </c>
      <c r="Q1506" s="1">
        <f t="shared" si="743"/>
        <v>12.045</v>
      </c>
      <c r="R1506" t="s">
        <v>183</v>
      </c>
      <c r="S1506" t="s">
        <v>33</v>
      </c>
      <c r="T1506">
        <v>1</v>
      </c>
      <c r="U1506">
        <v>2.5</v>
      </c>
      <c r="V1506" t="s">
        <v>33</v>
      </c>
      <c r="W1506">
        <v>0.50249999999999995</v>
      </c>
      <c r="X1506">
        <f t="shared" si="744"/>
        <v>0.50249999999999995</v>
      </c>
      <c r="Y1506" t="s">
        <v>33</v>
      </c>
      <c r="Z1506" s="3">
        <f>IFERROR(X1506*M1506*O1506*T1506*AI1506/AF1506, "NA")</f>
        <v>4.1718555417185547E-2</v>
      </c>
      <c r="AA1506" t="s">
        <v>33</v>
      </c>
      <c r="AB1506">
        <f>IFERROR(((X1506*M1506)/Z1506), "NA")</f>
        <v>12.045</v>
      </c>
      <c r="AC1506" s="1" t="str">
        <f t="shared" si="736"/>
        <v>NA</v>
      </c>
      <c r="AE1506" s="3">
        <f t="shared" si="725"/>
        <v>23.319119999999998</v>
      </c>
      <c r="AF1506">
        <v>24.09</v>
      </c>
      <c r="AG1506" s="1" t="str">
        <f>IFERROR((N1506*P1506*Q1506), "NA")</f>
        <v>NA</v>
      </c>
      <c r="AH1506" s="1" t="str">
        <f>IFERROR((AG1506*U1506*AI1506), "NA")</f>
        <v>NA</v>
      </c>
      <c r="AI1506" s="1">
        <v>1</v>
      </c>
      <c r="AJ1506" s="11" t="s">
        <v>31</v>
      </c>
      <c r="AK1506">
        <v>2000</v>
      </c>
      <c r="AL1506" t="s">
        <v>784</v>
      </c>
      <c r="AM1506" s="3" t="s">
        <v>103</v>
      </c>
      <c r="AN1506" t="s">
        <v>130</v>
      </c>
      <c r="AO1506" t="s">
        <v>795</v>
      </c>
      <c r="AP1506">
        <v>7</v>
      </c>
      <c r="AQ1506" t="s">
        <v>33</v>
      </c>
      <c r="AR1506" t="s">
        <v>33</v>
      </c>
      <c r="AS1506">
        <v>9</v>
      </c>
      <c r="AT1506">
        <f>AS1506-AU1506</f>
        <v>7.24</v>
      </c>
      <c r="AU1506" s="6">
        <v>1.76</v>
      </c>
      <c r="AV1506" t="b">
        <v>1</v>
      </c>
      <c r="AW1506" t="s">
        <v>617</v>
      </c>
      <c r="AX1506" t="s">
        <v>635</v>
      </c>
      <c r="AY1506" t="s">
        <v>636</v>
      </c>
      <c r="AZ1506" t="s">
        <v>33</v>
      </c>
      <c r="BA1506" s="18" t="s">
        <v>802</v>
      </c>
      <c r="BB1506" s="3" t="b">
        <v>0</v>
      </c>
      <c r="BC1506" t="s">
        <v>81</v>
      </c>
      <c r="BD1506">
        <v>24</v>
      </c>
      <c r="BE1506" t="s">
        <v>80</v>
      </c>
      <c r="BF1506">
        <v>24</v>
      </c>
      <c r="BG1506" t="s">
        <v>644</v>
      </c>
      <c r="BH1506" t="s">
        <v>31</v>
      </c>
      <c r="BI1506" t="s">
        <v>31</v>
      </c>
      <c r="BJ1506">
        <f t="shared" si="727"/>
        <v>1.76</v>
      </c>
      <c r="BK1506" s="3">
        <f t="shared" si="726"/>
        <v>0.24551266781414982</v>
      </c>
      <c r="BL1506">
        <v>2</v>
      </c>
      <c r="BM1506" s="3">
        <f t="shared" si="737"/>
        <v>1.1221994894925873</v>
      </c>
      <c r="BN1506" t="s">
        <v>33</v>
      </c>
      <c r="BO1506" s="3">
        <f t="shared" si="731"/>
        <v>13.249499999999999</v>
      </c>
      <c r="BP1506" t="s">
        <v>33</v>
      </c>
      <c r="BQ1506" t="s">
        <v>33</v>
      </c>
      <c r="BR1506" t="s">
        <v>33</v>
      </c>
      <c r="BS1506" t="s">
        <v>33</v>
      </c>
      <c r="BT1506" t="s">
        <v>31</v>
      </c>
      <c r="BU1506" t="s">
        <v>664</v>
      </c>
      <c r="BV1506">
        <v>2000</v>
      </c>
      <c r="BW1506" t="s">
        <v>665</v>
      </c>
      <c r="BX1506" t="s">
        <v>78</v>
      </c>
      <c r="BY1506" s="13" t="s">
        <v>685</v>
      </c>
      <c r="CA1506" t="str">
        <f t="shared" si="732"/>
        <v>low acid</v>
      </c>
    </row>
    <row r="1507" spans="1:79">
      <c r="A1507" t="s">
        <v>712</v>
      </c>
      <c r="B1507" t="s">
        <v>566</v>
      </c>
      <c r="C1507" t="s">
        <v>563</v>
      </c>
      <c r="D1507" t="s">
        <v>699</v>
      </c>
      <c r="E1507" t="s">
        <v>77</v>
      </c>
      <c r="F1507" t="s">
        <v>32</v>
      </c>
      <c r="G1507">
        <v>20</v>
      </c>
      <c r="H1507">
        <v>64</v>
      </c>
      <c r="I1507" t="b">
        <v>1</v>
      </c>
      <c r="J1507" t="s">
        <v>33</v>
      </c>
      <c r="K1507" t="s">
        <v>33</v>
      </c>
      <c r="L1507">
        <v>20</v>
      </c>
      <c r="M1507" s="4">
        <v>64</v>
      </c>
      <c r="N1507" s="3">
        <f>IFERROR(AF1507/((T1507*X1507/Y1507)*O1507*AI1507),"NA")</f>
        <v>63.657407407407391</v>
      </c>
      <c r="O1507">
        <v>5</v>
      </c>
      <c r="P1507">
        <v>0.43</v>
      </c>
      <c r="Q1507" s="8">
        <f>IFERROR(X1507/Y1507, "NA")</f>
        <v>0.43200000000000011</v>
      </c>
      <c r="R1507" t="s">
        <v>183</v>
      </c>
      <c r="S1507" t="s">
        <v>612</v>
      </c>
      <c r="T1507" s="11">
        <v>1</v>
      </c>
      <c r="U1507">
        <v>4</v>
      </c>
      <c r="V1507" t="s">
        <v>33</v>
      </c>
      <c r="W1507">
        <f>0.4*3*0.5</f>
        <v>0.60000000000000009</v>
      </c>
      <c r="X1507" s="9">
        <f t="shared" si="744"/>
        <v>0.60000000000000009</v>
      </c>
      <c r="Y1507" s="6">
        <f>5000/3600</f>
        <v>1.3888888888888888</v>
      </c>
      <c r="Z1507" s="3">
        <f>IFERROR(X1507*M1507*O1507*T1507*AI1507/AF1507, "NA")</f>
        <v>1.3963636363636365</v>
      </c>
      <c r="AA1507" t="s">
        <v>33</v>
      </c>
      <c r="AB1507" s="4">
        <f>IFERROR(((X1507*M1507)/Y1507), "NA")</f>
        <v>27.648000000000007</v>
      </c>
      <c r="AC1507" s="4">
        <f t="shared" si="736"/>
        <v>27.52</v>
      </c>
      <c r="AD1507" s="4">
        <f>AB1507*T1507*AI1507</f>
        <v>27.648000000000007</v>
      </c>
      <c r="AE1507" s="3">
        <f t="shared" si="725"/>
        <v>110.59200000000003</v>
      </c>
      <c r="AF1507">
        <v>137.5</v>
      </c>
      <c r="AG1507" s="4">
        <f>IFERROR((M1507*O1507*P1507), "NA")</f>
        <v>137.6</v>
      </c>
      <c r="AH1507" s="4">
        <f>IFERROR((AG1507*T1507*AI1507), "NA")</f>
        <v>137.6</v>
      </c>
      <c r="AI1507">
        <v>1</v>
      </c>
      <c r="AJ1507" s="11" t="s">
        <v>31</v>
      </c>
      <c r="AK1507">
        <v>2000</v>
      </c>
      <c r="AL1507" t="s">
        <v>784</v>
      </c>
      <c r="AM1507" t="s">
        <v>103</v>
      </c>
      <c r="AN1507" t="s">
        <v>130</v>
      </c>
      <c r="AO1507" t="s">
        <v>795</v>
      </c>
      <c r="AP1507">
        <v>7</v>
      </c>
      <c r="AQ1507" t="s">
        <v>33</v>
      </c>
      <c r="AR1507" t="s">
        <v>33</v>
      </c>
      <c r="AS1507" s="6">
        <f>LOG(AVERAGE(10^8, 10^9))</f>
        <v>8.7403626894942441</v>
      </c>
      <c r="AT1507" s="3">
        <f>IFERROR(AS1507-AU1507,"NA")</f>
        <v>7.2473626894942438</v>
      </c>
      <c r="AU1507" s="6">
        <v>1.4930000000000001</v>
      </c>
      <c r="AV1507" t="b">
        <v>1</v>
      </c>
      <c r="AW1507" t="s">
        <v>92</v>
      </c>
      <c r="AX1507" t="s">
        <v>93</v>
      </c>
      <c r="AY1507" t="s">
        <v>720</v>
      </c>
      <c r="AZ1507" t="s">
        <v>33</v>
      </c>
      <c r="BA1507" s="18" t="s">
        <v>801</v>
      </c>
      <c r="BB1507" s="3" t="b">
        <v>0</v>
      </c>
      <c r="BC1507" t="s">
        <v>81</v>
      </c>
      <c r="BD1507">
        <v>24</v>
      </c>
      <c r="BE1507" t="s">
        <v>80</v>
      </c>
      <c r="BF1507">
        <v>24</v>
      </c>
      <c r="BG1507" t="s">
        <v>568</v>
      </c>
      <c r="BH1507" t="s">
        <v>31</v>
      </c>
      <c r="BI1507" t="s">
        <v>31</v>
      </c>
      <c r="BJ1507" s="3">
        <f t="shared" si="727"/>
        <v>1.4930000000000001</v>
      </c>
      <c r="BK1507" s="3">
        <f t="shared" si="726"/>
        <v>0.17405980772502544</v>
      </c>
      <c r="BL1507">
        <v>2</v>
      </c>
      <c r="BM1507" s="3">
        <f t="shared" si="737"/>
        <v>1.8696639044017365</v>
      </c>
      <c r="BN1507" t="s">
        <v>33</v>
      </c>
      <c r="BO1507" s="3">
        <f t="shared" si="731"/>
        <v>74.073677160080393</v>
      </c>
      <c r="BP1507" t="s">
        <v>33</v>
      </c>
      <c r="BQ1507" t="s">
        <v>33</v>
      </c>
      <c r="BR1507" t="s">
        <v>33</v>
      </c>
      <c r="BS1507" t="s">
        <v>33</v>
      </c>
      <c r="BT1507" t="s">
        <v>32</v>
      </c>
      <c r="BU1507" t="s">
        <v>709</v>
      </c>
      <c r="BV1507">
        <v>2024</v>
      </c>
      <c r="BW1507" t="s">
        <v>710</v>
      </c>
      <c r="BX1507" t="s">
        <v>78</v>
      </c>
      <c r="BY1507" t="s">
        <v>711</v>
      </c>
      <c r="CA1507" t="str">
        <f t="shared" si="732"/>
        <v>low acid</v>
      </c>
    </row>
    <row r="1508" spans="1:79">
      <c r="A1508" t="s">
        <v>594</v>
      </c>
      <c r="B1508" t="s">
        <v>566</v>
      </c>
      <c r="C1508" t="s">
        <v>563</v>
      </c>
      <c r="D1508" t="s">
        <v>33</v>
      </c>
      <c r="E1508" t="s">
        <v>77</v>
      </c>
      <c r="F1508" t="s">
        <v>32</v>
      </c>
      <c r="G1508" t="s">
        <v>33</v>
      </c>
      <c r="H1508">
        <v>20</v>
      </c>
      <c r="I1508" t="b">
        <v>1</v>
      </c>
      <c r="J1508" t="s">
        <v>33</v>
      </c>
      <c r="K1508" t="s">
        <v>33</v>
      </c>
      <c r="L1508">
        <v>30</v>
      </c>
      <c r="M1508" s="4">
        <v>2</v>
      </c>
      <c r="N1508" t="e">
        <f>(#REF!*Y1508)/(T1508*X1508*O1508)</f>
        <v>#REF!</v>
      </c>
      <c r="O1508">
        <v>2</v>
      </c>
      <c r="P1508" t="s">
        <v>33</v>
      </c>
      <c r="Q1508" s="1">
        <f t="shared" ref="Q1508:Q1531" si="745">IFERROR(X1508/Z1508, "NA")</f>
        <v>7.1</v>
      </c>
      <c r="R1508" t="s">
        <v>183</v>
      </c>
      <c r="S1508" t="s">
        <v>613</v>
      </c>
      <c r="T1508">
        <v>1</v>
      </c>
      <c r="U1508">
        <v>5</v>
      </c>
      <c r="V1508" t="s">
        <v>33</v>
      </c>
      <c r="W1508">
        <v>0.71</v>
      </c>
      <c r="X1508">
        <f t="shared" si="744"/>
        <v>0.71</v>
      </c>
      <c r="Y1508">
        <v>0.1</v>
      </c>
      <c r="Z1508" s="3">
        <f>Y1508</f>
        <v>0.1</v>
      </c>
      <c r="AA1508" s="3">
        <v>14.8409893992932</v>
      </c>
      <c r="AB1508">
        <f>IFERROR(((X1508*M1508)/Y1508), "NA")</f>
        <v>14.2</v>
      </c>
      <c r="AC1508" s="1" t="str">
        <f t="shared" si="736"/>
        <v>NA</v>
      </c>
      <c r="AE1508" s="3">
        <f t="shared" si="725"/>
        <v>490.75199999999995</v>
      </c>
      <c r="AF1508" t="s">
        <v>33</v>
      </c>
      <c r="AG1508" s="1">
        <f>IFERROR((M1508*O1508*Q1508), "NA")</f>
        <v>28.4</v>
      </c>
      <c r="AH1508" s="1">
        <f>IFERROR((AG1508*U1508*AI1508), "NA")</f>
        <v>426</v>
      </c>
      <c r="AI1508" s="1">
        <v>3</v>
      </c>
      <c r="AJ1508" s="11" t="s">
        <v>31</v>
      </c>
      <c r="AK1508">
        <f>AVERAGE(5100, 7700)</f>
        <v>6400</v>
      </c>
      <c r="AL1508" t="s">
        <v>561</v>
      </c>
      <c r="AM1508" s="3" t="s">
        <v>786</v>
      </c>
      <c r="AN1508" t="s">
        <v>186</v>
      </c>
      <c r="AO1508" t="s">
        <v>793</v>
      </c>
      <c r="AP1508" t="s">
        <v>33</v>
      </c>
      <c r="AQ1508" t="s">
        <v>33</v>
      </c>
      <c r="AR1508" t="s">
        <v>33</v>
      </c>
      <c r="AS1508">
        <v>8</v>
      </c>
      <c r="AT1508">
        <f>AS1508-AU1508</f>
        <v>7.25</v>
      </c>
      <c r="AU1508" s="6">
        <v>0.75</v>
      </c>
      <c r="AV1508" t="b">
        <v>1</v>
      </c>
      <c r="AW1508" t="s">
        <v>617</v>
      </c>
      <c r="AX1508" t="s">
        <v>624</v>
      </c>
      <c r="AY1508" t="s">
        <v>622</v>
      </c>
      <c r="AZ1508" t="s">
        <v>33</v>
      </c>
      <c r="BA1508" s="18" t="s">
        <v>802</v>
      </c>
      <c r="BB1508" s="3" t="b">
        <v>0</v>
      </c>
      <c r="BC1508" t="s">
        <v>81</v>
      </c>
      <c r="BD1508">
        <v>18</v>
      </c>
      <c r="BE1508" t="s">
        <v>80</v>
      </c>
      <c r="BF1508">
        <v>24</v>
      </c>
      <c r="BG1508" t="s">
        <v>696</v>
      </c>
      <c r="BH1508" t="s">
        <v>32</v>
      </c>
      <c r="BI1508" t="s">
        <v>31</v>
      </c>
      <c r="BJ1508">
        <f t="shared" si="727"/>
        <v>0.75</v>
      </c>
      <c r="BK1508" s="3">
        <f t="shared" si="726"/>
        <v>-0.12493873660829995</v>
      </c>
      <c r="BL1508">
        <v>2</v>
      </c>
      <c r="BM1508" s="3">
        <f t="shared" si="737"/>
        <v>2.8158008147982119</v>
      </c>
      <c r="BN1508" t="s">
        <v>33</v>
      </c>
      <c r="BO1508" s="3">
        <f t="shared" si="731"/>
        <v>654.3359999999999</v>
      </c>
      <c r="BP1508" t="s">
        <v>33</v>
      </c>
      <c r="BQ1508" t="s">
        <v>33</v>
      </c>
      <c r="BR1508" t="s">
        <v>33</v>
      </c>
      <c r="BS1508" t="s">
        <v>33</v>
      </c>
      <c r="BT1508" t="s">
        <v>31</v>
      </c>
      <c r="BU1508" t="s">
        <v>338</v>
      </c>
      <c r="BV1508">
        <v>2006</v>
      </c>
      <c r="BW1508" t="s">
        <v>339</v>
      </c>
      <c r="BX1508" t="s">
        <v>78</v>
      </c>
      <c r="BY1508" s="13" t="s">
        <v>682</v>
      </c>
      <c r="CA1508" t="str">
        <f t="shared" si="732"/>
        <v>low acid</v>
      </c>
    </row>
    <row r="1509" spans="1:79">
      <c r="A1509" t="s">
        <v>583</v>
      </c>
      <c r="B1509" t="s">
        <v>566</v>
      </c>
      <c r="C1509" t="s">
        <v>563</v>
      </c>
      <c r="D1509" t="s">
        <v>33</v>
      </c>
      <c r="E1509" t="s">
        <v>77</v>
      </c>
      <c r="F1509" t="s">
        <v>32</v>
      </c>
      <c r="G1509" t="s">
        <v>33</v>
      </c>
      <c r="H1509">
        <v>10</v>
      </c>
      <c r="I1509" t="b">
        <v>1</v>
      </c>
      <c r="J1509" t="s">
        <v>33</v>
      </c>
      <c r="K1509" t="s">
        <v>33</v>
      </c>
      <c r="L1509">
        <v>20</v>
      </c>
      <c r="M1509" s="4">
        <v>2</v>
      </c>
      <c r="N1509" t="e">
        <f>(#REF!*Y1509)/(T1509*X1509*O1509)</f>
        <v>#REF!</v>
      </c>
      <c r="O1509">
        <v>2</v>
      </c>
      <c r="P1509" t="s">
        <v>33</v>
      </c>
      <c r="Q1509" s="1">
        <f t="shared" si="745"/>
        <v>52.5</v>
      </c>
      <c r="R1509" t="s">
        <v>183</v>
      </c>
      <c r="S1509" t="s">
        <v>613</v>
      </c>
      <c r="T1509">
        <v>1</v>
      </c>
      <c r="U1509">
        <v>5</v>
      </c>
      <c r="V1509" t="s">
        <v>33</v>
      </c>
      <c r="W1509">
        <v>0.71</v>
      </c>
      <c r="X1509">
        <f t="shared" si="744"/>
        <v>0.71</v>
      </c>
      <c r="Y1509">
        <v>0.1</v>
      </c>
      <c r="Z1509" s="3">
        <f>IFERROR(X1509*M1509*O1509*T1509*AI1509/AF1509, "NA")</f>
        <v>1.3523809523809523E-2</v>
      </c>
      <c r="AA1509" t="s">
        <v>33</v>
      </c>
      <c r="AB1509">
        <f>IFERROR(((X1509*M1509)/Z1509), "NA")</f>
        <v>105</v>
      </c>
      <c r="AC1509" s="1" t="str">
        <f t="shared" si="736"/>
        <v>NA</v>
      </c>
      <c r="AE1509" s="3">
        <f t="shared" si="725"/>
        <v>394.79999999999995</v>
      </c>
      <c r="AF1509">
        <v>210</v>
      </c>
      <c r="AG1509" s="1" t="str">
        <f>IFERROR((N1509*P1509*Q1509), "NA")</f>
        <v>NA</v>
      </c>
      <c r="AH1509" s="1" t="str">
        <f>IFERROR((AG1509*U1509*AI1509), "NA")</f>
        <v>NA</v>
      </c>
      <c r="AI1509" s="1">
        <v>1</v>
      </c>
      <c r="AJ1509" s="11" t="s">
        <v>31</v>
      </c>
      <c r="AK1509">
        <v>4700</v>
      </c>
      <c r="AL1509" t="s">
        <v>562</v>
      </c>
      <c r="AM1509" s="3" t="s">
        <v>786</v>
      </c>
      <c r="AN1509" t="s">
        <v>186</v>
      </c>
      <c r="AO1509" t="s">
        <v>793</v>
      </c>
      <c r="AP1509" t="s">
        <v>33</v>
      </c>
      <c r="AQ1509" t="s">
        <v>33</v>
      </c>
      <c r="AR1509" t="s">
        <v>33</v>
      </c>
      <c r="AS1509">
        <v>8</v>
      </c>
      <c r="AT1509">
        <f>AS1509-AU1509</f>
        <v>7.26</v>
      </c>
      <c r="AU1509" s="6">
        <v>0.74</v>
      </c>
      <c r="AV1509" t="b">
        <v>1</v>
      </c>
      <c r="AW1509" t="s">
        <v>617</v>
      </c>
      <c r="AX1509" t="s">
        <v>33</v>
      </c>
      <c r="AY1509" t="s">
        <v>622</v>
      </c>
      <c r="AZ1509" t="s">
        <v>619</v>
      </c>
      <c r="BA1509" s="18" t="s">
        <v>802</v>
      </c>
      <c r="BB1509" s="3" t="b">
        <v>0</v>
      </c>
      <c r="BC1509" t="s">
        <v>81</v>
      </c>
      <c r="BD1509">
        <v>18</v>
      </c>
      <c r="BE1509" t="s">
        <v>80</v>
      </c>
      <c r="BF1509">
        <v>24</v>
      </c>
      <c r="BG1509" t="s">
        <v>696</v>
      </c>
      <c r="BH1509" t="s">
        <v>32</v>
      </c>
      <c r="BI1509" t="s">
        <v>31</v>
      </c>
      <c r="BJ1509">
        <f t="shared" si="727"/>
        <v>0.74</v>
      </c>
      <c r="BK1509" s="3">
        <f t="shared" si="726"/>
        <v>-0.13076828026902382</v>
      </c>
      <c r="BL1509">
        <v>2</v>
      </c>
      <c r="BM1509" s="3">
        <f t="shared" si="737"/>
        <v>2.7271454242666229</v>
      </c>
      <c r="BN1509" t="s">
        <v>33</v>
      </c>
      <c r="BO1509" s="3">
        <f t="shared" si="731"/>
        <v>533.51351351351343</v>
      </c>
      <c r="BP1509" t="s">
        <v>33</v>
      </c>
      <c r="BQ1509" t="s">
        <v>33</v>
      </c>
      <c r="BR1509" t="s">
        <v>33</v>
      </c>
      <c r="BS1509" t="s">
        <v>33</v>
      </c>
      <c r="BT1509" t="s">
        <v>31</v>
      </c>
      <c r="BU1509" t="s">
        <v>338</v>
      </c>
      <c r="BV1509">
        <v>2005</v>
      </c>
      <c r="BW1509" t="s">
        <v>342</v>
      </c>
      <c r="BX1509" t="s">
        <v>78</v>
      </c>
      <c r="BY1509" s="13" t="s">
        <v>673</v>
      </c>
      <c r="CA1509" t="str">
        <f t="shared" si="732"/>
        <v>low acid</v>
      </c>
    </row>
    <row r="1510" spans="1:79">
      <c r="A1510" t="s">
        <v>589</v>
      </c>
      <c r="B1510" t="s">
        <v>566</v>
      </c>
      <c r="C1510" t="s">
        <v>563</v>
      </c>
      <c r="D1510" t="s">
        <v>33</v>
      </c>
      <c r="E1510" t="s">
        <v>77</v>
      </c>
      <c r="F1510" t="s">
        <v>33</v>
      </c>
      <c r="G1510" t="s">
        <v>33</v>
      </c>
      <c r="H1510">
        <v>35</v>
      </c>
      <c r="I1510" t="b">
        <v>0</v>
      </c>
      <c r="J1510" t="s">
        <v>33</v>
      </c>
      <c r="K1510" t="s">
        <v>33</v>
      </c>
      <c r="L1510">
        <v>15</v>
      </c>
      <c r="M1510" s="4">
        <v>1</v>
      </c>
      <c r="N1510" t="e">
        <f>(#REF!*Y1510)/(T1510*X1510*O1510)</f>
        <v>#REF!</v>
      </c>
      <c r="O1510">
        <v>2</v>
      </c>
      <c r="P1510" t="s">
        <v>33</v>
      </c>
      <c r="Q1510" s="1">
        <f t="shared" si="745"/>
        <v>15</v>
      </c>
      <c r="R1510" t="s">
        <v>183</v>
      </c>
      <c r="S1510" t="s">
        <v>613</v>
      </c>
      <c r="T1510">
        <v>1</v>
      </c>
      <c r="U1510">
        <v>2.5</v>
      </c>
      <c r="V1510" t="s">
        <v>33</v>
      </c>
      <c r="W1510">
        <v>0.50249999999999995</v>
      </c>
      <c r="X1510">
        <f t="shared" si="744"/>
        <v>0.50249999999999995</v>
      </c>
      <c r="Y1510" t="s">
        <v>33</v>
      </c>
      <c r="Z1510" s="3">
        <f>IFERROR(X1510*M1510*O1510*T1510*AI1510/AF1510, "NA")</f>
        <v>3.3499999999999995E-2</v>
      </c>
      <c r="AA1510" t="s">
        <v>33</v>
      </c>
      <c r="AB1510">
        <f>IFERROR(((X1510*M1510)/Z1510), "NA")</f>
        <v>15</v>
      </c>
      <c r="AC1510" s="1" t="str">
        <f t="shared" si="736"/>
        <v>NA</v>
      </c>
      <c r="AE1510" s="3">
        <f t="shared" si="725"/>
        <v>13.499999999999998</v>
      </c>
      <c r="AF1510">
        <v>30</v>
      </c>
      <c r="AG1510" s="1" t="str">
        <f>IFERROR((N1510*P1510*Q1510), "NA")</f>
        <v>NA</v>
      </c>
      <c r="AH1510" s="1" t="str">
        <f>IFERROR((AG1510*U1510*AI1510), "NA")</f>
        <v>NA</v>
      </c>
      <c r="AI1510" s="1">
        <v>1</v>
      </c>
      <c r="AJ1510" s="11" t="s">
        <v>31</v>
      </c>
      <c r="AK1510">
        <v>2000</v>
      </c>
      <c r="AL1510" t="s">
        <v>616</v>
      </c>
      <c r="AM1510" s="3" t="s">
        <v>103</v>
      </c>
      <c r="AN1510" t="s">
        <v>130</v>
      </c>
      <c r="AO1510" t="s">
        <v>795</v>
      </c>
      <c r="AP1510">
        <v>7</v>
      </c>
      <c r="AQ1510" t="s">
        <v>33</v>
      </c>
      <c r="AR1510" t="s">
        <v>33</v>
      </c>
      <c r="AS1510">
        <v>9</v>
      </c>
      <c r="AT1510">
        <f>AS1510-AU1510</f>
        <v>7.26</v>
      </c>
      <c r="AU1510" s="6">
        <v>1.74</v>
      </c>
      <c r="AV1510" t="b">
        <v>1</v>
      </c>
      <c r="AW1510" t="s">
        <v>617</v>
      </c>
      <c r="AX1510" t="s">
        <v>33</v>
      </c>
      <c r="AY1510" t="s">
        <v>628</v>
      </c>
      <c r="AZ1510" t="s">
        <v>619</v>
      </c>
      <c r="BA1510" s="18" t="s">
        <v>802</v>
      </c>
      <c r="BB1510" s="3" t="b">
        <v>0</v>
      </c>
      <c r="BC1510" t="s">
        <v>81</v>
      </c>
      <c r="BD1510">
        <v>24</v>
      </c>
      <c r="BE1510" t="s">
        <v>80</v>
      </c>
      <c r="BF1510">
        <v>24</v>
      </c>
      <c r="BG1510" t="s">
        <v>644</v>
      </c>
      <c r="BH1510" t="s">
        <v>31</v>
      </c>
      <c r="BI1510" t="s">
        <v>31</v>
      </c>
      <c r="BJ1510">
        <f t="shared" si="727"/>
        <v>1.74</v>
      </c>
      <c r="BK1510" s="3">
        <f t="shared" si="726"/>
        <v>0.24054924828259971</v>
      </c>
      <c r="BL1510">
        <v>2</v>
      </c>
      <c r="BM1510" s="3">
        <f t="shared" si="737"/>
        <v>0.88978452021240639</v>
      </c>
      <c r="BN1510" t="s">
        <v>33</v>
      </c>
      <c r="BO1510" s="3">
        <f t="shared" si="731"/>
        <v>7.7586206896551717</v>
      </c>
      <c r="BP1510" t="s">
        <v>33</v>
      </c>
      <c r="BQ1510" t="s">
        <v>33</v>
      </c>
      <c r="BR1510" t="s">
        <v>33</v>
      </c>
      <c r="BS1510" t="s">
        <v>33</v>
      </c>
      <c r="BT1510" t="s">
        <v>31</v>
      </c>
      <c r="BU1510" s="15" t="s">
        <v>655</v>
      </c>
      <c r="BV1510">
        <v>2003</v>
      </c>
      <c r="BW1510" t="s">
        <v>656</v>
      </c>
      <c r="BX1510" t="s">
        <v>78</v>
      </c>
      <c r="BY1510" s="13" t="s">
        <v>677</v>
      </c>
      <c r="CA1510" t="str">
        <f t="shared" si="732"/>
        <v>low acid</v>
      </c>
    </row>
    <row r="1511" spans="1:79">
      <c r="A1511" t="s">
        <v>592</v>
      </c>
      <c r="B1511" t="s">
        <v>566</v>
      </c>
      <c r="C1511" t="s">
        <v>563</v>
      </c>
      <c r="D1511" t="s">
        <v>607</v>
      </c>
      <c r="E1511" t="s">
        <v>77</v>
      </c>
      <c r="F1511" t="s">
        <v>32</v>
      </c>
      <c r="G1511" t="s">
        <v>33</v>
      </c>
      <c r="H1511">
        <v>35</v>
      </c>
      <c r="I1511" t="b">
        <v>0</v>
      </c>
      <c r="J1511">
        <v>30000</v>
      </c>
      <c r="K1511">
        <v>200</v>
      </c>
      <c r="L1511">
        <v>15</v>
      </c>
      <c r="M1511" s="4">
        <v>1</v>
      </c>
      <c r="N1511" t="e">
        <f>(#REF!*Y1511)/(T1511*X1511*O1511)</f>
        <v>#REF!</v>
      </c>
      <c r="O1511">
        <v>3</v>
      </c>
      <c r="P1511" t="s">
        <v>33</v>
      </c>
      <c r="Q1511" s="1">
        <f t="shared" si="745"/>
        <v>50.699999999999996</v>
      </c>
      <c r="R1511" t="s">
        <v>183</v>
      </c>
      <c r="S1511" t="s">
        <v>33</v>
      </c>
      <c r="T1511">
        <v>1</v>
      </c>
      <c r="U1511">
        <v>2.5</v>
      </c>
      <c r="V1511" t="s">
        <v>33</v>
      </c>
      <c r="W1511">
        <v>0.50249999999999995</v>
      </c>
      <c r="X1511">
        <f t="shared" si="744"/>
        <v>0.50249999999999995</v>
      </c>
      <c r="Y1511" t="s">
        <v>33</v>
      </c>
      <c r="Z1511" s="3">
        <f>IFERROR(X1511*M1511*O1511*T1511*AI1511/AF1511, "NA")</f>
        <v>9.9112426035502955E-3</v>
      </c>
      <c r="AA1511" t="s">
        <v>33</v>
      </c>
      <c r="AB1511">
        <f>IFERROR(((X1511*M1511)/Z1511), "NA")</f>
        <v>50.699999999999996</v>
      </c>
      <c r="AC1511" s="1" t="str">
        <f t="shared" si="736"/>
        <v>NA</v>
      </c>
      <c r="AE1511" s="3">
        <f t="shared" si="725"/>
        <v>34.222499999999997</v>
      </c>
      <c r="AF1511">
        <v>152.1</v>
      </c>
      <c r="AG1511" s="1" t="str">
        <f>IFERROR((N1511*P1511*Q1511), "NA")</f>
        <v>NA</v>
      </c>
      <c r="AH1511" s="1" t="str">
        <f>IFERROR((AG1511*U1511*AI1511), "NA")</f>
        <v>NA</v>
      </c>
      <c r="AI1511" s="1">
        <v>1</v>
      </c>
      <c r="AJ1511" s="11" t="s">
        <v>31</v>
      </c>
      <c r="AK1511">
        <v>1000</v>
      </c>
      <c r="AL1511" t="s">
        <v>614</v>
      </c>
      <c r="AM1511" s="3" t="s">
        <v>103</v>
      </c>
      <c r="AN1511" t="s">
        <v>130</v>
      </c>
      <c r="AO1511" t="s">
        <v>795</v>
      </c>
      <c r="AP1511">
        <v>7</v>
      </c>
      <c r="AQ1511" t="s">
        <v>33</v>
      </c>
      <c r="AR1511" t="s">
        <v>33</v>
      </c>
      <c r="AS1511">
        <v>8</v>
      </c>
      <c r="AT1511">
        <f>AS1511-AU1511</f>
        <v>7.27</v>
      </c>
      <c r="AU1511" s="6">
        <v>0.73</v>
      </c>
      <c r="AV1511" t="b">
        <v>1</v>
      </c>
      <c r="AW1511" t="s">
        <v>626</v>
      </c>
      <c r="AX1511" t="s">
        <v>627</v>
      </c>
      <c r="AY1511" t="s">
        <v>633</v>
      </c>
      <c r="AZ1511" t="s">
        <v>33</v>
      </c>
      <c r="BA1511" s="18" t="s">
        <v>800</v>
      </c>
      <c r="BB1511" s="3" t="b">
        <v>0</v>
      </c>
      <c r="BC1511" t="s">
        <v>81</v>
      </c>
      <c r="BD1511">
        <v>24</v>
      </c>
      <c r="BE1511" t="s">
        <v>80</v>
      </c>
      <c r="BF1511">
        <v>48</v>
      </c>
      <c r="BG1511" t="s">
        <v>569</v>
      </c>
      <c r="BH1511" t="s">
        <v>31</v>
      </c>
      <c r="BI1511" t="s">
        <v>31</v>
      </c>
      <c r="BJ1511">
        <f t="shared" si="727"/>
        <v>0.73</v>
      </c>
      <c r="BK1511" s="3">
        <f t="shared" si="726"/>
        <v>-0.13667713987954411</v>
      </c>
      <c r="BL1511">
        <v>2</v>
      </c>
      <c r="BM1511" s="3">
        <f t="shared" si="737"/>
        <v>1.670988872043905</v>
      </c>
      <c r="BN1511" t="s">
        <v>33</v>
      </c>
      <c r="BO1511" s="3">
        <f t="shared" si="731"/>
        <v>46.880136986301366</v>
      </c>
      <c r="BP1511" t="s">
        <v>33</v>
      </c>
      <c r="BQ1511" t="s">
        <v>33</v>
      </c>
      <c r="BR1511" t="s">
        <v>33</v>
      </c>
      <c r="BS1511" t="s">
        <v>33</v>
      </c>
      <c r="BT1511" t="s">
        <v>31</v>
      </c>
      <c r="BU1511" s="15" t="s">
        <v>255</v>
      </c>
      <c r="BV1511">
        <v>2010</v>
      </c>
      <c r="BW1511" t="s">
        <v>659</v>
      </c>
      <c r="BX1511" t="s">
        <v>78</v>
      </c>
      <c r="BY1511" s="13" t="s">
        <v>680</v>
      </c>
      <c r="CA1511" t="str">
        <f t="shared" si="732"/>
        <v>low acid</v>
      </c>
    </row>
    <row r="1512" spans="1:79">
      <c r="A1512" t="s">
        <v>398</v>
      </c>
      <c r="B1512" t="s">
        <v>565</v>
      </c>
      <c r="C1512" t="s">
        <v>563</v>
      </c>
      <c r="D1512" t="s">
        <v>118</v>
      </c>
      <c r="E1512" t="s">
        <v>77</v>
      </c>
      <c r="F1512" t="s">
        <v>32</v>
      </c>
      <c r="G1512">
        <v>25</v>
      </c>
      <c r="H1512">
        <v>36</v>
      </c>
      <c r="I1512" t="b">
        <v>0</v>
      </c>
      <c r="J1512" t="s">
        <v>33</v>
      </c>
      <c r="K1512" t="s">
        <v>33</v>
      </c>
      <c r="L1512">
        <v>30</v>
      </c>
      <c r="M1512" s="4">
        <v>200</v>
      </c>
      <c r="N1512" s="3" t="str">
        <f>IFERROR(AF1512/((T1512*X1512/Y1512)*O1512*AI1512),"NA")</f>
        <v>NA</v>
      </c>
      <c r="O1512">
        <v>10</v>
      </c>
      <c r="P1512" t="s">
        <v>33</v>
      </c>
      <c r="Q1512" s="8">
        <f t="shared" si="745"/>
        <v>1.8750000000000003E-2</v>
      </c>
      <c r="R1512" t="s">
        <v>183</v>
      </c>
      <c r="S1512" t="s">
        <v>613</v>
      </c>
      <c r="T1512" s="11">
        <v>8</v>
      </c>
      <c r="U1512">
        <v>2.9</v>
      </c>
      <c r="V1512">
        <v>2.2999999999999998</v>
      </c>
      <c r="W1512">
        <v>1.2E-2</v>
      </c>
      <c r="X1512" s="8">
        <f>IFERROR(((PI())*(((V1512*10^-1)/2)^2)*(U1512*10^-1)), "NA")</f>
        <v>1.204879322468025E-2</v>
      </c>
      <c r="Y1512" t="s">
        <v>33</v>
      </c>
      <c r="Z1512" s="3">
        <f>IFERROR(X1512*M1512*O1512*T1512*AI1512/AF1512, "NA")</f>
        <v>0.64260230531627993</v>
      </c>
      <c r="AA1512" t="s">
        <v>33</v>
      </c>
      <c r="AB1512" s="6">
        <f>IFERROR(((X1512*M1512)/Z1512), "NA")</f>
        <v>3.7500000000000004</v>
      </c>
      <c r="AC1512" t="str">
        <f t="shared" si="736"/>
        <v>NA</v>
      </c>
      <c r="AD1512" s="4">
        <f>AB1512*T1512*AI1512</f>
        <v>30.000000000000004</v>
      </c>
      <c r="AE1512" s="3">
        <f t="shared" si="725"/>
        <v>1144.8000000000002</v>
      </c>
      <c r="AF1512">
        <v>300</v>
      </c>
      <c r="AG1512" t="str">
        <f>IFERROR((M1512*O1512*P1512), "NA")</f>
        <v>NA</v>
      </c>
      <c r="AH1512" t="str">
        <f>IFERROR((AG1512*T1512*AI1512), "NA")</f>
        <v>NA</v>
      </c>
      <c r="AI1512">
        <v>1</v>
      </c>
      <c r="AJ1512" t="s">
        <v>31</v>
      </c>
      <c r="AK1512">
        <v>4240</v>
      </c>
      <c r="AL1512" t="s">
        <v>238</v>
      </c>
      <c r="AM1512" t="s">
        <v>86</v>
      </c>
      <c r="AN1512" t="s">
        <v>205</v>
      </c>
      <c r="AO1512" t="s">
        <v>789</v>
      </c>
      <c r="AP1512">
        <v>3.56</v>
      </c>
      <c r="AQ1512" t="s">
        <v>33</v>
      </c>
      <c r="AR1512" t="s">
        <v>33</v>
      </c>
      <c r="AS1512" s="6">
        <f>LOG(10^8)</f>
        <v>8</v>
      </c>
      <c r="AT1512" s="3">
        <f>IFERROR(AS1512-AU1512,"NA")</f>
        <v>7.2729999999999997</v>
      </c>
      <c r="AU1512" s="6">
        <v>0.72699999999999998</v>
      </c>
      <c r="AV1512" t="b">
        <v>1</v>
      </c>
      <c r="AW1512" t="s">
        <v>123</v>
      </c>
      <c r="AX1512" t="s">
        <v>393</v>
      </c>
      <c r="AY1512" t="s">
        <v>394</v>
      </c>
      <c r="AZ1512" t="s">
        <v>33</v>
      </c>
      <c r="BA1512" s="18" t="s">
        <v>579</v>
      </c>
      <c r="BB1512" t="b">
        <v>1</v>
      </c>
      <c r="BC1512" t="s">
        <v>81</v>
      </c>
      <c r="BD1512">
        <v>72</v>
      </c>
      <c r="BE1512" t="s">
        <v>80</v>
      </c>
      <c r="BF1512" s="11">
        <v>72</v>
      </c>
      <c r="BG1512" t="s">
        <v>395</v>
      </c>
      <c r="BH1512" t="s">
        <v>31</v>
      </c>
      <c r="BI1512" t="s">
        <v>31</v>
      </c>
      <c r="BJ1512" s="3">
        <f t="shared" si="727"/>
        <v>0.72699999999999998</v>
      </c>
      <c r="BK1512" s="3">
        <f t="shared" si="726"/>
        <v>-0.13846558914096219</v>
      </c>
      <c r="BL1512">
        <v>2</v>
      </c>
      <c r="BM1512" s="3">
        <f t="shared" si="737"/>
        <v>3.1971952098926821</v>
      </c>
      <c r="BN1512" t="s">
        <v>33</v>
      </c>
      <c r="BO1512" s="3">
        <f t="shared" si="731"/>
        <v>1574.6905089408531</v>
      </c>
      <c r="BP1512" t="s">
        <v>33</v>
      </c>
      <c r="BQ1512" t="s">
        <v>33</v>
      </c>
      <c r="BR1512" t="s">
        <v>33</v>
      </c>
      <c r="BS1512" t="s">
        <v>33</v>
      </c>
      <c r="BT1512" t="s">
        <v>31</v>
      </c>
      <c r="BU1512" t="s">
        <v>240</v>
      </c>
      <c r="BV1512">
        <v>2005</v>
      </c>
      <c r="BW1512" t="s">
        <v>396</v>
      </c>
      <c r="BX1512" t="s">
        <v>78</v>
      </c>
      <c r="BY1512" t="s">
        <v>33</v>
      </c>
      <c r="BZ1512" t="s">
        <v>33</v>
      </c>
      <c r="CA1512" t="str">
        <f t="shared" si="732"/>
        <v>high acid</v>
      </c>
    </row>
    <row r="1513" spans="1:79">
      <c r="A1513" t="s">
        <v>594</v>
      </c>
      <c r="B1513" t="s">
        <v>566</v>
      </c>
      <c r="C1513" t="s">
        <v>563</v>
      </c>
      <c r="D1513" t="s">
        <v>33</v>
      </c>
      <c r="E1513" t="s">
        <v>77</v>
      </c>
      <c r="F1513" t="s">
        <v>32</v>
      </c>
      <c r="G1513" t="s">
        <v>33</v>
      </c>
      <c r="H1513">
        <v>30</v>
      </c>
      <c r="I1513" t="b">
        <v>1</v>
      </c>
      <c r="J1513" t="s">
        <v>33</v>
      </c>
      <c r="K1513" t="s">
        <v>33</v>
      </c>
      <c r="L1513">
        <v>20</v>
      </c>
      <c r="M1513" s="4">
        <v>2</v>
      </c>
      <c r="N1513" t="e">
        <f>(#REF!*Y1513)/(T1513*X1513*O1513)</f>
        <v>#REF!</v>
      </c>
      <c r="O1513">
        <v>2</v>
      </c>
      <c r="P1513" t="s">
        <v>33</v>
      </c>
      <c r="Q1513" s="1">
        <f t="shared" si="745"/>
        <v>7.1</v>
      </c>
      <c r="R1513" t="s">
        <v>183</v>
      </c>
      <c r="S1513" t="s">
        <v>613</v>
      </c>
      <c r="T1513">
        <v>1</v>
      </c>
      <c r="U1513">
        <v>5</v>
      </c>
      <c r="V1513" t="s">
        <v>33</v>
      </c>
      <c r="W1513">
        <v>0.71</v>
      </c>
      <c r="X1513">
        <f>W1513</f>
        <v>0.71</v>
      </c>
      <c r="Y1513">
        <v>0.1</v>
      </c>
      <c r="Z1513" s="3">
        <f>Y1513</f>
        <v>0.1</v>
      </c>
      <c r="AA1513" s="3">
        <v>14.8409893992932</v>
      </c>
      <c r="AB1513">
        <f>IFERROR(((X1513*M1513)/Y1513), "NA")</f>
        <v>14.2</v>
      </c>
      <c r="AC1513" s="1" t="str">
        <f t="shared" si="736"/>
        <v>NA</v>
      </c>
      <c r="AE1513" s="3">
        <f t="shared" ref="AE1513:AE1576" si="746">IFERROR(((L1513^2)*M1513*O1513*AK1513*10^-6*Q1513*T1513*AI1513), "NA")</f>
        <v>174.94399999999999</v>
      </c>
      <c r="AF1513" t="s">
        <v>33</v>
      </c>
      <c r="AG1513" s="1">
        <f>IFERROR((M1513*O1513*Q1513), "NA")</f>
        <v>28.4</v>
      </c>
      <c r="AH1513" s="1">
        <f>IFERROR((AG1513*U1513*AI1513), "NA")</f>
        <v>284</v>
      </c>
      <c r="AI1513" s="1">
        <v>2</v>
      </c>
      <c r="AJ1513" s="11" t="s">
        <v>31</v>
      </c>
      <c r="AK1513">
        <f>7700</f>
        <v>7700</v>
      </c>
      <c r="AL1513" t="s">
        <v>561</v>
      </c>
      <c r="AM1513" s="3" t="s">
        <v>786</v>
      </c>
      <c r="AN1513" t="s">
        <v>186</v>
      </c>
      <c r="AO1513" t="s">
        <v>793</v>
      </c>
      <c r="AP1513" t="s">
        <v>33</v>
      </c>
      <c r="AQ1513" t="s">
        <v>33</v>
      </c>
      <c r="AR1513" t="s">
        <v>33</v>
      </c>
      <c r="AS1513">
        <v>8</v>
      </c>
      <c r="AT1513">
        <f>AS1513-AU1513</f>
        <v>7.28</v>
      </c>
      <c r="AU1513" s="6">
        <v>0.72</v>
      </c>
      <c r="AV1513" t="b">
        <v>1</v>
      </c>
      <c r="AW1513" t="s">
        <v>617</v>
      </c>
      <c r="AX1513" t="s">
        <v>624</v>
      </c>
      <c r="AY1513" t="s">
        <v>622</v>
      </c>
      <c r="AZ1513" t="s">
        <v>33</v>
      </c>
      <c r="BA1513" s="18" t="s">
        <v>802</v>
      </c>
      <c r="BB1513" s="3" t="b">
        <v>0</v>
      </c>
      <c r="BC1513" t="s">
        <v>81</v>
      </c>
      <c r="BD1513">
        <v>18</v>
      </c>
      <c r="BE1513" t="s">
        <v>80</v>
      </c>
      <c r="BF1513">
        <v>24</v>
      </c>
      <c r="BG1513" t="s">
        <v>696</v>
      </c>
      <c r="BH1513" t="s">
        <v>32</v>
      </c>
      <c r="BI1513" t="s">
        <v>31</v>
      </c>
      <c r="BJ1513">
        <f t="shared" si="727"/>
        <v>0.72</v>
      </c>
      <c r="BK1513" s="3">
        <f t="shared" si="726"/>
        <v>-0.14266750356873156</v>
      </c>
      <c r="BL1513">
        <v>2</v>
      </c>
      <c r="BM1513" s="3">
        <f t="shared" si="737"/>
        <v>2.3855665557801946</v>
      </c>
      <c r="BN1513" t="s">
        <v>33</v>
      </c>
      <c r="BO1513" s="3">
        <f t="shared" si="731"/>
        <v>242.97777777777776</v>
      </c>
      <c r="BP1513" t="s">
        <v>33</v>
      </c>
      <c r="BQ1513" t="s">
        <v>33</v>
      </c>
      <c r="BR1513" t="s">
        <v>33</v>
      </c>
      <c r="BS1513" t="s">
        <v>33</v>
      </c>
      <c r="BT1513" t="s">
        <v>31</v>
      </c>
      <c r="BU1513" t="s">
        <v>338</v>
      </c>
      <c r="BV1513">
        <v>2006</v>
      </c>
      <c r="BW1513" t="s">
        <v>339</v>
      </c>
      <c r="BX1513" t="s">
        <v>78</v>
      </c>
      <c r="BY1513" s="13" t="s">
        <v>682</v>
      </c>
      <c r="CA1513" t="str">
        <f t="shared" si="732"/>
        <v>low acid</v>
      </c>
    </row>
    <row r="1514" spans="1:79">
      <c r="A1514" t="s">
        <v>582</v>
      </c>
      <c r="B1514" t="s">
        <v>566</v>
      </c>
      <c r="C1514" t="s">
        <v>563</v>
      </c>
      <c r="D1514" t="s">
        <v>606</v>
      </c>
      <c r="E1514" t="s">
        <v>77</v>
      </c>
      <c r="F1514" t="s">
        <v>32</v>
      </c>
      <c r="G1514">
        <v>25</v>
      </c>
      <c r="H1514" t="s">
        <v>33</v>
      </c>
      <c r="I1514" t="b">
        <v>0</v>
      </c>
      <c r="J1514" t="s">
        <v>33</v>
      </c>
      <c r="K1514" t="s">
        <v>33</v>
      </c>
      <c r="L1514">
        <v>25</v>
      </c>
      <c r="M1514" s="4">
        <v>1000</v>
      </c>
      <c r="N1514" t="e">
        <f>(#REF!*Y1514)/(T1514*X1514*O1514)</f>
        <v>#REF!</v>
      </c>
      <c r="O1514">
        <v>40</v>
      </c>
      <c r="P1514" t="s">
        <v>33</v>
      </c>
      <c r="Q1514" s="1">
        <f t="shared" si="745"/>
        <v>3.0000000000000002E-2</v>
      </c>
      <c r="R1514" t="s">
        <v>183</v>
      </c>
      <c r="S1514" t="s">
        <v>613</v>
      </c>
      <c r="T1514">
        <v>1</v>
      </c>
      <c r="U1514">
        <v>3</v>
      </c>
      <c r="V1514" t="s">
        <v>33</v>
      </c>
      <c r="W1514">
        <v>0.02</v>
      </c>
      <c r="X1514">
        <f>W1514</f>
        <v>0.02</v>
      </c>
      <c r="Y1514">
        <v>0.66666700000000001</v>
      </c>
      <c r="Z1514" s="3">
        <f>IFERROR(X1514*M1514*O1514*T1514*AI1514/AF1514, "NA")</f>
        <v>0.66666666666666663</v>
      </c>
      <c r="AA1514" t="s">
        <v>33</v>
      </c>
      <c r="AB1514">
        <f>IFERROR(((X1514*M1514)/Z1514), "NA")</f>
        <v>30</v>
      </c>
      <c r="AC1514" s="1" t="str">
        <f t="shared" si="736"/>
        <v>NA</v>
      </c>
      <c r="AE1514" s="3">
        <f t="shared" si="746"/>
        <v>135</v>
      </c>
      <c r="AF1514">
        <v>1200</v>
      </c>
      <c r="AG1514" s="1" t="str">
        <f>IFERROR((N1514*P1514*Q1514), "NA")</f>
        <v>NA</v>
      </c>
      <c r="AH1514" s="1" t="str">
        <f>IFERROR((AG1514*U1514*AI1514), "NA")</f>
        <v>NA</v>
      </c>
      <c r="AI1514" s="1">
        <v>1</v>
      </c>
      <c r="AJ1514" s="11" t="s">
        <v>31</v>
      </c>
      <c r="AK1514">
        <v>180</v>
      </c>
      <c r="AL1514" t="s">
        <v>614</v>
      </c>
      <c r="AM1514" s="3" t="s">
        <v>103</v>
      </c>
      <c r="AN1514" t="s">
        <v>130</v>
      </c>
      <c r="AO1514" t="s">
        <v>795</v>
      </c>
      <c r="AP1514">
        <v>6.9</v>
      </c>
      <c r="AQ1514" t="s">
        <v>33</v>
      </c>
      <c r="AR1514" t="s">
        <v>33</v>
      </c>
      <c r="AS1514">
        <v>9</v>
      </c>
      <c r="AT1514">
        <f>AS1514-AU1514</f>
        <v>7.28</v>
      </c>
      <c r="AU1514" s="6">
        <v>1.72</v>
      </c>
      <c r="AV1514" t="b">
        <v>1</v>
      </c>
      <c r="AW1514" t="s">
        <v>617</v>
      </c>
      <c r="AX1514" t="s">
        <v>33</v>
      </c>
      <c r="AY1514" t="s">
        <v>620</v>
      </c>
      <c r="AZ1514" t="s">
        <v>621</v>
      </c>
      <c r="BA1514" s="18" t="s">
        <v>802</v>
      </c>
      <c r="BB1514" s="3" t="b">
        <v>0</v>
      </c>
      <c r="BC1514" t="s">
        <v>81</v>
      </c>
      <c r="BD1514">
        <v>48</v>
      </c>
      <c r="BE1514" t="s">
        <v>80</v>
      </c>
      <c r="BF1514">
        <v>48</v>
      </c>
      <c r="BG1514" t="s">
        <v>569</v>
      </c>
      <c r="BH1514" t="s">
        <v>31</v>
      </c>
      <c r="BI1514" t="s">
        <v>31</v>
      </c>
      <c r="BJ1514">
        <f t="shared" si="727"/>
        <v>1.72</v>
      </c>
      <c r="BK1514" s="3">
        <f t="shared" si="726"/>
        <v>0.2355284469075489</v>
      </c>
      <c r="BL1514">
        <v>2</v>
      </c>
      <c r="BM1514" s="3">
        <f t="shared" si="737"/>
        <v>1.8948053215874572</v>
      </c>
      <c r="BN1514" t="s">
        <v>33</v>
      </c>
      <c r="BO1514" s="3">
        <f t="shared" si="731"/>
        <v>78.488372093023258</v>
      </c>
      <c r="BP1514" t="s">
        <v>33</v>
      </c>
      <c r="BQ1514" t="s">
        <v>33</v>
      </c>
      <c r="BR1514" t="s">
        <v>33</v>
      </c>
      <c r="BS1514" t="s">
        <v>33</v>
      </c>
      <c r="BT1514" t="s">
        <v>32</v>
      </c>
      <c r="BU1514" t="s">
        <v>649</v>
      </c>
      <c r="BV1514" s="14">
        <v>2016</v>
      </c>
      <c r="BW1514" t="s">
        <v>650</v>
      </c>
      <c r="BX1514" t="s">
        <v>78</v>
      </c>
      <c r="BY1514" s="13" t="s">
        <v>672</v>
      </c>
      <c r="CA1514" t="str">
        <f t="shared" si="732"/>
        <v>low acid</v>
      </c>
    </row>
    <row r="1515" spans="1:79">
      <c r="A1515" t="s">
        <v>391</v>
      </c>
      <c r="B1515" t="s">
        <v>565</v>
      </c>
      <c r="C1515" t="s">
        <v>563</v>
      </c>
      <c r="D1515" t="s">
        <v>118</v>
      </c>
      <c r="E1515" t="s">
        <v>77</v>
      </c>
      <c r="F1515" t="s">
        <v>32</v>
      </c>
      <c r="G1515">
        <v>25</v>
      </c>
      <c r="H1515">
        <v>36</v>
      </c>
      <c r="I1515" t="b">
        <v>0</v>
      </c>
      <c r="J1515" t="s">
        <v>33</v>
      </c>
      <c r="K1515" t="s">
        <v>33</v>
      </c>
      <c r="L1515">
        <v>35</v>
      </c>
      <c r="M1515" s="4">
        <v>200</v>
      </c>
      <c r="N1515" s="3" t="str">
        <f>IFERROR(AF1515/((T1515*X1515/Y1515)*O1515*AI1515),"NA")</f>
        <v>NA</v>
      </c>
      <c r="O1515">
        <v>4</v>
      </c>
      <c r="P1515" t="s">
        <v>33</v>
      </c>
      <c r="Q1515" s="8">
        <f t="shared" si="745"/>
        <v>7.8125E-3</v>
      </c>
      <c r="R1515" t="s">
        <v>183</v>
      </c>
      <c r="S1515" t="s">
        <v>612</v>
      </c>
      <c r="T1515" s="11">
        <v>8</v>
      </c>
      <c r="U1515">
        <v>2.9</v>
      </c>
      <c r="V1515">
        <v>2.2999999999999998</v>
      </c>
      <c r="W1515">
        <v>1.2E-2</v>
      </c>
      <c r="X1515" s="8">
        <f>IFERROR(((PI())*(((V1515*10^-1)/2)^2)*(U1515*10^-1)), "NA")</f>
        <v>1.204879322468025E-2</v>
      </c>
      <c r="Y1515" t="s">
        <v>33</v>
      </c>
      <c r="Z1515" s="3">
        <f>IFERROR(X1515*M1515*O1515*T1515*AI1515/AF1515, "NA")</f>
        <v>1.5422455327590721</v>
      </c>
      <c r="AA1515" t="s">
        <v>33</v>
      </c>
      <c r="AB1515" s="6">
        <f>IFERROR(((X1515*M1515)/Z1515), "NA")</f>
        <v>1.5625</v>
      </c>
      <c r="AC1515" t="str">
        <f t="shared" si="736"/>
        <v>NA</v>
      </c>
      <c r="AD1515" s="4">
        <f>AB1515*T1515*AI1515</f>
        <v>12.5</v>
      </c>
      <c r="AE1515" s="3">
        <f t="shared" si="746"/>
        <v>259.7</v>
      </c>
      <c r="AF1515">
        <v>50</v>
      </c>
      <c r="AG1515" t="str">
        <f>IFERROR((M1515*O1515*P1515), "NA")</f>
        <v>NA</v>
      </c>
      <c r="AH1515" t="str">
        <f>IFERROR((AG1515*T1515*AI1515), "NA")</f>
        <v>NA</v>
      </c>
      <c r="AI1515">
        <v>1</v>
      </c>
      <c r="AJ1515" t="s">
        <v>31</v>
      </c>
      <c r="AK1515">
        <v>4240</v>
      </c>
      <c r="AL1515" t="s">
        <v>238</v>
      </c>
      <c r="AM1515" t="s">
        <v>86</v>
      </c>
      <c r="AN1515" t="s">
        <v>205</v>
      </c>
      <c r="AO1515" t="s">
        <v>789</v>
      </c>
      <c r="AP1515">
        <v>3.56</v>
      </c>
      <c r="AQ1515" t="s">
        <v>33</v>
      </c>
      <c r="AR1515" t="s">
        <v>33</v>
      </c>
      <c r="AS1515" s="6">
        <f>LOG(10^8)</f>
        <v>8</v>
      </c>
      <c r="AT1515" s="3">
        <f>IFERROR(AS1515-AU1515,"NA")</f>
        <v>7.2830000000000004</v>
      </c>
      <c r="AU1515" s="6">
        <v>0.71699999999999997</v>
      </c>
      <c r="AV1515" t="b">
        <v>1</v>
      </c>
      <c r="AW1515" t="s">
        <v>123</v>
      </c>
      <c r="AX1515" t="s">
        <v>393</v>
      </c>
      <c r="AY1515" t="s">
        <v>394</v>
      </c>
      <c r="AZ1515" t="s">
        <v>33</v>
      </c>
      <c r="BA1515" s="18" t="s">
        <v>579</v>
      </c>
      <c r="BB1515" t="b">
        <v>1</v>
      </c>
      <c r="BC1515" t="s">
        <v>81</v>
      </c>
      <c r="BD1515">
        <v>72</v>
      </c>
      <c r="BE1515" t="s">
        <v>80</v>
      </c>
      <c r="BF1515" s="11">
        <v>72</v>
      </c>
      <c r="BG1515" t="s">
        <v>395</v>
      </c>
      <c r="BH1515" t="s">
        <v>31</v>
      </c>
      <c r="BI1515" t="s">
        <v>31</v>
      </c>
      <c r="BJ1515" s="3">
        <f t="shared" si="727"/>
        <v>0.71699999999999997</v>
      </c>
      <c r="BK1515" s="3">
        <f t="shared" si="726"/>
        <v>-0.1444808443321999</v>
      </c>
      <c r="BL1515">
        <v>2</v>
      </c>
      <c r="BM1515" s="3">
        <f t="shared" si="737"/>
        <v>2.5589527939615024</v>
      </c>
      <c r="BN1515" t="s">
        <v>33</v>
      </c>
      <c r="BO1515" s="3">
        <f t="shared" si="731"/>
        <v>362.20362622036259</v>
      </c>
      <c r="BP1515" t="s">
        <v>33</v>
      </c>
      <c r="BQ1515" t="s">
        <v>33</v>
      </c>
      <c r="BR1515" t="s">
        <v>33</v>
      </c>
      <c r="BS1515" t="s">
        <v>33</v>
      </c>
      <c r="BT1515" t="s">
        <v>31</v>
      </c>
      <c r="BU1515" t="s">
        <v>240</v>
      </c>
      <c r="BV1515">
        <v>2005</v>
      </c>
      <c r="BW1515" t="s">
        <v>396</v>
      </c>
      <c r="BX1515" t="s">
        <v>78</v>
      </c>
      <c r="BY1515" t="s">
        <v>33</v>
      </c>
      <c r="BZ1515" t="s">
        <v>33</v>
      </c>
      <c r="CA1515" t="str">
        <f t="shared" si="732"/>
        <v>high acid</v>
      </c>
    </row>
    <row r="1516" spans="1:79">
      <c r="A1516" t="s">
        <v>600</v>
      </c>
      <c r="B1516" t="s">
        <v>566</v>
      </c>
      <c r="C1516" t="s">
        <v>563</v>
      </c>
      <c r="D1516" t="s">
        <v>33</v>
      </c>
      <c r="E1516" t="s">
        <v>77</v>
      </c>
      <c r="F1516" t="s">
        <v>33</v>
      </c>
      <c r="G1516" t="s">
        <v>33</v>
      </c>
      <c r="H1516">
        <v>35</v>
      </c>
      <c r="I1516" t="b">
        <v>0</v>
      </c>
      <c r="J1516" t="s">
        <v>33</v>
      </c>
      <c r="K1516" t="s">
        <v>33</v>
      </c>
      <c r="L1516">
        <v>19</v>
      </c>
      <c r="M1516" s="4">
        <v>1</v>
      </c>
      <c r="N1516" t="e">
        <f>(#REF!*Y1516)/(T1516*X1516*O1516)</f>
        <v>#REF!</v>
      </c>
      <c r="O1516">
        <v>2</v>
      </c>
      <c r="P1516" t="s">
        <v>33</v>
      </c>
      <c r="Q1516" s="1">
        <f t="shared" si="745"/>
        <v>100.00000000000001</v>
      </c>
      <c r="R1516" t="s">
        <v>183</v>
      </c>
      <c r="S1516" t="s">
        <v>33</v>
      </c>
      <c r="T1516">
        <v>1</v>
      </c>
      <c r="U1516">
        <v>2.5</v>
      </c>
      <c r="V1516" t="s">
        <v>33</v>
      </c>
      <c r="W1516">
        <v>0.50249999999999995</v>
      </c>
      <c r="X1516">
        <f>W1516</f>
        <v>0.50249999999999995</v>
      </c>
      <c r="Y1516" t="s">
        <v>33</v>
      </c>
      <c r="Z1516" s="3">
        <f>IFERROR(X1516*M1516*O1516*T1516*AI1516/AF1516, "NA")</f>
        <v>5.0249999999999991E-3</v>
      </c>
      <c r="AA1516" t="s">
        <v>33</v>
      </c>
      <c r="AB1516">
        <f>IFERROR(((X1516*M1516)/Z1516), "NA")</f>
        <v>100.00000000000001</v>
      </c>
      <c r="AC1516" s="1" t="str">
        <f t="shared" si="736"/>
        <v>NA</v>
      </c>
      <c r="AE1516" s="3">
        <f t="shared" si="746"/>
        <v>144.4</v>
      </c>
      <c r="AF1516">
        <v>200</v>
      </c>
      <c r="AG1516" s="1" t="str">
        <f>IFERROR((N1516*P1516*Q1516), "NA")</f>
        <v>NA</v>
      </c>
      <c r="AH1516" s="1" t="str">
        <f>IFERROR((AG1516*U1516*AI1516), "NA")</f>
        <v>NA</v>
      </c>
      <c r="AI1516" s="1">
        <v>1</v>
      </c>
      <c r="AJ1516" s="11" t="s">
        <v>31</v>
      </c>
      <c r="AK1516">
        <v>2000</v>
      </c>
      <c r="AL1516" t="s">
        <v>784</v>
      </c>
      <c r="AM1516" s="3" t="s">
        <v>103</v>
      </c>
      <c r="AN1516" t="s">
        <v>130</v>
      </c>
      <c r="AO1516" t="s">
        <v>795</v>
      </c>
      <c r="AP1516">
        <v>7</v>
      </c>
      <c r="AQ1516" t="s">
        <v>33</v>
      </c>
      <c r="AR1516" t="s">
        <v>33</v>
      </c>
      <c r="AS1516">
        <v>8</v>
      </c>
      <c r="AT1516">
        <f>AS1516-AU1516</f>
        <v>7.29</v>
      </c>
      <c r="AU1516" s="6">
        <v>0.71</v>
      </c>
      <c r="AV1516" t="b">
        <v>1</v>
      </c>
      <c r="AW1516" t="s">
        <v>626</v>
      </c>
      <c r="AX1516" t="s">
        <v>627</v>
      </c>
      <c r="AY1516" t="s">
        <v>640</v>
      </c>
      <c r="AZ1516" t="s">
        <v>33</v>
      </c>
      <c r="BA1516" s="18" t="s">
        <v>800</v>
      </c>
      <c r="BB1516" s="3" t="b">
        <v>0</v>
      </c>
      <c r="BC1516" t="s">
        <v>81</v>
      </c>
      <c r="BD1516">
        <f>AVERAGE(24,30)</f>
        <v>27</v>
      </c>
      <c r="BE1516" t="s">
        <v>80</v>
      </c>
      <c r="BF1516">
        <v>24</v>
      </c>
      <c r="BG1516" t="s">
        <v>568</v>
      </c>
      <c r="BH1516" t="s">
        <v>31</v>
      </c>
      <c r="BI1516" t="s">
        <v>31</v>
      </c>
      <c r="BJ1516" s="3">
        <f t="shared" si="727"/>
        <v>0.71</v>
      </c>
      <c r="BK1516" s="3">
        <f t="shared" ref="BK1516:BK1531" si="747">LOG10(BJ1516)</f>
        <v>-0.14874165128092473</v>
      </c>
      <c r="BL1516">
        <v>2</v>
      </c>
      <c r="BM1516" s="3">
        <f t="shared" si="737"/>
        <v>2.3083088445145452</v>
      </c>
      <c r="BN1516" t="s">
        <v>33</v>
      </c>
      <c r="BO1516" s="3">
        <f t="shared" si="731"/>
        <v>203.38028169014086</v>
      </c>
      <c r="BP1516" t="s">
        <v>33</v>
      </c>
      <c r="BQ1516" t="s">
        <v>33</v>
      </c>
      <c r="BR1516" t="s">
        <v>33</v>
      </c>
      <c r="BS1516" t="s">
        <v>33</v>
      </c>
      <c r="BT1516" t="s">
        <v>31</v>
      </c>
      <c r="BU1516" t="s">
        <v>666</v>
      </c>
      <c r="BV1516" s="14">
        <v>2006</v>
      </c>
      <c r="BW1516" t="s">
        <v>667</v>
      </c>
      <c r="BX1516" t="s">
        <v>78</v>
      </c>
      <c r="BY1516" s="13" t="s">
        <v>688</v>
      </c>
      <c r="CA1516" t="str">
        <f t="shared" si="732"/>
        <v>low acid</v>
      </c>
    </row>
    <row r="1517" spans="1:79">
      <c r="A1517" t="s">
        <v>584</v>
      </c>
      <c r="B1517" t="s">
        <v>566</v>
      </c>
      <c r="C1517" t="s">
        <v>563</v>
      </c>
      <c r="D1517" t="s">
        <v>607</v>
      </c>
      <c r="E1517" t="s">
        <v>77</v>
      </c>
      <c r="F1517" t="s">
        <v>33</v>
      </c>
      <c r="G1517">
        <v>20</v>
      </c>
      <c r="H1517">
        <v>35</v>
      </c>
      <c r="I1517" t="b">
        <v>0</v>
      </c>
      <c r="J1517">
        <v>1000</v>
      </c>
      <c r="K1517">
        <v>200</v>
      </c>
      <c r="L1517">
        <v>15</v>
      </c>
      <c r="M1517" s="4">
        <v>1</v>
      </c>
      <c r="N1517" t="e">
        <f>(#REF!*Y1517)/(T1517*X1517*O1517)</f>
        <v>#REF!</v>
      </c>
      <c r="O1517">
        <v>3</v>
      </c>
      <c r="P1517" t="s">
        <v>33</v>
      </c>
      <c r="Q1517" s="1">
        <f t="shared" si="745"/>
        <v>10</v>
      </c>
      <c r="R1517" t="s">
        <v>183</v>
      </c>
      <c r="S1517" t="s">
        <v>33</v>
      </c>
      <c r="T1517">
        <v>1</v>
      </c>
      <c r="U1517">
        <v>2.5</v>
      </c>
      <c r="V1517" t="s">
        <v>33</v>
      </c>
      <c r="W1517">
        <v>0.50249999999999995</v>
      </c>
      <c r="X1517">
        <f>W1517</f>
        <v>0.50249999999999995</v>
      </c>
      <c r="Y1517" t="s">
        <v>33</v>
      </c>
      <c r="Z1517" s="3">
        <f>IFERROR(X1517*M1517*O1517*T1517*AI1517/AF1517, "NA")</f>
        <v>5.0249999999999996E-2</v>
      </c>
      <c r="AA1517" t="s">
        <v>33</v>
      </c>
      <c r="AB1517">
        <f>IFERROR(((X1517*M1517)/Z1517), "NA")</f>
        <v>10</v>
      </c>
      <c r="AC1517" s="1" t="str">
        <f t="shared" si="736"/>
        <v>NA</v>
      </c>
      <c r="AE1517" s="3">
        <f t="shared" si="746"/>
        <v>6.7499999999999991</v>
      </c>
      <c r="AF1517">
        <v>30</v>
      </c>
      <c r="AG1517" s="1" t="str">
        <f>IFERROR((N1517*P1517*Q1517), "NA")</f>
        <v>NA</v>
      </c>
      <c r="AH1517" s="1" t="str">
        <f>IFERROR((AG1517*U1517*AI1517), "NA")</f>
        <v>NA</v>
      </c>
      <c r="AI1517" s="1">
        <v>1</v>
      </c>
      <c r="AJ1517" s="11" t="s">
        <v>31</v>
      </c>
      <c r="AK1517">
        <v>1000</v>
      </c>
      <c r="AL1517" t="s">
        <v>614</v>
      </c>
      <c r="AM1517" s="3" t="s">
        <v>103</v>
      </c>
      <c r="AN1517" t="s">
        <v>305</v>
      </c>
      <c r="AO1517" t="s">
        <v>790</v>
      </c>
      <c r="AP1517">
        <v>3.5</v>
      </c>
      <c r="AQ1517" t="s">
        <v>33</v>
      </c>
      <c r="AR1517" t="s">
        <v>33</v>
      </c>
      <c r="AS1517">
        <v>8</v>
      </c>
      <c r="AT1517">
        <f>AS1517-AU1517</f>
        <v>7.29</v>
      </c>
      <c r="AU1517" s="6">
        <v>0.71</v>
      </c>
      <c r="AV1517" t="b">
        <v>1</v>
      </c>
      <c r="AW1517" t="s">
        <v>617</v>
      </c>
      <c r="AX1517" t="s">
        <v>33</v>
      </c>
      <c r="AY1517" t="s">
        <v>623</v>
      </c>
      <c r="AZ1517" t="s">
        <v>621</v>
      </c>
      <c r="BA1517" s="18" t="s">
        <v>802</v>
      </c>
      <c r="BB1517" s="3" t="b">
        <v>0</v>
      </c>
      <c r="BC1517" t="s">
        <v>81</v>
      </c>
      <c r="BD1517">
        <v>18</v>
      </c>
      <c r="BE1517" t="s">
        <v>80</v>
      </c>
      <c r="BF1517">
        <v>24</v>
      </c>
      <c r="BG1517" t="s">
        <v>569</v>
      </c>
      <c r="BH1517" t="s">
        <v>31</v>
      </c>
      <c r="BI1517" t="s">
        <v>31</v>
      </c>
      <c r="BJ1517">
        <f t="shared" ref="BJ1517:BJ1531" si="748">AU1517</f>
        <v>0.71</v>
      </c>
      <c r="BK1517" s="3">
        <f t="shared" si="747"/>
        <v>-0.14874165128092473</v>
      </c>
      <c r="BL1517">
        <v>2</v>
      </c>
      <c r="BM1517" s="3">
        <f t="shared" si="737"/>
        <v>0.97804542411194961</v>
      </c>
      <c r="BN1517" t="s">
        <v>33</v>
      </c>
      <c r="BO1517" s="3">
        <f t="shared" si="731"/>
        <v>9.5070422535211261</v>
      </c>
      <c r="BP1517" t="s">
        <v>33</v>
      </c>
      <c r="BQ1517" t="s">
        <v>33</v>
      </c>
      <c r="BR1517" t="s">
        <v>33</v>
      </c>
      <c r="BS1517" t="s">
        <v>33</v>
      </c>
      <c r="BT1517" t="s">
        <v>31</v>
      </c>
      <c r="BU1517" t="s">
        <v>255</v>
      </c>
      <c r="BV1517">
        <v>2010</v>
      </c>
      <c r="BW1517" t="s">
        <v>651</v>
      </c>
      <c r="BX1517" t="s">
        <v>78</v>
      </c>
      <c r="BY1517" s="13" t="s">
        <v>674</v>
      </c>
      <c r="CA1517" t="str">
        <f t="shared" si="732"/>
        <v>high acid</v>
      </c>
    </row>
    <row r="1518" spans="1:79">
      <c r="A1518" t="s">
        <v>206</v>
      </c>
      <c r="B1518" t="s">
        <v>565</v>
      </c>
      <c r="C1518" t="s">
        <v>563</v>
      </c>
      <c r="D1518" t="s">
        <v>118</v>
      </c>
      <c r="E1518" t="s">
        <v>77</v>
      </c>
      <c r="F1518" t="s">
        <v>32</v>
      </c>
      <c r="G1518">
        <v>23</v>
      </c>
      <c r="H1518">
        <v>56</v>
      </c>
      <c r="I1518" t="b">
        <v>0</v>
      </c>
      <c r="J1518" t="s">
        <v>33</v>
      </c>
      <c r="K1518" t="s">
        <v>33</v>
      </c>
      <c r="L1518">
        <v>25</v>
      </c>
      <c r="M1518" s="4">
        <v>1000</v>
      </c>
      <c r="N1518" s="3">
        <f>IFERROR(AF1518/((T1518*X1518/Y1518)*O1518*AI1518),"NA")</f>
        <v>995.95036417586573</v>
      </c>
      <c r="O1518">
        <v>3</v>
      </c>
      <c r="P1518" t="s">
        <v>33</v>
      </c>
      <c r="Q1518">
        <f t="shared" si="745"/>
        <v>1.2E-2</v>
      </c>
      <c r="R1518" t="s">
        <v>183</v>
      </c>
      <c r="S1518" t="s">
        <v>613</v>
      </c>
      <c r="T1518" s="11">
        <v>4</v>
      </c>
      <c r="U1518">
        <v>2.9</v>
      </c>
      <c r="V1518">
        <v>2.2999999999999998</v>
      </c>
      <c r="W1518" t="s">
        <v>33</v>
      </c>
      <c r="X1518" s="8">
        <f>IFERROR(((PI())*(((V1518*10^-1)/2)^2)*(U1518*10^-1)), "NA")</f>
        <v>1.204879322468025E-2</v>
      </c>
      <c r="Y1518">
        <v>1</v>
      </c>
      <c r="Z1518" s="3">
        <f>IFERROR(X1518*M1518*O1518*T1518*AI1518/AF1518, "NA")</f>
        <v>1.0040661020566874</v>
      </c>
      <c r="AA1518" t="s">
        <v>33</v>
      </c>
      <c r="AB1518" s="6">
        <f>IFERROR(((X1518*M1518)/Z1518), "NA")</f>
        <v>12.000000000000002</v>
      </c>
      <c r="AC1518" t="str">
        <f t="shared" si="736"/>
        <v>NA</v>
      </c>
      <c r="AD1518" s="4">
        <f>IFERROR(AB1518*T1518*AI1518, "NA")</f>
        <v>48.000000000000007</v>
      </c>
      <c r="AE1518" s="3">
        <f t="shared" si="746"/>
        <v>189</v>
      </c>
      <c r="AF1518">
        <v>144</v>
      </c>
      <c r="AG1518" t="str">
        <f>IFERROR((M1518*O1518*P1518), "NA")</f>
        <v>NA</v>
      </c>
      <c r="AH1518" t="str">
        <f>IFERROR((AG1518*T1518*AI1518), "NA")</f>
        <v>NA</v>
      </c>
      <c r="AI1518" s="11">
        <v>1</v>
      </c>
      <c r="AJ1518" t="s">
        <v>31</v>
      </c>
      <c r="AK1518">
        <v>2100</v>
      </c>
      <c r="AL1518" t="s">
        <v>114</v>
      </c>
      <c r="AM1518" t="s">
        <v>103</v>
      </c>
      <c r="AN1518" t="s">
        <v>130</v>
      </c>
      <c r="AO1518" t="s">
        <v>795</v>
      </c>
      <c r="AP1518">
        <v>7</v>
      </c>
      <c r="AQ1518" t="s">
        <v>33</v>
      </c>
      <c r="AR1518" t="s">
        <v>33</v>
      </c>
      <c r="AS1518">
        <f>LOG(10^8)</f>
        <v>8</v>
      </c>
      <c r="AT1518" s="3">
        <f>IFERROR(AS1518-AU1518,"NA")</f>
        <v>7.2919999999999998</v>
      </c>
      <c r="AU1518" s="6">
        <v>0.70799999999999996</v>
      </c>
      <c r="AV1518" t="b">
        <v>1</v>
      </c>
      <c r="AW1518" t="s">
        <v>92</v>
      </c>
      <c r="AX1518" t="s">
        <v>93</v>
      </c>
      <c r="AY1518" t="s">
        <v>99</v>
      </c>
      <c r="AZ1518" t="s">
        <v>33</v>
      </c>
      <c r="BA1518" s="18" t="s">
        <v>801</v>
      </c>
      <c r="BB1518" t="b">
        <v>0</v>
      </c>
      <c r="BC1518" t="s">
        <v>81</v>
      </c>
      <c r="BD1518">
        <v>18</v>
      </c>
      <c r="BE1518" t="s">
        <v>80</v>
      </c>
      <c r="BF1518" t="s">
        <v>33</v>
      </c>
      <c r="BG1518" t="s">
        <v>568</v>
      </c>
      <c r="BH1518" t="s">
        <v>31</v>
      </c>
      <c r="BI1518" t="s">
        <v>31</v>
      </c>
      <c r="BJ1518" s="3">
        <f t="shared" si="748"/>
        <v>0.70799999999999996</v>
      </c>
      <c r="BK1518" s="3">
        <f t="shared" si="747"/>
        <v>-0.14996674231023099</v>
      </c>
      <c r="BL1518">
        <v>2</v>
      </c>
      <c r="BM1518" s="3">
        <f t="shared" si="737"/>
        <v>2.4264285464834749</v>
      </c>
      <c r="BN1518" t="s">
        <v>33</v>
      </c>
      <c r="BO1518" s="3">
        <f t="shared" si="731"/>
        <v>266.94915254237287</v>
      </c>
      <c r="BP1518" t="s">
        <v>33</v>
      </c>
      <c r="BQ1518" t="s">
        <v>33</v>
      </c>
      <c r="BR1518" t="s">
        <v>33</v>
      </c>
      <c r="BS1518" t="s">
        <v>33</v>
      </c>
      <c r="BT1518" t="s">
        <v>31</v>
      </c>
      <c r="BU1518" t="s">
        <v>187</v>
      </c>
      <c r="BV1518">
        <v>2003</v>
      </c>
      <c r="BW1518" t="s">
        <v>192</v>
      </c>
      <c r="BX1518" t="s">
        <v>78</v>
      </c>
      <c r="BY1518" t="s">
        <v>33</v>
      </c>
      <c r="BZ1518" t="s">
        <v>33</v>
      </c>
      <c r="CA1518" t="str">
        <f t="shared" si="732"/>
        <v>low acid</v>
      </c>
    </row>
    <row r="1519" spans="1:79">
      <c r="A1519" t="s">
        <v>594</v>
      </c>
      <c r="B1519" t="s">
        <v>566</v>
      </c>
      <c r="C1519" t="s">
        <v>563</v>
      </c>
      <c r="D1519" t="s">
        <v>33</v>
      </c>
      <c r="E1519" t="s">
        <v>77</v>
      </c>
      <c r="F1519" t="s">
        <v>32</v>
      </c>
      <c r="G1519" t="s">
        <v>33</v>
      </c>
      <c r="H1519">
        <v>20</v>
      </c>
      <c r="I1519" t="b">
        <v>1</v>
      </c>
      <c r="J1519" t="s">
        <v>33</v>
      </c>
      <c r="K1519" t="s">
        <v>33</v>
      </c>
      <c r="L1519">
        <v>30</v>
      </c>
      <c r="M1519" s="4">
        <v>2</v>
      </c>
      <c r="N1519" t="e">
        <f>(#REF!*Y1519)/(T1519*X1519*O1519)</f>
        <v>#REF!</v>
      </c>
      <c r="O1519">
        <v>2</v>
      </c>
      <c r="P1519" t="s">
        <v>33</v>
      </c>
      <c r="Q1519" s="1">
        <f t="shared" si="745"/>
        <v>7.1</v>
      </c>
      <c r="R1519" t="s">
        <v>183</v>
      </c>
      <c r="S1519" t="s">
        <v>613</v>
      </c>
      <c r="T1519">
        <v>1</v>
      </c>
      <c r="U1519">
        <v>5</v>
      </c>
      <c r="V1519" t="s">
        <v>33</v>
      </c>
      <c r="W1519">
        <v>0.71</v>
      </c>
      <c r="X1519">
        <f>W1519</f>
        <v>0.71</v>
      </c>
      <c r="Y1519">
        <v>0.1</v>
      </c>
      <c r="Z1519" s="3">
        <f>Y1519</f>
        <v>0.1</v>
      </c>
      <c r="AA1519" s="3">
        <v>14.8409893992932</v>
      </c>
      <c r="AB1519">
        <f>IFERROR(((X1519*M1519)/Y1519), "NA")</f>
        <v>14.2</v>
      </c>
      <c r="AC1519" s="1" t="str">
        <f t="shared" si="736"/>
        <v>NA</v>
      </c>
      <c r="AE1519" s="3">
        <f t="shared" si="746"/>
        <v>327.16799999999995</v>
      </c>
      <c r="AF1519" t="s">
        <v>33</v>
      </c>
      <c r="AG1519" s="1">
        <f>IFERROR((M1519*O1519*Q1519), "NA")</f>
        <v>28.4</v>
      </c>
      <c r="AH1519" s="1">
        <f>IFERROR((AG1519*U1519*AI1519), "NA")</f>
        <v>284</v>
      </c>
      <c r="AI1519" s="1">
        <v>2</v>
      </c>
      <c r="AJ1519" s="11" t="s">
        <v>31</v>
      </c>
      <c r="AK1519">
        <f>AVERAGE(5100, 7700)</f>
        <v>6400</v>
      </c>
      <c r="AL1519" t="s">
        <v>561</v>
      </c>
      <c r="AM1519" s="3" t="s">
        <v>786</v>
      </c>
      <c r="AN1519" t="s">
        <v>186</v>
      </c>
      <c r="AO1519" t="s">
        <v>793</v>
      </c>
      <c r="AP1519" t="s">
        <v>33</v>
      </c>
      <c r="AQ1519" t="s">
        <v>33</v>
      </c>
      <c r="AR1519" t="s">
        <v>33</v>
      </c>
      <c r="AS1519">
        <v>8</v>
      </c>
      <c r="AT1519">
        <f>AS1519-AU1519</f>
        <v>7.3</v>
      </c>
      <c r="AU1519" s="6">
        <v>0.7</v>
      </c>
      <c r="AV1519" t="b">
        <v>1</v>
      </c>
      <c r="AW1519" t="s">
        <v>617</v>
      </c>
      <c r="AX1519" t="s">
        <v>624</v>
      </c>
      <c r="AY1519" t="s">
        <v>622</v>
      </c>
      <c r="AZ1519" t="s">
        <v>33</v>
      </c>
      <c r="BA1519" s="18" t="s">
        <v>802</v>
      </c>
      <c r="BB1519" s="3" t="b">
        <v>0</v>
      </c>
      <c r="BC1519" t="s">
        <v>81</v>
      </c>
      <c r="BD1519">
        <v>18</v>
      </c>
      <c r="BE1519" t="s">
        <v>80</v>
      </c>
      <c r="BF1519">
        <v>24</v>
      </c>
      <c r="BG1519" t="s">
        <v>696</v>
      </c>
      <c r="BH1519" t="s">
        <v>32</v>
      </c>
      <c r="BI1519" t="s">
        <v>31</v>
      </c>
      <c r="BJ1519">
        <f t="shared" si="748"/>
        <v>0.7</v>
      </c>
      <c r="BK1519" s="3">
        <f t="shared" si="747"/>
        <v>-0.15490195998574319</v>
      </c>
      <c r="BL1519">
        <v>2</v>
      </c>
      <c r="BM1519" s="3">
        <f t="shared" si="737"/>
        <v>2.6696727791199741</v>
      </c>
      <c r="BN1519" t="s">
        <v>33</v>
      </c>
      <c r="BO1519" s="3">
        <f t="shared" si="731"/>
        <v>467.38285714285712</v>
      </c>
      <c r="BP1519" t="s">
        <v>33</v>
      </c>
      <c r="BQ1519" t="s">
        <v>33</v>
      </c>
      <c r="BR1519" t="s">
        <v>33</v>
      </c>
      <c r="BS1519" t="s">
        <v>33</v>
      </c>
      <c r="BT1519" t="s">
        <v>31</v>
      </c>
      <c r="BU1519" t="s">
        <v>338</v>
      </c>
      <c r="BV1519">
        <v>2006</v>
      </c>
      <c r="BW1519" t="s">
        <v>339</v>
      </c>
      <c r="BX1519" t="s">
        <v>78</v>
      </c>
      <c r="BY1519" s="13" t="s">
        <v>682</v>
      </c>
      <c r="CA1519" t="str">
        <f t="shared" si="732"/>
        <v>low acid</v>
      </c>
    </row>
    <row r="1520" spans="1:79">
      <c r="A1520" t="s">
        <v>600</v>
      </c>
      <c r="B1520" t="s">
        <v>566</v>
      </c>
      <c r="C1520" t="s">
        <v>563</v>
      </c>
      <c r="D1520" t="s">
        <v>33</v>
      </c>
      <c r="E1520" t="s">
        <v>77</v>
      </c>
      <c r="F1520" t="s">
        <v>33</v>
      </c>
      <c r="G1520" t="s">
        <v>33</v>
      </c>
      <c r="H1520">
        <v>35</v>
      </c>
      <c r="I1520" t="b">
        <v>0</v>
      </c>
      <c r="J1520" t="s">
        <v>33</v>
      </c>
      <c r="K1520" t="s">
        <v>33</v>
      </c>
      <c r="L1520">
        <v>28</v>
      </c>
      <c r="M1520" s="4">
        <v>1</v>
      </c>
      <c r="N1520" t="e">
        <f>(#REF!*Y1520)/(T1520*X1520*O1520)</f>
        <v>#REF!</v>
      </c>
      <c r="O1520">
        <v>2</v>
      </c>
      <c r="P1520" t="s">
        <v>33</v>
      </c>
      <c r="Q1520" s="1">
        <f t="shared" si="745"/>
        <v>5.8049999999999997</v>
      </c>
      <c r="R1520" t="s">
        <v>183</v>
      </c>
      <c r="S1520" t="s">
        <v>33</v>
      </c>
      <c r="T1520">
        <v>1</v>
      </c>
      <c r="U1520">
        <v>2.5</v>
      </c>
      <c r="V1520" t="s">
        <v>33</v>
      </c>
      <c r="W1520">
        <v>0.50249999999999995</v>
      </c>
      <c r="X1520">
        <f>W1520</f>
        <v>0.50249999999999995</v>
      </c>
      <c r="Y1520" t="s">
        <v>33</v>
      </c>
      <c r="Z1520" s="3">
        <f t="shared" ref="Z1520:Z1525" si="749">IFERROR(X1520*M1520*O1520*T1520*AI1520/AF1520, "NA")</f>
        <v>8.6563307493540048E-2</v>
      </c>
      <c r="AA1520" t="s">
        <v>33</v>
      </c>
      <c r="AB1520">
        <f t="shared" ref="AB1520:AB1525" si="750">IFERROR(((X1520*M1520)/Z1520), "NA")</f>
        <v>5.8049999999999997</v>
      </c>
      <c r="AC1520" s="1" t="str">
        <f t="shared" si="736"/>
        <v>NA</v>
      </c>
      <c r="AE1520" s="3">
        <f t="shared" si="746"/>
        <v>18.204479999999997</v>
      </c>
      <c r="AF1520">
        <v>11.61</v>
      </c>
      <c r="AG1520" s="1" t="str">
        <f>IFERROR((N1520*P1520*Q1520), "NA")</f>
        <v>NA</v>
      </c>
      <c r="AH1520" s="1" t="str">
        <f>IFERROR((AG1520*U1520*AI1520), "NA")</f>
        <v>NA</v>
      </c>
      <c r="AI1520" s="1">
        <v>1</v>
      </c>
      <c r="AJ1520" s="11" t="s">
        <v>31</v>
      </c>
      <c r="AK1520">
        <v>2000</v>
      </c>
      <c r="AL1520" t="s">
        <v>784</v>
      </c>
      <c r="AM1520" s="3" t="s">
        <v>103</v>
      </c>
      <c r="AN1520" t="s">
        <v>130</v>
      </c>
      <c r="AO1520" t="s">
        <v>795</v>
      </c>
      <c r="AP1520">
        <v>7</v>
      </c>
      <c r="AQ1520" t="s">
        <v>33</v>
      </c>
      <c r="AR1520" t="s">
        <v>33</v>
      </c>
      <c r="AS1520">
        <v>8</v>
      </c>
      <c r="AT1520">
        <f>AS1520-AU1520</f>
        <v>7.3</v>
      </c>
      <c r="AU1520" s="6">
        <v>0.7</v>
      </c>
      <c r="AV1520" t="b">
        <v>1</v>
      </c>
      <c r="AW1520" t="s">
        <v>626</v>
      </c>
      <c r="AX1520" t="s">
        <v>627</v>
      </c>
      <c r="AY1520" t="s">
        <v>640</v>
      </c>
      <c r="AZ1520" t="s">
        <v>33</v>
      </c>
      <c r="BA1520" s="18" t="s">
        <v>800</v>
      </c>
      <c r="BB1520" s="3" t="b">
        <v>0</v>
      </c>
      <c r="BC1520" t="s">
        <v>81</v>
      </c>
      <c r="BD1520">
        <f>AVERAGE(24,30)</f>
        <v>27</v>
      </c>
      <c r="BE1520" t="s">
        <v>80</v>
      </c>
      <c r="BF1520">
        <v>24</v>
      </c>
      <c r="BG1520" t="s">
        <v>568</v>
      </c>
      <c r="BH1520" t="s">
        <v>31</v>
      </c>
      <c r="BI1520" t="s">
        <v>31</v>
      </c>
      <c r="BJ1520" s="3">
        <f t="shared" si="748"/>
        <v>0.7</v>
      </c>
      <c r="BK1520" s="3">
        <f t="shared" si="747"/>
        <v>-0.15490195998574319</v>
      </c>
      <c r="BL1520">
        <v>2</v>
      </c>
      <c r="BM1520" s="3">
        <f t="shared" si="737"/>
        <v>1.4150802380727365</v>
      </c>
      <c r="BN1520" t="s">
        <v>33</v>
      </c>
      <c r="BO1520" s="3">
        <f t="shared" si="731"/>
        <v>26.006399999999996</v>
      </c>
      <c r="BP1520" t="s">
        <v>33</v>
      </c>
      <c r="BQ1520" t="s">
        <v>33</v>
      </c>
      <c r="BR1520" t="s">
        <v>33</v>
      </c>
      <c r="BS1520" t="s">
        <v>33</v>
      </c>
      <c r="BT1520" t="s">
        <v>31</v>
      </c>
      <c r="BU1520" t="s">
        <v>666</v>
      </c>
      <c r="BV1520" s="14">
        <v>2006</v>
      </c>
      <c r="BW1520" t="s">
        <v>667</v>
      </c>
      <c r="BX1520" t="s">
        <v>78</v>
      </c>
      <c r="BY1520" s="13" t="s">
        <v>688</v>
      </c>
      <c r="CA1520" t="str">
        <f t="shared" si="732"/>
        <v>low acid</v>
      </c>
    </row>
    <row r="1521" spans="1:79">
      <c r="A1521" t="s">
        <v>343</v>
      </c>
      <c r="B1521" t="s">
        <v>566</v>
      </c>
      <c r="C1521" t="s">
        <v>563</v>
      </c>
      <c r="D1521" t="s">
        <v>33</v>
      </c>
      <c r="E1521" t="s">
        <v>77</v>
      </c>
      <c r="F1521" t="s">
        <v>32</v>
      </c>
      <c r="G1521">
        <v>10</v>
      </c>
      <c r="H1521">
        <v>13</v>
      </c>
      <c r="I1521" t="b">
        <v>0</v>
      </c>
      <c r="J1521" t="s">
        <v>33</v>
      </c>
      <c r="K1521" t="s">
        <v>33</v>
      </c>
      <c r="L1521">
        <v>30</v>
      </c>
      <c r="M1521" s="4">
        <v>2</v>
      </c>
      <c r="N1521" s="3">
        <f>IFERROR(AF1521/((T1521*X1521/Y1521)*O1521*AI1521),"NA")</f>
        <v>2.1126760563380285</v>
      </c>
      <c r="O1521">
        <v>2</v>
      </c>
      <c r="P1521" t="s">
        <v>33</v>
      </c>
      <c r="Q1521" s="8">
        <f t="shared" si="745"/>
        <v>7.5</v>
      </c>
      <c r="R1521" t="s">
        <v>183</v>
      </c>
      <c r="S1521" t="s">
        <v>613</v>
      </c>
      <c r="T1521" s="11">
        <v>1</v>
      </c>
      <c r="U1521">
        <v>5</v>
      </c>
      <c r="V1521" t="s">
        <v>33</v>
      </c>
      <c r="W1521">
        <v>0.71</v>
      </c>
      <c r="X1521" s="8">
        <f>W1521</f>
        <v>0.71</v>
      </c>
      <c r="Y1521">
        <f>6/60</f>
        <v>0.1</v>
      </c>
      <c r="Z1521" s="3">
        <f t="shared" si="749"/>
        <v>9.4666666666666663E-2</v>
      </c>
      <c r="AA1521">
        <v>15</v>
      </c>
      <c r="AB1521" s="6">
        <f t="shared" si="750"/>
        <v>15</v>
      </c>
      <c r="AC1521" t="str">
        <f t="shared" si="736"/>
        <v>NA</v>
      </c>
      <c r="AD1521" s="4">
        <f>AB1521*T1521*AI1521</f>
        <v>60</v>
      </c>
      <c r="AE1521" s="3">
        <f t="shared" si="746"/>
        <v>507.59999999999997</v>
      </c>
      <c r="AF1521">
        <v>120</v>
      </c>
      <c r="AG1521" t="str">
        <f>IFERROR((M1521*O1521*P1521), "NA")</f>
        <v>NA</v>
      </c>
      <c r="AH1521" t="str">
        <f>IFERROR((AG1521*T1521*AI1521), "NA")</f>
        <v>NA</v>
      </c>
      <c r="AI1521">
        <v>4</v>
      </c>
      <c r="AJ1521" s="11" t="s">
        <v>32</v>
      </c>
      <c r="AK1521">
        <v>4700</v>
      </c>
      <c r="AL1521" t="s">
        <v>562</v>
      </c>
      <c r="AM1521" s="3" t="s">
        <v>786</v>
      </c>
      <c r="AN1521" t="s">
        <v>186</v>
      </c>
      <c r="AO1521" t="s">
        <v>793</v>
      </c>
      <c r="AP1521" t="s">
        <v>33</v>
      </c>
      <c r="AQ1521" t="s">
        <v>33</v>
      </c>
      <c r="AR1521" t="s">
        <v>33</v>
      </c>
      <c r="AS1521" s="6">
        <f>LOG(10^8)</f>
        <v>8</v>
      </c>
      <c r="AT1521" s="3">
        <f>IFERROR(AS1521-AU1521,"NA")</f>
        <v>7.3049999999999997</v>
      </c>
      <c r="AU1521" s="6">
        <v>0.69499999999999995</v>
      </c>
      <c r="AV1521" t="b">
        <v>1</v>
      </c>
      <c r="AW1521" t="s">
        <v>29</v>
      </c>
      <c r="AX1521" t="s">
        <v>30</v>
      </c>
      <c r="AY1521" t="s">
        <v>33</v>
      </c>
      <c r="AZ1521" t="s">
        <v>134</v>
      </c>
      <c r="BA1521" s="18" t="s">
        <v>798</v>
      </c>
      <c r="BB1521" t="b">
        <v>0</v>
      </c>
      <c r="BC1521" t="s">
        <v>81</v>
      </c>
      <c r="BD1521">
        <v>18</v>
      </c>
      <c r="BE1521" t="s">
        <v>80</v>
      </c>
      <c r="BF1521" s="11">
        <v>21</v>
      </c>
      <c r="BG1521" t="s">
        <v>694</v>
      </c>
      <c r="BH1521" t="s">
        <v>31</v>
      </c>
      <c r="BI1521" t="s">
        <v>31</v>
      </c>
      <c r="BJ1521" s="3">
        <f t="shared" si="748"/>
        <v>0.69499999999999995</v>
      </c>
      <c r="BK1521" s="3">
        <f t="shared" si="747"/>
        <v>-0.15801519540988615</v>
      </c>
      <c r="BL1521">
        <v>2</v>
      </c>
      <c r="BM1521" s="3">
        <f t="shared" si="737"/>
        <v>2.8635368088325532</v>
      </c>
      <c r="BN1521" t="s">
        <v>33</v>
      </c>
      <c r="BO1521" s="3">
        <f t="shared" si="731"/>
        <v>730.35971223021579</v>
      </c>
      <c r="BP1521" t="s">
        <v>33</v>
      </c>
      <c r="BQ1521" t="s">
        <v>33</v>
      </c>
      <c r="BR1521" t="s">
        <v>33</v>
      </c>
      <c r="BS1521" t="s">
        <v>33</v>
      </c>
      <c r="BT1521" t="s">
        <v>31</v>
      </c>
      <c r="BU1521" t="s">
        <v>338</v>
      </c>
      <c r="BV1521">
        <v>2005</v>
      </c>
      <c r="BW1521" s="2" t="s">
        <v>342</v>
      </c>
      <c r="BX1521" t="s">
        <v>78</v>
      </c>
      <c r="BY1521" t="s">
        <v>340</v>
      </c>
      <c r="BZ1521" t="s">
        <v>33</v>
      </c>
      <c r="CA1521" t="str">
        <f t="shared" si="732"/>
        <v>low acid</v>
      </c>
    </row>
    <row r="1522" spans="1:79">
      <c r="A1522" t="s">
        <v>341</v>
      </c>
      <c r="B1522" t="s">
        <v>566</v>
      </c>
      <c r="C1522" t="s">
        <v>563</v>
      </c>
      <c r="D1522" t="s">
        <v>336</v>
      </c>
      <c r="E1522" t="s">
        <v>77</v>
      </c>
      <c r="F1522" t="s">
        <v>32</v>
      </c>
      <c r="G1522">
        <v>20</v>
      </c>
      <c r="H1522">
        <v>23</v>
      </c>
      <c r="I1522" t="b">
        <v>0</v>
      </c>
      <c r="J1522" t="s">
        <v>33</v>
      </c>
      <c r="K1522" t="s">
        <v>33</v>
      </c>
      <c r="L1522">
        <v>30</v>
      </c>
      <c r="M1522" s="4">
        <v>2</v>
      </c>
      <c r="N1522" s="3">
        <f>IFERROR(AF1522/((T1522*X1522/Y1522)*O1522*AI1522),"NA")</f>
        <v>2.1126760563380285</v>
      </c>
      <c r="O1522">
        <v>2</v>
      </c>
      <c r="P1522" t="s">
        <v>33</v>
      </c>
      <c r="Q1522" s="8">
        <f t="shared" si="745"/>
        <v>7.5</v>
      </c>
      <c r="R1522" t="s">
        <v>183</v>
      </c>
      <c r="S1522" t="s">
        <v>613</v>
      </c>
      <c r="T1522" s="11">
        <v>1</v>
      </c>
      <c r="U1522">
        <v>5</v>
      </c>
      <c r="V1522" t="s">
        <v>33</v>
      </c>
      <c r="W1522">
        <v>0.71</v>
      </c>
      <c r="X1522" s="8">
        <f>W1522</f>
        <v>0.71</v>
      </c>
      <c r="Y1522">
        <f>6/60</f>
        <v>0.1</v>
      </c>
      <c r="Z1522" s="3">
        <f t="shared" si="749"/>
        <v>9.4666666666666663E-2</v>
      </c>
      <c r="AA1522">
        <v>15</v>
      </c>
      <c r="AB1522" s="6">
        <f t="shared" si="750"/>
        <v>15</v>
      </c>
      <c r="AC1522" t="str">
        <f t="shared" si="736"/>
        <v>NA</v>
      </c>
      <c r="AD1522" s="4">
        <f>AB1522*T1522*AI1522</f>
        <v>30</v>
      </c>
      <c r="AE1522" s="3">
        <f t="shared" si="746"/>
        <v>345.59999999999997</v>
      </c>
      <c r="AF1522">
        <f>AI1522*AA1522*O1522</f>
        <v>60</v>
      </c>
      <c r="AG1522" t="str">
        <f>IFERROR((M1522*O1522*P1522), "NA")</f>
        <v>NA</v>
      </c>
      <c r="AH1522" t="str">
        <f>IFERROR((AG1522*T1522*AI1522), "NA")</f>
        <v>NA</v>
      </c>
      <c r="AI1522">
        <v>2</v>
      </c>
      <c r="AJ1522" s="11" t="s">
        <v>32</v>
      </c>
      <c r="AK1522">
        <v>6400</v>
      </c>
      <c r="AL1522" t="s">
        <v>561</v>
      </c>
      <c r="AM1522" s="3" t="s">
        <v>786</v>
      </c>
      <c r="AN1522" t="s">
        <v>186</v>
      </c>
      <c r="AO1522" t="s">
        <v>793</v>
      </c>
      <c r="AP1522" t="s">
        <v>33</v>
      </c>
      <c r="AQ1522" t="s">
        <v>33</v>
      </c>
      <c r="AR1522" t="s">
        <v>33</v>
      </c>
      <c r="AS1522" s="6">
        <f>LOG(10^8)</f>
        <v>8</v>
      </c>
      <c r="AT1522" s="3">
        <f>IFERROR(AS1522-AU1522,"NA")</f>
        <v>7.3079999999999998</v>
      </c>
      <c r="AU1522" s="6">
        <v>0.69199999999999995</v>
      </c>
      <c r="AV1522" t="b">
        <v>1</v>
      </c>
      <c r="AW1522" t="s">
        <v>29</v>
      </c>
      <c r="AX1522" t="s">
        <v>30</v>
      </c>
      <c r="AY1522" t="s">
        <v>33</v>
      </c>
      <c r="AZ1522" t="s">
        <v>134</v>
      </c>
      <c r="BA1522" s="18" t="s">
        <v>798</v>
      </c>
      <c r="BB1522" t="b">
        <v>0</v>
      </c>
      <c r="BC1522" t="s">
        <v>81</v>
      </c>
      <c r="BD1522">
        <v>18</v>
      </c>
      <c r="BE1522" t="s">
        <v>80</v>
      </c>
      <c r="BF1522" s="11">
        <v>24</v>
      </c>
      <c r="BG1522" t="s">
        <v>694</v>
      </c>
      <c r="BH1522" t="s">
        <v>31</v>
      </c>
      <c r="BI1522" t="s">
        <v>31</v>
      </c>
      <c r="BJ1522" s="3">
        <f t="shared" si="748"/>
        <v>0.69199999999999995</v>
      </c>
      <c r="BK1522" s="3">
        <f t="shared" si="747"/>
        <v>-0.15989390554324223</v>
      </c>
      <c r="BL1522">
        <v>2</v>
      </c>
      <c r="BM1522" s="3">
        <f t="shared" si="737"/>
        <v>2.6984676393500977</v>
      </c>
      <c r="BN1522" t="s">
        <v>33</v>
      </c>
      <c r="BO1522" s="3">
        <f t="shared" si="731"/>
        <v>499.42196531791905</v>
      </c>
      <c r="BP1522" t="s">
        <v>33</v>
      </c>
      <c r="BQ1522" t="s">
        <v>33</v>
      </c>
      <c r="BR1522" t="s">
        <v>33</v>
      </c>
      <c r="BS1522" t="s">
        <v>33</v>
      </c>
      <c r="BT1522" t="s">
        <v>31</v>
      </c>
      <c r="BU1522" t="s">
        <v>338</v>
      </c>
      <c r="BV1522">
        <v>2006</v>
      </c>
      <c r="BW1522" t="s">
        <v>339</v>
      </c>
      <c r="BX1522" t="s">
        <v>78</v>
      </c>
      <c r="BY1522" t="s">
        <v>340</v>
      </c>
      <c r="BZ1522" t="s">
        <v>337</v>
      </c>
      <c r="CA1522" t="str">
        <f t="shared" si="732"/>
        <v>low acid</v>
      </c>
    </row>
    <row r="1523" spans="1:79">
      <c r="A1523" t="s">
        <v>539</v>
      </c>
      <c r="B1523" t="s">
        <v>566</v>
      </c>
      <c r="C1523" t="s">
        <v>563</v>
      </c>
      <c r="D1523" t="s">
        <v>33</v>
      </c>
      <c r="E1523" t="s">
        <v>77</v>
      </c>
      <c r="F1523" t="s">
        <v>32</v>
      </c>
      <c r="G1523">
        <v>20</v>
      </c>
      <c r="H1523">
        <v>29.1</v>
      </c>
      <c r="I1523" t="b">
        <v>1</v>
      </c>
      <c r="J1523" t="s">
        <v>33</v>
      </c>
      <c r="K1523" t="s">
        <v>33</v>
      </c>
      <c r="L1523">
        <v>25</v>
      </c>
      <c r="M1523" s="4">
        <v>52</v>
      </c>
      <c r="N1523" s="3">
        <f>IFERROR(AF1523/((T1523*X1523/Y1523)*O1523*AI1523),"NA")</f>
        <v>9.9941211052322174</v>
      </c>
      <c r="O1523">
        <v>3</v>
      </c>
      <c r="P1523" t="s">
        <v>33</v>
      </c>
      <c r="Q1523" s="8">
        <f t="shared" si="745"/>
        <v>0.15256410256410258</v>
      </c>
      <c r="R1523" t="s">
        <v>183</v>
      </c>
      <c r="S1523" t="s">
        <v>612</v>
      </c>
      <c r="T1523" s="11">
        <v>1</v>
      </c>
      <c r="U1523">
        <v>4.5</v>
      </c>
      <c r="V1523" t="s">
        <v>33</v>
      </c>
      <c r="W1523" t="s">
        <v>33</v>
      </c>
      <c r="X1523">
        <f>U1523*0.1*1.47</f>
        <v>0.66149999999999998</v>
      </c>
      <c r="Y1523" s="6">
        <f>3000/3600</f>
        <v>0.83333333333333337</v>
      </c>
      <c r="Z1523" s="3">
        <f t="shared" si="749"/>
        <v>4.3358823529411756</v>
      </c>
      <c r="AA1523" t="s">
        <v>33</v>
      </c>
      <c r="AB1523" s="6">
        <f t="shared" si="750"/>
        <v>7.9333333333333336</v>
      </c>
      <c r="AC1523" t="str">
        <f t="shared" si="736"/>
        <v>NA</v>
      </c>
      <c r="AD1523" s="4">
        <f>IFERROR(AB1523*T1523*AI1523, "NA")</f>
        <v>7.9333333333333336</v>
      </c>
      <c r="AE1523" s="3">
        <f t="shared" si="746"/>
        <v>40.162500000000001</v>
      </c>
      <c r="AF1523">
        <v>23.8</v>
      </c>
      <c r="AG1523" t="str">
        <f>IFERROR((M1523*O1523*P1523), "NA")</f>
        <v>NA</v>
      </c>
      <c r="AH1523" t="str">
        <f>IFERROR((AG1523*T1523*AI1523), "NA")</f>
        <v>NA</v>
      </c>
      <c r="AI1523" s="11">
        <v>1</v>
      </c>
      <c r="AJ1523" t="s">
        <v>31</v>
      </c>
      <c r="AK1523" s="11">
        <v>2700</v>
      </c>
      <c r="AL1523" t="s">
        <v>149</v>
      </c>
      <c r="AM1523" t="s">
        <v>86</v>
      </c>
      <c r="AN1523" t="s">
        <v>205</v>
      </c>
      <c r="AO1523" t="s">
        <v>789</v>
      </c>
      <c r="AP1523">
        <v>3.5</v>
      </c>
      <c r="AQ1523" t="s">
        <v>33</v>
      </c>
      <c r="AR1523" t="s">
        <v>33</v>
      </c>
      <c r="AS1523" s="6">
        <f>LOG(10^8)</f>
        <v>8</v>
      </c>
      <c r="AT1523" s="3">
        <f>IFERROR(AS1523-AU1523,"NA")</f>
        <v>7.3100000000000005</v>
      </c>
      <c r="AU1523" s="6">
        <v>0.69</v>
      </c>
      <c r="AV1523" t="b">
        <v>1</v>
      </c>
      <c r="AW1523" t="s">
        <v>29</v>
      </c>
      <c r="AX1523" t="s">
        <v>30</v>
      </c>
      <c r="AY1523" t="s">
        <v>33</v>
      </c>
      <c r="AZ1523" t="s">
        <v>134</v>
      </c>
      <c r="BA1523" s="18" t="s">
        <v>798</v>
      </c>
      <c r="BB1523" t="b">
        <v>0</v>
      </c>
      <c r="BC1523" t="s">
        <v>81</v>
      </c>
      <c r="BD1523">
        <v>12</v>
      </c>
      <c r="BE1523" t="s">
        <v>80</v>
      </c>
      <c r="BF1523" s="11">
        <v>48</v>
      </c>
      <c r="BG1523" t="s">
        <v>569</v>
      </c>
      <c r="BH1523" t="s">
        <v>31</v>
      </c>
      <c r="BI1523" t="s">
        <v>31</v>
      </c>
      <c r="BJ1523" s="3">
        <f t="shared" si="748"/>
        <v>0.69</v>
      </c>
      <c r="BK1523" s="3">
        <f t="shared" si="747"/>
        <v>-0.16115090926274472</v>
      </c>
      <c r="BL1523">
        <v>2</v>
      </c>
      <c r="BM1523" s="3">
        <f t="shared" si="737"/>
        <v>1.7649716478223192</v>
      </c>
      <c r="BN1523" t="s">
        <v>33</v>
      </c>
      <c r="BO1523" s="3">
        <f t="shared" si="731"/>
        <v>58.206521739130444</v>
      </c>
      <c r="BP1523" t="s">
        <v>33</v>
      </c>
      <c r="BQ1523" t="s">
        <v>33</v>
      </c>
      <c r="BR1523" t="s">
        <v>33</v>
      </c>
      <c r="BS1523" t="s">
        <v>33</v>
      </c>
      <c r="BT1523" t="s">
        <v>32</v>
      </c>
      <c r="BU1523" t="s">
        <v>255</v>
      </c>
      <c r="BV1523">
        <v>2011</v>
      </c>
      <c r="BW1523" s="2" t="s">
        <v>256</v>
      </c>
      <c r="BX1523" t="s">
        <v>78</v>
      </c>
      <c r="BY1523" t="s">
        <v>33</v>
      </c>
      <c r="BZ1523" t="s">
        <v>33</v>
      </c>
      <c r="CA1523" t="str">
        <f t="shared" si="732"/>
        <v>high acid</v>
      </c>
    </row>
    <row r="1524" spans="1:79">
      <c r="A1524" t="s">
        <v>600</v>
      </c>
      <c r="B1524" t="s">
        <v>566</v>
      </c>
      <c r="C1524" t="s">
        <v>563</v>
      </c>
      <c r="D1524" t="s">
        <v>33</v>
      </c>
      <c r="E1524" t="s">
        <v>77</v>
      </c>
      <c r="F1524" t="s">
        <v>33</v>
      </c>
      <c r="G1524" t="s">
        <v>33</v>
      </c>
      <c r="H1524">
        <v>35</v>
      </c>
      <c r="I1524" t="b">
        <v>0</v>
      </c>
      <c r="J1524" t="s">
        <v>33</v>
      </c>
      <c r="K1524" t="s">
        <v>33</v>
      </c>
      <c r="L1524">
        <v>19</v>
      </c>
      <c r="M1524" s="4">
        <v>1</v>
      </c>
      <c r="N1524" t="e">
        <f>(#REF!*Y1524)/(T1524*X1524*O1524)</f>
        <v>#REF!</v>
      </c>
      <c r="O1524">
        <v>2</v>
      </c>
      <c r="P1524" t="s">
        <v>33</v>
      </c>
      <c r="Q1524" s="1">
        <f t="shared" si="745"/>
        <v>50.000000000000007</v>
      </c>
      <c r="R1524" t="s">
        <v>183</v>
      </c>
      <c r="S1524" t="s">
        <v>33</v>
      </c>
      <c r="T1524">
        <v>1</v>
      </c>
      <c r="U1524">
        <v>2.5</v>
      </c>
      <c r="V1524" t="s">
        <v>33</v>
      </c>
      <c r="W1524">
        <v>0.50249999999999995</v>
      </c>
      <c r="X1524">
        <f>W1524</f>
        <v>0.50249999999999995</v>
      </c>
      <c r="Y1524" t="s">
        <v>33</v>
      </c>
      <c r="Z1524" s="3">
        <f t="shared" si="749"/>
        <v>1.0049999999999998E-2</v>
      </c>
      <c r="AA1524" t="s">
        <v>33</v>
      </c>
      <c r="AB1524">
        <f t="shared" si="750"/>
        <v>50.000000000000007</v>
      </c>
      <c r="AC1524" s="1" t="str">
        <f t="shared" si="736"/>
        <v>NA</v>
      </c>
      <c r="AE1524" s="3">
        <f t="shared" si="746"/>
        <v>72.2</v>
      </c>
      <c r="AF1524">
        <v>100</v>
      </c>
      <c r="AG1524" s="1" t="str">
        <f>IFERROR((N1524*P1524*Q1524), "NA")</f>
        <v>NA</v>
      </c>
      <c r="AH1524" s="1" t="str">
        <f>IFERROR((AG1524*U1524*AI1524), "NA")</f>
        <v>NA</v>
      </c>
      <c r="AI1524" s="1">
        <v>1</v>
      </c>
      <c r="AJ1524" s="11" t="s">
        <v>31</v>
      </c>
      <c r="AK1524">
        <v>2000</v>
      </c>
      <c r="AL1524" t="s">
        <v>784</v>
      </c>
      <c r="AM1524" s="3" t="s">
        <v>103</v>
      </c>
      <c r="AN1524" t="s">
        <v>130</v>
      </c>
      <c r="AO1524" t="s">
        <v>795</v>
      </c>
      <c r="AP1524">
        <v>7</v>
      </c>
      <c r="AQ1524" t="s">
        <v>33</v>
      </c>
      <c r="AR1524" t="s">
        <v>33</v>
      </c>
      <c r="AS1524">
        <v>8</v>
      </c>
      <c r="AT1524">
        <f>AS1524-AU1524</f>
        <v>7.32</v>
      </c>
      <c r="AU1524" s="6">
        <v>0.68</v>
      </c>
      <c r="AV1524" t="b">
        <v>1</v>
      </c>
      <c r="AW1524" t="s">
        <v>626</v>
      </c>
      <c r="AX1524" t="s">
        <v>627</v>
      </c>
      <c r="AY1524" t="s">
        <v>640</v>
      </c>
      <c r="AZ1524" t="s">
        <v>33</v>
      </c>
      <c r="BA1524" s="18" t="s">
        <v>800</v>
      </c>
      <c r="BB1524" s="3" t="b">
        <v>0</v>
      </c>
      <c r="BC1524" t="s">
        <v>81</v>
      </c>
      <c r="BD1524">
        <f>AVERAGE(24,30)</f>
        <v>27</v>
      </c>
      <c r="BE1524" t="s">
        <v>80</v>
      </c>
      <c r="BF1524">
        <v>24</v>
      </c>
      <c r="BG1524" t="s">
        <v>568</v>
      </c>
      <c r="BH1524" t="s">
        <v>31</v>
      </c>
      <c r="BI1524" t="s">
        <v>31</v>
      </c>
      <c r="BJ1524" s="3">
        <f t="shared" si="748"/>
        <v>0.68</v>
      </c>
      <c r="BK1524" s="3">
        <f t="shared" si="747"/>
        <v>-0.16749108729376366</v>
      </c>
      <c r="BL1524">
        <v>2</v>
      </c>
      <c r="BM1524" s="3">
        <f t="shared" si="737"/>
        <v>2.0260282848634028</v>
      </c>
      <c r="BN1524" t="s">
        <v>33</v>
      </c>
      <c r="BO1524" s="3">
        <f t="shared" si="731"/>
        <v>106.17647058823529</v>
      </c>
      <c r="BP1524" t="s">
        <v>33</v>
      </c>
      <c r="BQ1524" t="s">
        <v>33</v>
      </c>
      <c r="BR1524" t="s">
        <v>33</v>
      </c>
      <c r="BS1524" t="s">
        <v>33</v>
      </c>
      <c r="BT1524" t="s">
        <v>31</v>
      </c>
      <c r="BU1524" t="s">
        <v>666</v>
      </c>
      <c r="BV1524" s="14">
        <v>2006</v>
      </c>
      <c r="BW1524" t="s">
        <v>667</v>
      </c>
      <c r="BX1524" t="s">
        <v>78</v>
      </c>
      <c r="BY1524" s="13" t="s">
        <v>688</v>
      </c>
      <c r="CA1524" t="str">
        <f t="shared" si="732"/>
        <v>low acid</v>
      </c>
    </row>
    <row r="1525" spans="1:79">
      <c r="A1525" t="s">
        <v>341</v>
      </c>
      <c r="B1525" t="s">
        <v>566</v>
      </c>
      <c r="C1525" t="s">
        <v>563</v>
      </c>
      <c r="D1525" t="s">
        <v>336</v>
      </c>
      <c r="E1525" t="s">
        <v>77</v>
      </c>
      <c r="F1525" t="s">
        <v>32</v>
      </c>
      <c r="G1525">
        <v>20</v>
      </c>
      <c r="H1525">
        <v>23</v>
      </c>
      <c r="I1525" t="b">
        <v>0</v>
      </c>
      <c r="J1525" t="s">
        <v>33</v>
      </c>
      <c r="K1525" t="s">
        <v>33</v>
      </c>
      <c r="L1525">
        <v>20</v>
      </c>
      <c r="M1525" s="4">
        <v>2</v>
      </c>
      <c r="N1525" s="3">
        <f>IFERROR(AF1525/((T1525*X1525/Y1525)*O1525*AI1525),"NA")</f>
        <v>2.1126760563380285</v>
      </c>
      <c r="O1525">
        <v>2</v>
      </c>
      <c r="P1525" t="s">
        <v>33</v>
      </c>
      <c r="Q1525" s="8">
        <f t="shared" si="745"/>
        <v>7.5</v>
      </c>
      <c r="R1525" t="s">
        <v>183</v>
      </c>
      <c r="S1525" t="s">
        <v>613</v>
      </c>
      <c r="T1525" s="11">
        <v>1</v>
      </c>
      <c r="U1525">
        <v>5</v>
      </c>
      <c r="V1525" t="s">
        <v>33</v>
      </c>
      <c r="W1525">
        <v>0.71</v>
      </c>
      <c r="X1525" s="8">
        <f>W1525</f>
        <v>0.71</v>
      </c>
      <c r="Y1525">
        <f>6/60</f>
        <v>0.1</v>
      </c>
      <c r="Z1525" s="3">
        <f t="shared" si="749"/>
        <v>9.4666666666666663E-2</v>
      </c>
      <c r="AA1525">
        <v>15</v>
      </c>
      <c r="AB1525" s="6">
        <f t="shared" si="750"/>
        <v>15</v>
      </c>
      <c r="AC1525" t="str">
        <f t="shared" si="736"/>
        <v>NA</v>
      </c>
      <c r="AD1525" s="4">
        <f>AB1525*T1525*AI1525</f>
        <v>45</v>
      </c>
      <c r="AE1525" s="3">
        <f t="shared" si="746"/>
        <v>230.39999999999998</v>
      </c>
      <c r="AF1525">
        <f>AI1525*AA1525*O1525</f>
        <v>90</v>
      </c>
      <c r="AG1525" t="str">
        <f>IFERROR((M1525*O1525*P1525), "NA")</f>
        <v>NA</v>
      </c>
      <c r="AH1525" t="str">
        <f>IFERROR((AG1525*T1525*AI1525), "NA")</f>
        <v>NA</v>
      </c>
      <c r="AI1525">
        <v>3</v>
      </c>
      <c r="AJ1525" s="11" t="s">
        <v>32</v>
      </c>
      <c r="AK1525">
        <v>6400</v>
      </c>
      <c r="AL1525" t="s">
        <v>561</v>
      </c>
      <c r="AM1525" s="3" t="s">
        <v>786</v>
      </c>
      <c r="AN1525" t="s">
        <v>186</v>
      </c>
      <c r="AO1525" t="s">
        <v>793</v>
      </c>
      <c r="AP1525" t="s">
        <v>33</v>
      </c>
      <c r="AQ1525" t="s">
        <v>33</v>
      </c>
      <c r="AR1525" t="s">
        <v>33</v>
      </c>
      <c r="AS1525" s="6">
        <f>LOG(10^8)</f>
        <v>8</v>
      </c>
      <c r="AT1525" s="3">
        <f>IFERROR(AS1525-AU1525,"NA")</f>
        <v>7.3239999999999998</v>
      </c>
      <c r="AU1525" s="6">
        <v>0.67600000000000005</v>
      </c>
      <c r="AV1525" t="b">
        <v>1</v>
      </c>
      <c r="AW1525" t="s">
        <v>29</v>
      </c>
      <c r="AX1525" t="s">
        <v>30</v>
      </c>
      <c r="AY1525" t="s">
        <v>33</v>
      </c>
      <c r="AZ1525" t="s">
        <v>134</v>
      </c>
      <c r="BA1525" s="18" t="s">
        <v>798</v>
      </c>
      <c r="BB1525" t="b">
        <v>0</v>
      </c>
      <c r="BC1525" t="s">
        <v>81</v>
      </c>
      <c r="BD1525">
        <v>18</v>
      </c>
      <c r="BE1525" t="s">
        <v>80</v>
      </c>
      <c r="BF1525" s="11">
        <v>24</v>
      </c>
      <c r="BG1525" t="s">
        <v>694</v>
      </c>
      <c r="BH1525" t="s">
        <v>31</v>
      </c>
      <c r="BI1525" t="s">
        <v>31</v>
      </c>
      <c r="BJ1525" s="3">
        <f t="shared" si="748"/>
        <v>0.67600000000000005</v>
      </c>
      <c r="BK1525" s="3">
        <f t="shared" si="747"/>
        <v>-0.17005330405836405</v>
      </c>
      <c r="BL1525">
        <v>2</v>
      </c>
      <c r="BM1525" s="3">
        <f t="shared" si="737"/>
        <v>2.5325357788095384</v>
      </c>
      <c r="BN1525" t="s">
        <v>33</v>
      </c>
      <c r="BO1525" s="3">
        <f t="shared" si="731"/>
        <v>340.82840236686383</v>
      </c>
      <c r="BP1525" t="s">
        <v>33</v>
      </c>
      <c r="BQ1525" t="s">
        <v>33</v>
      </c>
      <c r="BR1525" t="s">
        <v>33</v>
      </c>
      <c r="BS1525" t="s">
        <v>33</v>
      </c>
      <c r="BT1525" t="s">
        <v>31</v>
      </c>
      <c r="BU1525" t="s">
        <v>338</v>
      </c>
      <c r="BV1525">
        <v>2006</v>
      </c>
      <c r="BW1525" t="s">
        <v>339</v>
      </c>
      <c r="BX1525" t="s">
        <v>78</v>
      </c>
      <c r="BY1525" t="s">
        <v>340</v>
      </c>
      <c r="BZ1525" t="s">
        <v>337</v>
      </c>
      <c r="CA1525" t="str">
        <f t="shared" si="732"/>
        <v>low acid</v>
      </c>
    </row>
    <row r="1526" spans="1:79">
      <c r="A1526" t="s">
        <v>594</v>
      </c>
      <c r="B1526" t="s">
        <v>566</v>
      </c>
      <c r="C1526" t="s">
        <v>563</v>
      </c>
      <c r="D1526" t="s">
        <v>33</v>
      </c>
      <c r="E1526" t="s">
        <v>77</v>
      </c>
      <c r="F1526" t="s">
        <v>32</v>
      </c>
      <c r="G1526" t="s">
        <v>33</v>
      </c>
      <c r="H1526">
        <v>30</v>
      </c>
      <c r="I1526" t="b">
        <v>1</v>
      </c>
      <c r="J1526" t="s">
        <v>33</v>
      </c>
      <c r="K1526" t="s">
        <v>33</v>
      </c>
      <c r="L1526">
        <v>30</v>
      </c>
      <c r="M1526" s="4">
        <v>2</v>
      </c>
      <c r="N1526" t="e">
        <f>(#REF!*Y1526)/(T1526*X1526*O1526)</f>
        <v>#REF!</v>
      </c>
      <c r="O1526">
        <v>2</v>
      </c>
      <c r="P1526" t="s">
        <v>33</v>
      </c>
      <c r="Q1526" s="1">
        <f t="shared" si="745"/>
        <v>7.1</v>
      </c>
      <c r="R1526" t="s">
        <v>183</v>
      </c>
      <c r="S1526" t="s">
        <v>613</v>
      </c>
      <c r="T1526">
        <v>1</v>
      </c>
      <c r="U1526">
        <v>5</v>
      </c>
      <c r="V1526" t="s">
        <v>33</v>
      </c>
      <c r="W1526">
        <v>0.71</v>
      </c>
      <c r="X1526">
        <f>W1526</f>
        <v>0.71</v>
      </c>
      <c r="Y1526">
        <v>0.1</v>
      </c>
      <c r="Z1526" s="3">
        <f>Y1526</f>
        <v>0.1</v>
      </c>
      <c r="AA1526" s="3">
        <v>14.8409893992932</v>
      </c>
      <c r="AB1526">
        <f>IFERROR(((X1526*M1526)/Y1526), "NA")</f>
        <v>14.2</v>
      </c>
      <c r="AC1526" s="1" t="str">
        <f t="shared" si="736"/>
        <v>NA</v>
      </c>
      <c r="AE1526" s="3">
        <f t="shared" si="746"/>
        <v>196.81199999999998</v>
      </c>
      <c r="AF1526" t="s">
        <v>33</v>
      </c>
      <c r="AG1526" s="1">
        <f>IFERROR((M1526*O1526*Q1526), "NA")</f>
        <v>28.4</v>
      </c>
      <c r="AH1526" s="1">
        <f>IFERROR((AG1526*U1526*AI1526), "NA")</f>
        <v>142</v>
      </c>
      <c r="AI1526" s="1">
        <v>1</v>
      </c>
      <c r="AJ1526" s="11" t="s">
        <v>31</v>
      </c>
      <c r="AK1526">
        <f>7700</f>
        <v>7700</v>
      </c>
      <c r="AL1526" t="s">
        <v>561</v>
      </c>
      <c r="AM1526" s="3" t="s">
        <v>786</v>
      </c>
      <c r="AN1526" t="s">
        <v>186</v>
      </c>
      <c r="AO1526" t="s">
        <v>793</v>
      </c>
      <c r="AP1526" t="s">
        <v>33</v>
      </c>
      <c r="AQ1526" t="s">
        <v>33</v>
      </c>
      <c r="AR1526" t="s">
        <v>33</v>
      </c>
      <c r="AS1526">
        <v>8</v>
      </c>
      <c r="AT1526">
        <f>AS1526-AU1526</f>
        <v>7.33</v>
      </c>
      <c r="AU1526" s="6">
        <v>0.67</v>
      </c>
      <c r="AV1526" t="b">
        <v>1</v>
      </c>
      <c r="AW1526" t="s">
        <v>617</v>
      </c>
      <c r="AX1526" t="s">
        <v>624</v>
      </c>
      <c r="AY1526" t="s">
        <v>622</v>
      </c>
      <c r="AZ1526" t="s">
        <v>33</v>
      </c>
      <c r="BA1526" s="18" t="s">
        <v>802</v>
      </c>
      <c r="BB1526" s="3" t="b">
        <v>0</v>
      </c>
      <c r="BC1526" t="s">
        <v>81</v>
      </c>
      <c r="BD1526">
        <v>18</v>
      </c>
      <c r="BE1526" t="s">
        <v>80</v>
      </c>
      <c r="BF1526">
        <v>24</v>
      </c>
      <c r="BG1526" t="s">
        <v>696</v>
      </c>
      <c r="BH1526" t="s">
        <v>32</v>
      </c>
      <c r="BI1526" t="s">
        <v>31</v>
      </c>
      <c r="BJ1526">
        <f t="shared" si="748"/>
        <v>0.67</v>
      </c>
      <c r="BK1526" s="3">
        <f t="shared" si="747"/>
        <v>-0.17392519729917355</v>
      </c>
      <c r="BL1526">
        <v>2</v>
      </c>
      <c r="BM1526" s="3">
        <f t="shared" si="737"/>
        <v>2.4679767719580181</v>
      </c>
      <c r="BN1526" t="s">
        <v>33</v>
      </c>
      <c r="BO1526" s="3">
        <f t="shared" si="731"/>
        <v>293.74925373134323</v>
      </c>
      <c r="BP1526" t="s">
        <v>33</v>
      </c>
      <c r="BQ1526" t="s">
        <v>33</v>
      </c>
      <c r="BR1526" t="s">
        <v>33</v>
      </c>
      <c r="BS1526" t="s">
        <v>33</v>
      </c>
      <c r="BT1526" t="s">
        <v>31</v>
      </c>
      <c r="BU1526" t="s">
        <v>338</v>
      </c>
      <c r="BV1526">
        <v>2006</v>
      </c>
      <c r="BW1526" t="s">
        <v>339</v>
      </c>
      <c r="BX1526" t="s">
        <v>78</v>
      </c>
      <c r="BY1526" s="13" t="s">
        <v>682</v>
      </c>
      <c r="CA1526" t="str">
        <f t="shared" si="732"/>
        <v>low acid</v>
      </c>
    </row>
    <row r="1527" spans="1:79">
      <c r="A1527" t="s">
        <v>537</v>
      </c>
      <c r="B1527" t="s">
        <v>565</v>
      </c>
      <c r="C1527" t="s">
        <v>563</v>
      </c>
      <c r="D1527" t="s">
        <v>118</v>
      </c>
      <c r="E1527" t="s">
        <v>77</v>
      </c>
      <c r="F1527" t="s">
        <v>32</v>
      </c>
      <c r="G1527">
        <v>5</v>
      </c>
      <c r="H1527">
        <v>50</v>
      </c>
      <c r="I1527" t="b">
        <v>0</v>
      </c>
      <c r="J1527" t="s">
        <v>33</v>
      </c>
      <c r="K1527" t="s">
        <v>33</v>
      </c>
      <c r="L1527">
        <v>21</v>
      </c>
      <c r="M1527" s="4">
        <v>1000</v>
      </c>
      <c r="N1527" s="3">
        <f>IFERROR(AF1527/((T1527*X1527/Y1527)*O1527*AI1527),"NA")</f>
        <v>1002.8666861493093</v>
      </c>
      <c r="O1527">
        <v>2</v>
      </c>
      <c r="P1527" t="s">
        <v>33</v>
      </c>
      <c r="Q1527" s="8">
        <f t="shared" si="745"/>
        <v>1.2083333333333333E-2</v>
      </c>
      <c r="R1527" t="s">
        <v>183</v>
      </c>
      <c r="S1527" t="s">
        <v>613</v>
      </c>
      <c r="T1527" s="11">
        <v>6</v>
      </c>
      <c r="U1527">
        <v>2.9</v>
      </c>
      <c r="V1527">
        <v>2.2999999999999998</v>
      </c>
      <c r="W1527" t="s">
        <v>33</v>
      </c>
      <c r="X1527" s="8">
        <f>IFERROR(((PI())*(((V1527*10^-1)/2)^2)*(U1527*10^-1)), "NA")</f>
        <v>1.204879322468025E-2</v>
      </c>
      <c r="Y1527" s="6">
        <f>60/60</f>
        <v>1</v>
      </c>
      <c r="Z1527" s="3">
        <f>IFERROR(X1527*M1527*O1527*T1527*AI1527/AF1527, "NA")</f>
        <v>0.99714150824940007</v>
      </c>
      <c r="AA1527" t="s">
        <v>33</v>
      </c>
      <c r="AB1527" s="6">
        <f>IFERROR(((X1527*M1527)/Z1527), "NA")</f>
        <v>12.083333333333334</v>
      </c>
      <c r="AC1527" t="str">
        <f t="shared" si="736"/>
        <v>NA</v>
      </c>
      <c r="AD1527" s="4">
        <f>IFERROR(AB1527*T1527*AI1527, "NA")</f>
        <v>72.5</v>
      </c>
      <c r="AE1527" s="3">
        <f t="shared" si="746"/>
        <v>102.82355999999999</v>
      </c>
      <c r="AF1527">
        <v>145</v>
      </c>
      <c r="AG1527" t="str">
        <f>IFERROR((M1527*O1527*P1527), "NA")</f>
        <v>NA</v>
      </c>
      <c r="AH1527" t="str">
        <f>IFERROR((AG1527*T1527*AI1527), "NA")</f>
        <v>NA</v>
      </c>
      <c r="AI1527" s="11">
        <v>1</v>
      </c>
      <c r="AJ1527" t="s">
        <v>31</v>
      </c>
      <c r="AK1527">
        <v>1608</v>
      </c>
      <c r="AL1527" t="s">
        <v>149</v>
      </c>
      <c r="AM1527" t="s">
        <v>86</v>
      </c>
      <c r="AN1527" t="s">
        <v>205</v>
      </c>
      <c r="AO1527" t="s">
        <v>789</v>
      </c>
      <c r="AP1527">
        <v>3.41</v>
      </c>
      <c r="AQ1527" t="s">
        <v>33</v>
      </c>
      <c r="AR1527" t="s">
        <v>33</v>
      </c>
      <c r="AS1527" s="3">
        <v>9</v>
      </c>
      <c r="AT1527" s="3">
        <f>IFERROR(AS1527-AU1527,"NA")</f>
        <v>7.33</v>
      </c>
      <c r="AU1527" s="6">
        <v>1.67</v>
      </c>
      <c r="AV1527" t="b">
        <v>1</v>
      </c>
      <c r="AW1527" t="s">
        <v>29</v>
      </c>
      <c r="AX1527" t="s">
        <v>30</v>
      </c>
      <c r="AY1527" t="s">
        <v>33</v>
      </c>
      <c r="AZ1527" t="s">
        <v>134</v>
      </c>
      <c r="BA1527" s="18" t="s">
        <v>798</v>
      </c>
      <c r="BB1527" t="b">
        <v>0</v>
      </c>
      <c r="BC1527" t="s">
        <v>81</v>
      </c>
      <c r="BD1527">
        <f>18</f>
        <v>18</v>
      </c>
      <c r="BE1527" t="s">
        <v>80</v>
      </c>
      <c r="BF1527" s="11">
        <v>24</v>
      </c>
      <c r="BG1527" t="s">
        <v>262</v>
      </c>
      <c r="BH1527" t="s">
        <v>31</v>
      </c>
      <c r="BI1527" t="s">
        <v>31</v>
      </c>
      <c r="BJ1527" s="3">
        <f t="shared" si="748"/>
        <v>1.67</v>
      </c>
      <c r="BK1527" s="3">
        <f t="shared" si="747"/>
        <v>0.22271647114758325</v>
      </c>
      <c r="BL1527">
        <v>2</v>
      </c>
      <c r="BM1527" s="3">
        <f t="shared" si="737"/>
        <v>1.7893761649676625</v>
      </c>
      <c r="BN1527" t="s">
        <v>33</v>
      </c>
      <c r="BO1527" s="3">
        <f t="shared" si="731"/>
        <v>61.57099401197604</v>
      </c>
      <c r="BP1527" t="s">
        <v>33</v>
      </c>
      <c r="BQ1527" t="s">
        <v>33</v>
      </c>
      <c r="BR1527" t="s">
        <v>33</v>
      </c>
      <c r="BS1527" t="s">
        <v>33</v>
      </c>
      <c r="BT1527" t="s">
        <v>31</v>
      </c>
      <c r="BU1527" t="s">
        <v>190</v>
      </c>
      <c r="BV1527">
        <v>2021</v>
      </c>
      <c r="BW1527" s="5" t="s">
        <v>191</v>
      </c>
      <c r="BX1527" t="s">
        <v>78</v>
      </c>
      <c r="BY1527" t="s">
        <v>33</v>
      </c>
      <c r="BZ1527" t="s">
        <v>150</v>
      </c>
      <c r="CA1527" t="str">
        <f t="shared" si="732"/>
        <v>high acid</v>
      </c>
    </row>
    <row r="1528" spans="1:79">
      <c r="A1528" t="s">
        <v>237</v>
      </c>
      <c r="B1528" t="s">
        <v>565</v>
      </c>
      <c r="C1528" t="s">
        <v>563</v>
      </c>
      <c r="D1528" t="s">
        <v>118</v>
      </c>
      <c r="E1528" t="s">
        <v>77</v>
      </c>
      <c r="F1528" t="s">
        <v>32</v>
      </c>
      <c r="G1528">
        <v>4</v>
      </c>
      <c r="H1528">
        <v>32.5</v>
      </c>
      <c r="I1528" t="b">
        <v>0</v>
      </c>
      <c r="J1528" t="s">
        <v>33</v>
      </c>
      <c r="K1528" t="s">
        <v>33</v>
      </c>
      <c r="L1528">
        <v>15</v>
      </c>
      <c r="M1528" s="4">
        <v>200</v>
      </c>
      <c r="N1528" s="3">
        <f>IFERROR(AF1528/((T1528*X1528/Y1528)*O1528*AI1528),"NA")</f>
        <v>386.37843216368935</v>
      </c>
      <c r="O1528">
        <v>4</v>
      </c>
      <c r="P1528" t="s">
        <v>33</v>
      </c>
      <c r="Q1528" s="9">
        <f t="shared" si="745"/>
        <v>2.3437499999999997E-2</v>
      </c>
      <c r="R1528" t="s">
        <v>183</v>
      </c>
      <c r="S1528" t="s">
        <v>612</v>
      </c>
      <c r="T1528" s="11">
        <v>8</v>
      </c>
      <c r="U1528">
        <v>2.92</v>
      </c>
      <c r="V1528">
        <v>2.2999999999999998</v>
      </c>
      <c r="W1528">
        <v>1.2E-2</v>
      </c>
      <c r="X1528" s="8">
        <f>IFERROR(((PI())*(((V1528*10^-1)/2)^2)*(U1528*10^-1)), "NA")</f>
        <v>1.2131888350367701E-2</v>
      </c>
      <c r="Y1528" s="6">
        <f>60/60</f>
        <v>1</v>
      </c>
      <c r="Z1528" s="3">
        <f>IFERROR(X1528*M1528*O1528*T1528*AI1528/AF1528, "NA")</f>
        <v>0.5176272362823553</v>
      </c>
      <c r="AA1528" t="s">
        <v>33</v>
      </c>
      <c r="AB1528" s="6">
        <f>IFERROR(((X1528*M1528)/Z1528), "NA")</f>
        <v>4.6874999999999991</v>
      </c>
      <c r="AC1528" t="str">
        <f t="shared" si="736"/>
        <v>NA</v>
      </c>
      <c r="AD1528" s="4">
        <f>IFERROR(AB1528*T1528*AI1528, "NA")</f>
        <v>37.499999999999993</v>
      </c>
      <c r="AE1528" s="3">
        <f t="shared" si="746"/>
        <v>143.09999999999997</v>
      </c>
      <c r="AF1528">
        <v>150</v>
      </c>
      <c r="AG1528" t="str">
        <f>IFERROR((M1528*O1528*P1528), "NA")</f>
        <v>NA</v>
      </c>
      <c r="AH1528" t="str">
        <f>IFERROR((AG1528*T1528*AI1528), "NA")</f>
        <v>NA</v>
      </c>
      <c r="AI1528" s="11">
        <v>1</v>
      </c>
      <c r="AJ1528" t="s">
        <v>31</v>
      </c>
      <c r="AK1528">
        <v>4240</v>
      </c>
      <c r="AL1528" t="s">
        <v>238</v>
      </c>
      <c r="AM1528" t="s">
        <v>86</v>
      </c>
      <c r="AN1528" t="s">
        <v>205</v>
      </c>
      <c r="AO1528" t="s">
        <v>789</v>
      </c>
      <c r="AP1528">
        <v>3.56</v>
      </c>
      <c r="AQ1528" t="s">
        <v>33</v>
      </c>
      <c r="AR1528" t="s">
        <v>33</v>
      </c>
      <c r="AS1528">
        <f>LOG(10^8)</f>
        <v>8</v>
      </c>
      <c r="AT1528" s="3">
        <f>IFERROR(AS1528-AU1528,"NA")</f>
        <v>7.3369999999999997</v>
      </c>
      <c r="AU1528" s="6">
        <v>0.66300000000000003</v>
      </c>
      <c r="AV1528" t="b">
        <v>1</v>
      </c>
      <c r="AW1528" t="s">
        <v>172</v>
      </c>
      <c r="AX1528" t="s">
        <v>173</v>
      </c>
      <c r="AY1528" t="s">
        <v>239</v>
      </c>
      <c r="AZ1528" t="s">
        <v>33</v>
      </c>
      <c r="BA1528" s="18" t="s">
        <v>799</v>
      </c>
      <c r="BB1528" t="b">
        <v>0</v>
      </c>
      <c r="BC1528" t="s">
        <v>81</v>
      </c>
      <c r="BD1528">
        <v>48</v>
      </c>
      <c r="BE1528" t="s">
        <v>80</v>
      </c>
      <c r="BF1528" s="11">
        <v>120</v>
      </c>
      <c r="BG1528" t="s">
        <v>571</v>
      </c>
      <c r="BH1528" t="s">
        <v>31</v>
      </c>
      <c r="BI1528" t="s">
        <v>31</v>
      </c>
      <c r="BJ1528" s="3">
        <f t="shared" si="748"/>
        <v>0.66300000000000003</v>
      </c>
      <c r="BK1528" s="3">
        <f t="shared" si="747"/>
        <v>-0.17848647159522685</v>
      </c>
      <c r="BL1528">
        <v>2</v>
      </c>
      <c r="BM1528" s="3">
        <f t="shared" si="737"/>
        <v>2.3341261053550029</v>
      </c>
      <c r="BN1528" t="s">
        <v>33</v>
      </c>
      <c r="BO1528" s="3">
        <f t="shared" si="731"/>
        <v>215.83710407239812</v>
      </c>
      <c r="BP1528" t="s">
        <v>33</v>
      </c>
      <c r="BQ1528" t="s">
        <v>33</v>
      </c>
      <c r="BR1528" t="s">
        <v>33</v>
      </c>
      <c r="BS1528" t="s">
        <v>33</v>
      </c>
      <c r="BT1528" t="s">
        <v>31</v>
      </c>
      <c r="BU1528" t="s">
        <v>240</v>
      </c>
      <c r="BV1528">
        <v>2004</v>
      </c>
      <c r="BW1528" t="s">
        <v>241</v>
      </c>
      <c r="BX1528" t="s">
        <v>78</v>
      </c>
      <c r="BY1528" t="s">
        <v>33</v>
      </c>
      <c r="BZ1528" t="s">
        <v>33</v>
      </c>
      <c r="CA1528" t="str">
        <f t="shared" si="732"/>
        <v>high acid</v>
      </c>
    </row>
    <row r="1529" spans="1:79">
      <c r="A1529" t="s">
        <v>594</v>
      </c>
      <c r="B1529" t="s">
        <v>566</v>
      </c>
      <c r="C1529" t="s">
        <v>563</v>
      </c>
      <c r="D1529" t="s">
        <v>33</v>
      </c>
      <c r="E1529" t="s">
        <v>77</v>
      </c>
      <c r="F1529" t="s">
        <v>32</v>
      </c>
      <c r="G1529" t="s">
        <v>33</v>
      </c>
      <c r="H1529">
        <v>10</v>
      </c>
      <c r="I1529" t="b">
        <v>1</v>
      </c>
      <c r="J1529" t="s">
        <v>33</v>
      </c>
      <c r="K1529" t="s">
        <v>33</v>
      </c>
      <c r="L1529">
        <v>20</v>
      </c>
      <c r="M1529" s="4">
        <v>2</v>
      </c>
      <c r="N1529" t="e">
        <f>(#REF!*Y1529)/(T1529*X1529*O1529)</f>
        <v>#REF!</v>
      </c>
      <c r="O1529">
        <v>2</v>
      </c>
      <c r="P1529" t="s">
        <v>33</v>
      </c>
      <c r="Q1529" s="1">
        <f t="shared" si="745"/>
        <v>7.1</v>
      </c>
      <c r="R1529" t="s">
        <v>183</v>
      </c>
      <c r="S1529" t="s">
        <v>613</v>
      </c>
      <c r="T1529">
        <v>1</v>
      </c>
      <c r="U1529">
        <v>5</v>
      </c>
      <c r="V1529" t="s">
        <v>33</v>
      </c>
      <c r="W1529">
        <v>0.71</v>
      </c>
      <c r="X1529">
        <f>W1529</f>
        <v>0.71</v>
      </c>
      <c r="Y1529">
        <v>0.1</v>
      </c>
      <c r="Z1529" s="3">
        <f>Y1529</f>
        <v>0.1</v>
      </c>
      <c r="AA1529" s="3">
        <v>14.8409893992932</v>
      </c>
      <c r="AB1529">
        <f>IFERROR(((X1529*M1529)/Y1529), "NA")</f>
        <v>14.2</v>
      </c>
      <c r="AC1529" s="1" t="str">
        <f t="shared" si="736"/>
        <v>NA</v>
      </c>
      <c r="AE1529" s="3">
        <f t="shared" si="746"/>
        <v>173.80799999999999</v>
      </c>
      <c r="AF1529" t="s">
        <v>33</v>
      </c>
      <c r="AG1529" s="1">
        <f>IFERROR((M1529*O1529*Q1529), "NA")</f>
        <v>28.4</v>
      </c>
      <c r="AH1529" s="1">
        <f>IFERROR((AG1529*U1529*AI1529), "NA")</f>
        <v>426</v>
      </c>
      <c r="AI1529" s="1">
        <v>3</v>
      </c>
      <c r="AJ1529" s="11" t="s">
        <v>31</v>
      </c>
      <c r="AK1529">
        <f>5100</f>
        <v>5100</v>
      </c>
      <c r="AL1529" t="s">
        <v>561</v>
      </c>
      <c r="AM1529" s="3" t="s">
        <v>786</v>
      </c>
      <c r="AN1529" t="s">
        <v>186</v>
      </c>
      <c r="AO1529" t="s">
        <v>793</v>
      </c>
      <c r="AP1529" t="s">
        <v>33</v>
      </c>
      <c r="AQ1529" t="s">
        <v>33</v>
      </c>
      <c r="AR1529" t="s">
        <v>33</v>
      </c>
      <c r="AS1529">
        <v>8</v>
      </c>
      <c r="AT1529">
        <f>AS1529-AU1529</f>
        <v>7.35</v>
      </c>
      <c r="AU1529" s="6">
        <v>0.65</v>
      </c>
      <c r="AV1529" t="b">
        <v>1</v>
      </c>
      <c r="AW1529" t="s">
        <v>617</v>
      </c>
      <c r="AX1529" t="s">
        <v>624</v>
      </c>
      <c r="AY1529" t="s">
        <v>622</v>
      </c>
      <c r="AZ1529" t="s">
        <v>33</v>
      </c>
      <c r="BA1529" s="18" t="s">
        <v>802</v>
      </c>
      <c r="BB1529" s="3" t="b">
        <v>0</v>
      </c>
      <c r="BC1529" t="s">
        <v>81</v>
      </c>
      <c r="BD1529">
        <v>18</v>
      </c>
      <c r="BE1529" t="s">
        <v>80</v>
      </c>
      <c r="BF1529">
        <v>24</v>
      </c>
      <c r="BG1529" t="s">
        <v>696</v>
      </c>
      <c r="BH1529" t="s">
        <v>32</v>
      </c>
      <c r="BI1529" t="s">
        <v>31</v>
      </c>
      <c r="BJ1529">
        <f t="shared" si="748"/>
        <v>0.65</v>
      </c>
      <c r="BK1529" s="3">
        <f t="shared" si="747"/>
        <v>-0.18708664335714442</v>
      </c>
      <c r="BL1529">
        <v>2</v>
      </c>
      <c r="BM1529" s="3">
        <f t="shared" si="737"/>
        <v>2.4271564055497432</v>
      </c>
      <c r="BN1529" t="s">
        <v>33</v>
      </c>
      <c r="BO1529" s="3">
        <f t="shared" si="731"/>
        <v>267.39692307692303</v>
      </c>
      <c r="BP1529" t="s">
        <v>33</v>
      </c>
      <c r="BQ1529" t="s">
        <v>33</v>
      </c>
      <c r="BR1529" t="s">
        <v>33</v>
      </c>
      <c r="BS1529" t="s">
        <v>33</v>
      </c>
      <c r="BT1529" t="s">
        <v>31</v>
      </c>
      <c r="BU1529" t="s">
        <v>338</v>
      </c>
      <c r="BV1529">
        <v>2006</v>
      </c>
      <c r="BW1529" t="s">
        <v>339</v>
      </c>
      <c r="BX1529" t="s">
        <v>78</v>
      </c>
      <c r="BY1529" s="13" t="s">
        <v>682</v>
      </c>
      <c r="CA1529" t="str">
        <f t="shared" si="732"/>
        <v>low acid</v>
      </c>
    </row>
    <row r="1530" spans="1:79">
      <c r="A1530" t="s">
        <v>594</v>
      </c>
      <c r="B1530" t="s">
        <v>566</v>
      </c>
      <c r="C1530" t="s">
        <v>563</v>
      </c>
      <c r="D1530" t="s">
        <v>33</v>
      </c>
      <c r="E1530" t="s">
        <v>77</v>
      </c>
      <c r="F1530" t="s">
        <v>32</v>
      </c>
      <c r="G1530" t="s">
        <v>33</v>
      </c>
      <c r="H1530">
        <v>20</v>
      </c>
      <c r="I1530" t="b">
        <v>1</v>
      </c>
      <c r="J1530" t="s">
        <v>33</v>
      </c>
      <c r="K1530" t="s">
        <v>33</v>
      </c>
      <c r="L1530">
        <v>30</v>
      </c>
      <c r="M1530" s="4">
        <v>2</v>
      </c>
      <c r="N1530" t="e">
        <f>(#REF!*Y1530)/(T1530*X1530*O1530)</f>
        <v>#REF!</v>
      </c>
      <c r="O1530">
        <v>2</v>
      </c>
      <c r="P1530" t="s">
        <v>33</v>
      </c>
      <c r="Q1530" s="1">
        <f t="shared" si="745"/>
        <v>7.1</v>
      </c>
      <c r="R1530" t="s">
        <v>183</v>
      </c>
      <c r="S1530" t="s">
        <v>613</v>
      </c>
      <c r="T1530">
        <v>1</v>
      </c>
      <c r="U1530">
        <v>5</v>
      </c>
      <c r="V1530" t="s">
        <v>33</v>
      </c>
      <c r="W1530">
        <v>0.71</v>
      </c>
      <c r="X1530">
        <f>W1530</f>
        <v>0.71</v>
      </c>
      <c r="Y1530">
        <v>0.1</v>
      </c>
      <c r="Z1530" s="3">
        <f>Y1530</f>
        <v>0.1</v>
      </c>
      <c r="AA1530" s="3">
        <v>14.8409893992932</v>
      </c>
      <c r="AB1530">
        <f>IFERROR(((X1530*M1530)/Y1530), "NA")</f>
        <v>14.2</v>
      </c>
      <c r="AC1530" s="1" t="str">
        <f t="shared" si="736"/>
        <v>NA</v>
      </c>
      <c r="AE1530" s="3">
        <f t="shared" si="746"/>
        <v>163.58399999999997</v>
      </c>
      <c r="AF1530" t="s">
        <v>33</v>
      </c>
      <c r="AG1530" s="1">
        <f>IFERROR((M1530*O1530*Q1530), "NA")</f>
        <v>28.4</v>
      </c>
      <c r="AH1530" s="1">
        <f>IFERROR((AG1530*U1530*AI1530), "NA")</f>
        <v>142</v>
      </c>
      <c r="AI1530" s="1">
        <v>1</v>
      </c>
      <c r="AJ1530" s="11" t="s">
        <v>31</v>
      </c>
      <c r="AK1530">
        <f>AVERAGE(5100, 7700)</f>
        <v>6400</v>
      </c>
      <c r="AL1530" t="s">
        <v>561</v>
      </c>
      <c r="AM1530" s="3" t="s">
        <v>786</v>
      </c>
      <c r="AN1530" t="s">
        <v>186</v>
      </c>
      <c r="AO1530" t="s">
        <v>793</v>
      </c>
      <c r="AP1530" t="s">
        <v>33</v>
      </c>
      <c r="AQ1530" t="s">
        <v>33</v>
      </c>
      <c r="AR1530" t="s">
        <v>33</v>
      </c>
      <c r="AS1530">
        <v>8</v>
      </c>
      <c r="AT1530">
        <f>AS1530-AU1530</f>
        <v>7.35</v>
      </c>
      <c r="AU1530" s="6">
        <v>0.65</v>
      </c>
      <c r="AV1530" t="b">
        <v>1</v>
      </c>
      <c r="AW1530" t="s">
        <v>617</v>
      </c>
      <c r="AX1530" t="s">
        <v>624</v>
      </c>
      <c r="AY1530" t="s">
        <v>622</v>
      </c>
      <c r="AZ1530" t="s">
        <v>33</v>
      </c>
      <c r="BA1530" s="18" t="s">
        <v>802</v>
      </c>
      <c r="BB1530" s="3" t="b">
        <v>0</v>
      </c>
      <c r="BC1530" t="s">
        <v>81</v>
      </c>
      <c r="BD1530">
        <v>18</v>
      </c>
      <c r="BE1530" t="s">
        <v>80</v>
      </c>
      <c r="BF1530">
        <v>24</v>
      </c>
      <c r="BG1530" t="s">
        <v>696</v>
      </c>
      <c r="BH1530" t="s">
        <v>32</v>
      </c>
      <c r="BI1530" t="s">
        <v>31</v>
      </c>
      <c r="BJ1530">
        <f t="shared" si="748"/>
        <v>0.65</v>
      </c>
      <c r="BK1530" s="3">
        <f t="shared" si="747"/>
        <v>-0.18708664335714442</v>
      </c>
      <c r="BL1530">
        <v>2</v>
      </c>
      <c r="BM1530" s="3">
        <f t="shared" si="737"/>
        <v>2.4008274668273941</v>
      </c>
      <c r="BN1530" t="s">
        <v>33</v>
      </c>
      <c r="BO1530" s="3">
        <f t="shared" si="731"/>
        <v>251.66769230769225</v>
      </c>
      <c r="BP1530" t="s">
        <v>33</v>
      </c>
      <c r="BQ1530" t="s">
        <v>33</v>
      </c>
      <c r="BR1530" t="s">
        <v>33</v>
      </c>
      <c r="BS1530" t="s">
        <v>33</v>
      </c>
      <c r="BT1530" t="s">
        <v>31</v>
      </c>
      <c r="BU1530" t="s">
        <v>338</v>
      </c>
      <c r="BV1530">
        <v>2006</v>
      </c>
      <c r="BW1530" t="s">
        <v>339</v>
      </c>
      <c r="BX1530" t="s">
        <v>78</v>
      </c>
      <c r="BY1530" s="13" t="s">
        <v>682</v>
      </c>
      <c r="CA1530" t="str">
        <f t="shared" si="732"/>
        <v>low acid</v>
      </c>
    </row>
    <row r="1531" spans="1:79">
      <c r="A1531" t="s">
        <v>122</v>
      </c>
      <c r="B1531" t="s">
        <v>565</v>
      </c>
      <c r="C1531" t="s">
        <v>563</v>
      </c>
      <c r="D1531" t="s">
        <v>118</v>
      </c>
      <c r="E1531" t="s">
        <v>77</v>
      </c>
      <c r="F1531" t="s">
        <v>32</v>
      </c>
      <c r="G1531">
        <v>23</v>
      </c>
      <c r="H1531">
        <v>40</v>
      </c>
      <c r="I1531" t="b">
        <v>0</v>
      </c>
      <c r="J1531" t="s">
        <v>33</v>
      </c>
      <c r="K1531" t="s">
        <v>33</v>
      </c>
      <c r="L1531">
        <v>25</v>
      </c>
      <c r="M1531" s="4">
        <v>667</v>
      </c>
      <c r="N1531" s="3">
        <f>IFERROR(AF1531/((T1531*X1531/Y1531)*O1531*AI1531),"NA")</f>
        <v>663.96690945057719</v>
      </c>
      <c r="O1531">
        <v>3</v>
      </c>
      <c r="P1531" t="s">
        <v>33</v>
      </c>
      <c r="Q1531" s="8">
        <f t="shared" si="745"/>
        <v>5.9970014992503755E-3</v>
      </c>
      <c r="R1531" t="s">
        <v>183</v>
      </c>
      <c r="S1531" t="s">
        <v>613</v>
      </c>
      <c r="T1531" s="11">
        <v>4</v>
      </c>
      <c r="U1531">
        <v>2.9</v>
      </c>
      <c r="V1531">
        <v>2.2999999999999998</v>
      </c>
      <c r="W1531" t="s">
        <v>33</v>
      </c>
      <c r="X1531">
        <f>IFERROR(((PI())*(((V1531*10^-1)/2)^2)*(U1531*10^-1)), "NA")</f>
        <v>1.204879322468025E-2</v>
      </c>
      <c r="Y1531">
        <v>2</v>
      </c>
      <c r="Z1531" s="9">
        <f>IFERROR(X1531*M1531*O1531*T1531*AI1531/AF1531, "NA")</f>
        <v>2.0091362702154316</v>
      </c>
      <c r="AA1531" t="s">
        <v>33</v>
      </c>
      <c r="AB1531" s="6">
        <f>IFERROR(((X1531*M1531)/Z1531), "NA")</f>
        <v>4</v>
      </c>
      <c r="AC1531" t="str">
        <f t="shared" si="736"/>
        <v>NA</v>
      </c>
      <c r="AD1531" s="4">
        <f>IFERROR(AB1531*T1531*AI1531, "NA")</f>
        <v>16</v>
      </c>
      <c r="AE1531">
        <f t="shared" si="746"/>
        <v>138.00000000000003</v>
      </c>
      <c r="AF1531">
        <v>48</v>
      </c>
      <c r="AG1531" t="str">
        <f>IFERROR((M1531*O1531*P1531), "NA")</f>
        <v>NA</v>
      </c>
      <c r="AH1531" t="str">
        <f>IFERROR((AG1531*T1531*AI1531), "NA")</f>
        <v>NA</v>
      </c>
      <c r="AI1531" s="11">
        <v>1</v>
      </c>
      <c r="AJ1531" t="s">
        <v>31</v>
      </c>
      <c r="AK1531">
        <v>4600</v>
      </c>
      <c r="AL1531" t="s">
        <v>204</v>
      </c>
      <c r="AM1531" t="s">
        <v>785</v>
      </c>
      <c r="AN1531" t="s">
        <v>205</v>
      </c>
      <c r="AO1531" t="s">
        <v>791</v>
      </c>
      <c r="AP1531">
        <v>4.2</v>
      </c>
      <c r="AQ1531" t="s">
        <v>33</v>
      </c>
      <c r="AR1531" t="s">
        <v>33</v>
      </c>
      <c r="AS1531" s="3">
        <v>8</v>
      </c>
      <c r="AT1531" s="3">
        <f>IFERROR(AS1531-AU1531,"NA")</f>
        <v>6.3719999999999999</v>
      </c>
      <c r="AU1531" s="6">
        <v>1.6279999999999999</v>
      </c>
      <c r="AV1531" t="b">
        <v>1</v>
      </c>
      <c r="AW1531" t="s">
        <v>92</v>
      </c>
      <c r="AX1531" t="s">
        <v>119</v>
      </c>
      <c r="AY1531" t="s">
        <v>120</v>
      </c>
      <c r="AZ1531" t="s">
        <v>33</v>
      </c>
      <c r="BA1531" s="18" t="s">
        <v>801</v>
      </c>
      <c r="BB1531" t="b">
        <v>0</v>
      </c>
      <c r="BC1531" t="s">
        <v>81</v>
      </c>
      <c r="BD1531">
        <v>18</v>
      </c>
      <c r="BE1531" t="s">
        <v>80</v>
      </c>
      <c r="BF1531" t="s">
        <v>33</v>
      </c>
      <c r="BG1531" t="s">
        <v>568</v>
      </c>
      <c r="BH1531" t="s">
        <v>31</v>
      </c>
      <c r="BI1531" t="s">
        <v>31</v>
      </c>
      <c r="BJ1531">
        <f t="shared" si="748"/>
        <v>1.6279999999999999</v>
      </c>
      <c r="BK1531" s="3">
        <f t="shared" si="747"/>
        <v>0.21165440055318241</v>
      </c>
      <c r="BL1531">
        <v>2</v>
      </c>
      <c r="BM1531" s="3">
        <f>LOG(BO1531)</f>
        <v>1.9282246858480543</v>
      </c>
      <c r="BN1531" t="s">
        <v>33</v>
      </c>
      <c r="BO1531" s="3">
        <f t="shared" si="731"/>
        <v>84.766584766584785</v>
      </c>
      <c r="BP1531" t="s">
        <v>33</v>
      </c>
      <c r="BQ1531" t="s">
        <v>33</v>
      </c>
      <c r="BR1531" t="s">
        <v>33</v>
      </c>
      <c r="BS1531" t="s">
        <v>33</v>
      </c>
      <c r="BT1531" t="s">
        <v>32</v>
      </c>
      <c r="BU1531" t="s">
        <v>116</v>
      </c>
      <c r="BV1531">
        <v>2011</v>
      </c>
      <c r="BW1531" t="s">
        <v>91</v>
      </c>
      <c r="BX1531" t="s">
        <v>78</v>
      </c>
      <c r="BY1531" t="s">
        <v>33</v>
      </c>
      <c r="BZ1531" t="s">
        <v>33</v>
      </c>
      <c r="CA1531" t="str">
        <f t="shared" si="732"/>
        <v>high acid</v>
      </c>
    </row>
    <row r="1532" spans="1:79">
      <c r="A1532" t="s">
        <v>343</v>
      </c>
      <c r="B1532" t="s">
        <v>566</v>
      </c>
      <c r="C1532" t="s">
        <v>563</v>
      </c>
      <c r="D1532" t="s">
        <v>33</v>
      </c>
      <c r="E1532" t="s">
        <v>77</v>
      </c>
      <c r="F1532" t="s">
        <v>32</v>
      </c>
      <c r="G1532">
        <v>30</v>
      </c>
      <c r="H1532">
        <v>33</v>
      </c>
      <c r="I1532" t="b">
        <v>0</v>
      </c>
      <c r="J1532" t="s">
        <v>33</v>
      </c>
      <c r="K1532" t="s">
        <v>33</v>
      </c>
      <c r="L1532">
        <v>30</v>
      </c>
      <c r="M1532" s="4">
        <v>2</v>
      </c>
      <c r="N1532" s="3">
        <f>IFERROR(AF1532/((T1532*X1532/Y1532)*O1532*AI1532),"NA")</f>
        <v>2.1126760563380285</v>
      </c>
      <c r="O1532">
        <v>2</v>
      </c>
      <c r="P1532" t="s">
        <v>33</v>
      </c>
      <c r="Q1532" s="8">
        <f t="shared" ref="Q1532:Q1539" si="751">IFERROR(X1532/Z1532, "NA")</f>
        <v>7.5</v>
      </c>
      <c r="R1532" t="s">
        <v>183</v>
      </c>
      <c r="S1532" t="s">
        <v>613</v>
      </c>
      <c r="T1532" s="11">
        <v>1</v>
      </c>
      <c r="U1532">
        <v>5</v>
      </c>
      <c r="V1532" t="s">
        <v>33</v>
      </c>
      <c r="W1532">
        <v>0.71</v>
      </c>
      <c r="X1532" s="8">
        <f>W1532</f>
        <v>0.71</v>
      </c>
      <c r="Y1532">
        <f>6/60</f>
        <v>0.1</v>
      </c>
      <c r="Z1532" s="3">
        <f>IFERROR(X1532*M1532*O1532*T1532*AI1532/AF1532, "NA")</f>
        <v>9.4666666666666663E-2</v>
      </c>
      <c r="AA1532">
        <v>15</v>
      </c>
      <c r="AB1532" s="6">
        <f>IFERROR(((X1532*M1532)/Z1532), "NA")</f>
        <v>15</v>
      </c>
      <c r="AC1532" t="str">
        <f t="shared" ref="AC1532:AC1549" si="752">IFERROR(M1532*P1532,"NA")</f>
        <v>NA</v>
      </c>
      <c r="AD1532" s="4">
        <f>AB1532*T1532*AI1532</f>
        <v>30</v>
      </c>
      <c r="AE1532" s="3">
        <f t="shared" si="746"/>
        <v>378</v>
      </c>
      <c r="AF1532">
        <v>60</v>
      </c>
      <c r="AG1532" t="str">
        <f>IFERROR((M1532*O1532*P1532), "NA")</f>
        <v>NA</v>
      </c>
      <c r="AH1532" t="str">
        <f>IFERROR((AG1532*T1532*AI1532), "NA")</f>
        <v>NA</v>
      </c>
      <c r="AI1532">
        <v>2</v>
      </c>
      <c r="AJ1532" s="11" t="s">
        <v>32</v>
      </c>
      <c r="AK1532">
        <v>7000</v>
      </c>
      <c r="AL1532" t="s">
        <v>562</v>
      </c>
      <c r="AM1532" s="3" t="s">
        <v>786</v>
      </c>
      <c r="AN1532" t="s">
        <v>186</v>
      </c>
      <c r="AO1532" t="s">
        <v>793</v>
      </c>
      <c r="AP1532" t="s">
        <v>33</v>
      </c>
      <c r="AQ1532" t="s">
        <v>33</v>
      </c>
      <c r="AR1532" t="s">
        <v>33</v>
      </c>
      <c r="AS1532" s="6">
        <f>LOG(10^8)</f>
        <v>8</v>
      </c>
      <c r="AT1532" s="3">
        <f>IFERROR(AS1532-AU1532,"NA")</f>
        <v>7.3639999999999999</v>
      </c>
      <c r="AU1532" s="6">
        <v>0.63600000000000001</v>
      </c>
      <c r="AV1532" t="b">
        <v>1</v>
      </c>
      <c r="AW1532" t="s">
        <v>29</v>
      </c>
      <c r="AX1532" t="s">
        <v>30</v>
      </c>
      <c r="AY1532" t="s">
        <v>33</v>
      </c>
      <c r="AZ1532" t="s">
        <v>134</v>
      </c>
      <c r="BA1532" s="18" t="s">
        <v>798</v>
      </c>
      <c r="BB1532" t="b">
        <v>0</v>
      </c>
      <c r="BC1532" t="s">
        <v>81</v>
      </c>
      <c r="BD1532">
        <v>18</v>
      </c>
      <c r="BE1532" t="s">
        <v>80</v>
      </c>
      <c r="BF1532" s="11">
        <v>21</v>
      </c>
      <c r="BG1532" t="s">
        <v>694</v>
      </c>
      <c r="BH1532" t="s">
        <v>31</v>
      </c>
      <c r="BI1532" t="s">
        <v>31</v>
      </c>
      <c r="BJ1532" s="3">
        <f t="shared" ref="BJ1532:BJ1580" si="753">AU1532</f>
        <v>0.63600000000000001</v>
      </c>
      <c r="BK1532" s="3">
        <f t="shared" ref="BK1532:BK1535" si="754">LOG10(BJ1532)</f>
        <v>-0.19654288435158612</v>
      </c>
      <c r="BL1532">
        <v>2</v>
      </c>
      <c r="BM1532" s="3">
        <f t="shared" ref="BM1532:BM1563" si="755">IFERROR(LOG(BO1532),"NA")</f>
        <v>2.7740346841888113</v>
      </c>
      <c r="BN1532" t="s">
        <v>33</v>
      </c>
      <c r="BO1532" s="3">
        <f t="shared" si="731"/>
        <v>594.33962264150944</v>
      </c>
      <c r="BP1532" t="s">
        <v>33</v>
      </c>
      <c r="BQ1532" t="s">
        <v>33</v>
      </c>
      <c r="BR1532" t="s">
        <v>33</v>
      </c>
      <c r="BS1532" t="s">
        <v>33</v>
      </c>
      <c r="BT1532" t="s">
        <v>31</v>
      </c>
      <c r="BU1532" t="s">
        <v>338</v>
      </c>
      <c r="BV1532">
        <v>2005</v>
      </c>
      <c r="BW1532" s="2" t="s">
        <v>342</v>
      </c>
      <c r="BX1532" t="s">
        <v>78</v>
      </c>
      <c r="BY1532" t="s">
        <v>340</v>
      </c>
      <c r="BZ1532" t="s">
        <v>33</v>
      </c>
      <c r="CA1532" t="str">
        <f t="shared" si="732"/>
        <v>low acid</v>
      </c>
    </row>
    <row r="1533" spans="1:79">
      <c r="A1533" t="s">
        <v>583</v>
      </c>
      <c r="B1533" t="s">
        <v>566</v>
      </c>
      <c r="C1533" t="s">
        <v>563</v>
      </c>
      <c r="D1533" t="s">
        <v>33</v>
      </c>
      <c r="E1533" t="s">
        <v>77</v>
      </c>
      <c r="F1533" t="s">
        <v>32</v>
      </c>
      <c r="G1533" t="s">
        <v>33</v>
      </c>
      <c r="H1533">
        <v>10</v>
      </c>
      <c r="I1533" t="b">
        <v>1</v>
      </c>
      <c r="J1533" t="s">
        <v>33</v>
      </c>
      <c r="K1533" t="s">
        <v>33</v>
      </c>
      <c r="L1533">
        <v>20</v>
      </c>
      <c r="M1533" s="4">
        <v>2</v>
      </c>
      <c r="N1533" t="e">
        <f>(#REF!*Y1533)/(T1533*X1533*O1533)</f>
        <v>#REF!</v>
      </c>
      <c r="O1533">
        <v>2</v>
      </c>
      <c r="P1533" t="s">
        <v>33</v>
      </c>
      <c r="Q1533" s="1">
        <f t="shared" si="751"/>
        <v>45</v>
      </c>
      <c r="R1533" t="s">
        <v>183</v>
      </c>
      <c r="S1533" t="s">
        <v>613</v>
      </c>
      <c r="T1533">
        <v>1</v>
      </c>
      <c r="U1533">
        <v>5</v>
      </c>
      <c r="V1533" t="s">
        <v>33</v>
      </c>
      <c r="W1533">
        <v>0.71</v>
      </c>
      <c r="X1533">
        <f>W1533</f>
        <v>0.71</v>
      </c>
      <c r="Y1533">
        <v>0.1</v>
      </c>
      <c r="Z1533" s="3">
        <f>IFERROR(X1533*M1533*O1533*T1533*AI1533/AF1533, "NA")</f>
        <v>1.5777777777777776E-2</v>
      </c>
      <c r="AA1533" t="s">
        <v>33</v>
      </c>
      <c r="AB1533">
        <f>IFERROR(((X1533*M1533)/Z1533), "NA")</f>
        <v>90</v>
      </c>
      <c r="AC1533" s="1" t="str">
        <f t="shared" si="752"/>
        <v>NA</v>
      </c>
      <c r="AE1533" s="3">
        <f t="shared" si="746"/>
        <v>338.4</v>
      </c>
      <c r="AF1533">
        <v>180</v>
      </c>
      <c r="AG1533" s="1" t="str">
        <f>IFERROR((N1533*P1533*Q1533), "NA")</f>
        <v>NA</v>
      </c>
      <c r="AH1533" s="1" t="str">
        <f>IFERROR((AG1533*U1533*AI1533), "NA")</f>
        <v>NA</v>
      </c>
      <c r="AI1533" s="1">
        <v>1</v>
      </c>
      <c r="AJ1533" s="11" t="s">
        <v>31</v>
      </c>
      <c r="AK1533">
        <v>4700</v>
      </c>
      <c r="AL1533" t="s">
        <v>562</v>
      </c>
      <c r="AM1533" s="3" t="s">
        <v>786</v>
      </c>
      <c r="AN1533" t="s">
        <v>186</v>
      </c>
      <c r="AO1533" t="s">
        <v>793</v>
      </c>
      <c r="AP1533" t="s">
        <v>33</v>
      </c>
      <c r="AQ1533" t="s">
        <v>33</v>
      </c>
      <c r="AR1533" t="s">
        <v>33</v>
      </c>
      <c r="AS1533">
        <v>8</v>
      </c>
      <c r="AT1533">
        <f>AS1533-AU1533</f>
        <v>7.37</v>
      </c>
      <c r="AU1533" s="6">
        <v>0.63</v>
      </c>
      <c r="AV1533" t="b">
        <v>1</v>
      </c>
      <c r="AW1533" t="s">
        <v>617</v>
      </c>
      <c r="AX1533" t="s">
        <v>33</v>
      </c>
      <c r="AY1533" t="s">
        <v>622</v>
      </c>
      <c r="AZ1533" t="s">
        <v>619</v>
      </c>
      <c r="BA1533" s="18" t="s">
        <v>802</v>
      </c>
      <c r="BB1533" s="3" t="b">
        <v>0</v>
      </c>
      <c r="BC1533" t="s">
        <v>81</v>
      </c>
      <c r="BD1533">
        <v>18</v>
      </c>
      <c r="BE1533" t="s">
        <v>80</v>
      </c>
      <c r="BF1533">
        <v>24</v>
      </c>
      <c r="BG1533" t="s">
        <v>696</v>
      </c>
      <c r="BH1533" t="s">
        <v>32</v>
      </c>
      <c r="BI1533" t="s">
        <v>31</v>
      </c>
      <c r="BJ1533">
        <f t="shared" si="753"/>
        <v>0.63</v>
      </c>
      <c r="BK1533" s="3">
        <f t="shared" si="754"/>
        <v>-0.20065945054641829</v>
      </c>
      <c r="BL1533">
        <v>2</v>
      </c>
      <c r="BM1533" s="3">
        <f t="shared" si="755"/>
        <v>2.7300898049134044</v>
      </c>
      <c r="BN1533" t="s">
        <v>33</v>
      </c>
      <c r="BO1533" s="3">
        <f t="shared" si="731"/>
        <v>537.14285714285711</v>
      </c>
      <c r="BP1533" t="s">
        <v>33</v>
      </c>
      <c r="BQ1533" t="s">
        <v>33</v>
      </c>
      <c r="BR1533" t="s">
        <v>33</v>
      </c>
      <c r="BS1533" t="s">
        <v>33</v>
      </c>
      <c r="BT1533" t="s">
        <v>31</v>
      </c>
      <c r="BU1533" t="s">
        <v>338</v>
      </c>
      <c r="BV1533">
        <v>2005</v>
      </c>
      <c r="BW1533" t="s">
        <v>342</v>
      </c>
      <c r="BX1533" t="s">
        <v>78</v>
      </c>
      <c r="BY1533" s="13" t="s">
        <v>673</v>
      </c>
      <c r="CA1533" t="str">
        <f t="shared" si="732"/>
        <v>low acid</v>
      </c>
    </row>
    <row r="1534" spans="1:79">
      <c r="A1534" t="s">
        <v>583</v>
      </c>
      <c r="B1534" t="s">
        <v>566</v>
      </c>
      <c r="C1534" t="s">
        <v>563</v>
      </c>
      <c r="D1534" t="s">
        <v>33</v>
      </c>
      <c r="E1534" t="s">
        <v>77</v>
      </c>
      <c r="F1534" t="s">
        <v>32</v>
      </c>
      <c r="G1534" t="s">
        <v>33</v>
      </c>
      <c r="H1534">
        <v>20</v>
      </c>
      <c r="I1534" t="b">
        <v>1</v>
      </c>
      <c r="J1534" t="s">
        <v>33</v>
      </c>
      <c r="K1534" t="s">
        <v>33</v>
      </c>
      <c r="L1534">
        <v>20</v>
      </c>
      <c r="M1534" s="4">
        <v>2</v>
      </c>
      <c r="N1534" t="e">
        <f>(#REF!*Y1534)/(T1534*X1534*O1534)</f>
        <v>#REF!</v>
      </c>
      <c r="O1534">
        <v>2</v>
      </c>
      <c r="P1534" t="s">
        <v>33</v>
      </c>
      <c r="Q1534" s="1">
        <f t="shared" si="751"/>
        <v>15</v>
      </c>
      <c r="R1534" t="s">
        <v>183</v>
      </c>
      <c r="S1534" t="s">
        <v>613</v>
      </c>
      <c r="T1534">
        <v>1</v>
      </c>
      <c r="U1534">
        <v>5</v>
      </c>
      <c r="V1534" t="s">
        <v>33</v>
      </c>
      <c r="W1534">
        <v>0.71</v>
      </c>
      <c r="X1534">
        <f>W1534</f>
        <v>0.71</v>
      </c>
      <c r="Y1534">
        <v>0.1</v>
      </c>
      <c r="Z1534" s="3">
        <f>IFERROR(X1534*M1534*O1534*T1534*AI1534/AF1534, "NA")</f>
        <v>4.7333333333333331E-2</v>
      </c>
      <c r="AA1534" t="s">
        <v>33</v>
      </c>
      <c r="AB1534">
        <f>IFERROR(((X1534*M1534)/Z1534), "NA")</f>
        <v>30</v>
      </c>
      <c r="AC1534" s="1" t="str">
        <f t="shared" si="752"/>
        <v>NA</v>
      </c>
      <c r="AE1534" s="3">
        <f t="shared" si="746"/>
        <v>112.8</v>
      </c>
      <c r="AF1534">
        <v>60</v>
      </c>
      <c r="AG1534" s="1" t="str">
        <f>IFERROR((N1534*P1534*Q1534), "NA")</f>
        <v>NA</v>
      </c>
      <c r="AH1534" s="1" t="str">
        <f>IFERROR((AG1534*U1534*AI1534), "NA")</f>
        <v>NA</v>
      </c>
      <c r="AI1534" s="1">
        <v>1</v>
      </c>
      <c r="AJ1534" s="11" t="s">
        <v>31</v>
      </c>
      <c r="AK1534">
        <v>4700</v>
      </c>
      <c r="AL1534" t="s">
        <v>562</v>
      </c>
      <c r="AM1534" s="3" t="s">
        <v>786</v>
      </c>
      <c r="AN1534" t="s">
        <v>186</v>
      </c>
      <c r="AO1534" t="s">
        <v>793</v>
      </c>
      <c r="AP1534" t="s">
        <v>33</v>
      </c>
      <c r="AQ1534" t="s">
        <v>33</v>
      </c>
      <c r="AR1534" t="s">
        <v>33</v>
      </c>
      <c r="AS1534">
        <v>8</v>
      </c>
      <c r="AT1534">
        <f>AS1534-AU1534</f>
        <v>7.37</v>
      </c>
      <c r="AU1534" s="6">
        <v>0.63</v>
      </c>
      <c r="AV1534" t="b">
        <v>1</v>
      </c>
      <c r="AW1534" t="s">
        <v>617</v>
      </c>
      <c r="AX1534" t="s">
        <v>33</v>
      </c>
      <c r="AY1534" t="s">
        <v>622</v>
      </c>
      <c r="AZ1534" t="s">
        <v>619</v>
      </c>
      <c r="BA1534" s="18" t="s">
        <v>802</v>
      </c>
      <c r="BB1534" s="3" t="b">
        <v>0</v>
      </c>
      <c r="BC1534" t="s">
        <v>81</v>
      </c>
      <c r="BD1534">
        <v>18</v>
      </c>
      <c r="BE1534" t="s">
        <v>80</v>
      </c>
      <c r="BF1534">
        <v>24</v>
      </c>
      <c r="BG1534" t="s">
        <v>696</v>
      </c>
      <c r="BH1534" t="s">
        <v>32</v>
      </c>
      <c r="BI1534" t="s">
        <v>31</v>
      </c>
      <c r="BJ1534">
        <f t="shared" si="753"/>
        <v>0.63</v>
      </c>
      <c r="BK1534" s="3">
        <f t="shared" si="754"/>
        <v>-0.20065945054641829</v>
      </c>
      <c r="BL1534">
        <v>2</v>
      </c>
      <c r="BM1534" s="3">
        <f t="shared" si="755"/>
        <v>2.2529685501937418</v>
      </c>
      <c r="BN1534" t="s">
        <v>33</v>
      </c>
      <c r="BO1534" s="3">
        <f t="shared" si="731"/>
        <v>179.04761904761904</v>
      </c>
      <c r="BP1534" t="s">
        <v>33</v>
      </c>
      <c r="BQ1534" t="s">
        <v>33</v>
      </c>
      <c r="BR1534" t="s">
        <v>33</v>
      </c>
      <c r="BS1534" t="s">
        <v>33</v>
      </c>
      <c r="BT1534" t="s">
        <v>31</v>
      </c>
      <c r="BU1534" t="s">
        <v>338</v>
      </c>
      <c r="BV1534">
        <v>2005</v>
      </c>
      <c r="BW1534" t="s">
        <v>342</v>
      </c>
      <c r="BX1534" t="s">
        <v>78</v>
      </c>
      <c r="BY1534" s="13" t="s">
        <v>673</v>
      </c>
      <c r="CA1534" t="str">
        <f t="shared" si="732"/>
        <v>low acid</v>
      </c>
    </row>
    <row r="1535" spans="1:79">
      <c r="A1535" t="s">
        <v>594</v>
      </c>
      <c r="B1535" t="s">
        <v>566</v>
      </c>
      <c r="C1535" t="s">
        <v>563</v>
      </c>
      <c r="D1535" t="s">
        <v>33</v>
      </c>
      <c r="E1535" t="s">
        <v>77</v>
      </c>
      <c r="F1535" t="s">
        <v>32</v>
      </c>
      <c r="G1535" t="s">
        <v>33</v>
      </c>
      <c r="H1535">
        <v>20</v>
      </c>
      <c r="I1535" t="b">
        <v>1</v>
      </c>
      <c r="J1535" t="s">
        <v>33</v>
      </c>
      <c r="K1535" t="s">
        <v>33</v>
      </c>
      <c r="L1535">
        <v>20</v>
      </c>
      <c r="M1535" s="4">
        <v>2</v>
      </c>
      <c r="N1535" t="e">
        <f>(#REF!*Y1535)/(T1535*X1535*O1535)</f>
        <v>#REF!</v>
      </c>
      <c r="O1535">
        <v>2</v>
      </c>
      <c r="P1535" t="s">
        <v>33</v>
      </c>
      <c r="Q1535" s="1">
        <f t="shared" si="751"/>
        <v>7.1</v>
      </c>
      <c r="R1535" t="s">
        <v>183</v>
      </c>
      <c r="S1535" t="s">
        <v>613</v>
      </c>
      <c r="T1535">
        <v>1</v>
      </c>
      <c r="U1535">
        <v>5</v>
      </c>
      <c r="V1535" t="s">
        <v>33</v>
      </c>
      <c r="W1535">
        <v>0.71</v>
      </c>
      <c r="X1535">
        <f>W1535</f>
        <v>0.71</v>
      </c>
      <c r="Y1535">
        <v>0.1</v>
      </c>
      <c r="Z1535" s="3">
        <f>Y1535</f>
        <v>0.1</v>
      </c>
      <c r="AA1535" s="3">
        <v>14.8409893992932</v>
      </c>
      <c r="AB1535">
        <f>IFERROR(((X1535*M1535)/Y1535), "NA")</f>
        <v>14.2</v>
      </c>
      <c r="AC1535" s="1" t="str">
        <f t="shared" si="752"/>
        <v>NA</v>
      </c>
      <c r="AE1535" s="3">
        <f t="shared" si="746"/>
        <v>218.11199999999997</v>
      </c>
      <c r="AF1535" t="s">
        <v>33</v>
      </c>
      <c r="AG1535" s="1">
        <f>IFERROR((M1535*O1535*Q1535), "NA")</f>
        <v>28.4</v>
      </c>
      <c r="AH1535" s="1">
        <f>IFERROR((AG1535*U1535*AI1535), "NA")</f>
        <v>426</v>
      </c>
      <c r="AI1535" s="1">
        <v>3</v>
      </c>
      <c r="AJ1535" s="11" t="s">
        <v>31</v>
      </c>
      <c r="AK1535">
        <f>AVERAGE(5100, 7700)</f>
        <v>6400</v>
      </c>
      <c r="AL1535" t="s">
        <v>561</v>
      </c>
      <c r="AM1535" s="3" t="s">
        <v>786</v>
      </c>
      <c r="AN1535" t="s">
        <v>186</v>
      </c>
      <c r="AO1535" t="s">
        <v>793</v>
      </c>
      <c r="AP1535" t="s">
        <v>33</v>
      </c>
      <c r="AQ1535" t="s">
        <v>33</v>
      </c>
      <c r="AR1535" t="s">
        <v>33</v>
      </c>
      <c r="AS1535">
        <v>8</v>
      </c>
      <c r="AT1535">
        <f>AS1535-AU1535</f>
        <v>7.38</v>
      </c>
      <c r="AU1535" s="6">
        <v>0.62</v>
      </c>
      <c r="AV1535" t="b">
        <v>1</v>
      </c>
      <c r="AW1535" t="s">
        <v>617</v>
      </c>
      <c r="AX1535" t="s">
        <v>624</v>
      </c>
      <c r="AY1535" t="s">
        <v>622</v>
      </c>
      <c r="AZ1535" t="s">
        <v>33</v>
      </c>
      <c r="BA1535" s="18" t="s">
        <v>802</v>
      </c>
      <c r="BB1535" s="3" t="b">
        <v>0</v>
      </c>
      <c r="BC1535" t="s">
        <v>81</v>
      </c>
      <c r="BD1535">
        <v>18</v>
      </c>
      <c r="BE1535" t="s">
        <v>80</v>
      </c>
      <c r="BF1535">
        <v>24</v>
      </c>
      <c r="BG1535" t="s">
        <v>696</v>
      </c>
      <c r="BH1535" t="s">
        <v>32</v>
      </c>
      <c r="BI1535" t="s">
        <v>31</v>
      </c>
      <c r="BJ1535">
        <f t="shared" si="753"/>
        <v>0.62</v>
      </c>
      <c r="BK1535" s="3">
        <f t="shared" si="754"/>
        <v>-0.20760831050174613</v>
      </c>
      <c r="BL1535">
        <v>2</v>
      </c>
      <c r="BM1535" s="3">
        <f t="shared" si="755"/>
        <v>2.5462878705802958</v>
      </c>
      <c r="BN1535" t="s">
        <v>33</v>
      </c>
      <c r="BO1535" s="3">
        <f t="shared" si="731"/>
        <v>351.79354838709673</v>
      </c>
      <c r="BP1535" t="s">
        <v>33</v>
      </c>
      <c r="BQ1535" t="s">
        <v>33</v>
      </c>
      <c r="BR1535" t="s">
        <v>33</v>
      </c>
      <c r="BS1535" t="s">
        <v>33</v>
      </c>
      <c r="BT1535" t="s">
        <v>31</v>
      </c>
      <c r="BU1535" t="s">
        <v>338</v>
      </c>
      <c r="BV1535">
        <v>2006</v>
      </c>
      <c r="BW1535" t="s">
        <v>339</v>
      </c>
      <c r="BX1535" t="s">
        <v>78</v>
      </c>
      <c r="BY1535" s="13" t="s">
        <v>682</v>
      </c>
      <c r="CA1535" t="str">
        <f t="shared" si="732"/>
        <v>low acid</v>
      </c>
    </row>
    <row r="1536" spans="1:79">
      <c r="A1536" t="s">
        <v>592</v>
      </c>
      <c r="B1536" t="s">
        <v>566</v>
      </c>
      <c r="C1536" t="s">
        <v>563</v>
      </c>
      <c r="D1536" t="s">
        <v>607</v>
      </c>
      <c r="E1536" t="s">
        <v>77</v>
      </c>
      <c r="F1536" t="s">
        <v>32</v>
      </c>
      <c r="G1536" t="s">
        <v>33</v>
      </c>
      <c r="H1536">
        <v>35</v>
      </c>
      <c r="I1536" t="b">
        <v>0</v>
      </c>
      <c r="J1536">
        <v>30000</v>
      </c>
      <c r="K1536">
        <v>200</v>
      </c>
      <c r="L1536">
        <v>25</v>
      </c>
      <c r="M1536" s="4">
        <v>1</v>
      </c>
      <c r="N1536" t="e">
        <f>(#REF!*Y1536)/(T1536*X1536*O1536)</f>
        <v>#REF!</v>
      </c>
      <c r="O1536">
        <v>3</v>
      </c>
      <c r="P1536" t="s">
        <v>33</v>
      </c>
      <c r="Q1536" s="1">
        <f t="shared" si="751"/>
        <v>10.6</v>
      </c>
      <c r="R1536" t="s">
        <v>183</v>
      </c>
      <c r="S1536" t="s">
        <v>33</v>
      </c>
      <c r="T1536">
        <v>1</v>
      </c>
      <c r="U1536">
        <v>2.5</v>
      </c>
      <c r="V1536" t="s">
        <v>33</v>
      </c>
      <c r="W1536">
        <v>0.50249999999999995</v>
      </c>
      <c r="X1536">
        <f>W1536</f>
        <v>0.50249999999999995</v>
      </c>
      <c r="Y1536" t="s">
        <v>33</v>
      </c>
      <c r="Z1536" s="3">
        <f>IFERROR(X1536*M1536*O1536*T1536*AI1536/AF1536, "NA")</f>
        <v>4.7405660377358487E-2</v>
      </c>
      <c r="AA1536" t="s">
        <v>33</v>
      </c>
      <c r="AB1536">
        <f>IFERROR(((X1536*M1536)/Z1536), "NA")</f>
        <v>10.6</v>
      </c>
      <c r="AC1536" s="1" t="str">
        <f t="shared" si="752"/>
        <v>NA</v>
      </c>
      <c r="AE1536" s="3">
        <f t="shared" si="746"/>
        <v>19.875</v>
      </c>
      <c r="AF1536">
        <v>31.8</v>
      </c>
      <c r="AG1536" s="1" t="str">
        <f>IFERROR((N1536*P1536*Q1536), "NA")</f>
        <v>NA</v>
      </c>
      <c r="AH1536" s="1" t="str">
        <f>IFERROR((AG1536*U1536*AI1536), "NA")</f>
        <v>NA</v>
      </c>
      <c r="AI1536" s="1">
        <v>1</v>
      </c>
      <c r="AJ1536" s="11" t="s">
        <v>31</v>
      </c>
      <c r="AK1536">
        <v>1000</v>
      </c>
      <c r="AL1536" t="s">
        <v>614</v>
      </c>
      <c r="AM1536" s="3" t="s">
        <v>103</v>
      </c>
      <c r="AN1536" t="s">
        <v>305</v>
      </c>
      <c r="AO1536" t="s">
        <v>790</v>
      </c>
      <c r="AP1536">
        <v>4.5</v>
      </c>
      <c r="AQ1536" t="s">
        <v>33</v>
      </c>
      <c r="AR1536" t="s">
        <v>33</v>
      </c>
      <c r="AS1536">
        <v>8</v>
      </c>
      <c r="AT1536">
        <f>AS1536-AU1536</f>
        <v>7.38</v>
      </c>
      <c r="AU1536" s="6">
        <v>0.62</v>
      </c>
      <c r="AV1536" t="b">
        <v>1</v>
      </c>
      <c r="AW1536" t="s">
        <v>626</v>
      </c>
      <c r="AX1536" t="s">
        <v>627</v>
      </c>
      <c r="AY1536" t="s">
        <v>633</v>
      </c>
      <c r="AZ1536" t="s">
        <v>33</v>
      </c>
      <c r="BA1536" s="18" t="s">
        <v>800</v>
      </c>
      <c r="BB1536" s="3" t="b">
        <v>0</v>
      </c>
      <c r="BC1536" t="s">
        <v>81</v>
      </c>
      <c r="BD1536">
        <v>24</v>
      </c>
      <c r="BE1536" t="s">
        <v>80</v>
      </c>
      <c r="BF1536">
        <v>48</v>
      </c>
      <c r="BG1536" t="s">
        <v>569</v>
      </c>
      <c r="BH1536" t="s">
        <v>31</v>
      </c>
      <c r="BI1536" t="s">
        <v>31</v>
      </c>
      <c r="BJ1536">
        <f t="shared" si="753"/>
        <v>0.62</v>
      </c>
      <c r="BK1536" s="3">
        <f t="shared" ref="BK1536:BK1599" si="756">LOG10(BJ1536)</f>
        <v>-0.20760831050174613</v>
      </c>
      <c r="BL1536">
        <v>2</v>
      </c>
      <c r="BM1536" s="3">
        <f t="shared" si="755"/>
        <v>1.5059154478302541</v>
      </c>
      <c r="BN1536" t="s">
        <v>33</v>
      </c>
      <c r="BO1536" s="3">
        <f t="shared" si="731"/>
        <v>32.056451612903224</v>
      </c>
      <c r="BP1536" t="s">
        <v>33</v>
      </c>
      <c r="BQ1536" t="s">
        <v>33</v>
      </c>
      <c r="BR1536" t="s">
        <v>33</v>
      </c>
      <c r="BS1536" t="s">
        <v>33</v>
      </c>
      <c r="BT1536" t="s">
        <v>31</v>
      </c>
      <c r="BU1536" s="15" t="s">
        <v>255</v>
      </c>
      <c r="BV1536">
        <v>2010</v>
      </c>
      <c r="BW1536" t="s">
        <v>659</v>
      </c>
      <c r="BX1536" t="s">
        <v>78</v>
      </c>
      <c r="BY1536" s="13" t="s">
        <v>680</v>
      </c>
      <c r="CA1536" t="str">
        <f t="shared" si="732"/>
        <v>high acid</v>
      </c>
    </row>
    <row r="1537" spans="1:79">
      <c r="A1537" t="s">
        <v>539</v>
      </c>
      <c r="B1537" t="s">
        <v>566</v>
      </c>
      <c r="C1537" t="s">
        <v>563</v>
      </c>
      <c r="D1537" t="s">
        <v>33</v>
      </c>
      <c r="E1537" t="s">
        <v>77</v>
      </c>
      <c r="F1537" t="s">
        <v>32</v>
      </c>
      <c r="G1537">
        <v>20</v>
      </c>
      <c r="H1537">
        <v>29.15</v>
      </c>
      <c r="I1537" t="b">
        <v>1</v>
      </c>
      <c r="J1537" t="s">
        <v>33</v>
      </c>
      <c r="K1537" t="s">
        <v>33</v>
      </c>
      <c r="L1537">
        <v>20</v>
      </c>
      <c r="M1537" s="4">
        <v>52</v>
      </c>
      <c r="N1537" s="3">
        <f>IFERROR(AF1537/((T1537*X1537/Y1537)*O1537*AI1537),"NA")</f>
        <v>16.502897455278408</v>
      </c>
      <c r="O1537">
        <v>3</v>
      </c>
      <c r="P1537" t="s">
        <v>33</v>
      </c>
      <c r="Q1537" s="8">
        <f t="shared" si="751"/>
        <v>0.25192307692307692</v>
      </c>
      <c r="R1537" t="s">
        <v>183</v>
      </c>
      <c r="S1537" t="s">
        <v>612</v>
      </c>
      <c r="T1537" s="11">
        <v>1</v>
      </c>
      <c r="U1537">
        <v>4.5</v>
      </c>
      <c r="V1537" t="s">
        <v>33</v>
      </c>
      <c r="W1537" t="s">
        <v>33</v>
      </c>
      <c r="X1537">
        <f>U1537*0.1*1.47</f>
        <v>0.66149999999999998</v>
      </c>
      <c r="Y1537" s="6">
        <f>3000/3600</f>
        <v>0.83333333333333337</v>
      </c>
      <c r="Z1537" s="3">
        <f>IFERROR(X1537*M1537*O1537*T1537*AI1537/AF1537, "NA")</f>
        <v>2.6258015267175572</v>
      </c>
      <c r="AA1537" t="s">
        <v>33</v>
      </c>
      <c r="AB1537" s="6">
        <f>IFERROR(((X1537*M1537)/Z1537), "NA")</f>
        <v>13.1</v>
      </c>
      <c r="AC1537" t="str">
        <f t="shared" si="752"/>
        <v>NA</v>
      </c>
      <c r="AD1537" s="4">
        <f>IFERROR(AB1537*T1537*AI1537, "NA")</f>
        <v>13.1</v>
      </c>
      <c r="AE1537" s="3">
        <f t="shared" si="746"/>
        <v>42.443999999999996</v>
      </c>
      <c r="AF1537">
        <v>39.299999999999997</v>
      </c>
      <c r="AG1537" t="str">
        <f>IFERROR((M1537*O1537*P1537), "NA")</f>
        <v>NA</v>
      </c>
      <c r="AH1537" t="str">
        <f>IFERROR((AG1537*T1537*AI1537), "NA")</f>
        <v>NA</v>
      </c>
      <c r="AI1537" s="11">
        <v>1</v>
      </c>
      <c r="AJ1537" t="s">
        <v>31</v>
      </c>
      <c r="AK1537" s="11">
        <v>2700</v>
      </c>
      <c r="AL1537" t="s">
        <v>149</v>
      </c>
      <c r="AM1537" t="s">
        <v>86</v>
      </c>
      <c r="AN1537" t="s">
        <v>205</v>
      </c>
      <c r="AO1537" t="s">
        <v>789</v>
      </c>
      <c r="AP1537">
        <v>3.5</v>
      </c>
      <c r="AQ1537" t="s">
        <v>33</v>
      </c>
      <c r="AR1537" t="s">
        <v>33</v>
      </c>
      <c r="AS1537" s="6">
        <f>LOG(10^8)</f>
        <v>8</v>
      </c>
      <c r="AT1537" s="3">
        <f>IFERROR(AS1537-AU1537,"NA")</f>
        <v>7.38</v>
      </c>
      <c r="AU1537" s="6">
        <v>0.62</v>
      </c>
      <c r="AV1537" t="b">
        <v>1</v>
      </c>
      <c r="AW1537" t="s">
        <v>29</v>
      </c>
      <c r="AX1537" t="s">
        <v>30</v>
      </c>
      <c r="AY1537" t="s">
        <v>33</v>
      </c>
      <c r="AZ1537" t="s">
        <v>134</v>
      </c>
      <c r="BA1537" s="18" t="s">
        <v>798</v>
      </c>
      <c r="BB1537" t="b">
        <v>0</v>
      </c>
      <c r="BC1537" t="s">
        <v>81</v>
      </c>
      <c r="BD1537">
        <v>12</v>
      </c>
      <c r="BE1537" t="s">
        <v>80</v>
      </c>
      <c r="BF1537" s="11">
        <v>48</v>
      </c>
      <c r="BG1537" t="s">
        <v>569</v>
      </c>
      <c r="BH1537" t="s">
        <v>31</v>
      </c>
      <c r="BI1537" t="s">
        <v>31</v>
      </c>
      <c r="BJ1537" s="3">
        <f t="shared" si="753"/>
        <v>0.62</v>
      </c>
      <c r="BK1537" s="3">
        <f t="shared" si="756"/>
        <v>-0.20760831050174613</v>
      </c>
      <c r="BL1537">
        <v>2</v>
      </c>
      <c r="BM1537" s="3">
        <f t="shared" si="755"/>
        <v>1.8354246163641226</v>
      </c>
      <c r="BN1537" t="s">
        <v>33</v>
      </c>
      <c r="BO1537" s="3">
        <f t="shared" si="731"/>
        <v>68.458064516129028</v>
      </c>
      <c r="BP1537" t="s">
        <v>33</v>
      </c>
      <c r="BQ1537" t="s">
        <v>33</v>
      </c>
      <c r="BR1537" t="s">
        <v>33</v>
      </c>
      <c r="BS1537" t="s">
        <v>33</v>
      </c>
      <c r="BT1537" t="s">
        <v>32</v>
      </c>
      <c r="BU1537" t="s">
        <v>255</v>
      </c>
      <c r="BV1537">
        <v>2011</v>
      </c>
      <c r="BW1537" s="2" t="s">
        <v>256</v>
      </c>
      <c r="BX1537" t="s">
        <v>78</v>
      </c>
      <c r="BY1537" t="s">
        <v>33</v>
      </c>
      <c r="BZ1537" t="s">
        <v>33</v>
      </c>
      <c r="CA1537" t="str">
        <f t="shared" si="732"/>
        <v>high acid</v>
      </c>
    </row>
    <row r="1538" spans="1:79">
      <c r="A1538" t="s">
        <v>341</v>
      </c>
      <c r="B1538" t="s">
        <v>566</v>
      </c>
      <c r="C1538" t="s">
        <v>563</v>
      </c>
      <c r="D1538" t="s">
        <v>336</v>
      </c>
      <c r="E1538" t="s">
        <v>77</v>
      </c>
      <c r="F1538" t="s">
        <v>32</v>
      </c>
      <c r="G1538">
        <v>30</v>
      </c>
      <c r="H1538">
        <v>33</v>
      </c>
      <c r="I1538" t="b">
        <v>0</v>
      </c>
      <c r="J1538" t="s">
        <v>33</v>
      </c>
      <c r="K1538" t="s">
        <v>33</v>
      </c>
      <c r="L1538">
        <v>20</v>
      </c>
      <c r="M1538" s="4">
        <v>2</v>
      </c>
      <c r="N1538" s="3">
        <f>IFERROR(AF1538/((T1538*X1538/Y1538)*O1538*AI1538),"NA")</f>
        <v>2.1126760563380285</v>
      </c>
      <c r="O1538">
        <v>2</v>
      </c>
      <c r="P1538" t="s">
        <v>33</v>
      </c>
      <c r="Q1538" s="8">
        <f t="shared" si="751"/>
        <v>7.5</v>
      </c>
      <c r="R1538" t="s">
        <v>183</v>
      </c>
      <c r="S1538" t="s">
        <v>613</v>
      </c>
      <c r="T1538" s="11">
        <v>1</v>
      </c>
      <c r="U1538">
        <v>5</v>
      </c>
      <c r="V1538" t="s">
        <v>33</v>
      </c>
      <c r="W1538">
        <v>0.71</v>
      </c>
      <c r="X1538" s="8">
        <f>W1538</f>
        <v>0.71</v>
      </c>
      <c r="Y1538">
        <f>6/60</f>
        <v>0.1</v>
      </c>
      <c r="Z1538" s="3">
        <f>IFERROR(X1538*M1538*O1538*T1538*AI1538/AF1538, "NA")</f>
        <v>9.4666666666666663E-2</v>
      </c>
      <c r="AA1538">
        <v>15</v>
      </c>
      <c r="AB1538" s="6">
        <f>IFERROR(((X1538*M1538)/Z1538), "NA")</f>
        <v>15</v>
      </c>
      <c r="AC1538" t="str">
        <f t="shared" si="752"/>
        <v>NA</v>
      </c>
      <c r="AD1538" s="4">
        <f>IFERROR(AB1538*T1538*AI1538, "NA")</f>
        <v>30</v>
      </c>
      <c r="AE1538" s="3">
        <f t="shared" si="746"/>
        <v>184.8</v>
      </c>
      <c r="AF1538">
        <f>AI1538*AA1538*O1538</f>
        <v>60</v>
      </c>
      <c r="AG1538" t="str">
        <f>IFERROR((M1538*O1538*P1538), "NA")</f>
        <v>NA</v>
      </c>
      <c r="AH1538" t="str">
        <f>IFERROR((AG1538*T1538*AI1538), "NA")</f>
        <v>NA</v>
      </c>
      <c r="AI1538" s="11">
        <v>2</v>
      </c>
      <c r="AJ1538" s="11" t="s">
        <v>32</v>
      </c>
      <c r="AK1538" s="11">
        <v>7700</v>
      </c>
      <c r="AL1538" t="s">
        <v>561</v>
      </c>
      <c r="AM1538" s="3" t="s">
        <v>786</v>
      </c>
      <c r="AN1538" t="s">
        <v>186</v>
      </c>
      <c r="AO1538" t="s">
        <v>793</v>
      </c>
      <c r="AP1538" t="s">
        <v>33</v>
      </c>
      <c r="AQ1538" t="s">
        <v>33</v>
      </c>
      <c r="AR1538" t="s">
        <v>33</v>
      </c>
      <c r="AS1538" s="6">
        <f>LOG(10^8)</f>
        <v>8</v>
      </c>
      <c r="AT1538" s="3">
        <f>IFERROR(AS1538-AU1538,"NA")</f>
        <v>7.3879999999999999</v>
      </c>
      <c r="AU1538" s="6">
        <v>0.61199999999999999</v>
      </c>
      <c r="AV1538" t="b">
        <v>1</v>
      </c>
      <c r="AW1538" t="s">
        <v>29</v>
      </c>
      <c r="AX1538" t="s">
        <v>30</v>
      </c>
      <c r="AY1538" t="s">
        <v>33</v>
      </c>
      <c r="AZ1538" t="s">
        <v>134</v>
      </c>
      <c r="BA1538" s="18" t="s">
        <v>798</v>
      </c>
      <c r="BB1538" t="b">
        <v>0</v>
      </c>
      <c r="BC1538" t="s">
        <v>81</v>
      </c>
      <c r="BD1538">
        <v>18</v>
      </c>
      <c r="BE1538" t="s">
        <v>80</v>
      </c>
      <c r="BF1538" s="11">
        <v>24</v>
      </c>
      <c r="BG1538" t="s">
        <v>694</v>
      </c>
      <c r="BH1538" t="s">
        <v>31</v>
      </c>
      <c r="BI1538" t="s">
        <v>31</v>
      </c>
      <c r="BJ1538" s="3">
        <f t="shared" si="753"/>
        <v>0.61199999999999999</v>
      </c>
      <c r="BK1538" s="3">
        <f t="shared" si="756"/>
        <v>-0.21324857785443882</v>
      </c>
      <c r="BL1538">
        <v>2</v>
      </c>
      <c r="BM1538" s="3">
        <f t="shared" si="755"/>
        <v>2.4799505447385268</v>
      </c>
      <c r="BN1538" t="s">
        <v>33</v>
      </c>
      <c r="BO1538" s="3">
        <f t="shared" ref="BO1538:BO1601" si="757">IFERROR((AE1538/BJ1538),"NA")</f>
        <v>301.96078431372553</v>
      </c>
      <c r="BP1538" t="s">
        <v>33</v>
      </c>
      <c r="BQ1538" t="s">
        <v>33</v>
      </c>
      <c r="BR1538" t="s">
        <v>33</v>
      </c>
      <c r="BS1538" t="s">
        <v>33</v>
      </c>
      <c r="BT1538" t="s">
        <v>31</v>
      </c>
      <c r="BU1538" t="s">
        <v>338</v>
      </c>
      <c r="BV1538">
        <v>2006</v>
      </c>
      <c r="BW1538" t="s">
        <v>339</v>
      </c>
      <c r="BX1538" t="s">
        <v>78</v>
      </c>
      <c r="BY1538" t="s">
        <v>340</v>
      </c>
      <c r="BZ1538" t="s">
        <v>337</v>
      </c>
      <c r="CA1538" t="str">
        <f t="shared" si="732"/>
        <v>low acid</v>
      </c>
    </row>
    <row r="1539" spans="1:79">
      <c r="A1539" t="s">
        <v>594</v>
      </c>
      <c r="B1539" t="s">
        <v>566</v>
      </c>
      <c r="C1539" t="s">
        <v>563</v>
      </c>
      <c r="D1539" t="s">
        <v>33</v>
      </c>
      <c r="E1539" t="s">
        <v>77</v>
      </c>
      <c r="F1539" t="s">
        <v>32</v>
      </c>
      <c r="G1539" t="s">
        <v>33</v>
      </c>
      <c r="H1539">
        <v>10</v>
      </c>
      <c r="I1539" t="b">
        <v>1</v>
      </c>
      <c r="J1539" t="s">
        <v>33</v>
      </c>
      <c r="K1539" t="s">
        <v>33</v>
      </c>
      <c r="L1539">
        <v>30</v>
      </c>
      <c r="M1539" s="4">
        <v>2</v>
      </c>
      <c r="N1539" t="e">
        <f>(#REF!*Y1539)/(T1539*X1539*O1539)</f>
        <v>#REF!</v>
      </c>
      <c r="O1539">
        <v>2</v>
      </c>
      <c r="P1539" t="s">
        <v>33</v>
      </c>
      <c r="Q1539" s="1">
        <f t="shared" si="751"/>
        <v>7.1</v>
      </c>
      <c r="R1539" t="s">
        <v>183</v>
      </c>
      <c r="S1539" t="s">
        <v>613</v>
      </c>
      <c r="T1539">
        <v>1</v>
      </c>
      <c r="U1539">
        <v>5</v>
      </c>
      <c r="V1539" t="s">
        <v>33</v>
      </c>
      <c r="W1539">
        <v>0.71</v>
      </c>
      <c r="X1539">
        <f>W1539</f>
        <v>0.71</v>
      </c>
      <c r="Y1539">
        <v>0.1</v>
      </c>
      <c r="Z1539" s="3">
        <f>Y1539</f>
        <v>0.1</v>
      </c>
      <c r="AA1539" s="3">
        <v>14.8409893992932</v>
      </c>
      <c r="AB1539">
        <f>IFERROR(((X1539*M1539)/Y1539), "NA")</f>
        <v>14.2</v>
      </c>
      <c r="AC1539" s="1" t="str">
        <f t="shared" si="752"/>
        <v>NA</v>
      </c>
      <c r="AE1539" s="3">
        <f t="shared" si="746"/>
        <v>130.35599999999999</v>
      </c>
      <c r="AF1539" t="s">
        <v>33</v>
      </c>
      <c r="AG1539" s="1">
        <f>IFERROR((M1539*O1539*Q1539), "NA")</f>
        <v>28.4</v>
      </c>
      <c r="AH1539" s="1">
        <f>IFERROR((AG1539*U1539*AI1539), "NA")</f>
        <v>142</v>
      </c>
      <c r="AI1539" s="1">
        <v>1</v>
      </c>
      <c r="AJ1539" s="11" t="s">
        <v>31</v>
      </c>
      <c r="AK1539">
        <f>5100</f>
        <v>5100</v>
      </c>
      <c r="AL1539" t="s">
        <v>561</v>
      </c>
      <c r="AM1539" s="3" t="s">
        <v>786</v>
      </c>
      <c r="AN1539" t="s">
        <v>186</v>
      </c>
      <c r="AO1539" t="s">
        <v>793</v>
      </c>
      <c r="AP1539" t="s">
        <v>33</v>
      </c>
      <c r="AQ1539" t="s">
        <v>33</v>
      </c>
      <c r="AR1539" t="s">
        <v>33</v>
      </c>
      <c r="AS1539">
        <v>8</v>
      </c>
      <c r="AT1539">
        <f>AS1539-AU1539</f>
        <v>7.39</v>
      </c>
      <c r="AU1539" s="6">
        <v>0.61</v>
      </c>
      <c r="AV1539" t="b">
        <v>1</v>
      </c>
      <c r="AW1539" t="s">
        <v>617</v>
      </c>
      <c r="AX1539" t="s">
        <v>624</v>
      </c>
      <c r="AY1539" t="s">
        <v>622</v>
      </c>
      <c r="AZ1539" t="s">
        <v>33</v>
      </c>
      <c r="BA1539" s="18" t="s">
        <v>802</v>
      </c>
      <c r="BB1539" s="3" t="b">
        <v>0</v>
      </c>
      <c r="BC1539" t="s">
        <v>81</v>
      </c>
      <c r="BD1539">
        <v>18</v>
      </c>
      <c r="BE1539" t="s">
        <v>80</v>
      </c>
      <c r="BF1539">
        <v>24</v>
      </c>
      <c r="BG1539" t="s">
        <v>696</v>
      </c>
      <c r="BH1539" t="s">
        <v>32</v>
      </c>
      <c r="BI1539" t="s">
        <v>31</v>
      </c>
      <c r="BJ1539">
        <f t="shared" si="753"/>
        <v>0.61</v>
      </c>
      <c r="BK1539" s="3">
        <f t="shared" si="756"/>
        <v>-0.21467016498923297</v>
      </c>
      <c r="BL1539">
        <v>2</v>
      </c>
      <c r="BM1539" s="3">
        <f t="shared" si="755"/>
        <v>2.3298011905735319</v>
      </c>
      <c r="BN1539" t="s">
        <v>33</v>
      </c>
      <c r="BO1539" s="3">
        <f t="shared" si="757"/>
        <v>213.6983606557377</v>
      </c>
      <c r="BP1539" t="s">
        <v>33</v>
      </c>
      <c r="BQ1539" t="s">
        <v>33</v>
      </c>
      <c r="BR1539" t="s">
        <v>33</v>
      </c>
      <c r="BS1539" t="s">
        <v>33</v>
      </c>
      <c r="BT1539" t="s">
        <v>31</v>
      </c>
      <c r="BU1539" t="s">
        <v>338</v>
      </c>
      <c r="BV1539">
        <v>2006</v>
      </c>
      <c r="BW1539" t="s">
        <v>339</v>
      </c>
      <c r="BX1539" t="s">
        <v>78</v>
      </c>
      <c r="BY1539" s="13" t="s">
        <v>682</v>
      </c>
      <c r="CA1539" t="str">
        <f t="shared" ref="CA1539:CA1602" si="758">IF(OR(AN1539="low acidic liquid medium", AN1539="low acidic food product"), "low acid",
    IF(OR(AN1539="high acidic food product", AN1539="high acidic liquid medium"), "high acid", "NA"))</f>
        <v>low acid</v>
      </c>
    </row>
    <row r="1540" spans="1:79">
      <c r="A1540" t="s">
        <v>377</v>
      </c>
      <c r="B1540" t="s">
        <v>565</v>
      </c>
      <c r="C1540" t="s">
        <v>563</v>
      </c>
      <c r="D1540" t="s">
        <v>378</v>
      </c>
      <c r="E1540" t="s">
        <v>77</v>
      </c>
      <c r="F1540" t="s">
        <v>32</v>
      </c>
      <c r="G1540">
        <v>30</v>
      </c>
      <c r="H1540">
        <v>55</v>
      </c>
      <c r="I1540" t="b">
        <v>1</v>
      </c>
      <c r="J1540">
        <v>8000</v>
      </c>
      <c r="K1540">
        <v>28.8</v>
      </c>
      <c r="L1540">
        <v>30</v>
      </c>
      <c r="M1540" s="4">
        <v>250</v>
      </c>
      <c r="N1540" s="3">
        <f>IFERROR(AF1540/((T1540*X1540/Y1540)*O1540*AI1540),"NA")</f>
        <v>251.11113243387931</v>
      </c>
      <c r="O1540">
        <v>4</v>
      </c>
      <c r="P1540" t="s">
        <v>33</v>
      </c>
      <c r="Q1540" s="8">
        <f t="shared" ref="Q1540:Q1561" si="759">IFERROR(X1540/Z1540, "NA")</f>
        <v>1.4200000000000001E-2</v>
      </c>
      <c r="R1540" t="s">
        <v>183</v>
      </c>
      <c r="S1540" t="s">
        <v>612</v>
      </c>
      <c r="T1540" s="11">
        <v>6</v>
      </c>
      <c r="U1540">
        <v>2.7</v>
      </c>
      <c r="V1540">
        <v>2</v>
      </c>
      <c r="W1540">
        <v>8.5000000000000006E-3</v>
      </c>
      <c r="X1540" s="8">
        <f>IFERROR(((PI())*(((V1540*10^-1)/2)^2)*(U1540*10^-1)), "NA")</f>
        <v>8.4823001646924419E-3</v>
      </c>
      <c r="Y1540">
        <f>36/60</f>
        <v>0.6</v>
      </c>
      <c r="Z1540" s="3">
        <f>IFERROR(X1540*M1540*O1540*T1540*AI1540/AF1540, "NA")</f>
        <v>0.59734508202059444</v>
      </c>
      <c r="AA1540">
        <f>21.3/6</f>
        <v>3.5500000000000003</v>
      </c>
      <c r="AB1540" s="6">
        <f>IFERROR(((X1540*M1540)/Z1540), "NA")</f>
        <v>3.5500000000000003</v>
      </c>
      <c r="AC1540" t="str">
        <f t="shared" si="752"/>
        <v>NA</v>
      </c>
      <c r="AD1540" s="4">
        <f>AB1540*T1540*AI1540</f>
        <v>21.3</v>
      </c>
      <c r="AE1540" s="3">
        <f t="shared" si="746"/>
        <v>306.72000000000003</v>
      </c>
      <c r="AF1540">
        <f>AA1540*O1540*T1540*AI1540</f>
        <v>85.2</v>
      </c>
      <c r="AG1540" t="str">
        <f>IFERROR((M1540*O1540*P1540), "NA")</f>
        <v>NA</v>
      </c>
      <c r="AH1540" t="str">
        <f>IFERROR((AG1540*T1540*AI1540), "NA")</f>
        <v>NA</v>
      </c>
      <c r="AI1540" s="1">
        <v>1</v>
      </c>
      <c r="AJ1540" t="s">
        <v>31</v>
      </c>
      <c r="AK1540">
        <v>4000</v>
      </c>
      <c r="AL1540" t="s">
        <v>545</v>
      </c>
      <c r="AM1540" t="s">
        <v>103</v>
      </c>
      <c r="AN1540" t="s">
        <v>130</v>
      </c>
      <c r="AO1540" t="s">
        <v>795</v>
      </c>
      <c r="AP1540">
        <v>7</v>
      </c>
      <c r="AQ1540" t="s">
        <v>33</v>
      </c>
      <c r="AR1540" t="s">
        <v>33</v>
      </c>
      <c r="AS1540" s="6">
        <f>LOG(10^8)</f>
        <v>8</v>
      </c>
      <c r="AT1540" s="3">
        <f>IFERROR(AS1540-AU1540,"NA")</f>
        <v>7.391</v>
      </c>
      <c r="AU1540" s="6">
        <v>0.60899999999999999</v>
      </c>
      <c r="AV1540" t="b">
        <v>1</v>
      </c>
      <c r="AW1540" t="s">
        <v>92</v>
      </c>
      <c r="AX1540" t="s">
        <v>119</v>
      </c>
      <c r="AY1540" t="s">
        <v>379</v>
      </c>
      <c r="AZ1540" t="s">
        <v>33</v>
      </c>
      <c r="BA1540" s="18" t="s">
        <v>801</v>
      </c>
      <c r="BB1540" t="b">
        <v>0</v>
      </c>
      <c r="BC1540" t="s">
        <v>81</v>
      </c>
      <c r="BD1540">
        <v>14</v>
      </c>
      <c r="BE1540" t="s">
        <v>80</v>
      </c>
      <c r="BF1540" s="11">
        <v>48</v>
      </c>
      <c r="BG1540" t="s">
        <v>139</v>
      </c>
      <c r="BH1540" t="s">
        <v>31</v>
      </c>
      <c r="BI1540" t="s">
        <v>31</v>
      </c>
      <c r="BJ1540" s="3">
        <f t="shared" si="753"/>
        <v>0.60899999999999999</v>
      </c>
      <c r="BK1540" s="3">
        <f t="shared" si="756"/>
        <v>-0.21538270736712464</v>
      </c>
      <c r="BL1540">
        <v>2</v>
      </c>
      <c r="BM1540" s="3">
        <f t="shared" si="755"/>
        <v>2.7021248029011122</v>
      </c>
      <c r="BN1540" t="s">
        <v>33</v>
      </c>
      <c r="BO1540" s="3">
        <f t="shared" si="757"/>
        <v>503.64532019704438</v>
      </c>
      <c r="BP1540" t="s">
        <v>33</v>
      </c>
      <c r="BQ1540" t="s">
        <v>33</v>
      </c>
      <c r="BR1540" t="s">
        <v>33</v>
      </c>
      <c r="BS1540" t="s">
        <v>33</v>
      </c>
      <c r="BT1540" t="s">
        <v>31</v>
      </c>
      <c r="BU1540" t="s">
        <v>227</v>
      </c>
      <c r="BV1540">
        <v>2004</v>
      </c>
      <c r="BW1540" t="s">
        <v>381</v>
      </c>
      <c r="BX1540" t="s">
        <v>78</v>
      </c>
      <c r="BY1540" t="s">
        <v>33</v>
      </c>
      <c r="BZ1540" t="s">
        <v>33</v>
      </c>
      <c r="CA1540" t="str">
        <f t="shared" si="758"/>
        <v>low acid</v>
      </c>
    </row>
    <row r="1541" spans="1:79">
      <c r="A1541" t="s">
        <v>343</v>
      </c>
      <c r="B1541" t="s">
        <v>566</v>
      </c>
      <c r="C1541" t="s">
        <v>563</v>
      </c>
      <c r="D1541" t="s">
        <v>33</v>
      </c>
      <c r="E1541" t="s">
        <v>77</v>
      </c>
      <c r="F1541" t="s">
        <v>32</v>
      </c>
      <c r="G1541">
        <v>30</v>
      </c>
      <c r="H1541">
        <v>33</v>
      </c>
      <c r="I1541" t="b">
        <v>0</v>
      </c>
      <c r="J1541" t="s">
        <v>33</v>
      </c>
      <c r="K1541" t="s">
        <v>33</v>
      </c>
      <c r="L1541">
        <v>20</v>
      </c>
      <c r="M1541" s="4">
        <v>2</v>
      </c>
      <c r="N1541" s="3">
        <f>IFERROR(AF1541/((T1541*X1541/Y1541)*O1541*AI1541),"NA")</f>
        <v>2.1126760563380285</v>
      </c>
      <c r="O1541">
        <v>2</v>
      </c>
      <c r="P1541" t="s">
        <v>33</v>
      </c>
      <c r="Q1541" s="8">
        <f t="shared" si="759"/>
        <v>7.5</v>
      </c>
      <c r="R1541" t="s">
        <v>183</v>
      </c>
      <c r="S1541" t="s">
        <v>613</v>
      </c>
      <c r="T1541" s="11">
        <v>1</v>
      </c>
      <c r="U1541">
        <v>5</v>
      </c>
      <c r="V1541" t="s">
        <v>33</v>
      </c>
      <c r="W1541">
        <v>0.71</v>
      </c>
      <c r="X1541" s="8">
        <f>W1541</f>
        <v>0.71</v>
      </c>
      <c r="Y1541">
        <f>6/60</f>
        <v>0.1</v>
      </c>
      <c r="Z1541" s="3">
        <f>IFERROR(X1541*M1541*O1541*T1541*AI1541/AF1541, "NA")</f>
        <v>9.4666666666666663E-2</v>
      </c>
      <c r="AA1541">
        <v>15</v>
      </c>
      <c r="AB1541" s="6">
        <f>IFERROR(((X1541*M1541)/Z1541), "NA")</f>
        <v>15</v>
      </c>
      <c r="AC1541" t="str">
        <f t="shared" si="752"/>
        <v>NA</v>
      </c>
      <c r="AD1541" s="4">
        <f>IFERROR(AB1541*T1541*AI1541, "NA")</f>
        <v>30</v>
      </c>
      <c r="AE1541" s="3">
        <f t="shared" si="746"/>
        <v>168</v>
      </c>
      <c r="AF1541">
        <v>60</v>
      </c>
      <c r="AG1541" t="str">
        <f>IFERROR((M1541*O1541*P1541), "NA")</f>
        <v>NA</v>
      </c>
      <c r="AH1541" t="str">
        <f>IFERROR((AG1541*T1541*AI1541), "NA")</f>
        <v>NA</v>
      </c>
      <c r="AI1541" s="11">
        <v>2</v>
      </c>
      <c r="AJ1541" s="11" t="s">
        <v>32</v>
      </c>
      <c r="AK1541" s="11">
        <v>7000</v>
      </c>
      <c r="AL1541" t="s">
        <v>562</v>
      </c>
      <c r="AM1541" s="3" t="s">
        <v>786</v>
      </c>
      <c r="AN1541" t="s">
        <v>186</v>
      </c>
      <c r="AO1541" t="s">
        <v>793</v>
      </c>
      <c r="AP1541" t="s">
        <v>33</v>
      </c>
      <c r="AQ1541" t="s">
        <v>33</v>
      </c>
      <c r="AR1541" t="s">
        <v>33</v>
      </c>
      <c r="AS1541" s="6">
        <f>LOG(10^8)</f>
        <v>8</v>
      </c>
      <c r="AT1541" s="3">
        <f>IFERROR(AS1541-AU1541,"NA")</f>
        <v>7.3929999999999998</v>
      </c>
      <c r="AU1541" s="6">
        <v>0.60699999999999998</v>
      </c>
      <c r="AV1541" t="b">
        <v>1</v>
      </c>
      <c r="AW1541" t="s">
        <v>29</v>
      </c>
      <c r="AX1541" t="s">
        <v>30</v>
      </c>
      <c r="AY1541" t="s">
        <v>33</v>
      </c>
      <c r="AZ1541" t="s">
        <v>134</v>
      </c>
      <c r="BA1541" s="18" t="s">
        <v>798</v>
      </c>
      <c r="BB1541" t="b">
        <v>0</v>
      </c>
      <c r="BC1541" t="s">
        <v>81</v>
      </c>
      <c r="BD1541">
        <v>18</v>
      </c>
      <c r="BE1541" t="s">
        <v>80</v>
      </c>
      <c r="BF1541" s="11">
        <v>21</v>
      </c>
      <c r="BG1541" t="s">
        <v>694</v>
      </c>
      <c r="BH1541" t="s">
        <v>31</v>
      </c>
      <c r="BI1541" t="s">
        <v>31</v>
      </c>
      <c r="BJ1541" s="3">
        <f t="shared" si="753"/>
        <v>0.60699999999999998</v>
      </c>
      <c r="BK1541" s="3">
        <f t="shared" si="756"/>
        <v>-0.21681130892474243</v>
      </c>
      <c r="BL1541">
        <v>2</v>
      </c>
      <c r="BM1541" s="3">
        <f t="shared" si="755"/>
        <v>2.4421205906506054</v>
      </c>
      <c r="BN1541" t="s">
        <v>33</v>
      </c>
      <c r="BO1541" s="3">
        <f t="shared" si="757"/>
        <v>276.7710049423394</v>
      </c>
      <c r="BP1541" t="s">
        <v>33</v>
      </c>
      <c r="BQ1541" t="s">
        <v>33</v>
      </c>
      <c r="BR1541" t="s">
        <v>33</v>
      </c>
      <c r="BS1541" t="s">
        <v>33</v>
      </c>
      <c r="BT1541" t="s">
        <v>31</v>
      </c>
      <c r="BU1541" t="s">
        <v>338</v>
      </c>
      <c r="BV1541">
        <v>2005</v>
      </c>
      <c r="BW1541" s="2" t="s">
        <v>342</v>
      </c>
      <c r="BX1541" t="s">
        <v>78</v>
      </c>
      <c r="BY1541" t="s">
        <v>340</v>
      </c>
      <c r="BZ1541" t="s">
        <v>33</v>
      </c>
      <c r="CA1541" t="str">
        <f t="shared" si="758"/>
        <v>low acid</v>
      </c>
    </row>
    <row r="1542" spans="1:79">
      <c r="A1542" t="s">
        <v>341</v>
      </c>
      <c r="B1542" t="s">
        <v>566</v>
      </c>
      <c r="C1542" t="s">
        <v>563</v>
      </c>
      <c r="D1542" t="s">
        <v>336</v>
      </c>
      <c r="E1542" t="s">
        <v>77</v>
      </c>
      <c r="F1542" t="s">
        <v>32</v>
      </c>
      <c r="G1542">
        <v>10</v>
      </c>
      <c r="H1542">
        <v>13</v>
      </c>
      <c r="I1542" t="b">
        <v>0</v>
      </c>
      <c r="J1542" t="s">
        <v>33</v>
      </c>
      <c r="K1542" t="s">
        <v>33</v>
      </c>
      <c r="L1542">
        <v>30</v>
      </c>
      <c r="M1542" s="4">
        <v>2</v>
      </c>
      <c r="N1542" s="3">
        <f>IFERROR(AF1542/((T1542*X1542/Y1542)*O1542*AI1542),"NA")</f>
        <v>2.1126760563380285</v>
      </c>
      <c r="O1542">
        <v>2</v>
      </c>
      <c r="P1542" t="s">
        <v>33</v>
      </c>
      <c r="Q1542" s="8">
        <f t="shared" si="759"/>
        <v>7.5</v>
      </c>
      <c r="R1542" t="s">
        <v>183</v>
      </c>
      <c r="S1542" t="s">
        <v>613</v>
      </c>
      <c r="T1542" s="11">
        <v>1</v>
      </c>
      <c r="U1542">
        <v>5</v>
      </c>
      <c r="V1542" t="s">
        <v>33</v>
      </c>
      <c r="W1542">
        <v>0.71</v>
      </c>
      <c r="X1542" s="8">
        <f>W1542</f>
        <v>0.71</v>
      </c>
      <c r="Y1542">
        <f>6/60</f>
        <v>0.1</v>
      </c>
      <c r="Z1542" s="3">
        <f>IFERROR(X1542*M1542*O1542*T1542*AI1542/AF1542, "NA")</f>
        <v>9.4666666666666663E-2</v>
      </c>
      <c r="AA1542">
        <v>15</v>
      </c>
      <c r="AB1542" s="6">
        <f>IFERROR(((X1542*M1542)/Z1542), "NA")</f>
        <v>15</v>
      </c>
      <c r="AC1542" t="str">
        <f t="shared" si="752"/>
        <v>NA</v>
      </c>
      <c r="AD1542" s="4">
        <f>AB1542*T1542*AI1542</f>
        <v>30</v>
      </c>
      <c r="AE1542" s="3">
        <f t="shared" si="746"/>
        <v>275.39999999999998</v>
      </c>
      <c r="AF1542">
        <f>AI1542*AA1542*O1542</f>
        <v>60</v>
      </c>
      <c r="AG1542" t="str">
        <f>IFERROR((M1542*O1542*P1542), "NA")</f>
        <v>NA</v>
      </c>
      <c r="AH1542" t="str">
        <f>IFERROR((AG1542*T1542*AI1542), "NA")</f>
        <v>NA</v>
      </c>
      <c r="AI1542">
        <v>2</v>
      </c>
      <c r="AJ1542" s="11" t="s">
        <v>32</v>
      </c>
      <c r="AK1542">
        <v>5100</v>
      </c>
      <c r="AL1542" t="s">
        <v>561</v>
      </c>
      <c r="AM1542" s="3" t="s">
        <v>786</v>
      </c>
      <c r="AN1542" t="s">
        <v>186</v>
      </c>
      <c r="AO1542" t="s">
        <v>793</v>
      </c>
      <c r="AP1542" t="s">
        <v>33</v>
      </c>
      <c r="AQ1542" t="s">
        <v>33</v>
      </c>
      <c r="AR1542" t="s">
        <v>33</v>
      </c>
      <c r="AS1542" s="6">
        <f>LOG(10^8)</f>
        <v>8</v>
      </c>
      <c r="AT1542" s="3">
        <f>IFERROR(AS1542-AU1542,"NA")</f>
        <v>7.3970000000000002</v>
      </c>
      <c r="AU1542" s="6">
        <v>0.60299999999999998</v>
      </c>
      <c r="AV1542" t="b">
        <v>1</v>
      </c>
      <c r="AW1542" t="s">
        <v>29</v>
      </c>
      <c r="AX1542" t="s">
        <v>30</v>
      </c>
      <c r="AY1542" t="s">
        <v>33</v>
      </c>
      <c r="AZ1542" t="s">
        <v>134</v>
      </c>
      <c r="BA1542" s="18" t="s">
        <v>798</v>
      </c>
      <c r="BB1542" t="b">
        <v>0</v>
      </c>
      <c r="BC1542" t="s">
        <v>81</v>
      </c>
      <c r="BD1542">
        <v>18</v>
      </c>
      <c r="BE1542" t="s">
        <v>80</v>
      </c>
      <c r="BF1542" s="11">
        <v>24</v>
      </c>
      <c r="BG1542" t="s">
        <v>694</v>
      </c>
      <c r="BH1542" t="s">
        <v>31</v>
      </c>
      <c r="BI1542" t="s">
        <v>31</v>
      </c>
      <c r="BJ1542" s="3">
        <f t="shared" si="753"/>
        <v>0.60299999999999998</v>
      </c>
      <c r="BK1542" s="3">
        <f t="shared" si="756"/>
        <v>-0.21968268785984871</v>
      </c>
      <c r="BL1542">
        <v>2</v>
      </c>
      <c r="BM1542" s="3">
        <f t="shared" si="755"/>
        <v>2.6596466237807537</v>
      </c>
      <c r="BN1542" t="s">
        <v>33</v>
      </c>
      <c r="BO1542" s="3">
        <f t="shared" si="757"/>
        <v>456.71641791044772</v>
      </c>
      <c r="BP1542" t="s">
        <v>33</v>
      </c>
      <c r="BQ1542" t="s">
        <v>33</v>
      </c>
      <c r="BR1542" t="s">
        <v>33</v>
      </c>
      <c r="BS1542" t="s">
        <v>33</v>
      </c>
      <c r="BT1542" t="s">
        <v>31</v>
      </c>
      <c r="BU1542" t="s">
        <v>338</v>
      </c>
      <c r="BV1542">
        <v>2006</v>
      </c>
      <c r="BW1542" t="s">
        <v>339</v>
      </c>
      <c r="BX1542" t="s">
        <v>78</v>
      </c>
      <c r="BY1542" t="s">
        <v>340</v>
      </c>
      <c r="BZ1542" t="s">
        <v>337</v>
      </c>
      <c r="CA1542" t="str">
        <f t="shared" si="758"/>
        <v>low acid</v>
      </c>
    </row>
    <row r="1543" spans="1:79">
      <c r="A1543" t="s">
        <v>594</v>
      </c>
      <c r="B1543" t="s">
        <v>566</v>
      </c>
      <c r="C1543" t="s">
        <v>563</v>
      </c>
      <c r="D1543" t="s">
        <v>33</v>
      </c>
      <c r="E1543" t="s">
        <v>77</v>
      </c>
      <c r="F1543" t="s">
        <v>32</v>
      </c>
      <c r="G1543" t="s">
        <v>33</v>
      </c>
      <c r="H1543">
        <v>20</v>
      </c>
      <c r="I1543" t="b">
        <v>1</v>
      </c>
      <c r="J1543" t="s">
        <v>33</v>
      </c>
      <c r="K1543" t="s">
        <v>33</v>
      </c>
      <c r="L1543">
        <v>20</v>
      </c>
      <c r="M1543" s="4">
        <v>2</v>
      </c>
      <c r="N1543" t="e">
        <f>(#REF!*Y1543)/(T1543*X1543*O1543)</f>
        <v>#REF!</v>
      </c>
      <c r="O1543">
        <v>2</v>
      </c>
      <c r="P1543" t="s">
        <v>33</v>
      </c>
      <c r="Q1543" s="1">
        <f t="shared" si="759"/>
        <v>7.1</v>
      </c>
      <c r="R1543" t="s">
        <v>183</v>
      </c>
      <c r="S1543" t="s">
        <v>613</v>
      </c>
      <c r="T1543">
        <v>1</v>
      </c>
      <c r="U1543">
        <v>5</v>
      </c>
      <c r="V1543" t="s">
        <v>33</v>
      </c>
      <c r="W1543">
        <v>0.71</v>
      </c>
      <c r="X1543">
        <f>W1543</f>
        <v>0.71</v>
      </c>
      <c r="Y1543">
        <v>0.1</v>
      </c>
      <c r="Z1543" s="3">
        <f>Y1543</f>
        <v>0.1</v>
      </c>
      <c r="AA1543" s="3">
        <v>14.8409893992932</v>
      </c>
      <c r="AB1543">
        <f>IFERROR(((X1543*M1543)/Y1543), "NA")</f>
        <v>14.2</v>
      </c>
      <c r="AC1543" s="1" t="str">
        <f t="shared" si="752"/>
        <v>NA</v>
      </c>
      <c r="AE1543" s="3">
        <f t="shared" si="746"/>
        <v>145.40799999999999</v>
      </c>
      <c r="AF1543" t="s">
        <v>33</v>
      </c>
      <c r="AG1543" s="1">
        <f>IFERROR((M1543*O1543*Q1543), "NA")</f>
        <v>28.4</v>
      </c>
      <c r="AH1543" s="1">
        <f>IFERROR((AG1543*U1543*AI1543), "NA")</f>
        <v>284</v>
      </c>
      <c r="AI1543" s="1">
        <v>2</v>
      </c>
      <c r="AJ1543" s="11" t="s">
        <v>31</v>
      </c>
      <c r="AK1543">
        <f>AVERAGE(5100, 7700)</f>
        <v>6400</v>
      </c>
      <c r="AL1543" t="s">
        <v>561</v>
      </c>
      <c r="AM1543" s="3" t="s">
        <v>786</v>
      </c>
      <c r="AN1543" t="s">
        <v>186</v>
      </c>
      <c r="AO1543" t="s">
        <v>793</v>
      </c>
      <c r="AP1543" t="s">
        <v>33</v>
      </c>
      <c r="AQ1543" t="s">
        <v>33</v>
      </c>
      <c r="AR1543" t="s">
        <v>33</v>
      </c>
      <c r="AS1543">
        <v>8</v>
      </c>
      <c r="AT1543">
        <f>AS1543-AU1543</f>
        <v>7.4</v>
      </c>
      <c r="AU1543" s="6">
        <v>0.6</v>
      </c>
      <c r="AV1543" t="b">
        <v>1</v>
      </c>
      <c r="AW1543" t="s">
        <v>617</v>
      </c>
      <c r="AX1543" t="s">
        <v>624</v>
      </c>
      <c r="AY1543" t="s">
        <v>622</v>
      </c>
      <c r="AZ1543" t="s">
        <v>33</v>
      </c>
      <c r="BA1543" s="18" t="s">
        <v>802</v>
      </c>
      <c r="BB1543" s="3" t="b">
        <v>0</v>
      </c>
      <c r="BC1543" t="s">
        <v>81</v>
      </c>
      <c r="BD1543">
        <v>18</v>
      </c>
      <c r="BE1543" t="s">
        <v>80</v>
      </c>
      <c r="BF1543">
        <v>24</v>
      </c>
      <c r="BG1543" t="s">
        <v>696</v>
      </c>
      <c r="BH1543" t="s">
        <v>32</v>
      </c>
      <c r="BI1543" t="s">
        <v>31</v>
      </c>
      <c r="BJ1543">
        <f t="shared" si="753"/>
        <v>0.6</v>
      </c>
      <c r="BK1543" s="3">
        <f t="shared" si="756"/>
        <v>-0.22184874961635639</v>
      </c>
      <c r="BL1543">
        <v>2</v>
      </c>
      <c r="BM1543" s="3">
        <f t="shared" si="755"/>
        <v>2.384437050639225</v>
      </c>
      <c r="BN1543" t="s">
        <v>33</v>
      </c>
      <c r="BO1543" s="3">
        <f t="shared" si="757"/>
        <v>242.34666666666666</v>
      </c>
      <c r="BP1543" t="s">
        <v>33</v>
      </c>
      <c r="BQ1543" t="s">
        <v>33</v>
      </c>
      <c r="BR1543" t="s">
        <v>33</v>
      </c>
      <c r="BS1543" t="s">
        <v>33</v>
      </c>
      <c r="BT1543" t="s">
        <v>31</v>
      </c>
      <c r="BU1543" t="s">
        <v>338</v>
      </c>
      <c r="BV1543">
        <v>2006</v>
      </c>
      <c r="BW1543" t="s">
        <v>339</v>
      </c>
      <c r="BX1543" t="s">
        <v>78</v>
      </c>
      <c r="BY1543" s="13" t="s">
        <v>682</v>
      </c>
      <c r="CA1543" t="str">
        <f t="shared" si="758"/>
        <v>low acid</v>
      </c>
    </row>
    <row r="1544" spans="1:79">
      <c r="A1544" t="s">
        <v>592</v>
      </c>
      <c r="B1544" t="s">
        <v>566</v>
      </c>
      <c r="C1544" t="s">
        <v>563</v>
      </c>
      <c r="D1544" t="s">
        <v>607</v>
      </c>
      <c r="E1544" t="s">
        <v>77</v>
      </c>
      <c r="F1544" t="s">
        <v>32</v>
      </c>
      <c r="G1544" t="s">
        <v>33</v>
      </c>
      <c r="H1544">
        <v>35</v>
      </c>
      <c r="I1544" t="b">
        <v>0</v>
      </c>
      <c r="J1544">
        <v>30000</v>
      </c>
      <c r="K1544">
        <v>200</v>
      </c>
      <c r="L1544">
        <v>15</v>
      </c>
      <c r="M1544" s="4">
        <v>1</v>
      </c>
      <c r="N1544" t="e">
        <f>(#REF!*Y1544)/(T1544*X1544*O1544)</f>
        <v>#REF!</v>
      </c>
      <c r="O1544">
        <v>3</v>
      </c>
      <c r="P1544" t="s">
        <v>33</v>
      </c>
      <c r="Q1544" s="1">
        <f t="shared" si="759"/>
        <v>100.73333333333332</v>
      </c>
      <c r="R1544" t="s">
        <v>183</v>
      </c>
      <c r="S1544" t="s">
        <v>33</v>
      </c>
      <c r="T1544">
        <v>1</v>
      </c>
      <c r="U1544">
        <v>2.5</v>
      </c>
      <c r="V1544" t="s">
        <v>33</v>
      </c>
      <c r="W1544">
        <v>0.50249999999999995</v>
      </c>
      <c r="X1544">
        <f>W1544</f>
        <v>0.50249999999999995</v>
      </c>
      <c r="Y1544" t="s">
        <v>33</v>
      </c>
      <c r="Z1544" s="3">
        <f t="shared" ref="Z1544:Z1549" si="760">IFERROR(X1544*M1544*O1544*T1544*AI1544/AF1544, "NA")</f>
        <v>4.9884182660489742E-3</v>
      </c>
      <c r="AA1544" t="s">
        <v>33</v>
      </c>
      <c r="AB1544">
        <f t="shared" ref="AB1544:AB1549" si="761">IFERROR(((X1544*M1544)/Z1544), "NA")</f>
        <v>100.73333333333332</v>
      </c>
      <c r="AC1544" s="1" t="str">
        <f t="shared" si="752"/>
        <v>NA</v>
      </c>
      <c r="AE1544" s="3">
        <f t="shared" si="746"/>
        <v>67.99499999999999</v>
      </c>
      <c r="AF1544">
        <v>302.2</v>
      </c>
      <c r="AG1544" s="1" t="str">
        <f>IFERROR((N1544*P1544*Q1544), "NA")</f>
        <v>NA</v>
      </c>
      <c r="AH1544" s="1" t="str">
        <f>IFERROR((AG1544*U1544*AI1544), "NA")</f>
        <v>NA</v>
      </c>
      <c r="AI1544" s="1">
        <v>1</v>
      </c>
      <c r="AJ1544" s="11" t="s">
        <v>31</v>
      </c>
      <c r="AK1544">
        <v>1000</v>
      </c>
      <c r="AL1544" t="s">
        <v>614</v>
      </c>
      <c r="AM1544" s="3" t="s">
        <v>103</v>
      </c>
      <c r="AN1544" t="s">
        <v>305</v>
      </c>
      <c r="AO1544" t="s">
        <v>790</v>
      </c>
      <c r="AP1544">
        <v>4.5</v>
      </c>
      <c r="AQ1544" t="s">
        <v>33</v>
      </c>
      <c r="AR1544" t="s">
        <v>33</v>
      </c>
      <c r="AS1544">
        <v>8</v>
      </c>
      <c r="AT1544">
        <f>AS1544-AU1544</f>
        <v>7.4</v>
      </c>
      <c r="AU1544" s="6">
        <v>0.6</v>
      </c>
      <c r="AV1544" t="b">
        <v>1</v>
      </c>
      <c r="AW1544" t="s">
        <v>626</v>
      </c>
      <c r="AX1544" t="s">
        <v>627</v>
      </c>
      <c r="AY1544" t="s">
        <v>633</v>
      </c>
      <c r="AZ1544" t="s">
        <v>33</v>
      </c>
      <c r="BA1544" s="18" t="s">
        <v>800</v>
      </c>
      <c r="BB1544" s="3" t="b">
        <v>0</v>
      </c>
      <c r="BC1544" t="s">
        <v>81</v>
      </c>
      <c r="BD1544">
        <v>24</v>
      </c>
      <c r="BE1544" t="s">
        <v>80</v>
      </c>
      <c r="BF1544">
        <v>48</v>
      </c>
      <c r="BG1544" t="s">
        <v>569</v>
      </c>
      <c r="BH1544" t="s">
        <v>31</v>
      </c>
      <c r="BI1544" t="s">
        <v>31</v>
      </c>
      <c r="BJ1544">
        <f t="shared" si="753"/>
        <v>0.6</v>
      </c>
      <c r="BK1544" s="3">
        <f t="shared" si="756"/>
        <v>-0.22184874961635639</v>
      </c>
      <c r="BL1544">
        <v>2</v>
      </c>
      <c r="BM1544" s="3">
        <f t="shared" si="755"/>
        <v>2.0543257277307254</v>
      </c>
      <c r="BN1544" t="s">
        <v>33</v>
      </c>
      <c r="BO1544" s="3">
        <f t="shared" si="757"/>
        <v>113.32499999999999</v>
      </c>
      <c r="BP1544" t="s">
        <v>33</v>
      </c>
      <c r="BQ1544" t="s">
        <v>33</v>
      </c>
      <c r="BR1544" t="s">
        <v>33</v>
      </c>
      <c r="BS1544" t="s">
        <v>33</v>
      </c>
      <c r="BT1544" t="s">
        <v>31</v>
      </c>
      <c r="BU1544" s="15" t="s">
        <v>255</v>
      </c>
      <c r="BV1544">
        <v>2010</v>
      </c>
      <c r="BW1544" t="s">
        <v>659</v>
      </c>
      <c r="BX1544" t="s">
        <v>78</v>
      </c>
      <c r="BY1544" s="13" t="s">
        <v>680</v>
      </c>
      <c r="CA1544" t="str">
        <f t="shared" si="758"/>
        <v>high acid</v>
      </c>
    </row>
    <row r="1545" spans="1:79">
      <c r="A1545" t="s">
        <v>229</v>
      </c>
      <c r="B1545" t="s">
        <v>565</v>
      </c>
      <c r="C1545" t="s">
        <v>563</v>
      </c>
      <c r="D1545" t="s">
        <v>33</v>
      </c>
      <c r="E1545" t="s">
        <v>77</v>
      </c>
      <c r="F1545" t="s">
        <v>32</v>
      </c>
      <c r="G1545">
        <v>30</v>
      </c>
      <c r="H1545">
        <v>61</v>
      </c>
      <c r="I1545" t="b">
        <v>1</v>
      </c>
      <c r="J1545" t="s">
        <v>33</v>
      </c>
      <c r="K1545" t="s">
        <v>33</v>
      </c>
      <c r="L1545">
        <v>35</v>
      </c>
      <c r="M1545" s="4">
        <v>500</v>
      </c>
      <c r="N1545" s="3">
        <f>IFERROR(AF1545/((T1545*X1545/Y1545)*O1545*AI1545),"NA")</f>
        <v>521.04864189465479</v>
      </c>
      <c r="O1545">
        <v>2</v>
      </c>
      <c r="P1545" t="s">
        <v>33</v>
      </c>
      <c r="Q1545" s="8">
        <f t="shared" si="759"/>
        <v>1.3333333333333332E-2</v>
      </c>
      <c r="R1545" t="s">
        <v>183</v>
      </c>
      <c r="S1545" t="s">
        <v>613</v>
      </c>
      <c r="T1545" s="11">
        <v>6</v>
      </c>
      <c r="U1545">
        <v>2.2999999999999998</v>
      </c>
      <c r="V1545">
        <v>2.2000000000000002</v>
      </c>
      <c r="W1545" t="s">
        <v>33</v>
      </c>
      <c r="X1545" s="8">
        <f>IFERROR(((PI())*(((V1545*10^-1)/2)^2)*(U1545*10^-1)), "NA")</f>
        <v>8.7430523549403959E-3</v>
      </c>
      <c r="Y1545" s="6">
        <f>41/60</f>
        <v>0.68333333333333335</v>
      </c>
      <c r="Z1545" s="3">
        <f t="shared" si="760"/>
        <v>0.65572892662052973</v>
      </c>
      <c r="AA1545" s="3">
        <f>40/6</f>
        <v>6.666666666666667</v>
      </c>
      <c r="AB1545" s="6">
        <f t="shared" si="761"/>
        <v>6.6666666666666661</v>
      </c>
      <c r="AC1545" t="str">
        <f t="shared" si="752"/>
        <v>NA</v>
      </c>
      <c r="AD1545" s="4">
        <f>AB1545*T1545*AI1545</f>
        <v>40</v>
      </c>
      <c r="AE1545" s="3">
        <f t="shared" si="746"/>
        <v>392</v>
      </c>
      <c r="AF1545">
        <v>80</v>
      </c>
      <c r="AG1545" t="str">
        <f>IFERROR((M1545*O1545*P1545), "NA")</f>
        <v>NA</v>
      </c>
      <c r="AH1545" t="str">
        <f>IFERROR((AG1545*T1545*AI1545), "NA")</f>
        <v>NA</v>
      </c>
      <c r="AI1545">
        <v>1</v>
      </c>
      <c r="AJ1545" t="s">
        <v>31</v>
      </c>
      <c r="AK1545">
        <v>4000</v>
      </c>
      <c r="AL1545" t="s">
        <v>546</v>
      </c>
      <c r="AM1545" t="s">
        <v>103</v>
      </c>
      <c r="AN1545" t="s">
        <v>130</v>
      </c>
      <c r="AO1545" t="s">
        <v>795</v>
      </c>
      <c r="AP1545">
        <v>5</v>
      </c>
      <c r="AQ1545" t="s">
        <v>33</v>
      </c>
      <c r="AR1545" t="s">
        <v>33</v>
      </c>
      <c r="AS1545" s="6">
        <v>8.4</v>
      </c>
      <c r="AT1545" s="3">
        <f>IFERROR(AS1545-AU1545,"NA")</f>
        <v>7.4</v>
      </c>
      <c r="AU1545" s="6">
        <v>1</v>
      </c>
      <c r="AV1545" t="b">
        <v>1</v>
      </c>
      <c r="AW1545" t="s">
        <v>92</v>
      </c>
      <c r="AX1545" t="s">
        <v>119</v>
      </c>
      <c r="AY1545" t="s">
        <v>230</v>
      </c>
      <c r="AZ1545" t="s">
        <v>33</v>
      </c>
      <c r="BA1545" s="18" t="s">
        <v>801</v>
      </c>
      <c r="BB1545" t="b">
        <v>0</v>
      </c>
      <c r="BC1545" t="s">
        <v>81</v>
      </c>
      <c r="BD1545">
        <v>14</v>
      </c>
      <c r="BE1545" t="s">
        <v>80</v>
      </c>
      <c r="BF1545" s="11">
        <v>120</v>
      </c>
      <c r="BG1545" t="s">
        <v>139</v>
      </c>
      <c r="BH1545" t="s">
        <v>31</v>
      </c>
      <c r="BI1545" t="s">
        <v>31</v>
      </c>
      <c r="BJ1545" s="3">
        <f t="shared" si="753"/>
        <v>1</v>
      </c>
      <c r="BK1545" s="3">
        <f t="shared" si="756"/>
        <v>0</v>
      </c>
      <c r="BL1545">
        <v>2</v>
      </c>
      <c r="BM1545" s="3">
        <f t="shared" si="755"/>
        <v>2.5932860670204572</v>
      </c>
      <c r="BN1545" t="s">
        <v>33</v>
      </c>
      <c r="BO1545" s="3">
        <f t="shared" si="757"/>
        <v>392</v>
      </c>
      <c r="BP1545" t="s">
        <v>33</v>
      </c>
      <c r="BQ1545" t="s">
        <v>33</v>
      </c>
      <c r="BR1545" t="s">
        <v>33</v>
      </c>
      <c r="BS1545" t="s">
        <v>33</v>
      </c>
      <c r="BT1545" t="s">
        <v>31</v>
      </c>
      <c r="BU1545" t="s">
        <v>227</v>
      </c>
      <c r="BV1545">
        <v>2001</v>
      </c>
      <c r="BW1545" t="s">
        <v>228</v>
      </c>
      <c r="BX1545" t="s">
        <v>78</v>
      </c>
      <c r="BY1545" t="s">
        <v>33</v>
      </c>
      <c r="BZ1545" t="s">
        <v>33</v>
      </c>
      <c r="CA1545" t="str">
        <f t="shared" si="758"/>
        <v>low acid</v>
      </c>
    </row>
    <row r="1546" spans="1:79">
      <c r="A1546" t="s">
        <v>589</v>
      </c>
      <c r="B1546" t="s">
        <v>566</v>
      </c>
      <c r="C1546" t="s">
        <v>563</v>
      </c>
      <c r="D1546" t="s">
        <v>33</v>
      </c>
      <c r="E1546" t="s">
        <v>77</v>
      </c>
      <c r="F1546" t="s">
        <v>33</v>
      </c>
      <c r="G1546" t="s">
        <v>33</v>
      </c>
      <c r="H1546">
        <v>35</v>
      </c>
      <c r="I1546" t="b">
        <v>0</v>
      </c>
      <c r="J1546" t="s">
        <v>33</v>
      </c>
      <c r="K1546" t="s">
        <v>33</v>
      </c>
      <c r="L1546">
        <v>12</v>
      </c>
      <c r="M1546" s="4">
        <v>1</v>
      </c>
      <c r="N1546" t="e">
        <f>(#REF!*Y1546)/(T1546*X1546*O1546)</f>
        <v>#REF!</v>
      </c>
      <c r="O1546">
        <v>2</v>
      </c>
      <c r="P1546" t="s">
        <v>33</v>
      </c>
      <c r="Q1546" s="1">
        <f t="shared" si="759"/>
        <v>94.999999999999986</v>
      </c>
      <c r="R1546" t="s">
        <v>183</v>
      </c>
      <c r="S1546" t="s">
        <v>613</v>
      </c>
      <c r="T1546">
        <v>1</v>
      </c>
      <c r="U1546">
        <v>2.5</v>
      </c>
      <c r="V1546" t="s">
        <v>33</v>
      </c>
      <c r="W1546">
        <v>0.50249999999999995</v>
      </c>
      <c r="X1546">
        <f>W1546</f>
        <v>0.50249999999999995</v>
      </c>
      <c r="Y1546" t="s">
        <v>33</v>
      </c>
      <c r="Z1546" s="3">
        <f t="shared" si="760"/>
        <v>5.2894736842105262E-3</v>
      </c>
      <c r="AA1546" t="s">
        <v>33</v>
      </c>
      <c r="AB1546">
        <f t="shared" si="761"/>
        <v>94.999999999999986</v>
      </c>
      <c r="AC1546" s="1" t="str">
        <f t="shared" si="752"/>
        <v>NA</v>
      </c>
      <c r="AE1546" s="3">
        <f t="shared" si="746"/>
        <v>54.719999999999985</v>
      </c>
      <c r="AF1546">
        <v>190</v>
      </c>
      <c r="AG1546" s="1" t="str">
        <f>IFERROR((N1546*P1546*Q1546), "NA")</f>
        <v>NA</v>
      </c>
      <c r="AH1546" s="1" t="str">
        <f>IFERROR((AG1546*U1546*AI1546), "NA")</f>
        <v>NA</v>
      </c>
      <c r="AI1546" s="1">
        <v>1</v>
      </c>
      <c r="AJ1546" s="11" t="s">
        <v>31</v>
      </c>
      <c r="AK1546">
        <v>2000</v>
      </c>
      <c r="AL1546" t="s">
        <v>616</v>
      </c>
      <c r="AM1546" s="3" t="s">
        <v>103</v>
      </c>
      <c r="AN1546" t="s">
        <v>130</v>
      </c>
      <c r="AO1546" t="s">
        <v>795</v>
      </c>
      <c r="AP1546">
        <v>7</v>
      </c>
      <c r="AQ1546" t="s">
        <v>33</v>
      </c>
      <c r="AR1546" t="s">
        <v>33</v>
      </c>
      <c r="AS1546">
        <v>9</v>
      </c>
      <c r="AT1546">
        <f>AS1546-AU1546</f>
        <v>7.4</v>
      </c>
      <c r="AU1546" s="6">
        <v>1.6</v>
      </c>
      <c r="AV1546" t="b">
        <v>1</v>
      </c>
      <c r="AW1546" t="s">
        <v>617</v>
      </c>
      <c r="AX1546" t="s">
        <v>33</v>
      </c>
      <c r="AY1546" t="s">
        <v>628</v>
      </c>
      <c r="AZ1546" t="s">
        <v>619</v>
      </c>
      <c r="BA1546" s="18" t="s">
        <v>802</v>
      </c>
      <c r="BB1546" s="3" t="b">
        <v>0</v>
      </c>
      <c r="BC1546" t="s">
        <v>81</v>
      </c>
      <c r="BD1546">
        <v>24</v>
      </c>
      <c r="BE1546" t="s">
        <v>80</v>
      </c>
      <c r="BF1546">
        <v>24</v>
      </c>
      <c r="BG1546" t="s">
        <v>644</v>
      </c>
      <c r="BH1546" t="s">
        <v>31</v>
      </c>
      <c r="BI1546" t="s">
        <v>31</v>
      </c>
      <c r="BJ1546">
        <f t="shared" si="753"/>
        <v>1.6</v>
      </c>
      <c r="BK1546" s="3">
        <f t="shared" si="756"/>
        <v>0.20411998265592479</v>
      </c>
      <c r="BL1546">
        <v>2</v>
      </c>
      <c r="BM1546" s="3">
        <f t="shared" si="755"/>
        <v>1.5340261060561349</v>
      </c>
      <c r="BN1546" t="s">
        <v>33</v>
      </c>
      <c r="BO1546" s="3">
        <f t="shared" si="757"/>
        <v>34.199999999999989</v>
      </c>
      <c r="BP1546" t="s">
        <v>33</v>
      </c>
      <c r="BQ1546" t="s">
        <v>33</v>
      </c>
      <c r="BR1546" t="s">
        <v>33</v>
      </c>
      <c r="BS1546" t="s">
        <v>33</v>
      </c>
      <c r="BT1546" t="s">
        <v>31</v>
      </c>
      <c r="BU1546" s="15" t="s">
        <v>655</v>
      </c>
      <c r="BV1546">
        <v>2003</v>
      </c>
      <c r="BW1546" t="s">
        <v>656</v>
      </c>
      <c r="BX1546" t="s">
        <v>78</v>
      </c>
      <c r="BY1546" s="13" t="s">
        <v>677</v>
      </c>
      <c r="CA1546" t="str">
        <f t="shared" si="758"/>
        <v>low acid</v>
      </c>
    </row>
    <row r="1547" spans="1:79">
      <c r="A1547" t="s">
        <v>539</v>
      </c>
      <c r="B1547" t="s">
        <v>566</v>
      </c>
      <c r="C1547" t="s">
        <v>563</v>
      </c>
      <c r="D1547" t="s">
        <v>33</v>
      </c>
      <c r="E1547" t="s">
        <v>77</v>
      </c>
      <c r="F1547" t="s">
        <v>32</v>
      </c>
      <c r="G1547">
        <v>20</v>
      </c>
      <c r="H1547">
        <v>25.45</v>
      </c>
      <c r="I1547" t="b">
        <v>1</v>
      </c>
      <c r="J1547" t="s">
        <v>33</v>
      </c>
      <c r="K1547" t="s">
        <v>33</v>
      </c>
      <c r="L1547">
        <v>30</v>
      </c>
      <c r="M1547" s="4">
        <v>52</v>
      </c>
      <c r="N1547" s="3">
        <f>IFERROR(AF1547/((T1547*X1547/Y1547)*O1547*AI1547),"NA")</f>
        <v>3.2333921222810118</v>
      </c>
      <c r="O1547">
        <v>3</v>
      </c>
      <c r="P1547" t="s">
        <v>33</v>
      </c>
      <c r="Q1547" s="8">
        <f t="shared" si="759"/>
        <v>4.9358974358974364E-2</v>
      </c>
      <c r="R1547" t="s">
        <v>183</v>
      </c>
      <c r="S1547" t="s">
        <v>612</v>
      </c>
      <c r="T1547" s="11">
        <v>1</v>
      </c>
      <c r="U1547">
        <v>4.5</v>
      </c>
      <c r="V1547" t="s">
        <v>33</v>
      </c>
      <c r="W1547" t="s">
        <v>33</v>
      </c>
      <c r="X1547">
        <f>U1547*0.1*1.47</f>
        <v>0.66149999999999998</v>
      </c>
      <c r="Y1547" s="6">
        <f>3000/3600</f>
        <v>0.83333333333333337</v>
      </c>
      <c r="Z1547" s="3">
        <f t="shared" si="760"/>
        <v>13.401818181818181</v>
      </c>
      <c r="AA1547" t="s">
        <v>33</v>
      </c>
      <c r="AB1547" s="6">
        <f t="shared" si="761"/>
        <v>2.5666666666666664</v>
      </c>
      <c r="AC1547" t="str">
        <f t="shared" si="752"/>
        <v>NA</v>
      </c>
      <c r="AD1547" s="4">
        <f>IFERROR(AB1547*T1547*AI1547, "NA")</f>
        <v>2.5666666666666664</v>
      </c>
      <c r="AE1547" s="3">
        <f t="shared" si="746"/>
        <v>18.711000000000002</v>
      </c>
      <c r="AF1547">
        <v>7.7</v>
      </c>
      <c r="AG1547" t="str">
        <f>IFERROR((M1547*O1547*P1547), "NA")</f>
        <v>NA</v>
      </c>
      <c r="AH1547" t="str">
        <f>IFERROR((AG1547*T1547*AI1547), "NA")</f>
        <v>NA</v>
      </c>
      <c r="AI1547" s="11">
        <v>1</v>
      </c>
      <c r="AJ1547" t="s">
        <v>31</v>
      </c>
      <c r="AK1547" s="11">
        <v>2700</v>
      </c>
      <c r="AL1547" t="s">
        <v>149</v>
      </c>
      <c r="AM1547" t="s">
        <v>86</v>
      </c>
      <c r="AN1547" t="s">
        <v>205</v>
      </c>
      <c r="AO1547" t="s">
        <v>789</v>
      </c>
      <c r="AP1547">
        <v>3.5</v>
      </c>
      <c r="AQ1547" t="s">
        <v>33</v>
      </c>
      <c r="AR1547" t="s">
        <v>33</v>
      </c>
      <c r="AS1547" s="6">
        <f>LOG(10^8)</f>
        <v>8</v>
      </c>
      <c r="AT1547" s="3">
        <f>IFERROR(AS1547-AU1547,"NA")</f>
        <v>7.4</v>
      </c>
      <c r="AU1547" s="6">
        <v>0.6</v>
      </c>
      <c r="AV1547" t="b">
        <v>1</v>
      </c>
      <c r="AW1547" t="s">
        <v>29</v>
      </c>
      <c r="AX1547" t="s">
        <v>30</v>
      </c>
      <c r="AY1547" t="s">
        <v>33</v>
      </c>
      <c r="AZ1547" t="s">
        <v>134</v>
      </c>
      <c r="BA1547" s="18" t="s">
        <v>798</v>
      </c>
      <c r="BB1547" t="b">
        <v>0</v>
      </c>
      <c r="BC1547" t="s">
        <v>81</v>
      </c>
      <c r="BD1547">
        <v>12</v>
      </c>
      <c r="BE1547" t="s">
        <v>80</v>
      </c>
      <c r="BF1547" s="11">
        <v>48</v>
      </c>
      <c r="BG1547" t="s">
        <v>569</v>
      </c>
      <c r="BH1547" t="s">
        <v>31</v>
      </c>
      <c r="BI1547" t="s">
        <v>31</v>
      </c>
      <c r="BJ1547" s="3">
        <f t="shared" si="753"/>
        <v>0.6</v>
      </c>
      <c r="BK1547" s="3">
        <f t="shared" si="756"/>
        <v>-0.22184874961635639</v>
      </c>
      <c r="BL1547">
        <v>2</v>
      </c>
      <c r="BM1547" s="3">
        <f t="shared" si="755"/>
        <v>1.4939457483871506</v>
      </c>
      <c r="BN1547" t="s">
        <v>33</v>
      </c>
      <c r="BO1547" s="3">
        <f t="shared" si="757"/>
        <v>31.185000000000006</v>
      </c>
      <c r="BP1547" t="s">
        <v>33</v>
      </c>
      <c r="BQ1547" t="s">
        <v>33</v>
      </c>
      <c r="BR1547" t="s">
        <v>33</v>
      </c>
      <c r="BS1547" t="s">
        <v>33</v>
      </c>
      <c r="BT1547" t="s">
        <v>32</v>
      </c>
      <c r="BU1547" t="s">
        <v>255</v>
      </c>
      <c r="BV1547">
        <v>2011</v>
      </c>
      <c r="BW1547" s="2" t="s">
        <v>256</v>
      </c>
      <c r="BX1547" t="s">
        <v>78</v>
      </c>
      <c r="BY1547" t="s">
        <v>33</v>
      </c>
      <c r="BZ1547" t="s">
        <v>33</v>
      </c>
      <c r="CA1547" t="str">
        <f t="shared" si="758"/>
        <v>high acid</v>
      </c>
    </row>
    <row r="1548" spans="1:79">
      <c r="A1548" t="s">
        <v>584</v>
      </c>
      <c r="B1548" t="s">
        <v>566</v>
      </c>
      <c r="C1548" t="s">
        <v>563</v>
      </c>
      <c r="D1548" t="s">
        <v>607</v>
      </c>
      <c r="E1548" t="s">
        <v>77</v>
      </c>
      <c r="F1548" t="s">
        <v>33</v>
      </c>
      <c r="G1548">
        <v>20</v>
      </c>
      <c r="H1548">
        <v>35</v>
      </c>
      <c r="I1548" t="b">
        <v>0</v>
      </c>
      <c r="J1548">
        <v>1000</v>
      </c>
      <c r="K1548">
        <v>200</v>
      </c>
      <c r="L1548">
        <v>15</v>
      </c>
      <c r="M1548" s="4">
        <v>1</v>
      </c>
      <c r="N1548" t="e">
        <f>(#REF!*Y1548)/(T1548*X1548*O1548)</f>
        <v>#REF!</v>
      </c>
      <c r="O1548">
        <v>3</v>
      </c>
      <c r="P1548" t="s">
        <v>33</v>
      </c>
      <c r="Q1548" s="1">
        <f t="shared" si="759"/>
        <v>5</v>
      </c>
      <c r="R1548" t="s">
        <v>183</v>
      </c>
      <c r="S1548" t="s">
        <v>33</v>
      </c>
      <c r="T1548">
        <v>1</v>
      </c>
      <c r="U1548">
        <v>2.5</v>
      </c>
      <c r="V1548" t="s">
        <v>33</v>
      </c>
      <c r="W1548">
        <v>0.50249999999999995</v>
      </c>
      <c r="X1548">
        <f>W1548</f>
        <v>0.50249999999999995</v>
      </c>
      <c r="Y1548" t="s">
        <v>33</v>
      </c>
      <c r="Z1548" s="3">
        <f t="shared" si="760"/>
        <v>0.10049999999999999</v>
      </c>
      <c r="AA1548" t="s">
        <v>33</v>
      </c>
      <c r="AB1548">
        <f t="shared" si="761"/>
        <v>5</v>
      </c>
      <c r="AC1548" s="1" t="str">
        <f t="shared" si="752"/>
        <v>NA</v>
      </c>
      <c r="AE1548" s="3">
        <f t="shared" si="746"/>
        <v>3.3749999999999996</v>
      </c>
      <c r="AF1548">
        <v>15</v>
      </c>
      <c r="AG1548" s="1" t="str">
        <f>IFERROR((N1548*P1548*Q1548), "NA")</f>
        <v>NA</v>
      </c>
      <c r="AH1548" s="1" t="str">
        <f>IFERROR((AG1548*U1548*AI1548), "NA")</f>
        <v>NA</v>
      </c>
      <c r="AI1548" s="1">
        <v>1</v>
      </c>
      <c r="AJ1548" s="11" t="s">
        <v>31</v>
      </c>
      <c r="AK1548">
        <v>1000</v>
      </c>
      <c r="AL1548" t="s">
        <v>614</v>
      </c>
      <c r="AM1548" s="3" t="s">
        <v>103</v>
      </c>
      <c r="AN1548" t="s">
        <v>305</v>
      </c>
      <c r="AO1548" t="s">
        <v>790</v>
      </c>
      <c r="AP1548">
        <v>3.5</v>
      </c>
      <c r="AQ1548" t="s">
        <v>33</v>
      </c>
      <c r="AR1548" t="s">
        <v>33</v>
      </c>
      <c r="AS1548">
        <v>8</v>
      </c>
      <c r="AT1548">
        <f>AS1548-AU1548</f>
        <v>7.41</v>
      </c>
      <c r="AU1548" s="6">
        <v>0.59</v>
      </c>
      <c r="AV1548" t="b">
        <v>1</v>
      </c>
      <c r="AW1548" t="s">
        <v>617</v>
      </c>
      <c r="AX1548" t="s">
        <v>33</v>
      </c>
      <c r="AY1548" t="s">
        <v>623</v>
      </c>
      <c r="AZ1548" t="s">
        <v>621</v>
      </c>
      <c r="BA1548" s="18" t="s">
        <v>802</v>
      </c>
      <c r="BB1548" s="3" t="b">
        <v>0</v>
      </c>
      <c r="BC1548" t="s">
        <v>81</v>
      </c>
      <c r="BD1548">
        <v>18</v>
      </c>
      <c r="BE1548" t="s">
        <v>80</v>
      </c>
      <c r="BF1548">
        <v>24</v>
      </c>
      <c r="BG1548" t="s">
        <v>569</v>
      </c>
      <c r="BH1548" t="s">
        <v>31</v>
      </c>
      <c r="BI1548" t="s">
        <v>31</v>
      </c>
      <c r="BJ1548">
        <f t="shared" si="753"/>
        <v>0.59</v>
      </c>
      <c r="BK1548" s="3">
        <f t="shared" si="756"/>
        <v>-0.22914798835785583</v>
      </c>
      <c r="BL1548">
        <v>2</v>
      </c>
      <c r="BM1548" s="3">
        <f t="shared" si="755"/>
        <v>0.75742176552489948</v>
      </c>
      <c r="BN1548" t="s">
        <v>33</v>
      </c>
      <c r="BO1548" s="3">
        <f t="shared" si="757"/>
        <v>5.7203389830508469</v>
      </c>
      <c r="BP1548" t="s">
        <v>33</v>
      </c>
      <c r="BQ1548" t="s">
        <v>33</v>
      </c>
      <c r="BR1548" t="s">
        <v>33</v>
      </c>
      <c r="BS1548" t="s">
        <v>33</v>
      </c>
      <c r="BT1548" t="s">
        <v>31</v>
      </c>
      <c r="BU1548" t="s">
        <v>255</v>
      </c>
      <c r="BV1548">
        <v>2010</v>
      </c>
      <c r="BW1548" t="s">
        <v>651</v>
      </c>
      <c r="BX1548" t="s">
        <v>78</v>
      </c>
      <c r="BY1548" s="13" t="s">
        <v>674</v>
      </c>
      <c r="CA1548" t="str">
        <f t="shared" si="758"/>
        <v>high acid</v>
      </c>
    </row>
    <row r="1549" spans="1:79">
      <c r="A1549" t="s">
        <v>592</v>
      </c>
      <c r="B1549" t="s">
        <v>566</v>
      </c>
      <c r="C1549" t="s">
        <v>563</v>
      </c>
      <c r="D1549" t="s">
        <v>607</v>
      </c>
      <c r="E1549" t="s">
        <v>77</v>
      </c>
      <c r="F1549" t="s">
        <v>32</v>
      </c>
      <c r="G1549" t="s">
        <v>33</v>
      </c>
      <c r="H1549">
        <v>35</v>
      </c>
      <c r="I1549" t="b">
        <v>0</v>
      </c>
      <c r="J1549">
        <v>30000</v>
      </c>
      <c r="K1549">
        <v>200</v>
      </c>
      <c r="L1549">
        <v>15</v>
      </c>
      <c r="M1549" s="4">
        <v>1</v>
      </c>
      <c r="N1549" t="e">
        <f>(#REF!*Y1549)/(T1549*X1549*O1549)</f>
        <v>#REF!</v>
      </c>
      <c r="O1549">
        <v>3</v>
      </c>
      <c r="P1549" t="s">
        <v>33</v>
      </c>
      <c r="Q1549" s="1">
        <f t="shared" si="759"/>
        <v>24.93333333333333</v>
      </c>
      <c r="R1549" t="s">
        <v>183</v>
      </c>
      <c r="S1549" t="s">
        <v>33</v>
      </c>
      <c r="T1549">
        <v>1</v>
      </c>
      <c r="U1549">
        <v>2.5</v>
      </c>
      <c r="V1549" t="s">
        <v>33</v>
      </c>
      <c r="W1549">
        <v>0.50249999999999995</v>
      </c>
      <c r="X1549">
        <f>W1549</f>
        <v>0.50249999999999995</v>
      </c>
      <c r="Y1549" t="s">
        <v>33</v>
      </c>
      <c r="Z1549" s="3">
        <f t="shared" si="760"/>
        <v>2.0153743315508021E-2</v>
      </c>
      <c r="AA1549" t="s">
        <v>33</v>
      </c>
      <c r="AB1549">
        <f t="shared" si="761"/>
        <v>24.93333333333333</v>
      </c>
      <c r="AC1549" s="1" t="str">
        <f t="shared" si="752"/>
        <v>NA</v>
      </c>
      <c r="AE1549" s="3">
        <f t="shared" si="746"/>
        <v>16.829999999999995</v>
      </c>
      <c r="AF1549">
        <v>74.8</v>
      </c>
      <c r="AG1549" s="1" t="str">
        <f>IFERROR((N1549*P1549*Q1549), "NA")</f>
        <v>NA</v>
      </c>
      <c r="AH1549" s="1" t="str">
        <f>IFERROR((AG1549*U1549*AI1549), "NA")</f>
        <v>NA</v>
      </c>
      <c r="AI1549" s="1">
        <v>1</v>
      </c>
      <c r="AJ1549" s="11" t="s">
        <v>31</v>
      </c>
      <c r="AK1549">
        <v>1000</v>
      </c>
      <c r="AL1549" t="s">
        <v>614</v>
      </c>
      <c r="AM1549" s="3" t="s">
        <v>103</v>
      </c>
      <c r="AN1549" t="s">
        <v>130</v>
      </c>
      <c r="AO1549" t="s">
        <v>795</v>
      </c>
      <c r="AP1549">
        <v>7</v>
      </c>
      <c r="AQ1549" t="s">
        <v>33</v>
      </c>
      <c r="AR1549" t="s">
        <v>33</v>
      </c>
      <c r="AS1549">
        <v>8</v>
      </c>
      <c r="AT1549">
        <f>AS1549-AU1549</f>
        <v>7.41</v>
      </c>
      <c r="AU1549" s="6">
        <v>0.59</v>
      </c>
      <c r="AV1549" t="b">
        <v>1</v>
      </c>
      <c r="AW1549" t="s">
        <v>626</v>
      </c>
      <c r="AX1549" t="s">
        <v>627</v>
      </c>
      <c r="AY1549" t="s">
        <v>633</v>
      </c>
      <c r="AZ1549" t="s">
        <v>33</v>
      </c>
      <c r="BA1549" s="18" t="s">
        <v>800</v>
      </c>
      <c r="BB1549" s="3" t="b">
        <v>0</v>
      </c>
      <c r="BC1549" t="s">
        <v>81</v>
      </c>
      <c r="BD1549">
        <v>24</v>
      </c>
      <c r="BE1549" t="s">
        <v>80</v>
      </c>
      <c r="BF1549">
        <v>48</v>
      </c>
      <c r="BG1549" t="s">
        <v>569</v>
      </c>
      <c r="BH1549" t="s">
        <v>31</v>
      </c>
      <c r="BI1549" t="s">
        <v>31</v>
      </c>
      <c r="BJ1549">
        <f t="shared" si="753"/>
        <v>0.59</v>
      </c>
      <c r="BK1549" s="3">
        <f t="shared" si="756"/>
        <v>-0.22914798835785583</v>
      </c>
      <c r="BL1549">
        <v>2</v>
      </c>
      <c r="BM1549" s="3">
        <f t="shared" si="755"/>
        <v>1.4552321043336796</v>
      </c>
      <c r="BN1549" t="s">
        <v>33</v>
      </c>
      <c r="BO1549" s="3">
        <f t="shared" si="757"/>
        <v>28.525423728813553</v>
      </c>
      <c r="BP1549" t="s">
        <v>33</v>
      </c>
      <c r="BQ1549" t="s">
        <v>33</v>
      </c>
      <c r="BR1549" t="s">
        <v>33</v>
      </c>
      <c r="BS1549" t="s">
        <v>33</v>
      </c>
      <c r="BT1549" t="s">
        <v>31</v>
      </c>
      <c r="BU1549" s="15" t="s">
        <v>255</v>
      </c>
      <c r="BV1549">
        <v>2010</v>
      </c>
      <c r="BW1549" t="s">
        <v>659</v>
      </c>
      <c r="BX1549" t="s">
        <v>78</v>
      </c>
      <c r="BY1549" s="13" t="s">
        <v>680</v>
      </c>
      <c r="CA1549" t="str">
        <f t="shared" si="758"/>
        <v>low acid</v>
      </c>
    </row>
    <row r="1550" spans="1:79">
      <c r="A1550" t="s">
        <v>594</v>
      </c>
      <c r="B1550" t="s">
        <v>566</v>
      </c>
      <c r="C1550" t="s">
        <v>563</v>
      </c>
      <c r="D1550" t="s">
        <v>33</v>
      </c>
      <c r="E1550" t="s">
        <v>77</v>
      </c>
      <c r="F1550" t="s">
        <v>32</v>
      </c>
      <c r="G1550" t="s">
        <v>33</v>
      </c>
      <c r="H1550">
        <v>10</v>
      </c>
      <c r="I1550" t="b">
        <v>1</v>
      </c>
      <c r="J1550" t="s">
        <v>33</v>
      </c>
      <c r="K1550" t="s">
        <v>33</v>
      </c>
      <c r="L1550">
        <v>30</v>
      </c>
      <c r="M1550" s="4">
        <v>2</v>
      </c>
      <c r="N1550" t="e">
        <f>(#REF!*Y1550)/(T1550*X1550*O1550)</f>
        <v>#REF!</v>
      </c>
      <c r="O1550">
        <v>2</v>
      </c>
      <c r="P1550" t="s">
        <v>33</v>
      </c>
      <c r="Q1550" s="1">
        <f t="shared" si="759"/>
        <v>7.1</v>
      </c>
      <c r="R1550" t="s">
        <v>183</v>
      </c>
      <c r="S1550" t="s">
        <v>613</v>
      </c>
      <c r="T1550">
        <v>1</v>
      </c>
      <c r="U1550">
        <v>5</v>
      </c>
      <c r="V1550" t="s">
        <v>33</v>
      </c>
      <c r="W1550">
        <v>0.71</v>
      </c>
      <c r="X1550">
        <f>W1550</f>
        <v>0.71</v>
      </c>
      <c r="Y1550">
        <v>0.1</v>
      </c>
      <c r="Z1550" s="3">
        <f>Y1550</f>
        <v>0.1</v>
      </c>
      <c r="AA1550" s="3">
        <v>14.8409893992932</v>
      </c>
      <c r="AB1550">
        <f>IFERROR(((X1550*M1550)/Y1550), "NA")</f>
        <v>14.2</v>
      </c>
      <c r="AC1550" s="1" t="str">
        <f t="shared" ref="AC1550:AC1575" si="762">IFERROR(M1550*P1550,"NA")</f>
        <v>NA</v>
      </c>
      <c r="AE1550" s="3">
        <f t="shared" si="746"/>
        <v>260.71199999999999</v>
      </c>
      <c r="AF1550" t="s">
        <v>33</v>
      </c>
      <c r="AG1550" s="1">
        <f>IFERROR((M1550*O1550*Q1550), "NA")</f>
        <v>28.4</v>
      </c>
      <c r="AH1550" s="1">
        <f>IFERROR((AG1550*U1550*AI1550), "NA")</f>
        <v>284</v>
      </c>
      <c r="AI1550" s="1">
        <v>2</v>
      </c>
      <c r="AJ1550" s="11" t="s">
        <v>31</v>
      </c>
      <c r="AK1550">
        <f>5100</f>
        <v>5100</v>
      </c>
      <c r="AL1550" t="s">
        <v>561</v>
      </c>
      <c r="AM1550" s="3" t="s">
        <v>786</v>
      </c>
      <c r="AN1550" t="s">
        <v>186</v>
      </c>
      <c r="AO1550" t="s">
        <v>793</v>
      </c>
      <c r="AP1550" t="s">
        <v>33</v>
      </c>
      <c r="AQ1550" t="s">
        <v>33</v>
      </c>
      <c r="AR1550" t="s">
        <v>33</v>
      </c>
      <c r="AS1550">
        <v>8</v>
      </c>
      <c r="AT1550">
        <f>AS1550-AU1550</f>
        <v>7.42</v>
      </c>
      <c r="AU1550" s="6">
        <v>0.57999999999999996</v>
      </c>
      <c r="AV1550" t="b">
        <v>1</v>
      </c>
      <c r="AW1550" t="s">
        <v>617</v>
      </c>
      <c r="AX1550" t="s">
        <v>624</v>
      </c>
      <c r="AY1550" t="s">
        <v>622</v>
      </c>
      <c r="AZ1550" t="s">
        <v>33</v>
      </c>
      <c r="BA1550" s="18" t="s">
        <v>802</v>
      </c>
      <c r="BB1550" s="3" t="b">
        <v>0</v>
      </c>
      <c r="BC1550" t="s">
        <v>81</v>
      </c>
      <c r="BD1550">
        <v>18</v>
      </c>
      <c r="BE1550" t="s">
        <v>80</v>
      </c>
      <c r="BF1550">
        <v>24</v>
      </c>
      <c r="BG1550" t="s">
        <v>696</v>
      </c>
      <c r="BH1550" t="s">
        <v>32</v>
      </c>
      <c r="BI1550" t="s">
        <v>31</v>
      </c>
      <c r="BJ1550">
        <f t="shared" si="753"/>
        <v>0.57999999999999996</v>
      </c>
      <c r="BK1550" s="3">
        <f t="shared" si="756"/>
        <v>-0.23657200643706275</v>
      </c>
      <c r="BL1550">
        <v>2</v>
      </c>
      <c r="BM1550" s="3">
        <f t="shared" si="755"/>
        <v>2.6527330276853429</v>
      </c>
      <c r="BN1550" t="s">
        <v>33</v>
      </c>
      <c r="BO1550" s="3">
        <f t="shared" si="757"/>
        <v>449.50344827586207</v>
      </c>
      <c r="BP1550" t="s">
        <v>33</v>
      </c>
      <c r="BQ1550" t="s">
        <v>33</v>
      </c>
      <c r="BR1550" t="s">
        <v>33</v>
      </c>
      <c r="BS1550" t="s">
        <v>33</v>
      </c>
      <c r="BT1550" t="s">
        <v>31</v>
      </c>
      <c r="BU1550" t="s">
        <v>338</v>
      </c>
      <c r="BV1550">
        <v>2006</v>
      </c>
      <c r="BW1550" t="s">
        <v>339</v>
      </c>
      <c r="BX1550" t="s">
        <v>78</v>
      </c>
      <c r="BY1550" s="13" t="s">
        <v>682</v>
      </c>
      <c r="CA1550" t="str">
        <f t="shared" si="758"/>
        <v>low acid</v>
      </c>
    </row>
    <row r="1551" spans="1:79">
      <c r="A1551" t="s">
        <v>592</v>
      </c>
      <c r="B1551" t="s">
        <v>566</v>
      </c>
      <c r="C1551" t="s">
        <v>563</v>
      </c>
      <c r="D1551" t="s">
        <v>607</v>
      </c>
      <c r="E1551" t="s">
        <v>77</v>
      </c>
      <c r="F1551" t="s">
        <v>32</v>
      </c>
      <c r="G1551" t="s">
        <v>33</v>
      </c>
      <c r="H1551">
        <v>35</v>
      </c>
      <c r="I1551" t="b">
        <v>0</v>
      </c>
      <c r="J1551">
        <v>30000</v>
      </c>
      <c r="K1551">
        <v>200</v>
      </c>
      <c r="L1551">
        <v>15</v>
      </c>
      <c r="M1551" s="4">
        <v>1</v>
      </c>
      <c r="N1551" t="e">
        <f>(#REF!*Y1551)/(T1551*X1551*O1551)</f>
        <v>#REF!</v>
      </c>
      <c r="O1551">
        <v>3</v>
      </c>
      <c r="P1551" t="s">
        <v>33</v>
      </c>
      <c r="Q1551" s="1">
        <f t="shared" si="759"/>
        <v>168.46666666666667</v>
      </c>
      <c r="R1551" t="s">
        <v>183</v>
      </c>
      <c r="S1551" t="s">
        <v>33</v>
      </c>
      <c r="T1551">
        <v>1</v>
      </c>
      <c r="U1551">
        <v>2.5</v>
      </c>
      <c r="V1551" t="s">
        <v>33</v>
      </c>
      <c r="W1551">
        <v>0.50249999999999995</v>
      </c>
      <c r="X1551">
        <f>W1551</f>
        <v>0.50249999999999995</v>
      </c>
      <c r="Y1551" t="s">
        <v>33</v>
      </c>
      <c r="Z1551" s="3">
        <f t="shared" ref="Z1551:Z1556" si="763">IFERROR(X1551*M1551*O1551*T1551*AI1551/AF1551, "NA")</f>
        <v>2.9827859121487926E-3</v>
      </c>
      <c r="AA1551" t="s">
        <v>33</v>
      </c>
      <c r="AB1551">
        <f t="shared" ref="AB1551:AB1556" si="764">IFERROR(((X1551*M1551)/Z1551), "NA")</f>
        <v>168.46666666666667</v>
      </c>
      <c r="AC1551" s="1" t="str">
        <f t="shared" si="762"/>
        <v>NA</v>
      </c>
      <c r="AE1551" s="3">
        <f t="shared" si="746"/>
        <v>113.71499999999999</v>
      </c>
      <c r="AF1551">
        <v>505.4</v>
      </c>
      <c r="AG1551" s="1" t="str">
        <f>IFERROR((N1551*P1551*Q1551), "NA")</f>
        <v>NA</v>
      </c>
      <c r="AH1551" s="1" t="str">
        <f>IFERROR((AG1551*U1551*AI1551), "NA")</f>
        <v>NA</v>
      </c>
      <c r="AI1551" s="1">
        <v>1</v>
      </c>
      <c r="AJ1551" s="11" t="s">
        <v>31</v>
      </c>
      <c r="AK1551">
        <v>1000</v>
      </c>
      <c r="AL1551" t="s">
        <v>614</v>
      </c>
      <c r="AM1551" s="3" t="s">
        <v>103</v>
      </c>
      <c r="AN1551" t="s">
        <v>305</v>
      </c>
      <c r="AO1551" t="s">
        <v>790</v>
      </c>
      <c r="AP1551">
        <v>4.5</v>
      </c>
      <c r="AQ1551" t="s">
        <v>33</v>
      </c>
      <c r="AR1551" t="s">
        <v>33</v>
      </c>
      <c r="AS1551">
        <v>8</v>
      </c>
      <c r="AT1551">
        <f>AS1551-AU1551</f>
        <v>7.42</v>
      </c>
      <c r="AU1551" s="6">
        <v>0.57999999999999996</v>
      </c>
      <c r="AV1551" t="b">
        <v>1</v>
      </c>
      <c r="AW1551" t="s">
        <v>626</v>
      </c>
      <c r="AX1551" t="s">
        <v>627</v>
      </c>
      <c r="AY1551" t="s">
        <v>633</v>
      </c>
      <c r="AZ1551" t="s">
        <v>33</v>
      </c>
      <c r="BA1551" s="18" t="s">
        <v>800</v>
      </c>
      <c r="BB1551" s="3" t="b">
        <v>0</v>
      </c>
      <c r="BC1551" t="s">
        <v>81</v>
      </c>
      <c r="BD1551">
        <v>24</v>
      </c>
      <c r="BE1551" t="s">
        <v>80</v>
      </c>
      <c r="BF1551">
        <v>48</v>
      </c>
      <c r="BG1551" t="s">
        <v>569</v>
      </c>
      <c r="BH1551" t="s">
        <v>31</v>
      </c>
      <c r="BI1551" t="s">
        <v>31</v>
      </c>
      <c r="BJ1551">
        <f t="shared" si="753"/>
        <v>0.57999999999999996</v>
      </c>
      <c r="BK1551" s="3">
        <f t="shared" si="756"/>
        <v>-0.23657200643706275</v>
      </c>
      <c r="BL1551">
        <v>2</v>
      </c>
      <c r="BM1551" s="3">
        <f t="shared" si="755"/>
        <v>2.2923897621323213</v>
      </c>
      <c r="BN1551" t="s">
        <v>33</v>
      </c>
      <c r="BO1551" s="3">
        <f t="shared" si="757"/>
        <v>196.06034482758619</v>
      </c>
      <c r="BP1551" t="s">
        <v>33</v>
      </c>
      <c r="BQ1551" t="s">
        <v>33</v>
      </c>
      <c r="BR1551" t="s">
        <v>33</v>
      </c>
      <c r="BS1551" t="s">
        <v>33</v>
      </c>
      <c r="BT1551" t="s">
        <v>31</v>
      </c>
      <c r="BU1551" s="15" t="s">
        <v>255</v>
      </c>
      <c r="BV1551">
        <v>2010</v>
      </c>
      <c r="BW1551" t="s">
        <v>659</v>
      </c>
      <c r="BX1551" t="s">
        <v>78</v>
      </c>
      <c r="BY1551" s="13" t="s">
        <v>680</v>
      </c>
      <c r="CA1551" t="str">
        <f t="shared" si="758"/>
        <v>high acid</v>
      </c>
    </row>
    <row r="1552" spans="1:79">
      <c r="A1552" t="s">
        <v>539</v>
      </c>
      <c r="B1552" t="s">
        <v>566</v>
      </c>
      <c r="C1552" t="s">
        <v>563</v>
      </c>
      <c r="D1552" t="s">
        <v>33</v>
      </c>
      <c r="E1552" t="s">
        <v>77</v>
      </c>
      <c r="F1552" t="s">
        <v>32</v>
      </c>
      <c r="G1552">
        <v>20</v>
      </c>
      <c r="H1552">
        <v>25.35</v>
      </c>
      <c r="I1552" t="b">
        <v>1</v>
      </c>
      <c r="J1552" t="s">
        <v>33</v>
      </c>
      <c r="K1552" t="s">
        <v>33</v>
      </c>
      <c r="L1552">
        <v>25</v>
      </c>
      <c r="M1552" s="4">
        <v>52</v>
      </c>
      <c r="N1552" s="3">
        <f>IFERROR(AF1552/((T1552*X1552/Y1552)*O1552*AI1552),"NA")</f>
        <v>4.9970605526161087</v>
      </c>
      <c r="O1552">
        <v>3</v>
      </c>
      <c r="P1552" t="s">
        <v>33</v>
      </c>
      <c r="Q1552" s="8">
        <f t="shared" si="759"/>
        <v>7.6282051282051289E-2</v>
      </c>
      <c r="R1552" t="s">
        <v>183</v>
      </c>
      <c r="S1552" t="s">
        <v>612</v>
      </c>
      <c r="T1552" s="11">
        <v>1</v>
      </c>
      <c r="U1552">
        <v>4.5</v>
      </c>
      <c r="V1552" t="s">
        <v>33</v>
      </c>
      <c r="W1552" t="s">
        <v>33</v>
      </c>
      <c r="X1552">
        <f>U1552*0.1*1.47</f>
        <v>0.66149999999999998</v>
      </c>
      <c r="Y1552" s="6">
        <f>3000/3600</f>
        <v>0.83333333333333337</v>
      </c>
      <c r="Z1552" s="3">
        <f t="shared" si="763"/>
        <v>8.6717647058823513</v>
      </c>
      <c r="AA1552" t="s">
        <v>33</v>
      </c>
      <c r="AB1552" s="6">
        <f t="shared" si="764"/>
        <v>3.9666666666666668</v>
      </c>
      <c r="AC1552" t="str">
        <f t="shared" si="762"/>
        <v>NA</v>
      </c>
      <c r="AD1552" s="4">
        <f>IFERROR(AB1552*T1552*AI1552, "NA")</f>
        <v>3.9666666666666668</v>
      </c>
      <c r="AE1552" s="3">
        <f t="shared" si="746"/>
        <v>20.081250000000001</v>
      </c>
      <c r="AF1552">
        <v>11.9</v>
      </c>
      <c r="AG1552" t="str">
        <f>IFERROR((M1552*O1552*P1552), "NA")</f>
        <v>NA</v>
      </c>
      <c r="AH1552" t="str">
        <f>IFERROR((AG1552*T1552*AI1552), "NA")</f>
        <v>NA</v>
      </c>
      <c r="AI1552" s="11">
        <v>1</v>
      </c>
      <c r="AJ1552" t="s">
        <v>31</v>
      </c>
      <c r="AK1552" s="11">
        <v>2700</v>
      </c>
      <c r="AL1552" t="s">
        <v>149</v>
      </c>
      <c r="AM1552" t="s">
        <v>86</v>
      </c>
      <c r="AN1552" t="s">
        <v>205</v>
      </c>
      <c r="AO1552" t="s">
        <v>789</v>
      </c>
      <c r="AP1552">
        <v>3.5</v>
      </c>
      <c r="AQ1552" t="s">
        <v>33</v>
      </c>
      <c r="AR1552" t="s">
        <v>33</v>
      </c>
      <c r="AS1552" s="6">
        <f>LOG(10^8)</f>
        <v>8</v>
      </c>
      <c r="AT1552" s="3">
        <f>IFERROR(AS1552-AU1552,"NA")</f>
        <v>7.43</v>
      </c>
      <c r="AU1552" s="6">
        <v>0.56999999999999995</v>
      </c>
      <c r="AV1552" t="b">
        <v>1</v>
      </c>
      <c r="AW1552" t="s">
        <v>29</v>
      </c>
      <c r="AX1552" t="s">
        <v>30</v>
      </c>
      <c r="AY1552" t="s">
        <v>33</v>
      </c>
      <c r="AZ1552" t="s">
        <v>134</v>
      </c>
      <c r="BA1552" s="18" t="s">
        <v>798</v>
      </c>
      <c r="BB1552" t="b">
        <v>0</v>
      </c>
      <c r="BC1552" t="s">
        <v>81</v>
      </c>
      <c r="BD1552">
        <v>12</v>
      </c>
      <c r="BE1552" t="s">
        <v>80</v>
      </c>
      <c r="BF1552" s="11">
        <v>48</v>
      </c>
      <c r="BG1552" t="s">
        <v>569</v>
      </c>
      <c r="BH1552" t="s">
        <v>31</v>
      </c>
      <c r="BI1552" t="s">
        <v>31</v>
      </c>
      <c r="BJ1552" s="3">
        <f t="shared" si="753"/>
        <v>0.56999999999999995</v>
      </c>
      <c r="BK1552" s="3">
        <f t="shared" si="756"/>
        <v>-0.24412514432750865</v>
      </c>
      <c r="BL1552">
        <v>2</v>
      </c>
      <c r="BM1552" s="3">
        <f t="shared" si="755"/>
        <v>1.5469158872231019</v>
      </c>
      <c r="BN1552" t="s">
        <v>33</v>
      </c>
      <c r="BO1552" s="3">
        <f t="shared" si="757"/>
        <v>35.23026315789474</v>
      </c>
      <c r="BP1552" t="s">
        <v>33</v>
      </c>
      <c r="BQ1552" t="s">
        <v>33</v>
      </c>
      <c r="BR1552" t="s">
        <v>33</v>
      </c>
      <c r="BS1552" t="s">
        <v>33</v>
      </c>
      <c r="BT1552" t="s">
        <v>32</v>
      </c>
      <c r="BU1552" t="s">
        <v>255</v>
      </c>
      <c r="BV1552">
        <v>2011</v>
      </c>
      <c r="BW1552" s="2" t="s">
        <v>256</v>
      </c>
      <c r="BX1552" t="s">
        <v>78</v>
      </c>
      <c r="BY1552" t="s">
        <v>33</v>
      </c>
      <c r="BZ1552" t="s">
        <v>33</v>
      </c>
      <c r="CA1552" t="str">
        <f t="shared" si="758"/>
        <v>high acid</v>
      </c>
    </row>
    <row r="1553" spans="1:79">
      <c r="A1553" t="s">
        <v>237</v>
      </c>
      <c r="B1553" t="s">
        <v>565</v>
      </c>
      <c r="C1553" t="s">
        <v>563</v>
      </c>
      <c r="D1553" t="s">
        <v>118</v>
      </c>
      <c r="E1553" t="s">
        <v>77</v>
      </c>
      <c r="F1553" t="s">
        <v>32</v>
      </c>
      <c r="G1553">
        <v>4</v>
      </c>
      <c r="H1553">
        <v>32.5</v>
      </c>
      <c r="I1553" t="b">
        <v>0</v>
      </c>
      <c r="J1553" t="s">
        <v>33</v>
      </c>
      <c r="K1553" t="s">
        <v>33</v>
      </c>
      <c r="L1553">
        <v>30</v>
      </c>
      <c r="M1553" s="4">
        <v>200</v>
      </c>
      <c r="N1553" s="3">
        <f>IFERROR(AF1553/((T1553*X1553/Y1553)*O1553*AI1553),"NA")</f>
        <v>128.79281072122978</v>
      </c>
      <c r="O1553">
        <v>4</v>
      </c>
      <c r="P1553" t="s">
        <v>33</v>
      </c>
      <c r="Q1553" s="9">
        <f t="shared" si="759"/>
        <v>7.8125E-3</v>
      </c>
      <c r="R1553" t="s">
        <v>183</v>
      </c>
      <c r="S1553" t="s">
        <v>612</v>
      </c>
      <c r="T1553" s="11">
        <v>8</v>
      </c>
      <c r="U1553">
        <v>2.92</v>
      </c>
      <c r="V1553">
        <v>2.2999999999999998</v>
      </c>
      <c r="W1553">
        <v>1.2E-2</v>
      </c>
      <c r="X1553" s="8">
        <f>IFERROR(((PI())*(((V1553*10^-1)/2)^2)*(U1553*10^-1)), "NA")</f>
        <v>1.2131888350367701E-2</v>
      </c>
      <c r="Y1553" s="6">
        <f>60/60</f>
        <v>1</v>
      </c>
      <c r="Z1553" s="3">
        <f t="shared" si="763"/>
        <v>1.5528817088470657</v>
      </c>
      <c r="AA1553" t="s">
        <v>33</v>
      </c>
      <c r="AB1553" s="6">
        <f t="shared" si="764"/>
        <v>1.5625</v>
      </c>
      <c r="AC1553" t="str">
        <f t="shared" si="762"/>
        <v>NA</v>
      </c>
      <c r="AD1553" s="4">
        <f>IFERROR(AB1553*T1553*AI1553, "NA")</f>
        <v>12.5</v>
      </c>
      <c r="AE1553" s="3">
        <f t="shared" si="746"/>
        <v>190.79999999999998</v>
      </c>
      <c r="AF1553">
        <v>50</v>
      </c>
      <c r="AG1553" t="str">
        <f>IFERROR((M1553*O1553*P1553), "NA")</f>
        <v>NA</v>
      </c>
      <c r="AH1553" t="str">
        <f>IFERROR((AG1553*T1553*AI1553), "NA")</f>
        <v>NA</v>
      </c>
      <c r="AI1553" s="11">
        <v>1</v>
      </c>
      <c r="AJ1553" t="s">
        <v>31</v>
      </c>
      <c r="AK1553">
        <v>4240</v>
      </c>
      <c r="AL1553" t="s">
        <v>238</v>
      </c>
      <c r="AM1553" t="s">
        <v>86</v>
      </c>
      <c r="AN1553" t="s">
        <v>205</v>
      </c>
      <c r="AO1553" t="s">
        <v>789</v>
      </c>
      <c r="AP1553">
        <v>3.56</v>
      </c>
      <c r="AQ1553" t="s">
        <v>33</v>
      </c>
      <c r="AR1553" t="s">
        <v>33</v>
      </c>
      <c r="AS1553">
        <f>LOG(10^8)</f>
        <v>8</v>
      </c>
      <c r="AT1553" s="3">
        <f>IFERROR(AS1553-AU1553,"NA")</f>
        <v>7.4329999999999998</v>
      </c>
      <c r="AU1553" s="6">
        <v>0.56699999999999995</v>
      </c>
      <c r="AV1553" t="b">
        <v>1</v>
      </c>
      <c r="AW1553" t="s">
        <v>172</v>
      </c>
      <c r="AX1553" t="s">
        <v>173</v>
      </c>
      <c r="AY1553" t="s">
        <v>239</v>
      </c>
      <c r="AZ1553" t="s">
        <v>33</v>
      </c>
      <c r="BA1553" s="18" t="s">
        <v>799</v>
      </c>
      <c r="BB1553" t="b">
        <v>0</v>
      </c>
      <c r="BC1553" t="s">
        <v>81</v>
      </c>
      <c r="BD1553">
        <v>48</v>
      </c>
      <c r="BE1553" t="s">
        <v>80</v>
      </c>
      <c r="BF1553" s="11">
        <v>120</v>
      </c>
      <c r="BG1553" t="s">
        <v>571</v>
      </c>
      <c r="BH1553" t="s">
        <v>31</v>
      </c>
      <c r="BI1553" t="s">
        <v>31</v>
      </c>
      <c r="BJ1553" s="3">
        <f t="shared" si="753"/>
        <v>0.56699999999999995</v>
      </c>
      <c r="BK1553" s="3">
        <f t="shared" si="756"/>
        <v>-0.24641694110709347</v>
      </c>
      <c r="BL1553">
        <v>2</v>
      </c>
      <c r="BM1553" s="3">
        <f t="shared" si="755"/>
        <v>2.5269953114751695</v>
      </c>
      <c r="BN1553" t="s">
        <v>33</v>
      </c>
      <c r="BO1553" s="3">
        <f t="shared" si="757"/>
        <v>336.50793650793651</v>
      </c>
      <c r="BP1553" t="s">
        <v>33</v>
      </c>
      <c r="BQ1553" t="s">
        <v>33</v>
      </c>
      <c r="BR1553" t="s">
        <v>33</v>
      </c>
      <c r="BS1553" t="s">
        <v>33</v>
      </c>
      <c r="BT1553" t="s">
        <v>31</v>
      </c>
      <c r="BU1553" t="s">
        <v>240</v>
      </c>
      <c r="BV1553">
        <v>2004</v>
      </c>
      <c r="BW1553" t="s">
        <v>241</v>
      </c>
      <c r="BX1553" t="s">
        <v>78</v>
      </c>
      <c r="BY1553" t="s">
        <v>33</v>
      </c>
      <c r="BZ1553" t="s">
        <v>33</v>
      </c>
      <c r="CA1553" t="str">
        <f t="shared" si="758"/>
        <v>high acid</v>
      </c>
    </row>
    <row r="1554" spans="1:79">
      <c r="A1554" t="s">
        <v>189</v>
      </c>
      <c r="B1554" t="s">
        <v>565</v>
      </c>
      <c r="C1554" t="s">
        <v>563</v>
      </c>
      <c r="D1554" t="s">
        <v>118</v>
      </c>
      <c r="E1554" t="s">
        <v>77</v>
      </c>
      <c r="F1554" t="s">
        <v>32</v>
      </c>
      <c r="G1554">
        <v>22</v>
      </c>
      <c r="H1554">
        <v>55</v>
      </c>
      <c r="I1554" t="b">
        <v>0</v>
      </c>
      <c r="J1554" t="s">
        <v>33</v>
      </c>
      <c r="K1554" t="s">
        <v>33</v>
      </c>
      <c r="L1554">
        <v>27.5</v>
      </c>
      <c r="M1554" s="4">
        <v>1000</v>
      </c>
      <c r="N1554" s="3">
        <f>IFERROR(AF1554/((T1554*X1554/Y1554)*O1554*AI1554),"NA")</f>
        <v>989.12878633904484</v>
      </c>
      <c r="O1554">
        <v>3</v>
      </c>
      <c r="P1554" t="s">
        <v>33</v>
      </c>
      <c r="Q1554">
        <f t="shared" si="759"/>
        <v>1.2000000000000002E-2</v>
      </c>
      <c r="R1554" t="s">
        <v>183</v>
      </c>
      <c r="S1554" t="s">
        <v>613</v>
      </c>
      <c r="T1554" s="11">
        <v>4</v>
      </c>
      <c r="U1554">
        <v>2.92</v>
      </c>
      <c r="V1554">
        <v>2.2999999999999998</v>
      </c>
      <c r="W1554" t="s">
        <v>33</v>
      </c>
      <c r="X1554" s="8">
        <f>IFERROR(((PI())*(((V1554*10^-1)/2)^2)*(U1554*10^-1)), "NA")</f>
        <v>1.2131888350367701E-2</v>
      </c>
      <c r="Y1554">
        <v>1</v>
      </c>
      <c r="Z1554" s="3">
        <f t="shared" si="763"/>
        <v>1.0109906958639749</v>
      </c>
      <c r="AA1554" t="s">
        <v>33</v>
      </c>
      <c r="AB1554" s="6">
        <f t="shared" si="764"/>
        <v>12.000000000000002</v>
      </c>
      <c r="AC1554" t="str">
        <f t="shared" si="762"/>
        <v>NA</v>
      </c>
      <c r="AD1554" s="4">
        <f>AB1554*T1554*AI1554</f>
        <v>48.000000000000007</v>
      </c>
      <c r="AE1554" s="3">
        <f t="shared" si="746"/>
        <v>217.80000000000004</v>
      </c>
      <c r="AF1554">
        <v>144</v>
      </c>
      <c r="AG1554" t="str">
        <f>IFERROR((M1554*O1554*P1554), "NA")</f>
        <v>NA</v>
      </c>
      <c r="AH1554" t="str">
        <f>IFERROR((AG1554*T1554*AI1554), "NA")</f>
        <v>NA</v>
      </c>
      <c r="AI1554">
        <v>1</v>
      </c>
      <c r="AJ1554" t="s">
        <v>31</v>
      </c>
      <c r="AK1554">
        <v>2000</v>
      </c>
      <c r="AL1554" t="s">
        <v>185</v>
      </c>
      <c r="AM1554" t="s">
        <v>103</v>
      </c>
      <c r="AN1554" t="s">
        <v>130</v>
      </c>
      <c r="AO1554" t="s">
        <v>795</v>
      </c>
      <c r="AP1554">
        <v>7.2</v>
      </c>
      <c r="AQ1554" t="s">
        <v>33</v>
      </c>
      <c r="AR1554" t="s">
        <v>33</v>
      </c>
      <c r="AS1554" s="6">
        <v>8.2089999999999996</v>
      </c>
      <c r="AT1554" s="3">
        <f>IFERROR(AS1554-AU1554,"NA")</f>
        <v>7.4379999999999997</v>
      </c>
      <c r="AU1554" s="6">
        <v>0.77100000000000002</v>
      </c>
      <c r="AV1554" t="b">
        <v>1</v>
      </c>
      <c r="AW1554" t="s">
        <v>92</v>
      </c>
      <c r="AX1554" t="s">
        <v>93</v>
      </c>
      <c r="AY1554" t="s">
        <v>99</v>
      </c>
      <c r="AZ1554" t="s">
        <v>33</v>
      </c>
      <c r="BA1554" s="18" t="s">
        <v>801</v>
      </c>
      <c r="BB1554" t="b">
        <v>0</v>
      </c>
      <c r="BC1554" t="s">
        <v>81</v>
      </c>
      <c r="BD1554">
        <v>18</v>
      </c>
      <c r="BE1554" t="s">
        <v>80</v>
      </c>
      <c r="BF1554" s="11">
        <v>48</v>
      </c>
      <c r="BG1554" t="s">
        <v>568</v>
      </c>
      <c r="BH1554" t="s">
        <v>31</v>
      </c>
      <c r="BI1554" t="s">
        <v>31</v>
      </c>
      <c r="BJ1554" s="3">
        <f t="shared" si="753"/>
        <v>0.77100000000000002</v>
      </c>
      <c r="BK1554" s="3">
        <f t="shared" si="756"/>
        <v>-0.11294562194904302</v>
      </c>
      <c r="BL1554">
        <v>2</v>
      </c>
      <c r="BM1554" s="3">
        <f t="shared" si="755"/>
        <v>2.4510034973687991</v>
      </c>
      <c r="BN1554" t="s">
        <v>33</v>
      </c>
      <c r="BO1554" s="3">
        <f t="shared" si="757"/>
        <v>282.4902723735409</v>
      </c>
      <c r="BP1554" t="s">
        <v>33</v>
      </c>
      <c r="BQ1554" t="s">
        <v>33</v>
      </c>
      <c r="BR1554" t="s">
        <v>33</v>
      </c>
      <c r="BS1554" t="s">
        <v>33</v>
      </c>
      <c r="BT1554" t="s">
        <v>31</v>
      </c>
      <c r="BU1554" t="s">
        <v>187</v>
      </c>
      <c r="BV1554">
        <v>2004</v>
      </c>
      <c r="BW1554" s="2" t="s">
        <v>184</v>
      </c>
      <c r="BX1554" t="s">
        <v>78</v>
      </c>
      <c r="BY1554" t="s">
        <v>33</v>
      </c>
      <c r="BZ1554" t="s">
        <v>33</v>
      </c>
      <c r="CA1554" t="str">
        <f t="shared" si="758"/>
        <v>low acid</v>
      </c>
    </row>
    <row r="1555" spans="1:79">
      <c r="A1555" t="s">
        <v>592</v>
      </c>
      <c r="B1555" t="s">
        <v>566</v>
      </c>
      <c r="C1555" t="s">
        <v>563</v>
      </c>
      <c r="D1555" t="s">
        <v>607</v>
      </c>
      <c r="E1555" t="s">
        <v>77</v>
      </c>
      <c r="F1555" t="s">
        <v>32</v>
      </c>
      <c r="G1555" t="s">
        <v>33</v>
      </c>
      <c r="H1555">
        <v>35</v>
      </c>
      <c r="I1555" t="b">
        <v>0</v>
      </c>
      <c r="J1555">
        <v>30000</v>
      </c>
      <c r="K1555">
        <v>200</v>
      </c>
      <c r="L1555">
        <v>15</v>
      </c>
      <c r="M1555" s="4">
        <v>1</v>
      </c>
      <c r="N1555" t="e">
        <f>(#REF!*Y1555)/(T1555*X1555*O1555)</f>
        <v>#REF!</v>
      </c>
      <c r="O1555">
        <v>3</v>
      </c>
      <c r="P1555" t="s">
        <v>33</v>
      </c>
      <c r="Q1555" s="1">
        <f t="shared" si="759"/>
        <v>10.4</v>
      </c>
      <c r="R1555" t="s">
        <v>183</v>
      </c>
      <c r="S1555" t="s">
        <v>33</v>
      </c>
      <c r="T1555">
        <v>1</v>
      </c>
      <c r="U1555">
        <v>2.5</v>
      </c>
      <c r="V1555" t="s">
        <v>33</v>
      </c>
      <c r="W1555">
        <v>0.50249999999999995</v>
      </c>
      <c r="X1555">
        <f t="shared" ref="X1555:X1563" si="765">W1555</f>
        <v>0.50249999999999995</v>
      </c>
      <c r="Y1555" t="s">
        <v>33</v>
      </c>
      <c r="Z1555" s="3">
        <f t="shared" si="763"/>
        <v>4.8317307692307687E-2</v>
      </c>
      <c r="AA1555" t="s">
        <v>33</v>
      </c>
      <c r="AB1555">
        <f t="shared" si="764"/>
        <v>10.4</v>
      </c>
      <c r="AC1555" s="1" t="str">
        <f t="shared" si="762"/>
        <v>NA</v>
      </c>
      <c r="AE1555" s="3">
        <f t="shared" si="746"/>
        <v>7.02</v>
      </c>
      <c r="AF1555">
        <v>31.2</v>
      </c>
      <c r="AG1555" s="1" t="str">
        <f>IFERROR((N1555*P1555*Q1555), "NA")</f>
        <v>NA</v>
      </c>
      <c r="AH1555" s="1" t="str">
        <f>IFERROR((AG1555*U1555*AI1555), "NA")</f>
        <v>NA</v>
      </c>
      <c r="AI1555" s="1">
        <v>1</v>
      </c>
      <c r="AJ1555" s="11" t="s">
        <v>31</v>
      </c>
      <c r="AK1555">
        <v>1000</v>
      </c>
      <c r="AL1555" t="s">
        <v>614</v>
      </c>
      <c r="AM1555" s="3" t="s">
        <v>103</v>
      </c>
      <c r="AN1555" t="s">
        <v>305</v>
      </c>
      <c r="AO1555" t="s">
        <v>790</v>
      </c>
      <c r="AP1555">
        <v>3.5</v>
      </c>
      <c r="AQ1555" t="s">
        <v>33</v>
      </c>
      <c r="AR1555" t="s">
        <v>33</v>
      </c>
      <c r="AS1555">
        <v>8</v>
      </c>
      <c r="AT1555">
        <f>AS1555-AU1555</f>
        <v>7.4399999999999995</v>
      </c>
      <c r="AU1555" s="6">
        <v>0.56000000000000005</v>
      </c>
      <c r="AV1555" t="b">
        <v>1</v>
      </c>
      <c r="AW1555" t="s">
        <v>626</v>
      </c>
      <c r="AX1555" t="s">
        <v>627</v>
      </c>
      <c r="AY1555" t="s">
        <v>633</v>
      </c>
      <c r="AZ1555" t="s">
        <v>33</v>
      </c>
      <c r="BA1555" s="18" t="s">
        <v>800</v>
      </c>
      <c r="BB1555" s="3" t="b">
        <v>0</v>
      </c>
      <c r="BC1555" t="s">
        <v>81</v>
      </c>
      <c r="BD1555">
        <v>24</v>
      </c>
      <c r="BE1555" t="s">
        <v>80</v>
      </c>
      <c r="BF1555">
        <v>48</v>
      </c>
      <c r="BG1555" t="s">
        <v>569</v>
      </c>
      <c r="BH1555" t="s">
        <v>31</v>
      </c>
      <c r="BI1555" t="s">
        <v>31</v>
      </c>
      <c r="BJ1555">
        <f t="shared" si="753"/>
        <v>0.56000000000000005</v>
      </c>
      <c r="BK1555" s="3">
        <f t="shared" si="756"/>
        <v>-0.25181197299379954</v>
      </c>
      <c r="BL1555">
        <v>2</v>
      </c>
      <c r="BM1555" s="3">
        <f t="shared" si="755"/>
        <v>1.0981490851236049</v>
      </c>
      <c r="BN1555" t="s">
        <v>33</v>
      </c>
      <c r="BO1555" s="3">
        <f t="shared" si="757"/>
        <v>12.535714285714283</v>
      </c>
      <c r="BP1555" t="s">
        <v>33</v>
      </c>
      <c r="BQ1555" t="s">
        <v>33</v>
      </c>
      <c r="BR1555" t="s">
        <v>33</v>
      </c>
      <c r="BS1555" t="s">
        <v>33</v>
      </c>
      <c r="BT1555" t="s">
        <v>31</v>
      </c>
      <c r="BU1555" s="15" t="s">
        <v>255</v>
      </c>
      <c r="BV1555">
        <v>2010</v>
      </c>
      <c r="BW1555" t="s">
        <v>659</v>
      </c>
      <c r="BX1555" t="s">
        <v>78</v>
      </c>
      <c r="BY1555" s="13" t="s">
        <v>680</v>
      </c>
      <c r="CA1555" t="str">
        <f t="shared" si="758"/>
        <v>high acid</v>
      </c>
    </row>
    <row r="1556" spans="1:79">
      <c r="A1556" t="s">
        <v>583</v>
      </c>
      <c r="B1556" t="s">
        <v>566</v>
      </c>
      <c r="C1556" t="s">
        <v>563</v>
      </c>
      <c r="D1556" t="s">
        <v>33</v>
      </c>
      <c r="E1556" t="s">
        <v>77</v>
      </c>
      <c r="F1556" t="s">
        <v>32</v>
      </c>
      <c r="G1556" t="s">
        <v>33</v>
      </c>
      <c r="H1556">
        <v>10</v>
      </c>
      <c r="I1556" t="b">
        <v>1</v>
      </c>
      <c r="J1556" t="s">
        <v>33</v>
      </c>
      <c r="K1556" t="s">
        <v>33</v>
      </c>
      <c r="L1556">
        <v>30</v>
      </c>
      <c r="M1556" s="4">
        <v>2</v>
      </c>
      <c r="N1556" t="e">
        <f>(#REF!*Y1556)/(T1556*X1556*O1556)</f>
        <v>#REF!</v>
      </c>
      <c r="O1556">
        <v>2</v>
      </c>
      <c r="P1556" t="s">
        <v>33</v>
      </c>
      <c r="Q1556" s="1">
        <f t="shared" si="759"/>
        <v>15</v>
      </c>
      <c r="R1556" t="s">
        <v>183</v>
      </c>
      <c r="S1556" t="s">
        <v>613</v>
      </c>
      <c r="T1556">
        <v>1</v>
      </c>
      <c r="U1556">
        <v>5</v>
      </c>
      <c r="V1556" t="s">
        <v>33</v>
      </c>
      <c r="W1556">
        <v>0.71</v>
      </c>
      <c r="X1556">
        <f t="shared" si="765"/>
        <v>0.71</v>
      </c>
      <c r="Y1556">
        <v>0.1</v>
      </c>
      <c r="Z1556" s="3">
        <f t="shared" si="763"/>
        <v>4.7333333333333331E-2</v>
      </c>
      <c r="AA1556" t="s">
        <v>33</v>
      </c>
      <c r="AB1556">
        <f t="shared" si="764"/>
        <v>30</v>
      </c>
      <c r="AC1556" s="1" t="str">
        <f t="shared" si="762"/>
        <v>NA</v>
      </c>
      <c r="AE1556" s="3">
        <f t="shared" si="746"/>
        <v>253.79999999999998</v>
      </c>
      <c r="AF1556">
        <v>60</v>
      </c>
      <c r="AG1556" s="1" t="str">
        <f>IFERROR((N1556*P1556*Q1556), "NA")</f>
        <v>NA</v>
      </c>
      <c r="AH1556" s="1" t="str">
        <f>IFERROR((AG1556*U1556*AI1556), "NA")</f>
        <v>NA</v>
      </c>
      <c r="AI1556" s="1">
        <v>1</v>
      </c>
      <c r="AJ1556" s="11" t="s">
        <v>31</v>
      </c>
      <c r="AK1556">
        <v>4700</v>
      </c>
      <c r="AL1556" t="s">
        <v>562</v>
      </c>
      <c r="AM1556" s="3" t="s">
        <v>786</v>
      </c>
      <c r="AN1556" t="s">
        <v>186</v>
      </c>
      <c r="AO1556" t="s">
        <v>793</v>
      </c>
      <c r="AP1556" t="s">
        <v>33</v>
      </c>
      <c r="AQ1556" t="s">
        <v>33</v>
      </c>
      <c r="AR1556" t="s">
        <v>33</v>
      </c>
      <c r="AS1556">
        <v>8</v>
      </c>
      <c r="AT1556">
        <f>AS1556-AU1556</f>
        <v>7.45</v>
      </c>
      <c r="AU1556" s="6">
        <v>0.55000000000000004</v>
      </c>
      <c r="AV1556" t="b">
        <v>1</v>
      </c>
      <c r="AW1556" t="s">
        <v>617</v>
      </c>
      <c r="AX1556" t="s">
        <v>33</v>
      </c>
      <c r="AY1556" t="s">
        <v>622</v>
      </c>
      <c r="AZ1556" t="s">
        <v>619</v>
      </c>
      <c r="BA1556" s="18" t="s">
        <v>802</v>
      </c>
      <c r="BB1556" s="3" t="b">
        <v>0</v>
      </c>
      <c r="BC1556" t="s">
        <v>81</v>
      </c>
      <c r="BD1556">
        <v>18</v>
      </c>
      <c r="BE1556" t="s">
        <v>80</v>
      </c>
      <c r="BF1556">
        <v>24</v>
      </c>
      <c r="BG1556" t="s">
        <v>696</v>
      </c>
      <c r="BH1556" t="s">
        <v>32</v>
      </c>
      <c r="BI1556" t="s">
        <v>31</v>
      </c>
      <c r="BJ1556">
        <f t="shared" si="753"/>
        <v>0.55000000000000004</v>
      </c>
      <c r="BK1556" s="3">
        <f t="shared" si="756"/>
        <v>-0.25963731050575611</v>
      </c>
      <c r="BL1556">
        <v>2</v>
      </c>
      <c r="BM1556" s="3">
        <f t="shared" si="755"/>
        <v>2.664128928264442</v>
      </c>
      <c r="BN1556" t="s">
        <v>33</v>
      </c>
      <c r="BO1556" s="3">
        <f t="shared" si="757"/>
        <v>461.45454545454538</v>
      </c>
      <c r="BP1556" t="s">
        <v>33</v>
      </c>
      <c r="BQ1556" t="s">
        <v>33</v>
      </c>
      <c r="BR1556" t="s">
        <v>33</v>
      </c>
      <c r="BS1556" t="s">
        <v>33</v>
      </c>
      <c r="BT1556" t="s">
        <v>31</v>
      </c>
      <c r="BU1556" t="s">
        <v>338</v>
      </c>
      <c r="BV1556">
        <v>2005</v>
      </c>
      <c r="BW1556" t="s">
        <v>342</v>
      </c>
      <c r="BX1556" t="s">
        <v>78</v>
      </c>
      <c r="BY1556" s="13" t="s">
        <v>673</v>
      </c>
      <c r="CA1556" t="str">
        <f t="shared" si="758"/>
        <v>low acid</v>
      </c>
    </row>
    <row r="1557" spans="1:79">
      <c r="A1557" t="s">
        <v>594</v>
      </c>
      <c r="B1557" t="s">
        <v>566</v>
      </c>
      <c r="C1557" t="s">
        <v>563</v>
      </c>
      <c r="D1557" t="s">
        <v>33</v>
      </c>
      <c r="E1557" t="s">
        <v>77</v>
      </c>
      <c r="F1557" t="s">
        <v>32</v>
      </c>
      <c r="G1557" t="s">
        <v>33</v>
      </c>
      <c r="H1557">
        <v>10</v>
      </c>
      <c r="I1557" t="b">
        <v>1</v>
      </c>
      <c r="J1557" t="s">
        <v>33</v>
      </c>
      <c r="K1557" t="s">
        <v>33</v>
      </c>
      <c r="L1557">
        <v>20</v>
      </c>
      <c r="M1557" s="4">
        <v>2</v>
      </c>
      <c r="N1557" t="e">
        <f>(#REF!*Y1557)/(T1557*X1557*O1557)</f>
        <v>#REF!</v>
      </c>
      <c r="O1557">
        <v>2</v>
      </c>
      <c r="P1557" t="s">
        <v>33</v>
      </c>
      <c r="Q1557" s="1">
        <f t="shared" si="759"/>
        <v>7.1</v>
      </c>
      <c r="R1557" t="s">
        <v>183</v>
      </c>
      <c r="S1557" t="s">
        <v>613</v>
      </c>
      <c r="T1557">
        <v>1</v>
      </c>
      <c r="U1557">
        <v>5</v>
      </c>
      <c r="V1557" t="s">
        <v>33</v>
      </c>
      <c r="W1557">
        <v>0.71</v>
      </c>
      <c r="X1557">
        <f t="shared" si="765"/>
        <v>0.71</v>
      </c>
      <c r="Y1557">
        <v>0.1</v>
      </c>
      <c r="Z1557" s="3">
        <f>Y1557</f>
        <v>0.1</v>
      </c>
      <c r="AA1557" s="3">
        <v>14.8409893992932</v>
      </c>
      <c r="AB1557">
        <f>IFERROR(((X1557*M1557)/Y1557), "NA")</f>
        <v>14.2</v>
      </c>
      <c r="AC1557" s="1" t="str">
        <f t="shared" si="762"/>
        <v>NA</v>
      </c>
      <c r="AE1557" s="3">
        <f t="shared" si="746"/>
        <v>173.80799999999999</v>
      </c>
      <c r="AF1557" t="s">
        <v>33</v>
      </c>
      <c r="AG1557" s="1">
        <f>IFERROR((M1557*O1557*Q1557), "NA")</f>
        <v>28.4</v>
      </c>
      <c r="AH1557" s="1">
        <f>IFERROR((AG1557*U1557*AI1557), "NA")</f>
        <v>426</v>
      </c>
      <c r="AI1557" s="1">
        <v>3</v>
      </c>
      <c r="AJ1557" s="11" t="s">
        <v>31</v>
      </c>
      <c r="AK1557">
        <f>5100</f>
        <v>5100</v>
      </c>
      <c r="AL1557" t="s">
        <v>561</v>
      </c>
      <c r="AM1557" s="3" t="s">
        <v>786</v>
      </c>
      <c r="AN1557" t="s">
        <v>186</v>
      </c>
      <c r="AO1557" t="s">
        <v>793</v>
      </c>
      <c r="AP1557" t="s">
        <v>33</v>
      </c>
      <c r="AQ1557" t="s">
        <v>33</v>
      </c>
      <c r="AR1557" t="s">
        <v>33</v>
      </c>
      <c r="AS1557">
        <v>8</v>
      </c>
      <c r="AT1557">
        <f>AS1557-AU1557</f>
        <v>7.45</v>
      </c>
      <c r="AU1557" s="6">
        <v>0.55000000000000004</v>
      </c>
      <c r="AV1557" t="b">
        <v>1</v>
      </c>
      <c r="AW1557" t="s">
        <v>617</v>
      </c>
      <c r="AX1557" t="s">
        <v>624</v>
      </c>
      <c r="AY1557" t="s">
        <v>622</v>
      </c>
      <c r="AZ1557" t="s">
        <v>33</v>
      </c>
      <c r="BA1557" s="18" t="s">
        <v>802</v>
      </c>
      <c r="BB1557" s="3" t="b">
        <v>0</v>
      </c>
      <c r="BC1557" t="s">
        <v>81</v>
      </c>
      <c r="BD1557">
        <v>18</v>
      </c>
      <c r="BE1557" t="s">
        <v>80</v>
      </c>
      <c r="BF1557">
        <v>24</v>
      </c>
      <c r="BG1557" t="s">
        <v>696</v>
      </c>
      <c r="BH1557" t="s">
        <v>32</v>
      </c>
      <c r="BI1557" t="s">
        <v>31</v>
      </c>
      <c r="BJ1557">
        <f t="shared" si="753"/>
        <v>0.55000000000000004</v>
      </c>
      <c r="BK1557" s="3">
        <f t="shared" si="756"/>
        <v>-0.25963731050575611</v>
      </c>
      <c r="BL1557">
        <v>2</v>
      </c>
      <c r="BM1557" s="3">
        <f t="shared" si="755"/>
        <v>2.4997070726983548</v>
      </c>
      <c r="BN1557" t="s">
        <v>33</v>
      </c>
      <c r="BO1557" s="3">
        <f t="shared" si="757"/>
        <v>316.01454545454544</v>
      </c>
      <c r="BP1557" t="s">
        <v>33</v>
      </c>
      <c r="BQ1557" t="s">
        <v>33</v>
      </c>
      <c r="BR1557" t="s">
        <v>33</v>
      </c>
      <c r="BS1557" t="s">
        <v>33</v>
      </c>
      <c r="BT1557" t="s">
        <v>31</v>
      </c>
      <c r="BU1557" t="s">
        <v>338</v>
      </c>
      <c r="BV1557">
        <v>2006</v>
      </c>
      <c r="BW1557" t="s">
        <v>339</v>
      </c>
      <c r="BX1557" t="s">
        <v>78</v>
      </c>
      <c r="BY1557" s="13" t="s">
        <v>682</v>
      </c>
      <c r="CA1557" t="str">
        <f t="shared" si="758"/>
        <v>low acid</v>
      </c>
    </row>
    <row r="1558" spans="1:79">
      <c r="A1558" t="s">
        <v>589</v>
      </c>
      <c r="B1558" t="s">
        <v>566</v>
      </c>
      <c r="C1558" t="s">
        <v>563</v>
      </c>
      <c r="D1558" t="s">
        <v>33</v>
      </c>
      <c r="E1558" t="s">
        <v>77</v>
      </c>
      <c r="F1558" t="s">
        <v>33</v>
      </c>
      <c r="G1558" t="s">
        <v>33</v>
      </c>
      <c r="H1558">
        <v>35</v>
      </c>
      <c r="I1558" t="b">
        <v>0</v>
      </c>
      <c r="J1558" t="s">
        <v>33</v>
      </c>
      <c r="K1558" t="s">
        <v>33</v>
      </c>
      <c r="L1558">
        <v>12</v>
      </c>
      <c r="M1558" s="4">
        <v>1</v>
      </c>
      <c r="N1558" t="e">
        <f>(#REF!*Y1558)/(T1558*X1558*O1558)</f>
        <v>#REF!</v>
      </c>
      <c r="O1558">
        <v>2</v>
      </c>
      <c r="P1558" t="s">
        <v>33</v>
      </c>
      <c r="Q1558" s="1">
        <f t="shared" si="759"/>
        <v>18.515000000000001</v>
      </c>
      <c r="R1558" t="s">
        <v>183</v>
      </c>
      <c r="S1558" t="s">
        <v>613</v>
      </c>
      <c r="T1558">
        <v>1</v>
      </c>
      <c r="U1558">
        <v>2.5</v>
      </c>
      <c r="V1558" t="s">
        <v>33</v>
      </c>
      <c r="W1558">
        <v>0.50249999999999995</v>
      </c>
      <c r="X1558">
        <f t="shared" si="765"/>
        <v>0.50249999999999995</v>
      </c>
      <c r="Y1558" t="s">
        <v>33</v>
      </c>
      <c r="Z1558" s="3">
        <f t="shared" ref="Z1558:Z1587" si="766">IFERROR(X1558*M1558*O1558*T1558*AI1558/AF1558, "NA")</f>
        <v>2.7140156629759649E-2</v>
      </c>
      <c r="AA1558" t="s">
        <v>33</v>
      </c>
      <c r="AB1558">
        <f>IFERROR(((X1558*M1558)/Z1558), "NA")</f>
        <v>18.515000000000001</v>
      </c>
      <c r="AC1558" s="1" t="str">
        <f t="shared" si="762"/>
        <v>NA</v>
      </c>
      <c r="AE1558" s="3">
        <f t="shared" si="746"/>
        <v>10.66464</v>
      </c>
      <c r="AF1558">
        <v>37.03</v>
      </c>
      <c r="AG1558" s="1" t="str">
        <f>IFERROR((N1558*P1558*Q1558), "NA")</f>
        <v>NA</v>
      </c>
      <c r="AH1558" s="1" t="str">
        <f>IFERROR((AG1558*U1558*AI1558), "NA")</f>
        <v>NA</v>
      </c>
      <c r="AI1558" s="1">
        <v>1</v>
      </c>
      <c r="AJ1558" s="11" t="s">
        <v>31</v>
      </c>
      <c r="AK1558">
        <v>2000</v>
      </c>
      <c r="AL1558" t="s">
        <v>616</v>
      </c>
      <c r="AM1558" s="3" t="s">
        <v>103</v>
      </c>
      <c r="AN1558" t="s">
        <v>130</v>
      </c>
      <c r="AO1558" t="s">
        <v>795</v>
      </c>
      <c r="AP1558">
        <v>7</v>
      </c>
      <c r="AQ1558" t="s">
        <v>33</v>
      </c>
      <c r="AR1558" t="s">
        <v>33</v>
      </c>
      <c r="AS1558">
        <v>9</v>
      </c>
      <c r="AT1558">
        <f>AS1558-AU1558</f>
        <v>7.45</v>
      </c>
      <c r="AU1558" s="6">
        <v>1.55</v>
      </c>
      <c r="AV1558" t="b">
        <v>1</v>
      </c>
      <c r="AW1558" t="s">
        <v>617</v>
      </c>
      <c r="AX1558" t="s">
        <v>33</v>
      </c>
      <c r="AY1558" t="s">
        <v>629</v>
      </c>
      <c r="AZ1558" t="s">
        <v>630</v>
      </c>
      <c r="BA1558" s="18" t="s">
        <v>802</v>
      </c>
      <c r="BB1558" s="3" t="b">
        <v>0</v>
      </c>
      <c r="BC1558" t="s">
        <v>81</v>
      </c>
      <c r="BD1558">
        <v>24</v>
      </c>
      <c r="BE1558" t="s">
        <v>80</v>
      </c>
      <c r="BF1558">
        <v>24</v>
      </c>
      <c r="BG1558" t="s">
        <v>644</v>
      </c>
      <c r="BH1558" t="s">
        <v>31</v>
      </c>
      <c r="BI1558" t="s">
        <v>31</v>
      </c>
      <c r="BJ1558">
        <f t="shared" si="753"/>
        <v>1.55</v>
      </c>
      <c r="BK1558" s="3">
        <f t="shared" si="756"/>
        <v>0.1903316981702915</v>
      </c>
      <c r="BL1558">
        <v>2</v>
      </c>
      <c r="BM1558" s="3">
        <f t="shared" si="755"/>
        <v>0.83761450163838203</v>
      </c>
      <c r="BN1558" t="s">
        <v>33</v>
      </c>
      <c r="BO1558" s="3">
        <f t="shared" si="757"/>
        <v>6.8804129032258068</v>
      </c>
      <c r="BP1558" t="s">
        <v>33</v>
      </c>
      <c r="BQ1558" t="s">
        <v>33</v>
      </c>
      <c r="BR1558" t="s">
        <v>33</v>
      </c>
      <c r="BS1558" t="s">
        <v>33</v>
      </c>
      <c r="BT1558" t="s">
        <v>31</v>
      </c>
      <c r="BU1558" s="15" t="s">
        <v>655</v>
      </c>
      <c r="BV1558">
        <v>2003</v>
      </c>
      <c r="BW1558" t="s">
        <v>656</v>
      </c>
      <c r="BX1558" t="s">
        <v>78</v>
      </c>
      <c r="BY1558" s="13" t="s">
        <v>677</v>
      </c>
      <c r="CA1558" t="str">
        <f t="shared" si="758"/>
        <v>low acid</v>
      </c>
    </row>
    <row r="1559" spans="1:79">
      <c r="A1559" t="s">
        <v>341</v>
      </c>
      <c r="B1559" t="s">
        <v>566</v>
      </c>
      <c r="C1559" t="s">
        <v>563</v>
      </c>
      <c r="D1559" t="s">
        <v>336</v>
      </c>
      <c r="E1559" t="s">
        <v>77</v>
      </c>
      <c r="F1559" t="s">
        <v>32</v>
      </c>
      <c r="G1559">
        <v>20</v>
      </c>
      <c r="H1559">
        <v>23</v>
      </c>
      <c r="I1559" t="b">
        <v>0</v>
      </c>
      <c r="J1559" t="s">
        <v>33</v>
      </c>
      <c r="K1559" t="s">
        <v>33</v>
      </c>
      <c r="L1559">
        <v>20</v>
      </c>
      <c r="M1559" s="4">
        <v>2</v>
      </c>
      <c r="N1559" s="3">
        <f>IFERROR(AF1559/((T1559*X1559/Y1559)*O1559*AI1559),"NA")</f>
        <v>2.1126760563380285</v>
      </c>
      <c r="O1559">
        <v>2</v>
      </c>
      <c r="P1559" t="s">
        <v>33</v>
      </c>
      <c r="Q1559" s="8">
        <f t="shared" si="759"/>
        <v>7.5</v>
      </c>
      <c r="R1559" t="s">
        <v>183</v>
      </c>
      <c r="S1559" t="s">
        <v>613</v>
      </c>
      <c r="T1559" s="11">
        <v>1</v>
      </c>
      <c r="U1559">
        <v>5</v>
      </c>
      <c r="V1559" t="s">
        <v>33</v>
      </c>
      <c r="W1559">
        <v>0.71</v>
      </c>
      <c r="X1559" s="8">
        <f t="shared" si="765"/>
        <v>0.71</v>
      </c>
      <c r="Y1559">
        <f>6/60</f>
        <v>0.1</v>
      </c>
      <c r="Z1559" s="3">
        <f t="shared" si="766"/>
        <v>9.4666666666666663E-2</v>
      </c>
      <c r="AA1559">
        <v>15</v>
      </c>
      <c r="AB1559" s="6">
        <f>IFERROR(((X1559*M1559)/Z1559), "NA")</f>
        <v>15</v>
      </c>
      <c r="AC1559" t="str">
        <f t="shared" si="762"/>
        <v>NA</v>
      </c>
      <c r="AD1559" s="4">
        <f>IFERROR(AB1559*T1559*AI1559, "NA")</f>
        <v>30</v>
      </c>
      <c r="AE1559" s="3">
        <f t="shared" si="746"/>
        <v>153.6</v>
      </c>
      <c r="AF1559">
        <f>AI1559*AA1559*O1559</f>
        <v>60</v>
      </c>
      <c r="AG1559" t="str">
        <f>IFERROR((M1559*O1559*P1559), "NA")</f>
        <v>NA</v>
      </c>
      <c r="AH1559" t="str">
        <f>IFERROR((AG1559*T1559*AI1559), "NA")</f>
        <v>NA</v>
      </c>
      <c r="AI1559" s="11">
        <v>2</v>
      </c>
      <c r="AJ1559" s="11" t="s">
        <v>32</v>
      </c>
      <c r="AK1559" s="11">
        <v>6400</v>
      </c>
      <c r="AL1559" t="s">
        <v>561</v>
      </c>
      <c r="AM1559" s="3" t="s">
        <v>786</v>
      </c>
      <c r="AN1559" t="s">
        <v>186</v>
      </c>
      <c r="AO1559" t="s">
        <v>793</v>
      </c>
      <c r="AP1559" t="s">
        <v>33</v>
      </c>
      <c r="AQ1559" t="s">
        <v>33</v>
      </c>
      <c r="AR1559" t="s">
        <v>33</v>
      </c>
      <c r="AS1559" s="6">
        <f>LOG(10^8)</f>
        <v>8</v>
      </c>
      <c r="AT1559" s="3">
        <f>IFERROR(AS1559-AU1559,"NA")</f>
        <v>7.4539999999999997</v>
      </c>
      <c r="AU1559" s="6">
        <v>0.54600000000000004</v>
      </c>
      <c r="AV1559" t="b">
        <v>1</v>
      </c>
      <c r="AW1559" t="s">
        <v>29</v>
      </c>
      <c r="AX1559" t="s">
        <v>30</v>
      </c>
      <c r="AY1559" t="s">
        <v>33</v>
      </c>
      <c r="AZ1559" t="s">
        <v>134</v>
      </c>
      <c r="BA1559" s="18" t="s">
        <v>798</v>
      </c>
      <c r="BB1559" t="b">
        <v>0</v>
      </c>
      <c r="BC1559" t="s">
        <v>81</v>
      </c>
      <c r="BD1559">
        <v>18</v>
      </c>
      <c r="BE1559" t="s">
        <v>80</v>
      </c>
      <c r="BF1559" s="11">
        <v>24</v>
      </c>
      <c r="BG1559" t="s">
        <v>694</v>
      </c>
      <c r="BH1559" t="s">
        <v>31</v>
      </c>
      <c r="BI1559" t="s">
        <v>31</v>
      </c>
      <c r="BJ1559" s="3">
        <f t="shared" si="753"/>
        <v>0.54600000000000004</v>
      </c>
      <c r="BK1559" s="3">
        <f t="shared" si="756"/>
        <v>-0.26280735729526272</v>
      </c>
      <c r="BL1559">
        <v>2</v>
      </c>
      <c r="BM1559" s="3">
        <f t="shared" si="755"/>
        <v>2.4491985729907557</v>
      </c>
      <c r="BN1559" t="s">
        <v>33</v>
      </c>
      <c r="BO1559" s="3">
        <f t="shared" si="757"/>
        <v>281.31868131868129</v>
      </c>
      <c r="BP1559" t="s">
        <v>33</v>
      </c>
      <c r="BQ1559" t="s">
        <v>33</v>
      </c>
      <c r="BR1559" t="s">
        <v>33</v>
      </c>
      <c r="BS1559" t="s">
        <v>33</v>
      </c>
      <c r="BT1559" t="s">
        <v>31</v>
      </c>
      <c r="BU1559" t="s">
        <v>338</v>
      </c>
      <c r="BV1559">
        <v>2006</v>
      </c>
      <c r="BW1559" t="s">
        <v>339</v>
      </c>
      <c r="BX1559" t="s">
        <v>78</v>
      </c>
      <c r="BY1559" t="s">
        <v>340</v>
      </c>
      <c r="BZ1559" t="s">
        <v>337</v>
      </c>
      <c r="CA1559" t="str">
        <f t="shared" si="758"/>
        <v>low acid</v>
      </c>
    </row>
    <row r="1560" spans="1:79">
      <c r="A1560" t="s">
        <v>592</v>
      </c>
      <c r="B1560" t="s">
        <v>566</v>
      </c>
      <c r="C1560" t="s">
        <v>563</v>
      </c>
      <c r="D1560" t="s">
        <v>607</v>
      </c>
      <c r="E1560" t="s">
        <v>77</v>
      </c>
      <c r="F1560" t="s">
        <v>32</v>
      </c>
      <c r="G1560" t="s">
        <v>33</v>
      </c>
      <c r="H1560">
        <v>35</v>
      </c>
      <c r="I1560" t="b">
        <v>0</v>
      </c>
      <c r="J1560">
        <v>30000</v>
      </c>
      <c r="K1560">
        <v>200</v>
      </c>
      <c r="L1560">
        <v>25</v>
      </c>
      <c r="M1560" s="4">
        <v>1</v>
      </c>
      <c r="N1560" t="e">
        <f>(#REF!*Y1560)/(T1560*X1560*O1560)</f>
        <v>#REF!</v>
      </c>
      <c r="O1560">
        <v>3</v>
      </c>
      <c r="P1560" t="s">
        <v>33</v>
      </c>
      <c r="Q1560" s="1">
        <f t="shared" si="759"/>
        <v>6.1333333333333329</v>
      </c>
      <c r="R1560" t="s">
        <v>183</v>
      </c>
      <c r="S1560" t="s">
        <v>33</v>
      </c>
      <c r="T1560">
        <v>1</v>
      </c>
      <c r="U1560">
        <v>2.5</v>
      </c>
      <c r="V1560" t="s">
        <v>33</v>
      </c>
      <c r="W1560">
        <v>0.50249999999999995</v>
      </c>
      <c r="X1560">
        <f t="shared" si="765"/>
        <v>0.50249999999999995</v>
      </c>
      <c r="Y1560" t="s">
        <v>33</v>
      </c>
      <c r="Z1560" s="3">
        <f t="shared" si="766"/>
        <v>8.1929347826086948E-2</v>
      </c>
      <c r="AA1560" t="s">
        <v>33</v>
      </c>
      <c r="AB1560">
        <f>IFERROR(((X1560*M1560)/Z1560), "NA")</f>
        <v>6.1333333333333329</v>
      </c>
      <c r="AC1560" s="1" t="str">
        <f t="shared" si="762"/>
        <v>NA</v>
      </c>
      <c r="AE1560" s="3">
        <f t="shared" si="746"/>
        <v>11.5</v>
      </c>
      <c r="AF1560">
        <v>18.399999999999999</v>
      </c>
      <c r="AG1560" s="1" t="str">
        <f>IFERROR((N1560*P1560*Q1560), "NA")</f>
        <v>NA</v>
      </c>
      <c r="AH1560" s="1" t="str">
        <f>IFERROR((AG1560*U1560*AI1560), "NA")</f>
        <v>NA</v>
      </c>
      <c r="AI1560" s="1">
        <v>1</v>
      </c>
      <c r="AJ1560" s="11" t="s">
        <v>31</v>
      </c>
      <c r="AK1560">
        <v>1000</v>
      </c>
      <c r="AL1560" t="s">
        <v>614</v>
      </c>
      <c r="AM1560" s="3" t="s">
        <v>103</v>
      </c>
      <c r="AN1560" t="s">
        <v>305</v>
      </c>
      <c r="AO1560" t="s">
        <v>790</v>
      </c>
      <c r="AP1560">
        <v>3.5</v>
      </c>
      <c r="AQ1560" t="s">
        <v>33</v>
      </c>
      <c r="AR1560" t="s">
        <v>33</v>
      </c>
      <c r="AS1560">
        <v>8</v>
      </c>
      <c r="AT1560">
        <f>AS1560-AU1560</f>
        <v>7.46</v>
      </c>
      <c r="AU1560" s="6">
        <v>0.54</v>
      </c>
      <c r="AV1560" t="b">
        <v>1</v>
      </c>
      <c r="AW1560" t="s">
        <v>626</v>
      </c>
      <c r="AX1560" t="s">
        <v>627</v>
      </c>
      <c r="AY1560" t="s">
        <v>633</v>
      </c>
      <c r="AZ1560" t="s">
        <v>33</v>
      </c>
      <c r="BA1560" s="18" t="s">
        <v>800</v>
      </c>
      <c r="BB1560" s="3" t="b">
        <v>0</v>
      </c>
      <c r="BC1560" t="s">
        <v>81</v>
      </c>
      <c r="BD1560">
        <v>24</v>
      </c>
      <c r="BE1560" t="s">
        <v>80</v>
      </c>
      <c r="BF1560">
        <v>48</v>
      </c>
      <c r="BG1560" t="s">
        <v>569</v>
      </c>
      <c r="BH1560" t="s">
        <v>31</v>
      </c>
      <c r="BI1560" t="s">
        <v>31</v>
      </c>
      <c r="BJ1560">
        <f t="shared" si="753"/>
        <v>0.54</v>
      </c>
      <c r="BK1560" s="3">
        <f t="shared" si="756"/>
        <v>-0.26760624017703144</v>
      </c>
      <c r="BL1560">
        <v>2</v>
      </c>
      <c r="BM1560" s="3">
        <f t="shared" si="755"/>
        <v>1.3283040805306432</v>
      </c>
      <c r="BN1560" t="s">
        <v>33</v>
      </c>
      <c r="BO1560" s="3">
        <f t="shared" si="757"/>
        <v>21.296296296296294</v>
      </c>
      <c r="BP1560" t="s">
        <v>33</v>
      </c>
      <c r="BQ1560" t="s">
        <v>33</v>
      </c>
      <c r="BR1560" t="s">
        <v>33</v>
      </c>
      <c r="BS1560" t="s">
        <v>33</v>
      </c>
      <c r="BT1560" t="s">
        <v>31</v>
      </c>
      <c r="BU1560" s="15" t="s">
        <v>255</v>
      </c>
      <c r="BV1560">
        <v>2010</v>
      </c>
      <c r="BW1560" t="s">
        <v>659</v>
      </c>
      <c r="BX1560" t="s">
        <v>78</v>
      </c>
      <c r="BY1560" s="13" t="s">
        <v>680</v>
      </c>
      <c r="CA1560" t="str">
        <f t="shared" si="758"/>
        <v>high acid</v>
      </c>
    </row>
    <row r="1561" spans="1:79">
      <c r="A1561" t="s">
        <v>343</v>
      </c>
      <c r="B1561" t="s">
        <v>566</v>
      </c>
      <c r="C1561" t="s">
        <v>563</v>
      </c>
      <c r="D1561" t="s">
        <v>33</v>
      </c>
      <c r="E1561" t="s">
        <v>77</v>
      </c>
      <c r="F1561" t="s">
        <v>32</v>
      </c>
      <c r="G1561">
        <v>20</v>
      </c>
      <c r="H1561">
        <v>23</v>
      </c>
      <c r="I1561" t="b">
        <v>0</v>
      </c>
      <c r="J1561" t="s">
        <v>33</v>
      </c>
      <c r="K1561" t="s">
        <v>33</v>
      </c>
      <c r="L1561">
        <v>20</v>
      </c>
      <c r="M1561" s="4">
        <v>2</v>
      </c>
      <c r="N1561" s="3">
        <f>IFERROR(AF1561/((T1561*X1561/Y1561)*O1561*AI1561),"NA")</f>
        <v>2.1126760563380285</v>
      </c>
      <c r="O1561">
        <v>2</v>
      </c>
      <c r="P1561" t="s">
        <v>33</v>
      </c>
      <c r="Q1561" s="8">
        <f t="shared" si="759"/>
        <v>7.5</v>
      </c>
      <c r="R1561" t="s">
        <v>183</v>
      </c>
      <c r="S1561" t="s">
        <v>613</v>
      </c>
      <c r="T1561" s="11">
        <v>1</v>
      </c>
      <c r="U1561">
        <v>5</v>
      </c>
      <c r="V1561" t="s">
        <v>33</v>
      </c>
      <c r="W1561">
        <v>0.71</v>
      </c>
      <c r="X1561" s="8">
        <f t="shared" si="765"/>
        <v>0.71</v>
      </c>
      <c r="Y1561">
        <f>6/60</f>
        <v>0.1</v>
      </c>
      <c r="Z1561" s="3">
        <f t="shared" si="766"/>
        <v>9.4666666666666663E-2</v>
      </c>
      <c r="AA1561">
        <v>15</v>
      </c>
      <c r="AB1561" s="6">
        <f>IFERROR(((X1561*M1561)/Z1561), "NA")</f>
        <v>15</v>
      </c>
      <c r="AC1561" t="str">
        <f t="shared" si="762"/>
        <v>NA</v>
      </c>
      <c r="AD1561" s="4">
        <f>IFERROR(AB1561*T1561*AI1561, "NA")</f>
        <v>30</v>
      </c>
      <c r="AE1561" s="3">
        <f t="shared" si="746"/>
        <v>140.39999999999998</v>
      </c>
      <c r="AF1561">
        <v>60</v>
      </c>
      <c r="AG1561" t="str">
        <f>IFERROR((M1561*O1561*P1561), "NA")</f>
        <v>NA</v>
      </c>
      <c r="AH1561" t="str">
        <f>IFERROR((AG1561*T1561*AI1561), "NA")</f>
        <v>NA</v>
      </c>
      <c r="AI1561" s="11">
        <v>2</v>
      </c>
      <c r="AJ1561" s="11" t="s">
        <v>32</v>
      </c>
      <c r="AK1561" s="11">
        <v>5850</v>
      </c>
      <c r="AL1561" t="s">
        <v>562</v>
      </c>
      <c r="AM1561" s="3" t="s">
        <v>786</v>
      </c>
      <c r="AN1561" t="s">
        <v>186</v>
      </c>
      <c r="AO1561" t="s">
        <v>793</v>
      </c>
      <c r="AP1561" t="s">
        <v>33</v>
      </c>
      <c r="AQ1561" t="s">
        <v>33</v>
      </c>
      <c r="AR1561" t="s">
        <v>33</v>
      </c>
      <c r="AS1561" s="6">
        <f>LOG(10^8)</f>
        <v>8</v>
      </c>
      <c r="AT1561" s="3">
        <f>IFERROR(AS1561-AU1561,"NA")</f>
        <v>7.47</v>
      </c>
      <c r="AU1561" s="6">
        <v>0.53</v>
      </c>
      <c r="AV1561" t="b">
        <v>1</v>
      </c>
      <c r="AW1561" t="s">
        <v>29</v>
      </c>
      <c r="AX1561" t="s">
        <v>30</v>
      </c>
      <c r="AY1561" t="s">
        <v>33</v>
      </c>
      <c r="AZ1561" t="s">
        <v>134</v>
      </c>
      <c r="BA1561" s="18" t="s">
        <v>798</v>
      </c>
      <c r="BB1561" t="b">
        <v>0</v>
      </c>
      <c r="BC1561" t="s">
        <v>81</v>
      </c>
      <c r="BD1561">
        <v>18</v>
      </c>
      <c r="BE1561" t="s">
        <v>80</v>
      </c>
      <c r="BF1561" s="11">
        <v>21</v>
      </c>
      <c r="BG1561" t="s">
        <v>694</v>
      </c>
      <c r="BH1561" t="s">
        <v>31</v>
      </c>
      <c r="BI1561" t="s">
        <v>31</v>
      </c>
      <c r="BJ1561" s="3">
        <f t="shared" si="753"/>
        <v>0.53</v>
      </c>
      <c r="BK1561" s="3">
        <f t="shared" si="756"/>
        <v>-0.27572413039921095</v>
      </c>
      <c r="BL1561">
        <v>2</v>
      </c>
      <c r="BM1561" s="3">
        <f t="shared" si="755"/>
        <v>2.4230912381929972</v>
      </c>
      <c r="BN1561" t="s">
        <v>33</v>
      </c>
      <c r="BO1561" s="3">
        <f t="shared" si="757"/>
        <v>264.90566037735846</v>
      </c>
      <c r="BP1561" t="s">
        <v>33</v>
      </c>
      <c r="BQ1561" t="s">
        <v>33</v>
      </c>
      <c r="BR1561" t="s">
        <v>33</v>
      </c>
      <c r="BS1561" t="s">
        <v>33</v>
      </c>
      <c r="BT1561" t="s">
        <v>31</v>
      </c>
      <c r="BU1561" t="s">
        <v>338</v>
      </c>
      <c r="BV1561">
        <v>2005</v>
      </c>
      <c r="BW1561" s="2" t="s">
        <v>342</v>
      </c>
      <c r="BX1561" t="s">
        <v>78</v>
      </c>
      <c r="BY1561" t="s">
        <v>340</v>
      </c>
      <c r="BZ1561" t="s">
        <v>33</v>
      </c>
      <c r="CA1561" t="str">
        <f t="shared" si="758"/>
        <v>low acid</v>
      </c>
    </row>
    <row r="1562" spans="1:79">
      <c r="A1562" t="s">
        <v>733</v>
      </c>
      <c r="B1562" t="s">
        <v>566</v>
      </c>
      <c r="C1562" t="s">
        <v>563</v>
      </c>
      <c r="D1562" t="s">
        <v>699</v>
      </c>
      <c r="E1562" t="s">
        <v>77</v>
      </c>
      <c r="F1562" t="s">
        <v>32</v>
      </c>
      <c r="G1562">
        <v>20</v>
      </c>
      <c r="H1562">
        <v>41</v>
      </c>
      <c r="I1562" t="b">
        <v>1</v>
      </c>
      <c r="J1562" t="s">
        <v>33</v>
      </c>
      <c r="K1562" t="s">
        <v>33</v>
      </c>
      <c r="L1562">
        <v>20</v>
      </c>
      <c r="M1562" s="4">
        <v>30</v>
      </c>
      <c r="N1562" s="3">
        <f>IFERROR(AF1562/((T1562*X1562/Y1562)*O1562*AI1562),"NA")</f>
        <v>29.861111111111104</v>
      </c>
      <c r="O1562">
        <v>5</v>
      </c>
      <c r="P1562">
        <v>0.43</v>
      </c>
      <c r="Q1562" s="8">
        <f>IFERROR(X1562/Y1562, "NA")</f>
        <v>0.43200000000000011</v>
      </c>
      <c r="R1562" t="s">
        <v>183</v>
      </c>
      <c r="S1562" t="s">
        <v>612</v>
      </c>
      <c r="T1562" s="11">
        <v>1</v>
      </c>
      <c r="U1562">
        <v>4</v>
      </c>
      <c r="V1562" t="s">
        <v>33</v>
      </c>
      <c r="W1562">
        <f>0.4*3*0.5</f>
        <v>0.60000000000000009</v>
      </c>
      <c r="X1562" s="9">
        <f t="shared" si="765"/>
        <v>0.60000000000000009</v>
      </c>
      <c r="Y1562" s="6">
        <f>5000/3600</f>
        <v>1.3888888888888888</v>
      </c>
      <c r="Z1562" s="3">
        <f t="shared" si="766"/>
        <v>1.3953488372093026</v>
      </c>
      <c r="AA1562" t="s">
        <v>33</v>
      </c>
      <c r="AB1562" s="4">
        <f>IFERROR(((X1562*M1562)/Y1562), "NA")</f>
        <v>12.960000000000003</v>
      </c>
      <c r="AC1562" s="4">
        <f t="shared" si="762"/>
        <v>12.9</v>
      </c>
      <c r="AD1562" s="4">
        <f>AB1562*T1562*AI1562</f>
        <v>12.960000000000003</v>
      </c>
      <c r="AE1562" s="3">
        <f t="shared" si="746"/>
        <v>51.840000000000011</v>
      </c>
      <c r="AF1562">
        <v>64.5</v>
      </c>
      <c r="AG1562" s="4">
        <f>IFERROR((M1562*O1562*P1562), "NA")</f>
        <v>64.5</v>
      </c>
      <c r="AH1562" s="4">
        <f>IFERROR((AG1562*T1562*AI1562), "NA")</f>
        <v>64.5</v>
      </c>
      <c r="AI1562">
        <v>1</v>
      </c>
      <c r="AJ1562" s="11" t="s">
        <v>31</v>
      </c>
      <c r="AK1562">
        <v>2000</v>
      </c>
      <c r="AL1562" t="s">
        <v>784</v>
      </c>
      <c r="AM1562" t="s">
        <v>103</v>
      </c>
      <c r="AN1562" t="s">
        <v>130</v>
      </c>
      <c r="AO1562" t="s">
        <v>795</v>
      </c>
      <c r="AP1562">
        <v>7</v>
      </c>
      <c r="AQ1562" t="s">
        <v>33</v>
      </c>
      <c r="AR1562" t="s">
        <v>33</v>
      </c>
      <c r="AS1562" s="6">
        <f>LOG(AVERAGE(10^8, 10^9))</f>
        <v>8.7403626894942441</v>
      </c>
      <c r="AT1562" s="3">
        <f>IFERROR(AS1562-AU1562,"NA")</f>
        <v>7.4773626894942442</v>
      </c>
      <c r="AU1562" s="6">
        <v>1.2629999999999999</v>
      </c>
      <c r="AV1562" t="b">
        <v>1</v>
      </c>
      <c r="AW1562" t="s">
        <v>172</v>
      </c>
      <c r="AX1562" t="s">
        <v>173</v>
      </c>
      <c r="AY1562" t="s">
        <v>736</v>
      </c>
      <c r="AZ1562" t="s">
        <v>33</v>
      </c>
      <c r="BA1562" s="18" t="s">
        <v>799</v>
      </c>
      <c r="BB1562" s="3" t="b">
        <v>0</v>
      </c>
      <c r="BC1562" t="s">
        <v>81</v>
      </c>
      <c r="BD1562">
        <v>24</v>
      </c>
      <c r="BE1562" t="s">
        <v>80</v>
      </c>
      <c r="BF1562">
        <v>48</v>
      </c>
      <c r="BG1562" t="s">
        <v>734</v>
      </c>
      <c r="BH1562" t="s">
        <v>31</v>
      </c>
      <c r="BI1562" t="s">
        <v>31</v>
      </c>
      <c r="BJ1562" s="3">
        <f t="shared" si="753"/>
        <v>1.2629999999999999</v>
      </c>
      <c r="BK1562" s="3">
        <f t="shared" si="756"/>
        <v>0.10140335055533072</v>
      </c>
      <c r="BL1562">
        <v>2</v>
      </c>
      <c r="BM1562" s="3">
        <f t="shared" si="755"/>
        <v>1.6132616423072064</v>
      </c>
      <c r="BN1562" t="s">
        <v>33</v>
      </c>
      <c r="BO1562" s="3">
        <f t="shared" si="757"/>
        <v>41.045130641330175</v>
      </c>
      <c r="BP1562" t="s">
        <v>33</v>
      </c>
      <c r="BQ1562" t="s">
        <v>33</v>
      </c>
      <c r="BR1562" t="s">
        <v>33</v>
      </c>
      <c r="BS1562" t="s">
        <v>33</v>
      </c>
      <c r="BT1562" t="s">
        <v>32</v>
      </c>
      <c r="BU1562" t="s">
        <v>709</v>
      </c>
      <c r="BV1562">
        <v>2024</v>
      </c>
      <c r="BW1562" t="s">
        <v>710</v>
      </c>
      <c r="BX1562" t="s">
        <v>78</v>
      </c>
      <c r="BY1562" t="s">
        <v>711</v>
      </c>
      <c r="CA1562" t="str">
        <f t="shared" si="758"/>
        <v>low acid</v>
      </c>
    </row>
    <row r="1563" spans="1:79">
      <c r="A1563" t="s">
        <v>600</v>
      </c>
      <c r="B1563" t="s">
        <v>566</v>
      </c>
      <c r="C1563" t="s">
        <v>563</v>
      </c>
      <c r="D1563" t="s">
        <v>33</v>
      </c>
      <c r="E1563" t="s">
        <v>77</v>
      </c>
      <c r="F1563" t="s">
        <v>33</v>
      </c>
      <c r="G1563" t="s">
        <v>33</v>
      </c>
      <c r="H1563">
        <v>35</v>
      </c>
      <c r="I1563" t="b">
        <v>0</v>
      </c>
      <c r="J1563" t="s">
        <v>33</v>
      </c>
      <c r="K1563" t="s">
        <v>33</v>
      </c>
      <c r="L1563">
        <v>25</v>
      </c>
      <c r="M1563" s="4">
        <v>1</v>
      </c>
      <c r="N1563" t="e">
        <f>(#REF!*Y1563)/(T1563*X1563*O1563)</f>
        <v>#REF!</v>
      </c>
      <c r="O1563">
        <v>2</v>
      </c>
      <c r="P1563" t="s">
        <v>33</v>
      </c>
      <c r="Q1563" s="1">
        <f>IFERROR(X1563/Z1563, "NA")</f>
        <v>4.8449999999999998</v>
      </c>
      <c r="R1563" t="s">
        <v>183</v>
      </c>
      <c r="S1563" t="s">
        <v>33</v>
      </c>
      <c r="T1563">
        <v>1</v>
      </c>
      <c r="U1563">
        <v>2.5</v>
      </c>
      <c r="V1563" t="s">
        <v>33</v>
      </c>
      <c r="W1563">
        <v>0.50249999999999995</v>
      </c>
      <c r="X1563">
        <f t="shared" si="765"/>
        <v>0.50249999999999995</v>
      </c>
      <c r="Y1563" t="s">
        <v>33</v>
      </c>
      <c r="Z1563" s="3">
        <f t="shared" si="766"/>
        <v>0.10371517027863776</v>
      </c>
      <c r="AA1563" t="s">
        <v>33</v>
      </c>
      <c r="AB1563">
        <f>IFERROR(((X1563*M1563)/Z1563), "NA")</f>
        <v>4.8449999999999998</v>
      </c>
      <c r="AC1563" s="1" t="str">
        <f t="shared" si="762"/>
        <v>NA</v>
      </c>
      <c r="AE1563" s="3">
        <f t="shared" si="746"/>
        <v>12.112499999999999</v>
      </c>
      <c r="AF1563">
        <v>9.69</v>
      </c>
      <c r="AG1563" s="1" t="str">
        <f>IFERROR((N1563*P1563*Q1563), "NA")</f>
        <v>NA</v>
      </c>
      <c r="AH1563" s="1" t="str">
        <f>IFERROR((AG1563*U1563*AI1563), "NA")</f>
        <v>NA</v>
      </c>
      <c r="AI1563" s="1">
        <v>1</v>
      </c>
      <c r="AJ1563" s="11" t="s">
        <v>31</v>
      </c>
      <c r="AK1563">
        <v>2000</v>
      </c>
      <c r="AL1563" t="s">
        <v>784</v>
      </c>
      <c r="AM1563" s="3" t="s">
        <v>103</v>
      </c>
      <c r="AN1563" t="s">
        <v>130</v>
      </c>
      <c r="AO1563" t="s">
        <v>795</v>
      </c>
      <c r="AP1563">
        <v>7</v>
      </c>
      <c r="AQ1563" t="s">
        <v>33</v>
      </c>
      <c r="AR1563" t="s">
        <v>33</v>
      </c>
      <c r="AS1563">
        <v>8</v>
      </c>
      <c r="AT1563">
        <f>AS1563-AU1563</f>
        <v>7.48</v>
      </c>
      <c r="AU1563" s="6">
        <v>0.52</v>
      </c>
      <c r="AV1563" t="b">
        <v>1</v>
      </c>
      <c r="AW1563" t="s">
        <v>626</v>
      </c>
      <c r="AX1563" t="s">
        <v>627</v>
      </c>
      <c r="AY1563" t="s">
        <v>640</v>
      </c>
      <c r="AZ1563" t="s">
        <v>33</v>
      </c>
      <c r="BA1563" s="18" t="s">
        <v>800</v>
      </c>
      <c r="BB1563" s="3" t="b">
        <v>0</v>
      </c>
      <c r="BC1563" t="s">
        <v>81</v>
      </c>
      <c r="BD1563">
        <f>AVERAGE(24,30)</f>
        <v>27</v>
      </c>
      <c r="BE1563" t="s">
        <v>80</v>
      </c>
      <c r="BF1563">
        <v>24</v>
      </c>
      <c r="BG1563" t="s">
        <v>568</v>
      </c>
      <c r="BH1563" t="s">
        <v>31</v>
      </c>
      <c r="BI1563" t="s">
        <v>31</v>
      </c>
      <c r="BJ1563" s="3">
        <f t="shared" si="753"/>
        <v>0.52</v>
      </c>
      <c r="BK1563" s="3">
        <f t="shared" si="756"/>
        <v>-0.28399665636520083</v>
      </c>
      <c r="BL1563">
        <v>2</v>
      </c>
      <c r="BM1563" s="3">
        <f t="shared" si="755"/>
        <v>1.3672304464240226</v>
      </c>
      <c r="BN1563" t="s">
        <v>33</v>
      </c>
      <c r="BO1563" s="3">
        <f t="shared" si="757"/>
        <v>23.293269230769226</v>
      </c>
      <c r="BP1563" t="s">
        <v>33</v>
      </c>
      <c r="BQ1563" t="s">
        <v>33</v>
      </c>
      <c r="BR1563" t="s">
        <v>33</v>
      </c>
      <c r="BS1563" t="s">
        <v>33</v>
      </c>
      <c r="BT1563" t="s">
        <v>31</v>
      </c>
      <c r="BU1563" t="s">
        <v>666</v>
      </c>
      <c r="BV1563" s="14">
        <v>2006</v>
      </c>
      <c r="BW1563" t="s">
        <v>667</v>
      </c>
      <c r="BX1563" t="s">
        <v>78</v>
      </c>
      <c r="BY1563" s="13" t="s">
        <v>688</v>
      </c>
      <c r="CA1563" t="str">
        <f t="shared" si="758"/>
        <v>low acid</v>
      </c>
    </row>
    <row r="1564" spans="1:79">
      <c r="A1564" t="s">
        <v>237</v>
      </c>
      <c r="B1564" t="s">
        <v>565</v>
      </c>
      <c r="C1564" t="s">
        <v>563</v>
      </c>
      <c r="D1564" t="s">
        <v>118</v>
      </c>
      <c r="E1564" t="s">
        <v>77</v>
      </c>
      <c r="F1564" t="s">
        <v>32</v>
      </c>
      <c r="G1564">
        <v>4</v>
      </c>
      <c r="H1564">
        <v>32.5</v>
      </c>
      <c r="I1564" t="b">
        <v>0</v>
      </c>
      <c r="J1564" t="s">
        <v>33</v>
      </c>
      <c r="K1564" t="s">
        <v>33</v>
      </c>
      <c r="L1564">
        <v>35</v>
      </c>
      <c r="M1564" s="4">
        <v>200</v>
      </c>
      <c r="N1564" s="3">
        <f>IFERROR(AF1564/((T1564*X1564/Y1564)*O1564*AI1564),"NA")</f>
        <v>128.79281072122978</v>
      </c>
      <c r="O1564">
        <v>4</v>
      </c>
      <c r="P1564" t="s">
        <v>33</v>
      </c>
      <c r="Q1564" s="9">
        <f>IFERROR(X1564/Z1564, "NA")</f>
        <v>7.8125E-3</v>
      </c>
      <c r="R1564" t="s">
        <v>183</v>
      </c>
      <c r="S1564" t="s">
        <v>612</v>
      </c>
      <c r="T1564" s="11">
        <v>8</v>
      </c>
      <c r="U1564">
        <v>2.92</v>
      </c>
      <c r="V1564">
        <v>2.2999999999999998</v>
      </c>
      <c r="W1564">
        <v>1.2E-2</v>
      </c>
      <c r="X1564" s="8">
        <f>IFERROR(((PI())*(((V1564*10^-1)/2)^2)*(U1564*10^-1)), "NA")</f>
        <v>1.2131888350367701E-2</v>
      </c>
      <c r="Y1564" s="6">
        <f>60/60</f>
        <v>1</v>
      </c>
      <c r="Z1564" s="3">
        <f t="shared" si="766"/>
        <v>1.5528817088470657</v>
      </c>
      <c r="AA1564" t="s">
        <v>33</v>
      </c>
      <c r="AB1564" s="6">
        <f>IFERROR(((X1564*M1564)/Z1564), "NA")</f>
        <v>1.5625</v>
      </c>
      <c r="AC1564" t="str">
        <f t="shared" si="762"/>
        <v>NA</v>
      </c>
      <c r="AD1564" s="4">
        <f>AB1564*T1564*AI1564</f>
        <v>12.5</v>
      </c>
      <c r="AE1564" s="3">
        <f t="shared" si="746"/>
        <v>259.7</v>
      </c>
      <c r="AF1564">
        <v>50</v>
      </c>
      <c r="AG1564" t="str">
        <f>IFERROR((M1564*O1564*P1564), "NA")</f>
        <v>NA</v>
      </c>
      <c r="AH1564" t="str">
        <f>IFERROR((AG1564*T1564*AI1564), "NA")</f>
        <v>NA</v>
      </c>
      <c r="AI1564">
        <v>1</v>
      </c>
      <c r="AJ1564" t="s">
        <v>31</v>
      </c>
      <c r="AK1564">
        <v>4240</v>
      </c>
      <c r="AL1564" t="s">
        <v>238</v>
      </c>
      <c r="AM1564" t="s">
        <v>86</v>
      </c>
      <c r="AN1564" t="s">
        <v>205</v>
      </c>
      <c r="AO1564" t="s">
        <v>789</v>
      </c>
      <c r="AP1564">
        <v>3.56</v>
      </c>
      <c r="AQ1564" t="s">
        <v>33</v>
      </c>
      <c r="AR1564" t="s">
        <v>33</v>
      </c>
      <c r="AS1564">
        <f>LOG(10^8)</f>
        <v>8</v>
      </c>
      <c r="AT1564" s="3">
        <f>IFERROR(AS1564-AU1564,"NA")</f>
        <v>7.4809999999999999</v>
      </c>
      <c r="AU1564" s="6">
        <v>0.51900000000000002</v>
      </c>
      <c r="AV1564" t="b">
        <v>1</v>
      </c>
      <c r="AW1564" t="s">
        <v>172</v>
      </c>
      <c r="AX1564" t="s">
        <v>173</v>
      </c>
      <c r="AY1564" t="s">
        <v>239</v>
      </c>
      <c r="AZ1564" t="s">
        <v>33</v>
      </c>
      <c r="BA1564" s="18" t="s">
        <v>799</v>
      </c>
      <c r="BB1564" t="b">
        <v>0</v>
      </c>
      <c r="BC1564" t="s">
        <v>81</v>
      </c>
      <c r="BD1564">
        <v>48</v>
      </c>
      <c r="BE1564" t="s">
        <v>80</v>
      </c>
      <c r="BF1564" s="11">
        <v>120</v>
      </c>
      <c r="BG1564" t="s">
        <v>571</v>
      </c>
      <c r="BH1564" t="s">
        <v>31</v>
      </c>
      <c r="BI1564" t="s">
        <v>31</v>
      </c>
      <c r="BJ1564" s="3">
        <f t="shared" si="753"/>
        <v>0.51900000000000002</v>
      </c>
      <c r="BK1564" s="3">
        <f t="shared" si="756"/>
        <v>-0.28483264215154214</v>
      </c>
      <c r="BL1564">
        <v>2</v>
      </c>
      <c r="BM1564" s="3">
        <f t="shared" ref="BM1564:BM1595" si="767">IFERROR(LOG(BO1564),"NA")</f>
        <v>2.6993045917808449</v>
      </c>
      <c r="BN1564" t="s">
        <v>33</v>
      </c>
      <c r="BO1564" s="3">
        <f t="shared" si="757"/>
        <v>500.38535645472058</v>
      </c>
      <c r="BP1564" t="s">
        <v>33</v>
      </c>
      <c r="BQ1564" t="s">
        <v>33</v>
      </c>
      <c r="BR1564" t="s">
        <v>33</v>
      </c>
      <c r="BS1564" t="s">
        <v>33</v>
      </c>
      <c r="BT1564" t="s">
        <v>31</v>
      </c>
      <c r="BU1564" t="s">
        <v>240</v>
      </c>
      <c r="BV1564">
        <v>2004</v>
      </c>
      <c r="BW1564" t="s">
        <v>241</v>
      </c>
      <c r="BX1564" t="s">
        <v>78</v>
      </c>
      <c r="BY1564" t="s">
        <v>33</v>
      </c>
      <c r="BZ1564" t="s">
        <v>33</v>
      </c>
      <c r="CA1564" t="str">
        <f t="shared" si="758"/>
        <v>high acid</v>
      </c>
    </row>
    <row r="1565" spans="1:79">
      <c r="A1565" t="s">
        <v>733</v>
      </c>
      <c r="B1565" t="s">
        <v>566</v>
      </c>
      <c r="C1565" t="s">
        <v>563</v>
      </c>
      <c r="D1565" t="s">
        <v>699</v>
      </c>
      <c r="E1565" t="s">
        <v>77</v>
      </c>
      <c r="F1565" t="s">
        <v>32</v>
      </c>
      <c r="G1565">
        <v>20</v>
      </c>
      <c r="H1565">
        <v>41</v>
      </c>
      <c r="I1565" t="b">
        <v>1</v>
      </c>
      <c r="J1565" t="s">
        <v>33</v>
      </c>
      <c r="K1565" t="s">
        <v>33</v>
      </c>
      <c r="L1565">
        <v>20</v>
      </c>
      <c r="M1565" s="4">
        <v>30</v>
      </c>
      <c r="N1565" s="3">
        <f>IFERROR(AF1565/((T1565*X1565/Y1565)*O1565*AI1565),"NA")</f>
        <v>29.861111111111104</v>
      </c>
      <c r="O1565">
        <v>5</v>
      </c>
      <c r="P1565">
        <v>0.43</v>
      </c>
      <c r="Q1565" s="8">
        <f>IFERROR(X1565/Y1565, "NA")</f>
        <v>0.43200000000000011</v>
      </c>
      <c r="R1565" t="s">
        <v>183</v>
      </c>
      <c r="S1565" t="s">
        <v>612</v>
      </c>
      <c r="T1565" s="11">
        <v>1</v>
      </c>
      <c r="U1565">
        <v>4</v>
      </c>
      <c r="V1565" t="s">
        <v>33</v>
      </c>
      <c r="W1565">
        <f>0.4*3*0.5</f>
        <v>0.60000000000000009</v>
      </c>
      <c r="X1565" s="9">
        <f>W1565</f>
        <v>0.60000000000000009</v>
      </c>
      <c r="Y1565" s="6">
        <f>5000/3600</f>
        <v>1.3888888888888888</v>
      </c>
      <c r="Z1565" s="3">
        <f t="shared" si="766"/>
        <v>1.3953488372093026</v>
      </c>
      <c r="AA1565" t="s">
        <v>33</v>
      </c>
      <c r="AB1565" s="4">
        <f>IFERROR(((X1565*M1565)/Y1565), "NA")</f>
        <v>12.960000000000003</v>
      </c>
      <c r="AC1565" s="4">
        <f t="shared" si="762"/>
        <v>12.9</v>
      </c>
      <c r="AD1565" s="4">
        <f>AB1565*T1565*AI1565</f>
        <v>12.960000000000003</v>
      </c>
      <c r="AE1565" s="3">
        <f t="shared" si="746"/>
        <v>51.840000000000011</v>
      </c>
      <c r="AF1565">
        <v>64.5</v>
      </c>
      <c r="AG1565" s="4">
        <f>IFERROR((M1565*O1565*P1565), "NA")</f>
        <v>64.5</v>
      </c>
      <c r="AH1565" s="4">
        <f>IFERROR((AG1565*T1565*AI1565), "NA")</f>
        <v>64.5</v>
      </c>
      <c r="AI1565">
        <v>1</v>
      </c>
      <c r="AJ1565" s="11" t="s">
        <v>31</v>
      </c>
      <c r="AK1565">
        <v>2000</v>
      </c>
      <c r="AL1565" t="s">
        <v>784</v>
      </c>
      <c r="AM1565" t="s">
        <v>103</v>
      </c>
      <c r="AN1565" t="s">
        <v>130</v>
      </c>
      <c r="AO1565" t="s">
        <v>795</v>
      </c>
      <c r="AP1565">
        <v>7</v>
      </c>
      <c r="AQ1565" t="s">
        <v>33</v>
      </c>
      <c r="AR1565" t="s">
        <v>33</v>
      </c>
      <c r="AS1565" s="6">
        <f>LOG(AVERAGE(10^8, 10^9))</f>
        <v>8.7403626894942441</v>
      </c>
      <c r="AT1565" s="3">
        <f>IFERROR(AS1565-AU1565,"NA")</f>
        <v>7.4863626894942445</v>
      </c>
      <c r="AU1565" s="6">
        <v>1.254</v>
      </c>
      <c r="AV1565" t="b">
        <v>1</v>
      </c>
      <c r="AW1565" t="s">
        <v>172</v>
      </c>
      <c r="AX1565" t="s">
        <v>173</v>
      </c>
      <c r="AY1565" t="s">
        <v>735</v>
      </c>
      <c r="AZ1565" t="s">
        <v>33</v>
      </c>
      <c r="BA1565" s="18" t="s">
        <v>799</v>
      </c>
      <c r="BB1565" s="3" t="b">
        <v>0</v>
      </c>
      <c r="BC1565" t="s">
        <v>81</v>
      </c>
      <c r="BD1565">
        <v>24</v>
      </c>
      <c r="BE1565" t="s">
        <v>80</v>
      </c>
      <c r="BF1565">
        <v>48</v>
      </c>
      <c r="BG1565" t="s">
        <v>734</v>
      </c>
      <c r="BH1565" t="s">
        <v>31</v>
      </c>
      <c r="BI1565" t="s">
        <v>31</v>
      </c>
      <c r="BJ1565" s="3">
        <f t="shared" si="753"/>
        <v>1.254</v>
      </c>
      <c r="BK1565" s="3">
        <f t="shared" si="756"/>
        <v>9.8297536494697635E-2</v>
      </c>
      <c r="BL1565">
        <v>2</v>
      </c>
      <c r="BM1565" s="3">
        <f t="shared" si="767"/>
        <v>1.6163674563678394</v>
      </c>
      <c r="BN1565" t="s">
        <v>33</v>
      </c>
      <c r="BO1565" s="3">
        <f t="shared" si="757"/>
        <v>41.339712918660297</v>
      </c>
      <c r="BP1565" t="s">
        <v>33</v>
      </c>
      <c r="BQ1565" t="s">
        <v>33</v>
      </c>
      <c r="BR1565" t="s">
        <v>33</v>
      </c>
      <c r="BS1565" t="s">
        <v>33</v>
      </c>
      <c r="BT1565" t="s">
        <v>32</v>
      </c>
      <c r="BU1565" t="s">
        <v>709</v>
      </c>
      <c r="BV1565">
        <v>2024</v>
      </c>
      <c r="BW1565" t="s">
        <v>710</v>
      </c>
      <c r="BX1565" t="s">
        <v>78</v>
      </c>
      <c r="BY1565" t="s">
        <v>711</v>
      </c>
      <c r="CA1565" t="str">
        <f t="shared" si="758"/>
        <v>low acid</v>
      </c>
    </row>
    <row r="1566" spans="1:79">
      <c r="A1566" t="s">
        <v>391</v>
      </c>
      <c r="B1566" t="s">
        <v>565</v>
      </c>
      <c r="C1566" t="s">
        <v>563</v>
      </c>
      <c r="D1566" t="s">
        <v>118</v>
      </c>
      <c r="E1566" t="s">
        <v>77</v>
      </c>
      <c r="F1566" t="s">
        <v>32</v>
      </c>
      <c r="G1566">
        <v>25</v>
      </c>
      <c r="H1566">
        <v>36</v>
      </c>
      <c r="I1566" t="b">
        <v>0</v>
      </c>
      <c r="J1566" t="s">
        <v>33</v>
      </c>
      <c r="K1566" t="s">
        <v>33</v>
      </c>
      <c r="L1566">
        <v>15</v>
      </c>
      <c r="M1566" s="4">
        <v>200</v>
      </c>
      <c r="N1566" s="3" t="str">
        <f>IFERROR(AF1566/((T1566*X1566/Y1566)*O1566*AI1566),"NA")</f>
        <v>NA</v>
      </c>
      <c r="O1566">
        <v>4</v>
      </c>
      <c r="P1566" t="s">
        <v>33</v>
      </c>
      <c r="Q1566" s="8">
        <f>IFERROR(X1566/Z1566, "NA")</f>
        <v>2.3437500000000003E-2</v>
      </c>
      <c r="R1566" t="s">
        <v>183</v>
      </c>
      <c r="S1566" t="s">
        <v>612</v>
      </c>
      <c r="T1566" s="11">
        <v>8</v>
      </c>
      <c r="U1566">
        <v>2.9</v>
      </c>
      <c r="V1566">
        <v>2.2999999999999998</v>
      </c>
      <c r="W1566">
        <v>1.2E-2</v>
      </c>
      <c r="X1566" s="8">
        <f>IFERROR(((PI())*(((V1566*10^-1)/2)^2)*(U1566*10^-1)), "NA")</f>
        <v>1.204879322468025E-2</v>
      </c>
      <c r="Y1566" t="s">
        <v>33</v>
      </c>
      <c r="Z1566" s="3">
        <f t="shared" si="766"/>
        <v>0.51408184425302395</v>
      </c>
      <c r="AA1566" t="s">
        <v>33</v>
      </c>
      <c r="AB1566" s="6">
        <f>IFERROR(((X1566*M1566)/Z1566), "NA")</f>
        <v>4.6875</v>
      </c>
      <c r="AC1566" t="str">
        <f t="shared" si="762"/>
        <v>NA</v>
      </c>
      <c r="AD1566" s="4">
        <f>IFERROR(AB1566*T1566*AI1566, "NA")</f>
        <v>37.5</v>
      </c>
      <c r="AE1566" s="3">
        <f t="shared" si="746"/>
        <v>143.1</v>
      </c>
      <c r="AF1566">
        <v>150</v>
      </c>
      <c r="AG1566" t="str">
        <f>IFERROR((M1566*O1566*P1566), "NA")</f>
        <v>NA</v>
      </c>
      <c r="AH1566" t="str">
        <f>IFERROR((AG1566*T1566*AI1566), "NA")</f>
        <v>NA</v>
      </c>
      <c r="AI1566" s="11">
        <v>1</v>
      </c>
      <c r="AJ1566" t="s">
        <v>31</v>
      </c>
      <c r="AK1566">
        <v>4240</v>
      </c>
      <c r="AL1566" t="s">
        <v>238</v>
      </c>
      <c r="AM1566" t="s">
        <v>86</v>
      </c>
      <c r="AN1566" t="s">
        <v>205</v>
      </c>
      <c r="AO1566" t="s">
        <v>789</v>
      </c>
      <c r="AP1566">
        <v>3.56</v>
      </c>
      <c r="AQ1566" t="s">
        <v>33</v>
      </c>
      <c r="AR1566" t="s">
        <v>33</v>
      </c>
      <c r="AS1566" s="6">
        <f>LOG(10^8)</f>
        <v>8</v>
      </c>
      <c r="AT1566" s="3">
        <f>IFERROR(AS1566-AU1566,"NA")</f>
        <v>7.4889999999999999</v>
      </c>
      <c r="AU1566" s="6">
        <v>0.51100000000000001</v>
      </c>
      <c r="AV1566" t="b">
        <v>1</v>
      </c>
      <c r="AW1566" t="s">
        <v>123</v>
      </c>
      <c r="AX1566" t="s">
        <v>393</v>
      </c>
      <c r="AY1566" t="s">
        <v>394</v>
      </c>
      <c r="AZ1566" t="s">
        <v>33</v>
      </c>
      <c r="BA1566" s="18" t="s">
        <v>579</v>
      </c>
      <c r="BB1566" t="b">
        <v>1</v>
      </c>
      <c r="BC1566" t="s">
        <v>81</v>
      </c>
      <c r="BD1566">
        <v>72</v>
      </c>
      <c r="BE1566" t="s">
        <v>80</v>
      </c>
      <c r="BF1566" s="11">
        <v>72</v>
      </c>
      <c r="BG1566" t="s">
        <v>395</v>
      </c>
      <c r="BH1566" t="s">
        <v>31</v>
      </c>
      <c r="BI1566" t="s">
        <v>31</v>
      </c>
      <c r="BJ1566" s="3">
        <f t="shared" si="753"/>
        <v>0.51100000000000001</v>
      </c>
      <c r="BK1566" s="3">
        <f t="shared" si="756"/>
        <v>-0.29157909986528724</v>
      </c>
      <c r="BL1566">
        <v>2</v>
      </c>
      <c r="BM1566" s="3">
        <f t="shared" si="767"/>
        <v>2.4472187336250637</v>
      </c>
      <c r="BN1566" t="s">
        <v>33</v>
      </c>
      <c r="BO1566" s="3">
        <f t="shared" si="757"/>
        <v>280.03913894324853</v>
      </c>
      <c r="BP1566" t="s">
        <v>33</v>
      </c>
      <c r="BQ1566" t="s">
        <v>33</v>
      </c>
      <c r="BR1566" t="s">
        <v>33</v>
      </c>
      <c r="BS1566" t="s">
        <v>33</v>
      </c>
      <c r="BT1566" t="s">
        <v>31</v>
      </c>
      <c r="BU1566" t="s">
        <v>240</v>
      </c>
      <c r="BV1566">
        <v>2005</v>
      </c>
      <c r="BW1566" t="s">
        <v>396</v>
      </c>
      <c r="BX1566" t="s">
        <v>78</v>
      </c>
      <c r="BY1566" t="s">
        <v>33</v>
      </c>
      <c r="BZ1566" t="s">
        <v>33</v>
      </c>
      <c r="CA1566" t="str">
        <f t="shared" si="758"/>
        <v>high acid</v>
      </c>
    </row>
    <row r="1567" spans="1:79">
      <c r="A1567" t="s">
        <v>592</v>
      </c>
      <c r="B1567" t="s">
        <v>566</v>
      </c>
      <c r="C1567" t="s">
        <v>563</v>
      </c>
      <c r="D1567" t="s">
        <v>607</v>
      </c>
      <c r="E1567" t="s">
        <v>77</v>
      </c>
      <c r="F1567" t="s">
        <v>32</v>
      </c>
      <c r="G1567" t="s">
        <v>33</v>
      </c>
      <c r="H1567">
        <v>35</v>
      </c>
      <c r="I1567" t="b">
        <v>0</v>
      </c>
      <c r="J1567">
        <v>30000</v>
      </c>
      <c r="K1567">
        <v>200</v>
      </c>
      <c r="L1567">
        <v>15</v>
      </c>
      <c r="M1567" s="4">
        <v>1</v>
      </c>
      <c r="N1567" t="e">
        <f>(#REF!*Y1567)/(T1567*X1567*O1567)</f>
        <v>#REF!</v>
      </c>
      <c r="O1567">
        <v>3</v>
      </c>
      <c r="P1567" t="s">
        <v>33</v>
      </c>
      <c r="Q1567" s="1">
        <f>IFERROR(X1567/Z1567, "NA")</f>
        <v>49.933333333333337</v>
      </c>
      <c r="R1567" t="s">
        <v>183</v>
      </c>
      <c r="S1567" t="s">
        <v>33</v>
      </c>
      <c r="T1567">
        <v>1</v>
      </c>
      <c r="U1567">
        <v>2.5</v>
      </c>
      <c r="V1567" t="s">
        <v>33</v>
      </c>
      <c r="W1567">
        <v>0.50249999999999995</v>
      </c>
      <c r="X1567">
        <f>W1567</f>
        <v>0.50249999999999995</v>
      </c>
      <c r="Y1567" t="s">
        <v>33</v>
      </c>
      <c r="Z1567" s="3">
        <f t="shared" si="766"/>
        <v>1.0063417890520692E-2</v>
      </c>
      <c r="AA1567" t="s">
        <v>33</v>
      </c>
      <c r="AB1567">
        <f>IFERROR(((X1567*M1567)/Z1567), "NA")</f>
        <v>49.933333333333337</v>
      </c>
      <c r="AC1567" s="1" t="str">
        <f t="shared" si="762"/>
        <v>NA</v>
      </c>
      <c r="AE1567" s="3">
        <f t="shared" si="746"/>
        <v>33.704999999999998</v>
      </c>
      <c r="AF1567">
        <v>149.80000000000001</v>
      </c>
      <c r="AG1567" s="1" t="str">
        <f>IFERROR((N1567*P1567*Q1567), "NA")</f>
        <v>NA</v>
      </c>
      <c r="AH1567" s="1" t="str">
        <f>IFERROR((AG1567*U1567*AI1567), "NA")</f>
        <v>NA</v>
      </c>
      <c r="AI1567" s="1">
        <v>1</v>
      </c>
      <c r="AJ1567" s="11" t="s">
        <v>31</v>
      </c>
      <c r="AK1567">
        <v>1000</v>
      </c>
      <c r="AL1567" t="s">
        <v>614</v>
      </c>
      <c r="AM1567" s="3" t="s">
        <v>103</v>
      </c>
      <c r="AN1567" t="s">
        <v>305</v>
      </c>
      <c r="AO1567" t="s">
        <v>790</v>
      </c>
      <c r="AP1567">
        <v>4.5</v>
      </c>
      <c r="AQ1567" t="s">
        <v>33</v>
      </c>
      <c r="AR1567" t="s">
        <v>33</v>
      </c>
      <c r="AS1567">
        <v>8</v>
      </c>
      <c r="AT1567">
        <f>AS1567-AU1567</f>
        <v>7.49</v>
      </c>
      <c r="AU1567" s="6">
        <v>0.51</v>
      </c>
      <c r="AV1567" t="b">
        <v>1</v>
      </c>
      <c r="AW1567" t="s">
        <v>626</v>
      </c>
      <c r="AX1567" t="s">
        <v>627</v>
      </c>
      <c r="AY1567" t="s">
        <v>633</v>
      </c>
      <c r="AZ1567" t="s">
        <v>33</v>
      </c>
      <c r="BA1567" s="18" t="s">
        <v>800</v>
      </c>
      <c r="BB1567" s="3" t="b">
        <v>0</v>
      </c>
      <c r="BC1567" t="s">
        <v>81</v>
      </c>
      <c r="BD1567">
        <v>24</v>
      </c>
      <c r="BE1567" t="s">
        <v>80</v>
      </c>
      <c r="BF1567">
        <v>48</v>
      </c>
      <c r="BG1567" t="s">
        <v>569</v>
      </c>
      <c r="BH1567" t="s">
        <v>31</v>
      </c>
      <c r="BI1567" t="s">
        <v>31</v>
      </c>
      <c r="BJ1567">
        <f t="shared" si="753"/>
        <v>0.51</v>
      </c>
      <c r="BK1567" s="3">
        <f t="shared" si="756"/>
        <v>-0.29242982390206362</v>
      </c>
      <c r="BL1567">
        <v>2</v>
      </c>
      <c r="BM1567" s="3">
        <f t="shared" si="767"/>
        <v>1.8201241553768737</v>
      </c>
      <c r="BN1567" t="s">
        <v>33</v>
      </c>
      <c r="BO1567" s="3">
        <f t="shared" si="757"/>
        <v>66.088235294117638</v>
      </c>
      <c r="BP1567" t="s">
        <v>33</v>
      </c>
      <c r="BQ1567" t="s">
        <v>33</v>
      </c>
      <c r="BR1567" t="s">
        <v>33</v>
      </c>
      <c r="BS1567" t="s">
        <v>33</v>
      </c>
      <c r="BT1567" t="s">
        <v>31</v>
      </c>
      <c r="BU1567" s="15" t="s">
        <v>255</v>
      </c>
      <c r="BV1567">
        <v>2010</v>
      </c>
      <c r="BW1567" t="s">
        <v>659</v>
      </c>
      <c r="BX1567" t="s">
        <v>78</v>
      </c>
      <c r="BY1567" s="13" t="s">
        <v>680</v>
      </c>
      <c r="CA1567" t="str">
        <f t="shared" si="758"/>
        <v>high acid</v>
      </c>
    </row>
    <row r="1568" spans="1:79">
      <c r="A1568" t="s">
        <v>415</v>
      </c>
      <c r="B1568" t="s">
        <v>565</v>
      </c>
      <c r="C1568" t="s">
        <v>563</v>
      </c>
      <c r="D1568" t="s">
        <v>33</v>
      </c>
      <c r="E1568" t="s">
        <v>77</v>
      </c>
      <c r="F1568" t="s">
        <v>32</v>
      </c>
      <c r="G1568">
        <v>25</v>
      </c>
      <c r="H1568">
        <v>29.6</v>
      </c>
      <c r="I1568" t="b">
        <v>0</v>
      </c>
      <c r="J1568">
        <v>4125</v>
      </c>
      <c r="K1568">
        <v>11.3</v>
      </c>
      <c r="L1568">
        <v>15</v>
      </c>
      <c r="M1568" s="4">
        <v>250</v>
      </c>
      <c r="N1568" s="3">
        <f>IFERROR(AF1568/((T1568*X1568/Y1568)*O1568*AI1568),"NA")</f>
        <v>251.11113243387931</v>
      </c>
      <c r="O1568">
        <v>4</v>
      </c>
      <c r="P1568" t="s">
        <v>33</v>
      </c>
      <c r="Q1568" s="8">
        <f>IFERROR(X1568/Z1568, "NA")</f>
        <v>1.4200000000000001E-2</v>
      </c>
      <c r="R1568" t="s">
        <v>183</v>
      </c>
      <c r="S1568" t="s">
        <v>612</v>
      </c>
      <c r="T1568" s="11">
        <v>6</v>
      </c>
      <c r="U1568">
        <v>2.7</v>
      </c>
      <c r="V1568">
        <v>2</v>
      </c>
      <c r="W1568">
        <v>8.5000000000000006E-3</v>
      </c>
      <c r="X1568" s="9">
        <f>IFERROR(((PI())*(((V1568*10^-1)/2)^2)*(U1568*10^-1)), "NA")</f>
        <v>8.4823001646924419E-3</v>
      </c>
      <c r="Y1568" s="6">
        <f>36/60</f>
        <v>0.6</v>
      </c>
      <c r="Z1568" s="3">
        <f t="shared" si="766"/>
        <v>0.59734508202059444</v>
      </c>
      <c r="AA1568">
        <f>21.3/6</f>
        <v>3.5500000000000003</v>
      </c>
      <c r="AB1568" s="6">
        <f>IFERROR(((X1568*M1568)/Y1568), "NA")</f>
        <v>3.5342917352885173</v>
      </c>
      <c r="AC1568" t="str">
        <f t="shared" si="762"/>
        <v>NA</v>
      </c>
      <c r="AD1568" s="4">
        <f>IFERROR(AB1568*T1568*AI1568, "NA")</f>
        <v>21.205750411731103</v>
      </c>
      <c r="AE1568" s="3">
        <f t="shared" si="746"/>
        <v>76.680000000000007</v>
      </c>
      <c r="AF1568">
        <f>AI1568*T1568*O1568*AA1568</f>
        <v>85.2</v>
      </c>
      <c r="AG1568" t="str">
        <f>IFERROR((M1568*O1568*P1568), "NA")</f>
        <v>NA</v>
      </c>
      <c r="AH1568" t="str">
        <f>IFERROR((AG1568*T1568*AI1568), "NA")</f>
        <v>NA</v>
      </c>
      <c r="AI1568" s="11">
        <v>1</v>
      </c>
      <c r="AJ1568" t="s">
        <v>31</v>
      </c>
      <c r="AK1568">
        <v>4000</v>
      </c>
      <c r="AL1568" t="s">
        <v>416</v>
      </c>
      <c r="AM1568" t="s">
        <v>103</v>
      </c>
      <c r="AN1568" t="s">
        <v>130</v>
      </c>
      <c r="AO1568" t="s">
        <v>795</v>
      </c>
      <c r="AP1568" s="4">
        <v>7</v>
      </c>
      <c r="AQ1568" t="s">
        <v>33</v>
      </c>
      <c r="AR1568" t="s">
        <v>33</v>
      </c>
      <c r="AS1568" s="3">
        <f>LOG(10^8)</f>
        <v>8</v>
      </c>
      <c r="AT1568" s="3">
        <f>IFERROR(AS1568-AU1568,"NA")</f>
        <v>7.5</v>
      </c>
      <c r="AU1568" s="6">
        <v>0.5</v>
      </c>
      <c r="AV1568" t="b">
        <v>1</v>
      </c>
      <c r="AW1568" t="s">
        <v>29</v>
      </c>
      <c r="AX1568" t="s">
        <v>30</v>
      </c>
      <c r="AY1568" t="s">
        <v>226</v>
      </c>
      <c r="AZ1568" t="s">
        <v>33</v>
      </c>
      <c r="BA1568" s="18" t="s">
        <v>798</v>
      </c>
      <c r="BB1568" t="b">
        <v>0</v>
      </c>
      <c r="BC1568" t="s">
        <v>81</v>
      </c>
      <c r="BD1568">
        <v>14</v>
      </c>
      <c r="BE1568" t="s">
        <v>80</v>
      </c>
      <c r="BF1568" s="11">
        <v>48</v>
      </c>
      <c r="BG1568" t="s">
        <v>139</v>
      </c>
      <c r="BH1568" t="s">
        <v>31</v>
      </c>
      <c r="BI1568" t="s">
        <v>31</v>
      </c>
      <c r="BJ1568" s="3">
        <f t="shared" si="753"/>
        <v>0.5</v>
      </c>
      <c r="BK1568" s="3">
        <f t="shared" si="756"/>
        <v>-0.3010299956639812</v>
      </c>
      <c r="BL1568">
        <v>2</v>
      </c>
      <c r="BM1568" s="3">
        <f t="shared" si="767"/>
        <v>2.1857120998700061</v>
      </c>
      <c r="BN1568" t="s">
        <v>33</v>
      </c>
      <c r="BO1568" s="3">
        <f t="shared" si="757"/>
        <v>153.36000000000001</v>
      </c>
      <c r="BP1568" t="s">
        <v>33</v>
      </c>
      <c r="BQ1568" t="s">
        <v>33</v>
      </c>
      <c r="BR1568" t="s">
        <v>33</v>
      </c>
      <c r="BS1568" t="s">
        <v>33</v>
      </c>
      <c r="BT1568" t="s">
        <v>31</v>
      </c>
      <c r="BU1568" t="s">
        <v>227</v>
      </c>
      <c r="BV1568">
        <v>2004</v>
      </c>
      <c r="BW1568" t="s">
        <v>417</v>
      </c>
      <c r="BX1568" t="s">
        <v>78</v>
      </c>
      <c r="BY1568" t="s">
        <v>33</v>
      </c>
      <c r="BZ1568" t="s">
        <v>33</v>
      </c>
      <c r="CA1568" t="str">
        <f t="shared" si="758"/>
        <v>low acid</v>
      </c>
    </row>
    <row r="1569" spans="1:79">
      <c r="A1569" t="s">
        <v>232</v>
      </c>
      <c r="B1569" t="s">
        <v>565</v>
      </c>
      <c r="C1569" t="s">
        <v>563</v>
      </c>
      <c r="D1569" t="s">
        <v>33</v>
      </c>
      <c r="E1569" t="s">
        <v>77</v>
      </c>
      <c r="F1569" t="s">
        <v>32</v>
      </c>
      <c r="G1569">
        <v>30</v>
      </c>
      <c r="H1569">
        <v>61</v>
      </c>
      <c r="I1569" t="b">
        <v>1</v>
      </c>
      <c r="J1569" t="s">
        <v>33</v>
      </c>
      <c r="K1569" t="s">
        <v>33</v>
      </c>
      <c r="L1569">
        <v>25</v>
      </c>
      <c r="M1569" s="4">
        <v>250</v>
      </c>
      <c r="N1569" s="3">
        <f>IFERROR(AF1569/((T1569*X1569/Y1569)*O1569*AI1569),"NA")</f>
        <v>260.5243209473274</v>
      </c>
      <c r="O1569">
        <v>4</v>
      </c>
      <c r="P1569" t="s">
        <v>33</v>
      </c>
      <c r="Q1569" s="8">
        <f>IFERROR(X1569/Z1569, "NA")</f>
        <v>1.3333333333333332E-2</v>
      </c>
      <c r="R1569" t="s">
        <v>183</v>
      </c>
      <c r="S1569" t="s">
        <v>613</v>
      </c>
      <c r="T1569" s="11">
        <v>6</v>
      </c>
      <c r="U1569">
        <v>2.2999999999999998</v>
      </c>
      <c r="V1569">
        <v>2.2000000000000002</v>
      </c>
      <c r="W1569" t="s">
        <v>33</v>
      </c>
      <c r="X1569" s="8">
        <f>IFERROR(((PI())*(((V1569*10^-1)/2)^2)*(U1569*10^-1)), "NA")</f>
        <v>8.7430523549403959E-3</v>
      </c>
      <c r="Y1569" s="6">
        <f>41/60</f>
        <v>0.68333333333333335</v>
      </c>
      <c r="Z1569" s="3">
        <f t="shared" si="766"/>
        <v>0.65572892662052973</v>
      </c>
      <c r="AA1569" s="3">
        <f>20/6</f>
        <v>3.3333333333333335</v>
      </c>
      <c r="AB1569" s="6">
        <f>IFERROR(((X1569*M1569)/Z1569), "NA")</f>
        <v>3.333333333333333</v>
      </c>
      <c r="AC1569" t="str">
        <f t="shared" si="762"/>
        <v>NA</v>
      </c>
      <c r="AD1569" s="4">
        <f>AB1569*T1569*AI1569</f>
        <v>20</v>
      </c>
      <c r="AE1569" s="3">
        <f t="shared" si="746"/>
        <v>199.99999999999997</v>
      </c>
      <c r="AF1569">
        <v>80</v>
      </c>
      <c r="AG1569" t="str">
        <f>IFERROR((M1569*O1569*P1569), "NA")</f>
        <v>NA</v>
      </c>
      <c r="AH1569" t="str">
        <f>IFERROR((AG1569*T1569*AI1569), "NA")</f>
        <v>NA</v>
      </c>
      <c r="AI1569" s="11">
        <v>1</v>
      </c>
      <c r="AJ1569" t="s">
        <v>31</v>
      </c>
      <c r="AK1569">
        <v>4000</v>
      </c>
      <c r="AL1569" t="s">
        <v>546</v>
      </c>
      <c r="AM1569" t="s">
        <v>103</v>
      </c>
      <c r="AN1569" t="s">
        <v>130</v>
      </c>
      <c r="AO1569" t="s">
        <v>795</v>
      </c>
      <c r="AP1569">
        <v>5</v>
      </c>
      <c r="AQ1569" t="s">
        <v>33</v>
      </c>
      <c r="AR1569" t="s">
        <v>33</v>
      </c>
      <c r="AS1569" s="6">
        <v>8.3000000000000007</v>
      </c>
      <c r="AT1569" s="3">
        <f>IFERROR(AS1569-AU1569,"NA")</f>
        <v>7.5000000000000009</v>
      </c>
      <c r="AU1569" s="6">
        <v>0.8</v>
      </c>
      <c r="AV1569" t="b">
        <v>1</v>
      </c>
      <c r="AW1569" t="s">
        <v>233</v>
      </c>
      <c r="AX1569" t="s">
        <v>234</v>
      </c>
      <c r="AY1569" t="s">
        <v>235</v>
      </c>
      <c r="AZ1569" t="s">
        <v>33</v>
      </c>
      <c r="BA1569" s="18" t="s">
        <v>579</v>
      </c>
      <c r="BB1569" t="b">
        <v>1</v>
      </c>
      <c r="BC1569" t="s">
        <v>81</v>
      </c>
      <c r="BD1569">
        <v>17</v>
      </c>
      <c r="BE1569" t="s">
        <v>80</v>
      </c>
      <c r="BF1569" s="11">
        <v>120</v>
      </c>
      <c r="BG1569" t="s">
        <v>395</v>
      </c>
      <c r="BH1569" t="s">
        <v>31</v>
      </c>
      <c r="BI1569" t="s">
        <v>31</v>
      </c>
      <c r="BJ1569" s="3">
        <f t="shared" si="753"/>
        <v>0.8</v>
      </c>
      <c r="BK1569" s="3">
        <f t="shared" si="756"/>
        <v>-9.6910013008056392E-2</v>
      </c>
      <c r="BL1569">
        <v>2</v>
      </c>
      <c r="BM1569" s="3">
        <f t="shared" si="767"/>
        <v>2.3979400086720375</v>
      </c>
      <c r="BN1569" t="s">
        <v>33</v>
      </c>
      <c r="BO1569" s="3">
        <f t="shared" si="757"/>
        <v>249.99999999999994</v>
      </c>
      <c r="BP1569" t="s">
        <v>33</v>
      </c>
      <c r="BQ1569" t="s">
        <v>33</v>
      </c>
      <c r="BR1569" t="s">
        <v>33</v>
      </c>
      <c r="BS1569" t="s">
        <v>33</v>
      </c>
      <c r="BT1569" t="s">
        <v>31</v>
      </c>
      <c r="BU1569" t="s">
        <v>227</v>
      </c>
      <c r="BV1569">
        <v>2001</v>
      </c>
      <c r="BW1569" t="s">
        <v>228</v>
      </c>
      <c r="BX1569" t="s">
        <v>78</v>
      </c>
      <c r="BY1569" t="s">
        <v>33</v>
      </c>
      <c r="BZ1569" t="s">
        <v>33</v>
      </c>
      <c r="CA1569" t="str">
        <f t="shared" si="758"/>
        <v>low acid</v>
      </c>
    </row>
    <row r="1570" spans="1:79">
      <c r="A1570" t="s">
        <v>181</v>
      </c>
      <c r="B1570" t="s">
        <v>565</v>
      </c>
      <c r="C1570" t="s">
        <v>563</v>
      </c>
      <c r="D1570" t="s">
        <v>118</v>
      </c>
      <c r="E1570" t="s">
        <v>77</v>
      </c>
      <c r="F1570" t="s">
        <v>32</v>
      </c>
      <c r="G1570">
        <v>22</v>
      </c>
      <c r="H1570">
        <v>35</v>
      </c>
      <c r="I1570" t="b">
        <v>0</v>
      </c>
      <c r="J1570" t="s">
        <v>33</v>
      </c>
      <c r="K1570" t="s">
        <v>33</v>
      </c>
      <c r="L1570">
        <v>15</v>
      </c>
      <c r="M1570" s="4">
        <v>1000</v>
      </c>
      <c r="N1570" s="3">
        <f>IFERROR(AF1570/((T1570*X1570/Y1570)*O1570*AI1570),"NA")</f>
        <v>1000.1191061872564</v>
      </c>
      <c r="O1570">
        <v>3</v>
      </c>
      <c r="P1570" t="s">
        <v>33</v>
      </c>
      <c r="Q1570" s="8">
        <f>IFERROR(X1570/Z1570, "NA")</f>
        <v>1.2133333333333333E-2</v>
      </c>
      <c r="R1570" t="s">
        <v>183</v>
      </c>
      <c r="S1570" t="s">
        <v>613</v>
      </c>
      <c r="T1570" s="11">
        <v>4</v>
      </c>
      <c r="U1570">
        <v>2.92</v>
      </c>
      <c r="V1570">
        <v>2.2999999999999998</v>
      </c>
      <c r="W1570" t="s">
        <v>33</v>
      </c>
      <c r="X1570" s="8">
        <f>IFERROR(((PI())*(((V1570*10^-1)/2)^2)*(U1570*10^-1)), "NA")</f>
        <v>1.2131888350367701E-2</v>
      </c>
      <c r="Y1570">
        <v>1</v>
      </c>
      <c r="Z1570" s="9">
        <f t="shared" si="766"/>
        <v>0.99988090799733798</v>
      </c>
      <c r="AA1570">
        <v>12</v>
      </c>
      <c r="AB1570" s="6">
        <f>IFERROR(((X1570*M1570)/Z1570), "NA")</f>
        <v>12.133333333333333</v>
      </c>
      <c r="AC1570" t="str">
        <f t="shared" si="762"/>
        <v>NA</v>
      </c>
      <c r="AD1570" s="4">
        <f>IFERROR(AB1570*T1570*AI1570, "NA")</f>
        <v>48.533333333333331</v>
      </c>
      <c r="AE1570" s="3">
        <f t="shared" si="746"/>
        <v>65.52</v>
      </c>
      <c r="AF1570">
        <v>145.6</v>
      </c>
      <c r="AG1570" t="str">
        <f>IFERROR((M1570*O1570*P1570), "NA")</f>
        <v>NA</v>
      </c>
      <c r="AH1570" t="str">
        <f>IFERROR((AG1570*T1570*AI1570), "NA")</f>
        <v>NA</v>
      </c>
      <c r="AI1570" s="11">
        <v>1</v>
      </c>
      <c r="AJ1570" t="s">
        <v>31</v>
      </c>
      <c r="AK1570">
        <v>2000</v>
      </c>
      <c r="AL1570" t="s">
        <v>114</v>
      </c>
      <c r="AM1570" t="s">
        <v>103</v>
      </c>
      <c r="AN1570" t="s">
        <v>130</v>
      </c>
      <c r="AO1570" t="s">
        <v>795</v>
      </c>
      <c r="AP1570" t="s">
        <v>33</v>
      </c>
      <c r="AQ1570" t="s">
        <v>33</v>
      </c>
      <c r="AR1570" t="s">
        <v>33</v>
      </c>
      <c r="AS1570" s="6">
        <f>LOG(2*10^8)</f>
        <v>8.3010299956639813</v>
      </c>
      <c r="AT1570" s="3">
        <f>IFERROR(AS1570-AU1570,"NA")</f>
        <v>7.5010299956639814</v>
      </c>
      <c r="AU1570" s="6">
        <v>0.8</v>
      </c>
      <c r="AV1570" t="b">
        <v>1</v>
      </c>
      <c r="AW1570" t="s">
        <v>92</v>
      </c>
      <c r="AX1570" t="s">
        <v>93</v>
      </c>
      <c r="AY1570" t="s">
        <v>94</v>
      </c>
      <c r="AZ1570" t="s">
        <v>33</v>
      </c>
      <c r="BA1570" s="18" t="s">
        <v>801</v>
      </c>
      <c r="BB1570" t="b">
        <v>0</v>
      </c>
      <c r="BC1570" t="s">
        <v>81</v>
      </c>
      <c r="BD1570" t="s">
        <v>33</v>
      </c>
      <c r="BE1570" t="s">
        <v>33</v>
      </c>
      <c r="BF1570" s="11">
        <v>48</v>
      </c>
      <c r="BG1570" t="s">
        <v>569</v>
      </c>
      <c r="BH1570" t="s">
        <v>31</v>
      </c>
      <c r="BI1570" t="s">
        <v>31</v>
      </c>
      <c r="BJ1570" s="3">
        <f t="shared" si="753"/>
        <v>0.8</v>
      </c>
      <c r="BK1570" s="3">
        <f t="shared" si="756"/>
        <v>-9.6910013008056392E-2</v>
      </c>
      <c r="BL1570">
        <v>2</v>
      </c>
      <c r="BM1570" s="3">
        <f t="shared" si="767"/>
        <v>1.9132839017604184</v>
      </c>
      <c r="BN1570" t="s">
        <v>33</v>
      </c>
      <c r="BO1570" s="3">
        <f t="shared" si="757"/>
        <v>81.899999999999991</v>
      </c>
      <c r="BP1570" t="s">
        <v>33</v>
      </c>
      <c r="BQ1570" t="s">
        <v>33</v>
      </c>
      <c r="BR1570" t="s">
        <v>33</v>
      </c>
      <c r="BS1570" t="s">
        <v>33</v>
      </c>
      <c r="BT1570" t="s">
        <v>32</v>
      </c>
      <c r="BU1570" t="s">
        <v>177</v>
      </c>
      <c r="BV1570">
        <v>2001</v>
      </c>
      <c r="BW1570" s="2" t="s">
        <v>178</v>
      </c>
      <c r="BX1570" t="s">
        <v>78</v>
      </c>
      <c r="BY1570" t="s">
        <v>33</v>
      </c>
      <c r="BZ1570" t="s">
        <v>33</v>
      </c>
      <c r="CA1570" t="str">
        <f t="shared" si="758"/>
        <v>low acid</v>
      </c>
    </row>
    <row r="1571" spans="1:79">
      <c r="A1571" t="s">
        <v>733</v>
      </c>
      <c r="B1571" t="s">
        <v>566</v>
      </c>
      <c r="C1571" t="s">
        <v>563</v>
      </c>
      <c r="D1571" t="s">
        <v>699</v>
      </c>
      <c r="E1571" t="s">
        <v>77</v>
      </c>
      <c r="F1571" t="s">
        <v>32</v>
      </c>
      <c r="G1571">
        <v>20</v>
      </c>
      <c r="H1571">
        <v>42.5</v>
      </c>
      <c r="I1571" t="b">
        <v>1</v>
      </c>
      <c r="J1571" t="s">
        <v>33</v>
      </c>
      <c r="K1571" t="s">
        <v>33</v>
      </c>
      <c r="L1571">
        <v>20</v>
      </c>
      <c r="M1571" s="4">
        <v>47</v>
      </c>
      <c r="N1571" s="3">
        <f>IFERROR(AF1571/((T1571*X1571/Y1571)*O1571*AI1571),"NA")</f>
        <v>46.759259259259245</v>
      </c>
      <c r="O1571">
        <v>5</v>
      </c>
      <c r="P1571">
        <v>0.43</v>
      </c>
      <c r="Q1571" s="8">
        <f>IFERROR(X1571/Y1571, "NA")</f>
        <v>0.43200000000000011</v>
      </c>
      <c r="R1571" t="s">
        <v>183</v>
      </c>
      <c r="S1571" t="s">
        <v>612</v>
      </c>
      <c r="T1571" s="11">
        <v>1</v>
      </c>
      <c r="U1571">
        <v>4</v>
      </c>
      <c r="V1571" t="s">
        <v>33</v>
      </c>
      <c r="W1571">
        <f>0.4*3*0.5</f>
        <v>0.60000000000000009</v>
      </c>
      <c r="X1571" s="9">
        <f>W1571</f>
        <v>0.60000000000000009</v>
      </c>
      <c r="Y1571" s="6">
        <f>5000/3600</f>
        <v>1.3888888888888888</v>
      </c>
      <c r="Z1571" s="3">
        <f t="shared" si="766"/>
        <v>1.3960396039603959</v>
      </c>
      <c r="AA1571" t="s">
        <v>33</v>
      </c>
      <c r="AB1571" s="4">
        <f>IFERROR(((X1571*M1571)/Y1571), "NA")</f>
        <v>20.304000000000002</v>
      </c>
      <c r="AC1571" s="4">
        <f t="shared" si="762"/>
        <v>20.21</v>
      </c>
      <c r="AD1571" s="4">
        <f>AB1571*T1571*AI1571</f>
        <v>20.304000000000002</v>
      </c>
      <c r="AE1571" s="3">
        <f t="shared" si="746"/>
        <v>81.216000000000022</v>
      </c>
      <c r="AF1571">
        <v>101</v>
      </c>
      <c r="AG1571" s="4">
        <f>IFERROR((M1571*O1571*P1571), "NA")</f>
        <v>101.05</v>
      </c>
      <c r="AH1571" s="4">
        <f>IFERROR((AG1571*T1571*AI1571), "NA")</f>
        <v>101.05</v>
      </c>
      <c r="AI1571">
        <v>1</v>
      </c>
      <c r="AJ1571" s="11" t="s">
        <v>31</v>
      </c>
      <c r="AK1571">
        <v>2000</v>
      </c>
      <c r="AL1571" t="s">
        <v>784</v>
      </c>
      <c r="AM1571" t="s">
        <v>103</v>
      </c>
      <c r="AN1571" t="s">
        <v>130</v>
      </c>
      <c r="AO1571" t="s">
        <v>795</v>
      </c>
      <c r="AP1571">
        <v>7</v>
      </c>
      <c r="AQ1571" t="s">
        <v>33</v>
      </c>
      <c r="AR1571" t="s">
        <v>33</v>
      </c>
      <c r="AS1571" s="6">
        <f>LOG(AVERAGE(10^8, 10^9))</f>
        <v>8.7403626894942441</v>
      </c>
      <c r="AT1571" s="3">
        <f>IFERROR(AS1571-AU1571,"NA")</f>
        <v>7.5043626894942443</v>
      </c>
      <c r="AU1571" s="6">
        <v>1.236</v>
      </c>
      <c r="AV1571" t="b">
        <v>1</v>
      </c>
      <c r="AW1571" t="s">
        <v>172</v>
      </c>
      <c r="AX1571" t="s">
        <v>173</v>
      </c>
      <c r="AY1571" t="s">
        <v>739</v>
      </c>
      <c r="AZ1571" t="s">
        <v>33</v>
      </c>
      <c r="BA1571" s="18" t="s">
        <v>799</v>
      </c>
      <c r="BB1571" s="3" t="b">
        <v>0</v>
      </c>
      <c r="BC1571" t="s">
        <v>81</v>
      </c>
      <c r="BD1571">
        <v>24</v>
      </c>
      <c r="BE1571" t="s">
        <v>80</v>
      </c>
      <c r="BF1571">
        <v>48</v>
      </c>
      <c r="BG1571" t="s">
        <v>734</v>
      </c>
      <c r="BH1571" t="s">
        <v>31</v>
      </c>
      <c r="BI1571" t="s">
        <v>31</v>
      </c>
      <c r="BJ1571" s="3">
        <f t="shared" si="753"/>
        <v>1.236</v>
      </c>
      <c r="BK1571" s="3">
        <f t="shared" si="756"/>
        <v>9.2018470752797024E-2</v>
      </c>
      <c r="BL1571">
        <v>2</v>
      </c>
      <c r="BM1571" s="3">
        <f t="shared" si="767"/>
        <v>1.8176231253257951</v>
      </c>
      <c r="BN1571" t="s">
        <v>33</v>
      </c>
      <c r="BO1571" s="3">
        <f t="shared" si="757"/>
        <v>65.70873786407769</v>
      </c>
      <c r="BP1571" t="s">
        <v>33</v>
      </c>
      <c r="BQ1571" t="s">
        <v>33</v>
      </c>
      <c r="BR1571" t="s">
        <v>33</v>
      </c>
      <c r="BS1571" t="s">
        <v>33</v>
      </c>
      <c r="BT1571" t="s">
        <v>32</v>
      </c>
      <c r="BU1571" t="s">
        <v>709</v>
      </c>
      <c r="BV1571">
        <v>2024</v>
      </c>
      <c r="BW1571" t="s">
        <v>710</v>
      </c>
      <c r="BX1571" t="s">
        <v>78</v>
      </c>
      <c r="BY1571" t="s">
        <v>711</v>
      </c>
      <c r="CA1571" t="str">
        <f t="shared" si="758"/>
        <v>low acid</v>
      </c>
    </row>
    <row r="1572" spans="1:79">
      <c r="A1572" t="s">
        <v>712</v>
      </c>
      <c r="B1572" t="s">
        <v>566</v>
      </c>
      <c r="C1572" t="s">
        <v>563</v>
      </c>
      <c r="D1572" t="s">
        <v>699</v>
      </c>
      <c r="E1572" t="s">
        <v>77</v>
      </c>
      <c r="F1572" t="s">
        <v>32</v>
      </c>
      <c r="G1572">
        <v>20</v>
      </c>
      <c r="H1572">
        <v>64</v>
      </c>
      <c r="I1572" t="b">
        <v>1</v>
      </c>
      <c r="J1572" t="s">
        <v>33</v>
      </c>
      <c r="K1572" t="s">
        <v>33</v>
      </c>
      <c r="L1572">
        <v>20</v>
      </c>
      <c r="M1572" s="4">
        <v>64</v>
      </c>
      <c r="N1572" s="3">
        <f>IFERROR(AF1572/((T1572*X1572/Y1572)*O1572*AI1572),"NA")</f>
        <v>63.657407407407391</v>
      </c>
      <c r="O1572">
        <v>5</v>
      </c>
      <c r="P1572">
        <v>0.43</v>
      </c>
      <c r="Q1572" s="8">
        <f>IFERROR(X1572/Y1572, "NA")</f>
        <v>0.43200000000000011</v>
      </c>
      <c r="R1572" t="s">
        <v>183</v>
      </c>
      <c r="S1572" t="s">
        <v>612</v>
      </c>
      <c r="T1572" s="11">
        <v>1</v>
      </c>
      <c r="U1572">
        <v>4</v>
      </c>
      <c r="V1572" t="s">
        <v>33</v>
      </c>
      <c r="W1572">
        <f>0.4*3*0.5</f>
        <v>0.60000000000000009</v>
      </c>
      <c r="X1572" s="9">
        <f>W1572</f>
        <v>0.60000000000000009</v>
      </c>
      <c r="Y1572" s="6">
        <f>5000/3600</f>
        <v>1.3888888888888888</v>
      </c>
      <c r="Z1572" s="3">
        <f t="shared" si="766"/>
        <v>1.3963636363636365</v>
      </c>
      <c r="AA1572" t="s">
        <v>33</v>
      </c>
      <c r="AB1572" s="4">
        <f>IFERROR(((X1572*M1572)/Y1572), "NA")</f>
        <v>27.648000000000007</v>
      </c>
      <c r="AC1572" s="4">
        <f t="shared" si="762"/>
        <v>27.52</v>
      </c>
      <c r="AD1572" s="4">
        <f>AB1572*T1572*AI1572</f>
        <v>27.648000000000007</v>
      </c>
      <c r="AE1572" s="3">
        <f t="shared" si="746"/>
        <v>110.59200000000003</v>
      </c>
      <c r="AF1572">
        <v>137.5</v>
      </c>
      <c r="AG1572" s="4">
        <f>IFERROR((M1572*O1572*P1572), "NA")</f>
        <v>137.6</v>
      </c>
      <c r="AH1572" s="4">
        <f>IFERROR((AG1572*T1572*AI1572), "NA")</f>
        <v>137.6</v>
      </c>
      <c r="AI1572">
        <v>1</v>
      </c>
      <c r="AJ1572" s="11" t="s">
        <v>31</v>
      </c>
      <c r="AK1572">
        <v>2000</v>
      </c>
      <c r="AL1572" t="s">
        <v>784</v>
      </c>
      <c r="AM1572" t="s">
        <v>103</v>
      </c>
      <c r="AN1572" t="s">
        <v>130</v>
      </c>
      <c r="AO1572" t="s">
        <v>795</v>
      </c>
      <c r="AP1572">
        <v>7</v>
      </c>
      <c r="AQ1572" t="s">
        <v>33</v>
      </c>
      <c r="AR1572" t="s">
        <v>33</v>
      </c>
      <c r="AS1572" s="6">
        <f>LOG(AVERAGE(10^8, 10^9))</f>
        <v>8.7403626894942441</v>
      </c>
      <c r="AT1572" s="3">
        <f>IFERROR(AS1572-AU1572,"NA")</f>
        <v>7.5083626894942439</v>
      </c>
      <c r="AU1572" s="6">
        <v>1.232</v>
      </c>
      <c r="AV1572" t="b">
        <v>1</v>
      </c>
      <c r="AW1572" t="s">
        <v>92</v>
      </c>
      <c r="AX1572" t="s">
        <v>93</v>
      </c>
      <c r="AY1572" t="s">
        <v>721</v>
      </c>
      <c r="AZ1572" t="s">
        <v>33</v>
      </c>
      <c r="BA1572" s="18" t="s">
        <v>801</v>
      </c>
      <c r="BB1572" s="3" t="b">
        <v>0</v>
      </c>
      <c r="BC1572" t="s">
        <v>81</v>
      </c>
      <c r="BD1572">
        <v>24</v>
      </c>
      <c r="BE1572" t="s">
        <v>80</v>
      </c>
      <c r="BF1572">
        <v>24</v>
      </c>
      <c r="BG1572" t="s">
        <v>568</v>
      </c>
      <c r="BH1572" t="s">
        <v>31</v>
      </c>
      <c r="BI1572" t="s">
        <v>31</v>
      </c>
      <c r="BJ1572" s="3">
        <f t="shared" si="753"/>
        <v>1.232</v>
      </c>
      <c r="BK1572" s="3">
        <f t="shared" si="756"/>
        <v>9.0610707828406648E-2</v>
      </c>
      <c r="BL1572">
        <v>2</v>
      </c>
      <c r="BM1572" s="3">
        <f t="shared" si="767"/>
        <v>1.9531130042983551</v>
      </c>
      <c r="BN1572" t="s">
        <v>33</v>
      </c>
      <c r="BO1572" s="3">
        <f t="shared" si="757"/>
        <v>89.766233766233796</v>
      </c>
      <c r="BP1572" t="s">
        <v>33</v>
      </c>
      <c r="BQ1572" t="s">
        <v>33</v>
      </c>
      <c r="BR1572" t="s">
        <v>33</v>
      </c>
      <c r="BS1572" t="s">
        <v>33</v>
      </c>
      <c r="BT1572" t="s">
        <v>32</v>
      </c>
      <c r="BU1572" t="s">
        <v>709</v>
      </c>
      <c r="BV1572">
        <v>2024</v>
      </c>
      <c r="BW1572" t="s">
        <v>710</v>
      </c>
      <c r="BX1572" t="s">
        <v>78</v>
      </c>
      <c r="BY1572" t="s">
        <v>711</v>
      </c>
      <c r="CA1572" t="str">
        <f t="shared" si="758"/>
        <v>low acid</v>
      </c>
    </row>
    <row r="1573" spans="1:79">
      <c r="A1573" t="s">
        <v>597</v>
      </c>
      <c r="B1573" t="s">
        <v>565</v>
      </c>
      <c r="C1573" t="s">
        <v>563</v>
      </c>
      <c r="D1573" t="s">
        <v>33</v>
      </c>
      <c r="E1573" t="s">
        <v>77</v>
      </c>
      <c r="F1573" t="s">
        <v>33</v>
      </c>
      <c r="G1573">
        <v>20</v>
      </c>
      <c r="H1573">
        <v>35</v>
      </c>
      <c r="I1573" t="b">
        <v>0</v>
      </c>
      <c r="J1573" t="s">
        <v>33</v>
      </c>
      <c r="K1573" t="s">
        <v>33</v>
      </c>
      <c r="L1573">
        <v>22</v>
      </c>
      <c r="M1573" s="4">
        <v>1</v>
      </c>
      <c r="N1573" t="e">
        <f>(#REF!*Y1573)/(T1573*X1573*O1573)</f>
        <v>#REF!</v>
      </c>
      <c r="O1573">
        <v>2</v>
      </c>
      <c r="P1573" t="s">
        <v>33</v>
      </c>
      <c r="Q1573" s="1">
        <f t="shared" ref="Q1573:Q1585" si="768">IFERROR(X1573/Z1573, "NA")</f>
        <v>19.045000000000002</v>
      </c>
      <c r="R1573" t="s">
        <v>183</v>
      </c>
      <c r="S1573" t="s">
        <v>33</v>
      </c>
      <c r="T1573">
        <v>1</v>
      </c>
      <c r="U1573">
        <v>2.5</v>
      </c>
      <c r="V1573" t="s">
        <v>33</v>
      </c>
      <c r="W1573">
        <v>0.50249999999999995</v>
      </c>
      <c r="X1573">
        <f>W1573</f>
        <v>0.50249999999999995</v>
      </c>
      <c r="Y1573" t="s">
        <v>33</v>
      </c>
      <c r="Z1573" s="3">
        <f t="shared" si="766"/>
        <v>2.6384877920714093E-2</v>
      </c>
      <c r="AA1573" t="s">
        <v>33</v>
      </c>
      <c r="AB1573">
        <f>IFERROR(((X1573*M1573)/Z1573), "NA")</f>
        <v>19.045000000000002</v>
      </c>
      <c r="AC1573" s="1" t="str">
        <f t="shared" si="762"/>
        <v>NA</v>
      </c>
      <c r="AE1573" s="3">
        <f t="shared" si="746"/>
        <v>36.871120000000005</v>
      </c>
      <c r="AF1573">
        <v>38.090000000000003</v>
      </c>
      <c r="AG1573" s="1" t="str">
        <f>IFERROR((N1573*P1573*Q1573), "NA")</f>
        <v>NA</v>
      </c>
      <c r="AH1573" s="1" t="str">
        <f>IFERROR((AG1573*U1573*AI1573), "NA")</f>
        <v>NA</v>
      </c>
      <c r="AI1573" s="1">
        <v>1</v>
      </c>
      <c r="AJ1573" s="11" t="s">
        <v>31</v>
      </c>
      <c r="AK1573">
        <v>2000</v>
      </c>
      <c r="AL1573" t="s">
        <v>784</v>
      </c>
      <c r="AM1573" s="3" t="s">
        <v>103</v>
      </c>
      <c r="AN1573" t="s">
        <v>130</v>
      </c>
      <c r="AO1573" t="s">
        <v>795</v>
      </c>
      <c r="AP1573">
        <v>7</v>
      </c>
      <c r="AQ1573" t="s">
        <v>33</v>
      </c>
      <c r="AR1573" t="s">
        <v>33</v>
      </c>
      <c r="AS1573">
        <v>9</v>
      </c>
      <c r="AT1573">
        <f>AS1573-AU1573</f>
        <v>7.52</v>
      </c>
      <c r="AU1573" s="6">
        <v>1.48</v>
      </c>
      <c r="AV1573" t="b">
        <v>1</v>
      </c>
      <c r="AW1573" t="s">
        <v>617</v>
      </c>
      <c r="AX1573" t="s">
        <v>635</v>
      </c>
      <c r="AY1573" t="s">
        <v>636</v>
      </c>
      <c r="AZ1573" t="s">
        <v>33</v>
      </c>
      <c r="BA1573" s="18" t="s">
        <v>802</v>
      </c>
      <c r="BB1573" s="3" t="b">
        <v>0</v>
      </c>
      <c r="BC1573" t="s">
        <v>81</v>
      </c>
      <c r="BD1573">
        <v>24</v>
      </c>
      <c r="BE1573" t="s">
        <v>80</v>
      </c>
      <c r="BF1573">
        <v>24</v>
      </c>
      <c r="BG1573" t="s">
        <v>644</v>
      </c>
      <c r="BH1573" t="s">
        <v>31</v>
      </c>
      <c r="BI1573" t="s">
        <v>31</v>
      </c>
      <c r="BJ1573">
        <f t="shared" si="753"/>
        <v>1.48</v>
      </c>
      <c r="BK1573" s="3">
        <f t="shared" si="756"/>
        <v>0.17026171539495738</v>
      </c>
      <c r="BL1573">
        <v>2</v>
      </c>
      <c r="BM1573" s="3">
        <f t="shared" si="767"/>
        <v>1.3964246145743826</v>
      </c>
      <c r="BN1573" t="s">
        <v>33</v>
      </c>
      <c r="BO1573" s="3">
        <f t="shared" si="757"/>
        <v>24.912918918918923</v>
      </c>
      <c r="BP1573" t="s">
        <v>33</v>
      </c>
      <c r="BQ1573" t="s">
        <v>33</v>
      </c>
      <c r="BR1573" t="s">
        <v>33</v>
      </c>
      <c r="BS1573" t="s">
        <v>33</v>
      </c>
      <c r="BT1573" t="s">
        <v>31</v>
      </c>
      <c r="BU1573" t="s">
        <v>664</v>
      </c>
      <c r="BV1573">
        <v>2000</v>
      </c>
      <c r="BW1573" t="s">
        <v>665</v>
      </c>
      <c r="BX1573" t="s">
        <v>78</v>
      </c>
      <c r="BY1573" s="13" t="s">
        <v>685</v>
      </c>
      <c r="CA1573" t="str">
        <f t="shared" si="758"/>
        <v>low acid</v>
      </c>
    </row>
    <row r="1574" spans="1:79">
      <c r="A1574" t="s">
        <v>272</v>
      </c>
      <c r="B1574" t="s">
        <v>565</v>
      </c>
      <c r="C1574" t="s">
        <v>563</v>
      </c>
      <c r="D1574" t="s">
        <v>118</v>
      </c>
      <c r="E1574" t="s">
        <v>77</v>
      </c>
      <c r="F1574" t="s">
        <v>32</v>
      </c>
      <c r="G1574">
        <v>22</v>
      </c>
      <c r="H1574">
        <v>22</v>
      </c>
      <c r="I1574" t="b">
        <v>0</v>
      </c>
      <c r="J1574" t="s">
        <v>33</v>
      </c>
      <c r="K1574" t="s">
        <v>33</v>
      </c>
      <c r="L1574">
        <v>27.5</v>
      </c>
      <c r="M1574" s="4">
        <v>1000</v>
      </c>
      <c r="N1574" s="3">
        <f>IFERROR(AF1574/((T1574*X1574/Y1574)*O1574*AI1574),"NA")</f>
        <v>1991.9007283517315</v>
      </c>
      <c r="O1574">
        <v>3</v>
      </c>
      <c r="P1574" t="s">
        <v>33</v>
      </c>
      <c r="Q1574">
        <f t="shared" si="768"/>
        <v>1.2E-2</v>
      </c>
      <c r="R1574" t="s">
        <v>183</v>
      </c>
      <c r="S1574" t="s">
        <v>613</v>
      </c>
      <c r="T1574" s="11">
        <v>4</v>
      </c>
      <c r="U1574">
        <v>2.9</v>
      </c>
      <c r="V1574">
        <v>2.2999999999999998</v>
      </c>
      <c r="W1574" t="s">
        <v>33</v>
      </c>
      <c r="X1574" s="8">
        <f>IFERROR(((PI())*(((V1574*10^-1)/2)^2)*(U1574*10^-1)), "NA")</f>
        <v>1.204879322468025E-2</v>
      </c>
      <c r="Y1574">
        <f>2</f>
        <v>2</v>
      </c>
      <c r="Z1574" s="3">
        <f t="shared" si="766"/>
        <v>1.0040661020566874</v>
      </c>
      <c r="AA1574" t="s">
        <v>33</v>
      </c>
      <c r="AB1574" s="6">
        <f>IFERROR(((X1574*M1574)/Z1574), "NA")</f>
        <v>12.000000000000002</v>
      </c>
      <c r="AC1574" t="str">
        <f t="shared" si="762"/>
        <v>NA</v>
      </c>
      <c r="AD1574" s="4">
        <f>AB1574*T1574*AI1574</f>
        <v>48.000000000000007</v>
      </c>
      <c r="AE1574" s="3">
        <f t="shared" si="746"/>
        <v>217.8</v>
      </c>
      <c r="AF1574">
        <v>144</v>
      </c>
      <c r="AG1574" t="str">
        <f>IFERROR((M1574*O1574*P1574), "NA")</f>
        <v>NA</v>
      </c>
      <c r="AH1574" t="str">
        <f>IFERROR((AG1574*T1574*AI1574), "NA")</f>
        <v>NA</v>
      </c>
      <c r="AI1574">
        <v>1</v>
      </c>
      <c r="AJ1574" t="s">
        <v>31</v>
      </c>
      <c r="AK1574">
        <v>2000</v>
      </c>
      <c r="AL1574" t="s">
        <v>169</v>
      </c>
      <c r="AM1574" t="s">
        <v>103</v>
      </c>
      <c r="AN1574" t="s">
        <v>130</v>
      </c>
      <c r="AO1574" t="s">
        <v>795</v>
      </c>
      <c r="AP1574">
        <v>7.2</v>
      </c>
      <c r="AQ1574" t="s">
        <v>33</v>
      </c>
      <c r="AR1574" t="s">
        <v>33</v>
      </c>
      <c r="AS1574" s="6">
        <v>8.1999999999999993</v>
      </c>
      <c r="AT1574" s="3">
        <f>IFERROR(AS1574-AU1574,"NA")</f>
        <v>7.5549999999999997</v>
      </c>
      <c r="AU1574" s="6">
        <v>0.64500000000000002</v>
      </c>
      <c r="AV1574" t="b">
        <v>1</v>
      </c>
      <c r="AW1574" t="s">
        <v>92</v>
      </c>
      <c r="AX1574" t="s">
        <v>93</v>
      </c>
      <c r="AY1574" t="s">
        <v>99</v>
      </c>
      <c r="AZ1574" t="s">
        <v>33</v>
      </c>
      <c r="BA1574" s="18" t="s">
        <v>801</v>
      </c>
      <c r="BB1574" t="b">
        <v>0</v>
      </c>
      <c r="BC1574" t="s">
        <v>81</v>
      </c>
      <c r="BD1574">
        <v>16</v>
      </c>
      <c r="BE1574" t="s">
        <v>80</v>
      </c>
      <c r="BF1574" s="11">
        <v>48</v>
      </c>
      <c r="BG1574" t="s">
        <v>568</v>
      </c>
      <c r="BH1574" t="s">
        <v>31</v>
      </c>
      <c r="BI1574" t="s">
        <v>31</v>
      </c>
      <c r="BJ1574" s="3">
        <f t="shared" si="753"/>
        <v>0.64500000000000002</v>
      </c>
      <c r="BK1574" s="3">
        <f t="shared" si="756"/>
        <v>-0.19044028536473223</v>
      </c>
      <c r="BL1574">
        <v>2</v>
      </c>
      <c r="BM1574" s="3">
        <f t="shared" si="767"/>
        <v>2.5284981607844883</v>
      </c>
      <c r="BN1574" t="s">
        <v>33</v>
      </c>
      <c r="BO1574" s="3">
        <f t="shared" si="757"/>
        <v>337.67441860465118</v>
      </c>
      <c r="BP1574" t="s">
        <v>33</v>
      </c>
      <c r="BQ1574" t="s">
        <v>33</v>
      </c>
      <c r="BR1574" t="s">
        <v>33</v>
      </c>
      <c r="BS1574" t="s">
        <v>33</v>
      </c>
      <c r="BT1574" t="s">
        <v>31</v>
      </c>
      <c r="BU1574" t="s">
        <v>187</v>
      </c>
      <c r="BV1574">
        <v>2004</v>
      </c>
      <c r="BW1574" s="2" t="s">
        <v>184</v>
      </c>
      <c r="BX1574" t="s">
        <v>78</v>
      </c>
      <c r="BY1574" t="s">
        <v>33</v>
      </c>
      <c r="BZ1574" t="s">
        <v>33</v>
      </c>
      <c r="CA1574" t="str">
        <f t="shared" si="758"/>
        <v>low acid</v>
      </c>
    </row>
    <row r="1575" spans="1:79">
      <c r="A1575" t="s">
        <v>589</v>
      </c>
      <c r="B1575" t="s">
        <v>566</v>
      </c>
      <c r="C1575" t="s">
        <v>563</v>
      </c>
      <c r="D1575" t="s">
        <v>33</v>
      </c>
      <c r="E1575" t="s">
        <v>77</v>
      </c>
      <c r="F1575" t="s">
        <v>33</v>
      </c>
      <c r="G1575" t="s">
        <v>33</v>
      </c>
      <c r="H1575">
        <v>35</v>
      </c>
      <c r="I1575" t="b">
        <v>0</v>
      </c>
      <c r="J1575" t="s">
        <v>33</v>
      </c>
      <c r="K1575" t="s">
        <v>33</v>
      </c>
      <c r="L1575">
        <v>9</v>
      </c>
      <c r="M1575" s="4">
        <v>1</v>
      </c>
      <c r="N1575" t="e">
        <f>(#REF!*Y1575)/(T1575*X1575*O1575)</f>
        <v>#REF!</v>
      </c>
      <c r="O1575">
        <v>2</v>
      </c>
      <c r="P1575" t="s">
        <v>33</v>
      </c>
      <c r="Q1575" s="1">
        <f t="shared" si="768"/>
        <v>699.5</v>
      </c>
      <c r="R1575" t="s">
        <v>183</v>
      </c>
      <c r="S1575" t="s">
        <v>613</v>
      </c>
      <c r="T1575">
        <v>1</v>
      </c>
      <c r="U1575">
        <v>2.5</v>
      </c>
      <c r="V1575" t="s">
        <v>33</v>
      </c>
      <c r="W1575">
        <v>0.50249999999999995</v>
      </c>
      <c r="X1575">
        <f>W1575</f>
        <v>0.50249999999999995</v>
      </c>
      <c r="Y1575" t="s">
        <v>33</v>
      </c>
      <c r="Z1575" s="3">
        <f t="shared" si="766"/>
        <v>7.1837026447462468E-4</v>
      </c>
      <c r="AA1575" t="s">
        <v>33</v>
      </c>
      <c r="AB1575">
        <f>IFERROR(((X1575*M1575)/Z1575), "NA")</f>
        <v>699.5</v>
      </c>
      <c r="AC1575" s="1" t="str">
        <f t="shared" si="762"/>
        <v>NA</v>
      </c>
      <c r="AE1575" s="3">
        <f t="shared" si="746"/>
        <v>226.63800000000001</v>
      </c>
      <c r="AF1575">
        <v>1399</v>
      </c>
      <c r="AG1575" s="1" t="str">
        <f>IFERROR((N1575*P1575*Q1575), "NA")</f>
        <v>NA</v>
      </c>
      <c r="AH1575" s="1" t="str">
        <f>IFERROR((AG1575*U1575*AI1575), "NA")</f>
        <v>NA</v>
      </c>
      <c r="AI1575" s="1">
        <v>1</v>
      </c>
      <c r="AJ1575" s="11" t="s">
        <v>31</v>
      </c>
      <c r="AK1575">
        <v>2000</v>
      </c>
      <c r="AL1575" t="s">
        <v>616</v>
      </c>
      <c r="AM1575" s="3" t="s">
        <v>103</v>
      </c>
      <c r="AN1575" t="s">
        <v>130</v>
      </c>
      <c r="AO1575" t="s">
        <v>795</v>
      </c>
      <c r="AP1575">
        <v>7</v>
      </c>
      <c r="AQ1575" t="s">
        <v>33</v>
      </c>
      <c r="AR1575" t="s">
        <v>33</v>
      </c>
      <c r="AS1575">
        <v>9</v>
      </c>
      <c r="AT1575">
        <f>AS1575-AU1575</f>
        <v>7.58</v>
      </c>
      <c r="AU1575" s="6">
        <v>1.42</v>
      </c>
      <c r="AV1575" t="b">
        <v>1</v>
      </c>
      <c r="AW1575" t="s">
        <v>617</v>
      </c>
      <c r="AX1575" t="s">
        <v>33</v>
      </c>
      <c r="AY1575" t="s">
        <v>628</v>
      </c>
      <c r="AZ1575" t="s">
        <v>619</v>
      </c>
      <c r="BA1575" s="18" t="s">
        <v>802</v>
      </c>
      <c r="BB1575" s="3" t="b">
        <v>0</v>
      </c>
      <c r="BC1575" t="s">
        <v>81</v>
      </c>
      <c r="BD1575">
        <v>24</v>
      </c>
      <c r="BE1575" t="s">
        <v>80</v>
      </c>
      <c r="BF1575">
        <v>24</v>
      </c>
      <c r="BG1575" t="s">
        <v>644</v>
      </c>
      <c r="BH1575" t="s">
        <v>31</v>
      </c>
      <c r="BI1575" t="s">
        <v>31</v>
      </c>
      <c r="BJ1575">
        <f t="shared" si="753"/>
        <v>1.42</v>
      </c>
      <c r="BK1575" s="3">
        <f t="shared" si="756"/>
        <v>0.15228834438305647</v>
      </c>
      <c r="BL1575">
        <v>2</v>
      </c>
      <c r="BM1575" s="3">
        <f t="shared" si="767"/>
        <v>2.2030443846514021</v>
      </c>
      <c r="BN1575" t="s">
        <v>33</v>
      </c>
      <c r="BO1575" s="3">
        <f t="shared" si="757"/>
        <v>159.60422535211268</v>
      </c>
      <c r="BP1575" t="s">
        <v>33</v>
      </c>
      <c r="BQ1575" t="s">
        <v>33</v>
      </c>
      <c r="BR1575" t="s">
        <v>33</v>
      </c>
      <c r="BS1575" t="s">
        <v>33</v>
      </c>
      <c r="BT1575" t="s">
        <v>31</v>
      </c>
      <c r="BU1575" s="15" t="s">
        <v>655</v>
      </c>
      <c r="BV1575">
        <v>2003</v>
      </c>
      <c r="BW1575" t="s">
        <v>656</v>
      </c>
      <c r="BX1575" t="s">
        <v>78</v>
      </c>
      <c r="BY1575" s="13" t="s">
        <v>677</v>
      </c>
      <c r="CA1575" t="str">
        <f t="shared" si="758"/>
        <v>low acid</v>
      </c>
    </row>
    <row r="1576" spans="1:79">
      <c r="A1576" t="s">
        <v>597</v>
      </c>
      <c r="B1576" t="s">
        <v>565</v>
      </c>
      <c r="C1576" t="s">
        <v>563</v>
      </c>
      <c r="D1576" t="s">
        <v>33</v>
      </c>
      <c r="E1576" t="s">
        <v>77</v>
      </c>
      <c r="F1576" t="s">
        <v>33</v>
      </c>
      <c r="G1576">
        <v>20</v>
      </c>
      <c r="H1576">
        <v>35</v>
      </c>
      <c r="I1576" t="b">
        <v>0</v>
      </c>
      <c r="J1576" t="s">
        <v>33</v>
      </c>
      <c r="K1576" t="s">
        <v>33</v>
      </c>
      <c r="L1576">
        <v>22</v>
      </c>
      <c r="M1576" s="4">
        <v>2</v>
      </c>
      <c r="N1576" t="e">
        <f>(#REF!*Y1576)/(T1576*X1576*#REF!)</f>
        <v>#REF!</v>
      </c>
      <c r="O1576">
        <v>2</v>
      </c>
      <c r="P1576" t="s">
        <v>33</v>
      </c>
      <c r="Q1576" s="1">
        <f t="shared" si="768"/>
        <v>10.182499999999999</v>
      </c>
      <c r="R1576" t="s">
        <v>183</v>
      </c>
      <c r="S1576" t="s">
        <v>33</v>
      </c>
      <c r="T1576">
        <v>1</v>
      </c>
      <c r="U1576">
        <v>2.5</v>
      </c>
      <c r="V1576" t="s">
        <v>33</v>
      </c>
      <c r="W1576">
        <v>0.50249999999999995</v>
      </c>
      <c r="X1576">
        <f>W1576</f>
        <v>0.50249999999999995</v>
      </c>
      <c r="Y1576" t="s">
        <v>33</v>
      </c>
      <c r="Z1576" s="3">
        <f t="shared" si="766"/>
        <v>4.9349373925853181E-2</v>
      </c>
      <c r="AA1576" t="s">
        <v>33</v>
      </c>
      <c r="AB1576">
        <f>IFERROR(((X1576*O1576)/Z1576), "NA")</f>
        <v>20.364999999999998</v>
      </c>
      <c r="AC1576" s="1" t="str">
        <f>IFERROR(O1576*P1576,"NA")</f>
        <v>NA</v>
      </c>
      <c r="AE1576" s="3">
        <f t="shared" si="746"/>
        <v>39.426639999999999</v>
      </c>
      <c r="AF1576">
        <v>40.729999999999997</v>
      </c>
      <c r="AG1576" s="1" t="str">
        <f>IFERROR((P1576*#REF!*Q1576), "NA")</f>
        <v>NA</v>
      </c>
      <c r="AH1576" s="1" t="str">
        <f>IFERROR((AG1576*U1576*AI1576), "NA")</f>
        <v>NA</v>
      </c>
      <c r="AI1576" s="1">
        <v>1</v>
      </c>
      <c r="AJ1576" s="11" t="s">
        <v>31</v>
      </c>
      <c r="AK1576">
        <v>2000</v>
      </c>
      <c r="AL1576" t="s">
        <v>784</v>
      </c>
      <c r="AM1576" s="3" t="s">
        <v>103</v>
      </c>
      <c r="AN1576" t="s">
        <v>130</v>
      </c>
      <c r="AO1576" t="s">
        <v>795</v>
      </c>
      <c r="AP1576">
        <v>7</v>
      </c>
      <c r="AQ1576" t="s">
        <v>33</v>
      </c>
      <c r="AR1576" t="s">
        <v>33</v>
      </c>
      <c r="AS1576">
        <v>9</v>
      </c>
      <c r="AT1576">
        <f>AS1576-AU1576</f>
        <v>7.59</v>
      </c>
      <c r="AU1576" s="6">
        <v>1.41</v>
      </c>
      <c r="AV1576" t="b">
        <v>1</v>
      </c>
      <c r="AW1576" t="s">
        <v>617</v>
      </c>
      <c r="AX1576" t="s">
        <v>635</v>
      </c>
      <c r="AY1576" t="s">
        <v>636</v>
      </c>
      <c r="AZ1576" t="s">
        <v>33</v>
      </c>
      <c r="BA1576" s="18" t="s">
        <v>802</v>
      </c>
      <c r="BB1576" s="3" t="b">
        <v>0</v>
      </c>
      <c r="BC1576" t="s">
        <v>81</v>
      </c>
      <c r="BD1576">
        <v>24</v>
      </c>
      <c r="BE1576" t="s">
        <v>80</v>
      </c>
      <c r="BF1576">
        <v>24</v>
      </c>
      <c r="BG1576" t="s">
        <v>644</v>
      </c>
      <c r="BH1576" t="s">
        <v>31</v>
      </c>
      <c r="BI1576" t="s">
        <v>31</v>
      </c>
      <c r="BJ1576">
        <f t="shared" si="753"/>
        <v>1.41</v>
      </c>
      <c r="BK1576" s="3">
        <f t="shared" si="756"/>
        <v>0.14921911265537988</v>
      </c>
      <c r="BL1576">
        <v>2</v>
      </c>
      <c r="BM1576" s="3">
        <f t="shared" si="767"/>
        <v>1.4465706547390116</v>
      </c>
      <c r="BN1576" t="s">
        <v>33</v>
      </c>
      <c r="BO1576" s="3">
        <f t="shared" si="757"/>
        <v>27.962156028368796</v>
      </c>
      <c r="BP1576" t="s">
        <v>33</v>
      </c>
      <c r="BQ1576" t="s">
        <v>33</v>
      </c>
      <c r="BR1576" t="s">
        <v>33</v>
      </c>
      <c r="BS1576" t="s">
        <v>33</v>
      </c>
      <c r="BT1576" t="s">
        <v>31</v>
      </c>
      <c r="BU1576" t="s">
        <v>664</v>
      </c>
      <c r="BV1576">
        <v>2000</v>
      </c>
      <c r="BW1576" t="s">
        <v>665</v>
      </c>
      <c r="BX1576" t="s">
        <v>78</v>
      </c>
      <c r="BY1576" s="13" t="s">
        <v>685</v>
      </c>
      <c r="CA1576" t="str">
        <f t="shared" si="758"/>
        <v>low acid</v>
      </c>
    </row>
    <row r="1577" spans="1:79">
      <c r="A1577" t="s">
        <v>597</v>
      </c>
      <c r="B1577" t="s">
        <v>565</v>
      </c>
      <c r="C1577" t="s">
        <v>563</v>
      </c>
      <c r="D1577" t="s">
        <v>33</v>
      </c>
      <c r="E1577" t="s">
        <v>77</v>
      </c>
      <c r="F1577" t="s">
        <v>33</v>
      </c>
      <c r="G1577">
        <v>20</v>
      </c>
      <c r="H1577">
        <v>35</v>
      </c>
      <c r="I1577" t="b">
        <v>0</v>
      </c>
      <c r="J1577" t="s">
        <v>33</v>
      </c>
      <c r="K1577" t="s">
        <v>33</v>
      </c>
      <c r="L1577">
        <v>22</v>
      </c>
      <c r="M1577" s="4">
        <v>2</v>
      </c>
      <c r="N1577" t="e">
        <f>(#REF!*Y1577)/(T1577*X1577*O1577)</f>
        <v>#REF!</v>
      </c>
      <c r="O1577">
        <v>2</v>
      </c>
      <c r="P1577" t="s">
        <v>33</v>
      </c>
      <c r="Q1577" s="1">
        <f t="shared" si="768"/>
        <v>11.02</v>
      </c>
      <c r="R1577" t="s">
        <v>183</v>
      </c>
      <c r="S1577" t="s">
        <v>33</v>
      </c>
      <c r="T1577">
        <v>1</v>
      </c>
      <c r="U1577">
        <v>2.5</v>
      </c>
      <c r="V1577" t="s">
        <v>33</v>
      </c>
      <c r="W1577">
        <v>0.50249999999999995</v>
      </c>
      <c r="X1577">
        <f>W1577</f>
        <v>0.50249999999999995</v>
      </c>
      <c r="Y1577" t="s">
        <v>33</v>
      </c>
      <c r="Z1577" s="3">
        <f t="shared" si="766"/>
        <v>4.5598911070780394E-2</v>
      </c>
      <c r="AA1577" t="s">
        <v>33</v>
      </c>
      <c r="AB1577">
        <f>IFERROR(((X1577*M1577)/Z1577), "NA")</f>
        <v>22.04</v>
      </c>
      <c r="AC1577" s="1" t="str">
        <f t="shared" ref="AC1577:AC1586" si="769">IFERROR(M1577*P1577,"NA")</f>
        <v>NA</v>
      </c>
      <c r="AE1577" s="3">
        <f t="shared" ref="AE1577:AE1640" si="770">IFERROR(((L1577^2)*M1577*O1577*AK1577*10^-6*Q1577*T1577*AI1577), "NA")</f>
        <v>42.669439999999994</v>
      </c>
      <c r="AF1577">
        <v>44.08</v>
      </c>
      <c r="AG1577" s="1" t="str">
        <f>IFERROR((N1577*P1577*Q1577), "NA")</f>
        <v>NA</v>
      </c>
      <c r="AH1577" s="1" t="str">
        <f>IFERROR((AG1577*U1577*AI1577), "NA")</f>
        <v>NA</v>
      </c>
      <c r="AI1577" s="1">
        <v>1</v>
      </c>
      <c r="AJ1577" s="11" t="s">
        <v>31</v>
      </c>
      <c r="AK1577">
        <v>2000</v>
      </c>
      <c r="AL1577" t="s">
        <v>784</v>
      </c>
      <c r="AM1577" s="3" t="s">
        <v>103</v>
      </c>
      <c r="AN1577" t="s">
        <v>130</v>
      </c>
      <c r="AO1577" t="s">
        <v>795</v>
      </c>
      <c r="AP1577">
        <v>7</v>
      </c>
      <c r="AQ1577" t="s">
        <v>33</v>
      </c>
      <c r="AR1577" t="s">
        <v>33</v>
      </c>
      <c r="AS1577">
        <v>9</v>
      </c>
      <c r="AT1577">
        <f>AS1577-AU1577</f>
        <v>7.59</v>
      </c>
      <c r="AU1577" s="6">
        <v>1.41</v>
      </c>
      <c r="AV1577" t="b">
        <v>1</v>
      </c>
      <c r="AW1577" t="s">
        <v>617</v>
      </c>
      <c r="AX1577" t="s">
        <v>635</v>
      </c>
      <c r="AY1577" t="s">
        <v>636</v>
      </c>
      <c r="AZ1577" t="s">
        <v>33</v>
      </c>
      <c r="BA1577" s="18" t="s">
        <v>802</v>
      </c>
      <c r="BB1577" s="3" t="b">
        <v>0</v>
      </c>
      <c r="BC1577" t="s">
        <v>81</v>
      </c>
      <c r="BD1577">
        <v>24</v>
      </c>
      <c r="BE1577" t="s">
        <v>80</v>
      </c>
      <c r="BF1577">
        <v>24</v>
      </c>
      <c r="BG1577" t="s">
        <v>644</v>
      </c>
      <c r="BH1577" t="s">
        <v>31</v>
      </c>
      <c r="BI1577" t="s">
        <v>31</v>
      </c>
      <c r="BJ1577">
        <f t="shared" si="753"/>
        <v>1.41</v>
      </c>
      <c r="BK1577" s="3">
        <f t="shared" si="756"/>
        <v>0.14921911265537988</v>
      </c>
      <c r="BL1577">
        <v>2</v>
      </c>
      <c r="BM1577" s="3">
        <f t="shared" si="767"/>
        <v>1.4808978304967424</v>
      </c>
      <c r="BN1577" t="s">
        <v>33</v>
      </c>
      <c r="BO1577" s="3">
        <f t="shared" si="757"/>
        <v>30.26201418439716</v>
      </c>
      <c r="BP1577" t="s">
        <v>33</v>
      </c>
      <c r="BQ1577" t="s">
        <v>33</v>
      </c>
      <c r="BR1577" t="s">
        <v>33</v>
      </c>
      <c r="BS1577" t="s">
        <v>33</v>
      </c>
      <c r="BT1577" t="s">
        <v>31</v>
      </c>
      <c r="BU1577" t="s">
        <v>664</v>
      </c>
      <c r="BV1577">
        <v>2000</v>
      </c>
      <c r="BW1577" t="s">
        <v>665</v>
      </c>
      <c r="BX1577" t="s">
        <v>78</v>
      </c>
      <c r="BY1577" s="13" t="s">
        <v>685</v>
      </c>
      <c r="CA1577" t="str">
        <f t="shared" si="758"/>
        <v>low acid</v>
      </c>
    </row>
    <row r="1578" spans="1:79">
      <c r="A1578" t="s">
        <v>229</v>
      </c>
      <c r="B1578" t="s">
        <v>565</v>
      </c>
      <c r="C1578" t="s">
        <v>563</v>
      </c>
      <c r="D1578" t="s">
        <v>33</v>
      </c>
      <c r="E1578" t="s">
        <v>77</v>
      </c>
      <c r="F1578" t="s">
        <v>32</v>
      </c>
      <c r="G1578">
        <v>30</v>
      </c>
      <c r="H1578">
        <v>61</v>
      </c>
      <c r="I1578" t="b">
        <v>1</v>
      </c>
      <c r="J1578" t="s">
        <v>33</v>
      </c>
      <c r="K1578" t="s">
        <v>33</v>
      </c>
      <c r="L1578">
        <v>25</v>
      </c>
      <c r="M1578" s="4">
        <v>500</v>
      </c>
      <c r="N1578" s="3">
        <f>IFERROR(AF1578/((T1578*X1578/Y1578)*O1578*AI1578),"NA")</f>
        <v>521.04864189465479</v>
      </c>
      <c r="O1578">
        <v>4</v>
      </c>
      <c r="P1578" t="s">
        <v>33</v>
      </c>
      <c r="Q1578" s="8">
        <f t="shared" si="768"/>
        <v>1.3333333333333332E-2</v>
      </c>
      <c r="R1578" t="s">
        <v>183</v>
      </c>
      <c r="S1578" t="s">
        <v>613</v>
      </c>
      <c r="T1578" s="11">
        <v>6</v>
      </c>
      <c r="U1578">
        <v>2.2999999999999998</v>
      </c>
      <c r="V1578">
        <v>2.2000000000000002</v>
      </c>
      <c r="W1578" t="s">
        <v>33</v>
      </c>
      <c r="X1578" s="8">
        <f>IFERROR(((PI())*(((V1578*10^-1)/2)^2)*(U1578*10^-1)), "NA")</f>
        <v>8.7430523549403959E-3</v>
      </c>
      <c r="Y1578" s="6">
        <f>41/60</f>
        <v>0.68333333333333335</v>
      </c>
      <c r="Z1578" s="3">
        <f t="shared" si="766"/>
        <v>0.65572892662052973</v>
      </c>
      <c r="AA1578" s="3">
        <f>40/6</f>
        <v>6.666666666666667</v>
      </c>
      <c r="AB1578" s="6">
        <f>IFERROR(((X1578*M1578)/Z1578), "NA")</f>
        <v>6.6666666666666661</v>
      </c>
      <c r="AC1578" t="str">
        <f t="shared" si="769"/>
        <v>NA</v>
      </c>
      <c r="AD1578" s="4">
        <f>AB1578*T1578*AI1578</f>
        <v>40</v>
      </c>
      <c r="AE1578" s="3">
        <f t="shared" si="770"/>
        <v>399.99999999999994</v>
      </c>
      <c r="AF1578">
        <v>160</v>
      </c>
      <c r="AG1578" t="str">
        <f>IFERROR((M1578*O1578*P1578), "NA")</f>
        <v>NA</v>
      </c>
      <c r="AH1578" t="str">
        <f>IFERROR((AG1578*T1578*AI1578), "NA")</f>
        <v>NA</v>
      </c>
      <c r="AI1578">
        <v>1</v>
      </c>
      <c r="AJ1578" t="s">
        <v>31</v>
      </c>
      <c r="AK1578">
        <v>4000</v>
      </c>
      <c r="AL1578" t="s">
        <v>546</v>
      </c>
      <c r="AM1578" t="s">
        <v>103</v>
      </c>
      <c r="AN1578" t="s">
        <v>130</v>
      </c>
      <c r="AO1578" t="s">
        <v>795</v>
      </c>
      <c r="AP1578">
        <v>5</v>
      </c>
      <c r="AQ1578" t="s">
        <v>33</v>
      </c>
      <c r="AR1578" t="s">
        <v>33</v>
      </c>
      <c r="AS1578" s="6">
        <v>8.4</v>
      </c>
      <c r="AT1578" s="3">
        <f>IFERROR(AS1578-AU1578,"NA")</f>
        <v>7.6000000000000005</v>
      </c>
      <c r="AU1578" s="6">
        <v>0.8</v>
      </c>
      <c r="AV1578" t="b">
        <v>1</v>
      </c>
      <c r="AW1578" t="s">
        <v>92</v>
      </c>
      <c r="AX1578" t="s">
        <v>119</v>
      </c>
      <c r="AY1578" t="s">
        <v>230</v>
      </c>
      <c r="AZ1578" t="s">
        <v>33</v>
      </c>
      <c r="BA1578" s="18" t="s">
        <v>801</v>
      </c>
      <c r="BB1578" t="b">
        <v>0</v>
      </c>
      <c r="BC1578" t="s">
        <v>81</v>
      </c>
      <c r="BD1578">
        <v>14</v>
      </c>
      <c r="BE1578" t="s">
        <v>80</v>
      </c>
      <c r="BF1578" s="11">
        <v>120</v>
      </c>
      <c r="BG1578" t="s">
        <v>139</v>
      </c>
      <c r="BH1578" t="s">
        <v>31</v>
      </c>
      <c r="BI1578" t="s">
        <v>31</v>
      </c>
      <c r="BJ1578" s="3">
        <f t="shared" si="753"/>
        <v>0.8</v>
      </c>
      <c r="BK1578" s="3">
        <f t="shared" si="756"/>
        <v>-9.6910013008056392E-2</v>
      </c>
      <c r="BL1578">
        <v>2</v>
      </c>
      <c r="BM1578" s="3">
        <f t="shared" si="767"/>
        <v>2.6989700043360187</v>
      </c>
      <c r="BN1578" t="s">
        <v>33</v>
      </c>
      <c r="BO1578" s="3">
        <f t="shared" si="757"/>
        <v>499.99999999999989</v>
      </c>
      <c r="BP1578" t="s">
        <v>33</v>
      </c>
      <c r="BQ1578" t="s">
        <v>33</v>
      </c>
      <c r="BR1578" t="s">
        <v>33</v>
      </c>
      <c r="BS1578" t="s">
        <v>33</v>
      </c>
      <c r="BT1578" t="s">
        <v>31</v>
      </c>
      <c r="BU1578" t="s">
        <v>227</v>
      </c>
      <c r="BV1578">
        <v>2001</v>
      </c>
      <c r="BW1578" t="s">
        <v>228</v>
      </c>
      <c r="BX1578" t="s">
        <v>78</v>
      </c>
      <c r="BY1578" t="s">
        <v>33</v>
      </c>
      <c r="BZ1578" t="s">
        <v>33</v>
      </c>
      <c r="CA1578" t="str">
        <f t="shared" si="758"/>
        <v>low acid</v>
      </c>
    </row>
    <row r="1579" spans="1:79">
      <c r="A1579" t="s">
        <v>181</v>
      </c>
      <c r="B1579" t="s">
        <v>565</v>
      </c>
      <c r="C1579" t="s">
        <v>563</v>
      </c>
      <c r="D1579" t="s">
        <v>118</v>
      </c>
      <c r="E1579" t="s">
        <v>77</v>
      </c>
      <c r="F1579" t="s">
        <v>32</v>
      </c>
      <c r="G1579">
        <v>22</v>
      </c>
      <c r="H1579">
        <v>35</v>
      </c>
      <c r="I1579" t="b">
        <v>0</v>
      </c>
      <c r="J1579" t="s">
        <v>33</v>
      </c>
      <c r="K1579" t="s">
        <v>33</v>
      </c>
      <c r="L1579">
        <v>10</v>
      </c>
      <c r="M1579" s="4">
        <v>1000</v>
      </c>
      <c r="N1579" s="3">
        <f>IFERROR(AF1579/((T1579*X1579/Y1579)*O1579*AI1579),"NA")</f>
        <v>1000.1191061872564</v>
      </c>
      <c r="O1579">
        <v>3</v>
      </c>
      <c r="P1579" t="s">
        <v>33</v>
      </c>
      <c r="Q1579" s="8">
        <f t="shared" si="768"/>
        <v>1.2133333333333333E-2</v>
      </c>
      <c r="R1579" t="s">
        <v>183</v>
      </c>
      <c r="S1579" t="s">
        <v>613</v>
      </c>
      <c r="T1579" s="11">
        <v>4</v>
      </c>
      <c r="U1579">
        <v>2.92</v>
      </c>
      <c r="V1579">
        <v>2.2999999999999998</v>
      </c>
      <c r="W1579" t="s">
        <v>33</v>
      </c>
      <c r="X1579" s="8">
        <f>IFERROR(((PI())*(((V1579*10^-1)/2)^2)*(U1579*10^-1)), "NA")</f>
        <v>1.2131888350367701E-2</v>
      </c>
      <c r="Y1579">
        <v>1</v>
      </c>
      <c r="Z1579" s="9">
        <f t="shared" si="766"/>
        <v>0.99988090799733798</v>
      </c>
      <c r="AA1579">
        <v>12</v>
      </c>
      <c r="AB1579" s="6">
        <f>IFERROR(((X1579*M1579)/Z1579), "NA")</f>
        <v>12.133333333333333</v>
      </c>
      <c r="AC1579" t="str">
        <f t="shared" si="769"/>
        <v>NA</v>
      </c>
      <c r="AD1579" s="4">
        <f>IFERROR(AB1579*T1579*AI1579, "NA")</f>
        <v>48.533333333333331</v>
      </c>
      <c r="AE1579" s="3">
        <f t="shared" si="770"/>
        <v>29.119999999999997</v>
      </c>
      <c r="AF1579">
        <v>145.6</v>
      </c>
      <c r="AG1579" t="str">
        <f>IFERROR((M1579*O1579*P1579), "NA")</f>
        <v>NA</v>
      </c>
      <c r="AH1579" t="str">
        <f>IFERROR((AG1579*T1579*AI1579), "NA")</f>
        <v>NA</v>
      </c>
      <c r="AI1579" s="11">
        <v>1</v>
      </c>
      <c r="AJ1579" t="s">
        <v>31</v>
      </c>
      <c r="AK1579">
        <v>2000</v>
      </c>
      <c r="AL1579" t="s">
        <v>114</v>
      </c>
      <c r="AM1579" t="s">
        <v>103</v>
      </c>
      <c r="AN1579" t="s">
        <v>130</v>
      </c>
      <c r="AO1579" t="s">
        <v>795</v>
      </c>
      <c r="AP1579" t="s">
        <v>33</v>
      </c>
      <c r="AQ1579" t="s">
        <v>33</v>
      </c>
      <c r="AR1579" t="s">
        <v>33</v>
      </c>
      <c r="AS1579" s="6">
        <f>LOG(2*10^8)</f>
        <v>8.3010299956639813</v>
      </c>
      <c r="AT1579" s="3">
        <f>IFERROR(AS1579-AU1579,"NA")</f>
        <v>7.6010299956639811</v>
      </c>
      <c r="AU1579" s="6">
        <v>0.7</v>
      </c>
      <c r="AV1579" t="b">
        <v>1</v>
      </c>
      <c r="AW1579" t="s">
        <v>92</v>
      </c>
      <c r="AX1579" t="s">
        <v>93</v>
      </c>
      <c r="AY1579" t="s">
        <v>94</v>
      </c>
      <c r="AZ1579" t="s">
        <v>33</v>
      </c>
      <c r="BA1579" s="18" t="s">
        <v>801</v>
      </c>
      <c r="BB1579" t="b">
        <v>0</v>
      </c>
      <c r="BC1579" t="s">
        <v>81</v>
      </c>
      <c r="BD1579" t="s">
        <v>33</v>
      </c>
      <c r="BE1579" t="s">
        <v>33</v>
      </c>
      <c r="BF1579" s="11">
        <v>48</v>
      </c>
      <c r="BG1579" t="s">
        <v>569</v>
      </c>
      <c r="BH1579" t="s">
        <v>31</v>
      </c>
      <c r="BI1579" t="s">
        <v>31</v>
      </c>
      <c r="BJ1579" s="3">
        <f t="shared" si="753"/>
        <v>0.7</v>
      </c>
      <c r="BK1579" s="3">
        <f t="shared" si="756"/>
        <v>-0.15490195998574319</v>
      </c>
      <c r="BL1579">
        <v>2</v>
      </c>
      <c r="BM1579" s="3">
        <f t="shared" si="767"/>
        <v>1.6190933306267428</v>
      </c>
      <c r="BN1579" t="s">
        <v>33</v>
      </c>
      <c r="BO1579" s="3">
        <f t="shared" si="757"/>
        <v>41.6</v>
      </c>
      <c r="BP1579" t="s">
        <v>33</v>
      </c>
      <c r="BQ1579" t="s">
        <v>33</v>
      </c>
      <c r="BR1579" t="s">
        <v>33</v>
      </c>
      <c r="BS1579" t="s">
        <v>33</v>
      </c>
      <c r="BT1579" t="s">
        <v>32</v>
      </c>
      <c r="BU1579" t="s">
        <v>177</v>
      </c>
      <c r="BV1579">
        <v>2001</v>
      </c>
      <c r="BW1579" s="2" t="s">
        <v>178</v>
      </c>
      <c r="BX1579" t="s">
        <v>78</v>
      </c>
      <c r="BY1579" t="s">
        <v>33</v>
      </c>
      <c r="BZ1579" t="s">
        <v>33</v>
      </c>
      <c r="CA1579" t="str">
        <f t="shared" si="758"/>
        <v>low acid</v>
      </c>
    </row>
    <row r="1580" spans="1:79">
      <c r="A1580" t="s">
        <v>495</v>
      </c>
      <c r="B1580" t="s">
        <v>566</v>
      </c>
      <c r="C1580" t="s">
        <v>563</v>
      </c>
      <c r="D1580" t="s">
        <v>279</v>
      </c>
      <c r="E1580" t="s">
        <v>77</v>
      </c>
      <c r="F1580" t="s">
        <v>32</v>
      </c>
      <c r="G1580">
        <v>15</v>
      </c>
      <c r="H1580">
        <v>35</v>
      </c>
      <c r="I1580" t="b">
        <v>0</v>
      </c>
      <c r="J1580" t="s">
        <v>33</v>
      </c>
      <c r="K1580" t="s">
        <v>33</v>
      </c>
      <c r="L1580">
        <v>25</v>
      </c>
      <c r="M1580" s="4">
        <v>1000</v>
      </c>
      <c r="N1580" s="3">
        <f>IFERROR(AF1580/((T1580*X1580/Y1580)*O1580*AI1580),"NA")</f>
        <v>999.99999999999989</v>
      </c>
      <c r="O1580">
        <v>20</v>
      </c>
      <c r="P1580">
        <f>0.02/0.5</f>
        <v>0.04</v>
      </c>
      <c r="Q1580" s="8">
        <f t="shared" si="768"/>
        <v>3.95840674352314E-2</v>
      </c>
      <c r="R1580" t="s">
        <v>183</v>
      </c>
      <c r="S1580" t="s">
        <v>613</v>
      </c>
      <c r="T1580" s="11">
        <v>1</v>
      </c>
      <c r="U1580">
        <v>2.8</v>
      </c>
      <c r="V1580">
        <v>3</v>
      </c>
      <c r="W1580">
        <v>0.02</v>
      </c>
      <c r="X1580" s="9">
        <f>IFERROR(((PI())*(((V1580*10^-1)/2)^2)*(U1580*10^-1)), "NA")</f>
        <v>1.97920337176157E-2</v>
      </c>
      <c r="Y1580">
        <v>0.5</v>
      </c>
      <c r="Z1580" s="3">
        <f t="shared" si="766"/>
        <v>0.5</v>
      </c>
      <c r="AA1580" t="s">
        <v>33</v>
      </c>
      <c r="AB1580" s="4">
        <f>IFERROR(((X1580*M1580)/Y1580), "NA")</f>
        <v>39.584067435231397</v>
      </c>
      <c r="AC1580" s="4">
        <f t="shared" si="769"/>
        <v>40</v>
      </c>
      <c r="AD1580" s="4">
        <f>IFERROR(AB1580*T1580*AI1580, "NA")</f>
        <v>39.584067435231397</v>
      </c>
      <c r="AE1580" s="3">
        <f t="shared" si="770"/>
        <v>89.064151729270648</v>
      </c>
      <c r="AF1580" s="4">
        <f>AI1580*T1580*AB1580*O1580</f>
        <v>791.68134870462791</v>
      </c>
      <c r="AG1580" s="4">
        <f>IFERROR((M1580*O1580*P1580), "NA")</f>
        <v>800</v>
      </c>
      <c r="AH1580" s="4">
        <f>IFERROR((AG1580*T1580*AI1580), "NA")</f>
        <v>800</v>
      </c>
      <c r="AI1580" s="11">
        <v>1</v>
      </c>
      <c r="AJ1580" t="s">
        <v>31</v>
      </c>
      <c r="AK1580" s="11">
        <v>180</v>
      </c>
      <c r="AL1580" t="s">
        <v>492</v>
      </c>
      <c r="AM1580" t="s">
        <v>103</v>
      </c>
      <c r="AN1580" t="s">
        <v>130</v>
      </c>
      <c r="AO1580" t="s">
        <v>795</v>
      </c>
      <c r="AP1580" t="s">
        <v>33</v>
      </c>
      <c r="AQ1580" t="s">
        <v>33</v>
      </c>
      <c r="AR1580" t="s">
        <v>33</v>
      </c>
      <c r="AS1580" s="6">
        <f>LOG(10^9)</f>
        <v>9</v>
      </c>
      <c r="AT1580" s="3">
        <f>IFERROR(AS1580-AU1580,"NA")</f>
        <v>7.6429999999999998</v>
      </c>
      <c r="AU1580" s="6">
        <v>1.357</v>
      </c>
      <c r="AV1580" t="b">
        <v>1</v>
      </c>
      <c r="AW1580" t="s">
        <v>29</v>
      </c>
      <c r="AX1580" t="s">
        <v>30</v>
      </c>
      <c r="AY1580" t="s">
        <v>33</v>
      </c>
      <c r="AZ1580" t="s">
        <v>33</v>
      </c>
      <c r="BA1580" s="18" t="s">
        <v>798</v>
      </c>
      <c r="BB1580" t="b">
        <v>0</v>
      </c>
      <c r="BC1580" t="s">
        <v>81</v>
      </c>
      <c r="BD1580" t="s">
        <v>33</v>
      </c>
      <c r="BE1580" t="s">
        <v>80</v>
      </c>
      <c r="BF1580" s="11">
        <v>24</v>
      </c>
      <c r="BG1580" t="s">
        <v>569</v>
      </c>
      <c r="BH1580" t="s">
        <v>31</v>
      </c>
      <c r="BI1580" t="s">
        <v>31</v>
      </c>
      <c r="BJ1580" s="3">
        <f t="shared" si="753"/>
        <v>1.357</v>
      </c>
      <c r="BK1580" s="3">
        <f t="shared" si="756"/>
        <v>0.13257984765973707</v>
      </c>
      <c r="BL1580">
        <v>2</v>
      </c>
      <c r="BM1580" s="3">
        <f t="shared" si="767"/>
        <v>1.8171230882633223</v>
      </c>
      <c r="BN1580" t="s">
        <v>33</v>
      </c>
      <c r="BO1580" s="3">
        <f t="shared" si="757"/>
        <v>65.633125813758767</v>
      </c>
      <c r="BP1580" t="s">
        <v>33</v>
      </c>
      <c r="BQ1580" t="s">
        <v>33</v>
      </c>
      <c r="BR1580" t="s">
        <v>33</v>
      </c>
      <c r="BS1580" t="s">
        <v>33</v>
      </c>
      <c r="BT1580" t="s">
        <v>32</v>
      </c>
      <c r="BU1580" t="s">
        <v>497</v>
      </c>
      <c r="BV1580" s="11">
        <v>2017</v>
      </c>
      <c r="BW1580" t="s">
        <v>498</v>
      </c>
      <c r="BX1580" t="s">
        <v>78</v>
      </c>
      <c r="BY1580" t="s">
        <v>499</v>
      </c>
      <c r="BZ1580" t="s">
        <v>500</v>
      </c>
      <c r="CA1580" t="str">
        <f t="shared" si="758"/>
        <v>low acid</v>
      </c>
    </row>
    <row r="1581" spans="1:79">
      <c r="A1581" t="s">
        <v>597</v>
      </c>
      <c r="B1581" t="s">
        <v>565</v>
      </c>
      <c r="C1581" t="s">
        <v>563</v>
      </c>
      <c r="D1581" t="s">
        <v>33</v>
      </c>
      <c r="E1581" t="s">
        <v>77</v>
      </c>
      <c r="F1581" t="s">
        <v>33</v>
      </c>
      <c r="G1581">
        <v>20</v>
      </c>
      <c r="H1581">
        <v>35</v>
      </c>
      <c r="I1581" t="b">
        <v>0</v>
      </c>
      <c r="J1581" t="s">
        <v>33</v>
      </c>
      <c r="K1581" t="s">
        <v>33</v>
      </c>
      <c r="L1581">
        <v>22</v>
      </c>
      <c r="M1581" s="4">
        <v>1</v>
      </c>
      <c r="N1581" t="e">
        <f>(#REF!*Y1581)/(T1581*X1581*O1581)</f>
        <v>#REF!</v>
      </c>
      <c r="O1581">
        <v>2</v>
      </c>
      <c r="P1581" t="s">
        <v>33</v>
      </c>
      <c r="Q1581" s="1">
        <f t="shared" si="768"/>
        <v>19.045000000000002</v>
      </c>
      <c r="R1581" t="s">
        <v>183</v>
      </c>
      <c r="S1581" t="s">
        <v>33</v>
      </c>
      <c r="T1581">
        <v>1</v>
      </c>
      <c r="U1581">
        <v>2.5</v>
      </c>
      <c r="V1581" t="s">
        <v>33</v>
      </c>
      <c r="W1581">
        <v>0.50249999999999995</v>
      </c>
      <c r="X1581">
        <f t="shared" ref="X1581:X1587" si="771">W1581</f>
        <v>0.50249999999999995</v>
      </c>
      <c r="Y1581" t="s">
        <v>33</v>
      </c>
      <c r="Z1581" s="3">
        <f t="shared" si="766"/>
        <v>2.6384877920714093E-2</v>
      </c>
      <c r="AA1581" t="s">
        <v>33</v>
      </c>
      <c r="AB1581">
        <f>IFERROR(((X1581*M1581)/Z1581), "NA")</f>
        <v>19.045000000000002</v>
      </c>
      <c r="AC1581" s="1" t="str">
        <f t="shared" si="769"/>
        <v>NA</v>
      </c>
      <c r="AE1581" s="3">
        <f t="shared" si="770"/>
        <v>36.871120000000005</v>
      </c>
      <c r="AF1581">
        <v>38.090000000000003</v>
      </c>
      <c r="AG1581" s="1" t="str">
        <f>IFERROR((N1581*P1581*Q1581), "NA")</f>
        <v>NA</v>
      </c>
      <c r="AH1581" s="1" t="str">
        <f>IFERROR((AG1581*U1581*AI1581), "NA")</f>
        <v>NA</v>
      </c>
      <c r="AI1581" s="1">
        <v>1</v>
      </c>
      <c r="AJ1581" s="11" t="s">
        <v>31</v>
      </c>
      <c r="AK1581">
        <v>2000</v>
      </c>
      <c r="AL1581" t="s">
        <v>784</v>
      </c>
      <c r="AM1581" s="3" t="s">
        <v>103</v>
      </c>
      <c r="AN1581" t="s">
        <v>130</v>
      </c>
      <c r="AO1581" t="s">
        <v>795</v>
      </c>
      <c r="AP1581">
        <v>7</v>
      </c>
      <c r="AQ1581" t="s">
        <v>33</v>
      </c>
      <c r="AR1581" t="s">
        <v>33</v>
      </c>
      <c r="AS1581">
        <v>9</v>
      </c>
      <c r="AT1581">
        <f>AS1581-AU1581</f>
        <v>7.65</v>
      </c>
      <c r="AU1581" s="6">
        <v>1.35</v>
      </c>
      <c r="AV1581" t="b">
        <v>1</v>
      </c>
      <c r="AW1581" t="s">
        <v>617</v>
      </c>
      <c r="AX1581" t="s">
        <v>635</v>
      </c>
      <c r="AY1581" t="s">
        <v>636</v>
      </c>
      <c r="AZ1581" t="s">
        <v>33</v>
      </c>
      <c r="BA1581" s="18" t="s">
        <v>802</v>
      </c>
      <c r="BB1581" s="3" t="b">
        <v>0</v>
      </c>
      <c r="BC1581" t="s">
        <v>81</v>
      </c>
      <c r="BD1581">
        <v>24</v>
      </c>
      <c r="BE1581" t="s">
        <v>80</v>
      </c>
      <c r="BF1581">
        <v>24</v>
      </c>
      <c r="BG1581" t="s">
        <v>644</v>
      </c>
      <c r="BH1581" t="s">
        <v>31</v>
      </c>
      <c r="BI1581" t="s">
        <v>31</v>
      </c>
      <c r="BJ1581">
        <f t="shared" ref="BJ1581:BJ1644" si="772">AU1581</f>
        <v>1.35</v>
      </c>
      <c r="BK1581" s="3">
        <f t="shared" si="756"/>
        <v>0.13033376849500614</v>
      </c>
      <c r="BL1581">
        <v>2</v>
      </c>
      <c r="BM1581" s="3">
        <f t="shared" si="767"/>
        <v>1.4363525614743338</v>
      </c>
      <c r="BN1581" t="s">
        <v>33</v>
      </c>
      <c r="BO1581" s="3">
        <f t="shared" si="757"/>
        <v>27.311940740740742</v>
      </c>
      <c r="BP1581" t="s">
        <v>33</v>
      </c>
      <c r="BQ1581" t="s">
        <v>33</v>
      </c>
      <c r="BR1581" t="s">
        <v>33</v>
      </c>
      <c r="BS1581" t="s">
        <v>33</v>
      </c>
      <c r="BT1581" t="s">
        <v>31</v>
      </c>
      <c r="BU1581" t="s">
        <v>664</v>
      </c>
      <c r="BV1581">
        <v>2000</v>
      </c>
      <c r="BW1581" t="s">
        <v>665</v>
      </c>
      <c r="BX1581" t="s">
        <v>78</v>
      </c>
      <c r="BY1581" s="13" t="s">
        <v>685</v>
      </c>
      <c r="CA1581" t="str">
        <f t="shared" si="758"/>
        <v>low acid</v>
      </c>
    </row>
    <row r="1582" spans="1:79">
      <c r="A1582" t="s">
        <v>597</v>
      </c>
      <c r="B1582" t="s">
        <v>565</v>
      </c>
      <c r="C1582" t="s">
        <v>563</v>
      </c>
      <c r="D1582" t="s">
        <v>33</v>
      </c>
      <c r="E1582" t="s">
        <v>77</v>
      </c>
      <c r="F1582" t="s">
        <v>33</v>
      </c>
      <c r="G1582">
        <v>20</v>
      </c>
      <c r="H1582">
        <v>35</v>
      </c>
      <c r="I1582" t="b">
        <v>0</v>
      </c>
      <c r="J1582" t="s">
        <v>33</v>
      </c>
      <c r="K1582" t="s">
        <v>33</v>
      </c>
      <c r="L1582">
        <v>22</v>
      </c>
      <c r="M1582" s="4">
        <v>1</v>
      </c>
      <c r="N1582" t="e">
        <f>(#REF!*Y1582)/(T1582*X1582*O1582)</f>
        <v>#REF!</v>
      </c>
      <c r="O1582">
        <v>2</v>
      </c>
      <c r="P1582" t="s">
        <v>33</v>
      </c>
      <c r="Q1582" s="1">
        <f t="shared" si="768"/>
        <v>22.27</v>
      </c>
      <c r="R1582" t="s">
        <v>183</v>
      </c>
      <c r="S1582" t="s">
        <v>33</v>
      </c>
      <c r="T1582">
        <v>1</v>
      </c>
      <c r="U1582">
        <v>2.5</v>
      </c>
      <c r="V1582" t="s">
        <v>33</v>
      </c>
      <c r="W1582">
        <v>0.50249999999999995</v>
      </c>
      <c r="X1582">
        <f t="shared" si="771"/>
        <v>0.50249999999999995</v>
      </c>
      <c r="Y1582" t="s">
        <v>33</v>
      </c>
      <c r="Z1582" s="3">
        <f t="shared" si="766"/>
        <v>2.2563987427031879E-2</v>
      </c>
      <c r="AA1582" t="s">
        <v>33</v>
      </c>
      <c r="AB1582">
        <f>IFERROR(((X1582*M1582)/Z1582), "NA")</f>
        <v>22.27</v>
      </c>
      <c r="AC1582" s="1" t="str">
        <f t="shared" si="769"/>
        <v>NA</v>
      </c>
      <c r="AE1582" s="3">
        <f t="shared" si="770"/>
        <v>43.114719999999998</v>
      </c>
      <c r="AF1582">
        <v>44.54</v>
      </c>
      <c r="AG1582" s="1" t="str">
        <f>IFERROR((N1582*P1582*Q1582), "NA")</f>
        <v>NA</v>
      </c>
      <c r="AH1582" s="1" t="str">
        <f>IFERROR((AG1582*U1582*AI1582), "NA")</f>
        <v>NA</v>
      </c>
      <c r="AI1582" s="1">
        <v>1</v>
      </c>
      <c r="AJ1582" s="11" t="s">
        <v>31</v>
      </c>
      <c r="AK1582">
        <v>2000</v>
      </c>
      <c r="AL1582" t="s">
        <v>784</v>
      </c>
      <c r="AM1582" s="3" t="s">
        <v>103</v>
      </c>
      <c r="AN1582" t="s">
        <v>130</v>
      </c>
      <c r="AO1582" t="s">
        <v>795</v>
      </c>
      <c r="AP1582">
        <v>7</v>
      </c>
      <c r="AQ1582" t="s">
        <v>33</v>
      </c>
      <c r="AR1582" t="s">
        <v>33</v>
      </c>
      <c r="AS1582">
        <v>9</v>
      </c>
      <c r="AT1582">
        <f>AS1582-AU1582</f>
        <v>7.66</v>
      </c>
      <c r="AU1582" s="6">
        <v>1.34</v>
      </c>
      <c r="AV1582" t="b">
        <v>1</v>
      </c>
      <c r="AW1582" t="s">
        <v>617</v>
      </c>
      <c r="AX1582" t="s">
        <v>635</v>
      </c>
      <c r="AY1582" t="s">
        <v>636</v>
      </c>
      <c r="AZ1582" t="s">
        <v>33</v>
      </c>
      <c r="BA1582" s="18" t="s">
        <v>802</v>
      </c>
      <c r="BB1582" s="3" t="b">
        <v>0</v>
      </c>
      <c r="BC1582" t="s">
        <v>81</v>
      </c>
      <c r="BD1582">
        <v>24</v>
      </c>
      <c r="BE1582" t="s">
        <v>80</v>
      </c>
      <c r="BF1582">
        <v>24</v>
      </c>
      <c r="BG1582" t="s">
        <v>644</v>
      </c>
      <c r="BH1582" t="s">
        <v>31</v>
      </c>
      <c r="BI1582" t="s">
        <v>31</v>
      </c>
      <c r="BJ1582">
        <f t="shared" si="772"/>
        <v>1.34</v>
      </c>
      <c r="BK1582" s="3">
        <f t="shared" si="756"/>
        <v>0.12710479836480765</v>
      </c>
      <c r="BL1582">
        <v>2</v>
      </c>
      <c r="BM1582" s="3">
        <f t="shared" si="767"/>
        <v>1.5075207716416055</v>
      </c>
      <c r="BN1582" t="s">
        <v>33</v>
      </c>
      <c r="BO1582" s="3">
        <f t="shared" si="757"/>
        <v>32.175164179104478</v>
      </c>
      <c r="BP1582" t="s">
        <v>33</v>
      </c>
      <c r="BQ1582" t="s">
        <v>33</v>
      </c>
      <c r="BR1582" t="s">
        <v>33</v>
      </c>
      <c r="BS1582" t="s">
        <v>33</v>
      </c>
      <c r="BT1582" t="s">
        <v>31</v>
      </c>
      <c r="BU1582" t="s">
        <v>664</v>
      </c>
      <c r="BV1582">
        <v>2000</v>
      </c>
      <c r="BW1582" t="s">
        <v>665</v>
      </c>
      <c r="BX1582" t="s">
        <v>78</v>
      </c>
      <c r="BY1582" s="13" t="s">
        <v>685</v>
      </c>
      <c r="CA1582" t="str">
        <f t="shared" si="758"/>
        <v>low acid</v>
      </c>
    </row>
    <row r="1583" spans="1:79">
      <c r="A1583" t="s">
        <v>597</v>
      </c>
      <c r="B1583" t="s">
        <v>565</v>
      </c>
      <c r="C1583" t="s">
        <v>563</v>
      </c>
      <c r="D1583" t="s">
        <v>33</v>
      </c>
      <c r="E1583" t="s">
        <v>77</v>
      </c>
      <c r="F1583" t="s">
        <v>33</v>
      </c>
      <c r="G1583">
        <v>20</v>
      </c>
      <c r="H1583">
        <v>35</v>
      </c>
      <c r="I1583" t="b">
        <v>0</v>
      </c>
      <c r="J1583" t="s">
        <v>33</v>
      </c>
      <c r="K1583" t="s">
        <v>33</v>
      </c>
      <c r="L1583">
        <v>22</v>
      </c>
      <c r="M1583" s="4">
        <v>5</v>
      </c>
      <c r="N1583" t="e">
        <f>(#REF!*Y1583)/(T1583*X1583*O1583)</f>
        <v>#REF!</v>
      </c>
      <c r="O1583">
        <v>2</v>
      </c>
      <c r="P1583" t="s">
        <v>33</v>
      </c>
      <c r="Q1583" s="1">
        <f t="shared" si="768"/>
        <v>4.4090000000000007</v>
      </c>
      <c r="R1583" t="s">
        <v>183</v>
      </c>
      <c r="S1583" t="s">
        <v>33</v>
      </c>
      <c r="T1583">
        <v>1</v>
      </c>
      <c r="U1583">
        <v>2.5</v>
      </c>
      <c r="V1583" t="s">
        <v>33</v>
      </c>
      <c r="W1583">
        <v>0.50249999999999995</v>
      </c>
      <c r="X1583">
        <f t="shared" si="771"/>
        <v>0.50249999999999995</v>
      </c>
      <c r="Y1583" t="s">
        <v>33</v>
      </c>
      <c r="Z1583" s="3">
        <f t="shared" si="766"/>
        <v>0.11397142209117711</v>
      </c>
      <c r="AA1583" t="s">
        <v>33</v>
      </c>
      <c r="AB1583">
        <f>IFERROR(((X1583*M1583)/Z1583), "NA")</f>
        <v>22.045000000000002</v>
      </c>
      <c r="AC1583" s="1" t="str">
        <f t="shared" si="769"/>
        <v>NA</v>
      </c>
      <c r="AE1583" s="3">
        <f t="shared" si="770"/>
        <v>42.679120000000005</v>
      </c>
      <c r="AF1583">
        <v>44.09</v>
      </c>
      <c r="AG1583" s="1" t="str">
        <f>IFERROR((N1583*P1583*Q1583), "NA")</f>
        <v>NA</v>
      </c>
      <c r="AH1583" s="1" t="str">
        <f>IFERROR((AG1583*U1583*AI1583), "NA")</f>
        <v>NA</v>
      </c>
      <c r="AI1583" s="1">
        <v>1</v>
      </c>
      <c r="AJ1583" s="11" t="s">
        <v>31</v>
      </c>
      <c r="AK1583">
        <v>2000</v>
      </c>
      <c r="AL1583" t="s">
        <v>784</v>
      </c>
      <c r="AM1583" s="3" t="s">
        <v>103</v>
      </c>
      <c r="AN1583" t="s">
        <v>130</v>
      </c>
      <c r="AO1583" t="s">
        <v>795</v>
      </c>
      <c r="AP1583">
        <v>7</v>
      </c>
      <c r="AQ1583" t="s">
        <v>33</v>
      </c>
      <c r="AR1583" t="s">
        <v>33</v>
      </c>
      <c r="AS1583">
        <v>9</v>
      </c>
      <c r="AT1583">
        <f>AS1583-AU1583</f>
        <v>7.66</v>
      </c>
      <c r="AU1583" s="6">
        <v>1.34</v>
      </c>
      <c r="AV1583" t="b">
        <v>1</v>
      </c>
      <c r="AW1583" t="s">
        <v>617</v>
      </c>
      <c r="AX1583" t="s">
        <v>635</v>
      </c>
      <c r="AY1583" t="s">
        <v>636</v>
      </c>
      <c r="AZ1583" t="s">
        <v>33</v>
      </c>
      <c r="BA1583" s="18" t="s">
        <v>802</v>
      </c>
      <c r="BB1583" s="3" t="b">
        <v>0</v>
      </c>
      <c r="BC1583" t="s">
        <v>81</v>
      </c>
      <c r="BD1583">
        <v>24</v>
      </c>
      <c r="BE1583" t="s">
        <v>80</v>
      </c>
      <c r="BF1583">
        <v>24</v>
      </c>
      <c r="BG1583" t="s">
        <v>644</v>
      </c>
      <c r="BH1583" t="s">
        <v>31</v>
      </c>
      <c r="BI1583" t="s">
        <v>31</v>
      </c>
      <c r="BJ1583">
        <f t="shared" si="772"/>
        <v>1.34</v>
      </c>
      <c r="BK1583" s="3">
        <f t="shared" si="756"/>
        <v>0.12710479836480765</v>
      </c>
      <c r="BL1583">
        <v>2</v>
      </c>
      <c r="BM1583" s="3">
        <f t="shared" si="767"/>
        <v>1.5031106577699087</v>
      </c>
      <c r="BN1583" t="s">
        <v>33</v>
      </c>
      <c r="BO1583" s="3">
        <f t="shared" si="757"/>
        <v>31.850089552238806</v>
      </c>
      <c r="BP1583" t="s">
        <v>33</v>
      </c>
      <c r="BQ1583" t="s">
        <v>33</v>
      </c>
      <c r="BR1583" t="s">
        <v>33</v>
      </c>
      <c r="BS1583" t="s">
        <v>33</v>
      </c>
      <c r="BT1583" t="s">
        <v>31</v>
      </c>
      <c r="BU1583" t="s">
        <v>664</v>
      </c>
      <c r="BV1583">
        <v>2000</v>
      </c>
      <c r="BW1583" t="s">
        <v>665</v>
      </c>
      <c r="BX1583" t="s">
        <v>78</v>
      </c>
      <c r="BY1583" s="13" t="s">
        <v>685</v>
      </c>
      <c r="CA1583" t="str">
        <f t="shared" si="758"/>
        <v>low acid</v>
      </c>
    </row>
    <row r="1584" spans="1:79">
      <c r="A1584" t="s">
        <v>597</v>
      </c>
      <c r="B1584" t="s">
        <v>565</v>
      </c>
      <c r="C1584" t="s">
        <v>563</v>
      </c>
      <c r="D1584" t="s">
        <v>33</v>
      </c>
      <c r="E1584" t="s">
        <v>77</v>
      </c>
      <c r="F1584" t="s">
        <v>33</v>
      </c>
      <c r="G1584">
        <v>20</v>
      </c>
      <c r="H1584">
        <v>35</v>
      </c>
      <c r="I1584" t="b">
        <v>0</v>
      </c>
      <c r="J1584" t="s">
        <v>33</v>
      </c>
      <c r="K1584" t="s">
        <v>33</v>
      </c>
      <c r="L1584">
        <v>19</v>
      </c>
      <c r="M1584" s="4">
        <v>1</v>
      </c>
      <c r="N1584" t="e">
        <f>(#REF!*Y1584)/(T1584*X1584*O1584)</f>
        <v>#REF!</v>
      </c>
      <c r="O1584">
        <v>2</v>
      </c>
      <c r="P1584" t="s">
        <v>33</v>
      </c>
      <c r="Q1584" s="1">
        <f t="shared" si="768"/>
        <v>48.19</v>
      </c>
      <c r="R1584" t="s">
        <v>183</v>
      </c>
      <c r="S1584" t="s">
        <v>33</v>
      </c>
      <c r="T1584">
        <v>1</v>
      </c>
      <c r="U1584">
        <v>2.5</v>
      </c>
      <c r="V1584" t="s">
        <v>33</v>
      </c>
      <c r="W1584">
        <v>0.50249999999999995</v>
      </c>
      <c r="X1584">
        <f t="shared" si="771"/>
        <v>0.50249999999999995</v>
      </c>
      <c r="Y1584" t="s">
        <v>33</v>
      </c>
      <c r="Z1584" s="3">
        <f t="shared" si="766"/>
        <v>1.0427474579788338E-2</v>
      </c>
      <c r="AA1584" t="s">
        <v>33</v>
      </c>
      <c r="AB1584">
        <f>IFERROR(((X1584*M1584)/Z1584), "NA")</f>
        <v>48.19</v>
      </c>
      <c r="AC1584" s="1" t="str">
        <f t="shared" si="769"/>
        <v>NA</v>
      </c>
      <c r="AE1584" s="3">
        <f t="shared" si="770"/>
        <v>69.586359999999999</v>
      </c>
      <c r="AF1584">
        <v>96.38</v>
      </c>
      <c r="AG1584" s="1" t="str">
        <f>IFERROR((N1584*P1584*Q1584), "NA")</f>
        <v>NA</v>
      </c>
      <c r="AH1584" s="1" t="str">
        <f>IFERROR((AG1584*U1584*AI1584), "NA")</f>
        <v>NA</v>
      </c>
      <c r="AI1584" s="1">
        <v>1</v>
      </c>
      <c r="AJ1584" s="11" t="s">
        <v>31</v>
      </c>
      <c r="AK1584">
        <v>2000</v>
      </c>
      <c r="AL1584" t="s">
        <v>784</v>
      </c>
      <c r="AM1584" s="3" t="s">
        <v>103</v>
      </c>
      <c r="AN1584" t="s">
        <v>130</v>
      </c>
      <c r="AO1584" t="s">
        <v>795</v>
      </c>
      <c r="AP1584">
        <v>7</v>
      </c>
      <c r="AQ1584" t="s">
        <v>33</v>
      </c>
      <c r="AR1584" t="s">
        <v>33</v>
      </c>
      <c r="AS1584">
        <v>9</v>
      </c>
      <c r="AT1584">
        <f>AS1584-AU1584</f>
        <v>7.67</v>
      </c>
      <c r="AU1584" s="6">
        <v>1.33</v>
      </c>
      <c r="AV1584" t="b">
        <v>1</v>
      </c>
      <c r="AW1584" t="s">
        <v>617</v>
      </c>
      <c r="AX1584" t="s">
        <v>635</v>
      </c>
      <c r="AY1584" t="s">
        <v>636</v>
      </c>
      <c r="AZ1584" t="s">
        <v>33</v>
      </c>
      <c r="BA1584" s="18" t="s">
        <v>802</v>
      </c>
      <c r="BB1584" s="3" t="b">
        <v>0</v>
      </c>
      <c r="BC1584" t="s">
        <v>81</v>
      </c>
      <c r="BD1584">
        <v>24</v>
      </c>
      <c r="BE1584" t="s">
        <v>80</v>
      </c>
      <c r="BF1584">
        <v>24</v>
      </c>
      <c r="BG1584" t="s">
        <v>644</v>
      </c>
      <c r="BH1584" t="s">
        <v>31</v>
      </c>
      <c r="BI1584" t="s">
        <v>31</v>
      </c>
      <c r="BJ1584">
        <f t="shared" si="772"/>
        <v>1.33</v>
      </c>
      <c r="BK1584" s="3">
        <f t="shared" si="756"/>
        <v>0.12385164096708581</v>
      </c>
      <c r="BL1584">
        <v>2</v>
      </c>
      <c r="BM1584" s="3">
        <f t="shared" si="767"/>
        <v>1.718672478567743</v>
      </c>
      <c r="BN1584" t="s">
        <v>33</v>
      </c>
      <c r="BO1584" s="3">
        <f t="shared" si="757"/>
        <v>52.320571428571427</v>
      </c>
      <c r="BP1584" t="s">
        <v>33</v>
      </c>
      <c r="BQ1584" t="s">
        <v>33</v>
      </c>
      <c r="BR1584" t="s">
        <v>33</v>
      </c>
      <c r="BS1584" t="s">
        <v>33</v>
      </c>
      <c r="BT1584" t="s">
        <v>31</v>
      </c>
      <c r="BU1584" t="s">
        <v>664</v>
      </c>
      <c r="BV1584">
        <v>2000</v>
      </c>
      <c r="BW1584" t="s">
        <v>665</v>
      </c>
      <c r="BX1584" t="s">
        <v>78</v>
      </c>
      <c r="BY1584" s="13" t="s">
        <v>685</v>
      </c>
      <c r="CA1584" t="str">
        <f t="shared" si="758"/>
        <v>low acid</v>
      </c>
    </row>
    <row r="1585" spans="1:79">
      <c r="A1585" t="s">
        <v>597</v>
      </c>
      <c r="B1585" t="s">
        <v>565</v>
      </c>
      <c r="C1585" t="s">
        <v>563</v>
      </c>
      <c r="D1585" t="s">
        <v>33</v>
      </c>
      <c r="E1585" t="s">
        <v>77</v>
      </c>
      <c r="F1585" t="s">
        <v>33</v>
      </c>
      <c r="G1585">
        <v>20</v>
      </c>
      <c r="H1585">
        <v>35</v>
      </c>
      <c r="I1585" t="b">
        <v>0</v>
      </c>
      <c r="J1585" t="s">
        <v>33</v>
      </c>
      <c r="K1585" t="s">
        <v>33</v>
      </c>
      <c r="L1585">
        <v>15</v>
      </c>
      <c r="M1585" s="4">
        <v>1</v>
      </c>
      <c r="N1585" t="e">
        <f>(#REF!*Y1585)/(T1585*X1585*O1585)</f>
        <v>#REF!</v>
      </c>
      <c r="O1585">
        <v>2</v>
      </c>
      <c r="P1585" t="s">
        <v>33</v>
      </c>
      <c r="Q1585" s="1">
        <f t="shared" si="768"/>
        <v>497.99000000000007</v>
      </c>
      <c r="R1585" t="s">
        <v>183</v>
      </c>
      <c r="S1585" t="s">
        <v>33</v>
      </c>
      <c r="T1585">
        <v>1</v>
      </c>
      <c r="U1585">
        <v>2.5</v>
      </c>
      <c r="V1585" t="s">
        <v>33</v>
      </c>
      <c r="W1585">
        <v>0.50249999999999995</v>
      </c>
      <c r="X1585">
        <f t="shared" si="771"/>
        <v>0.50249999999999995</v>
      </c>
      <c r="Y1585" t="s">
        <v>33</v>
      </c>
      <c r="Z1585" s="3">
        <f t="shared" si="766"/>
        <v>1.0090564067551555E-3</v>
      </c>
      <c r="AA1585" t="s">
        <v>33</v>
      </c>
      <c r="AB1585">
        <f>IFERROR(((X1585*M1585)/Z1585), "NA")</f>
        <v>497.99000000000007</v>
      </c>
      <c r="AC1585" s="1" t="str">
        <f t="shared" si="769"/>
        <v>NA</v>
      </c>
      <c r="AE1585" s="3">
        <f t="shared" si="770"/>
        <v>448.19100000000003</v>
      </c>
      <c r="AF1585">
        <v>995.98</v>
      </c>
      <c r="AG1585" s="1" t="str">
        <f>IFERROR((N1585*P1585*Q1585), "NA")</f>
        <v>NA</v>
      </c>
      <c r="AH1585" s="1" t="str">
        <f>IFERROR((AG1585*U1585*AI1585), "NA")</f>
        <v>NA</v>
      </c>
      <c r="AI1585" s="1">
        <v>1</v>
      </c>
      <c r="AJ1585" s="11" t="s">
        <v>31</v>
      </c>
      <c r="AK1585">
        <v>2000</v>
      </c>
      <c r="AL1585" t="s">
        <v>784</v>
      </c>
      <c r="AM1585" s="3" t="s">
        <v>103</v>
      </c>
      <c r="AN1585" t="s">
        <v>130</v>
      </c>
      <c r="AO1585" t="s">
        <v>795</v>
      </c>
      <c r="AP1585">
        <v>7</v>
      </c>
      <c r="AQ1585" t="s">
        <v>33</v>
      </c>
      <c r="AR1585" t="s">
        <v>33</v>
      </c>
      <c r="AS1585">
        <v>9</v>
      </c>
      <c r="AT1585">
        <f>AS1585-AU1585</f>
        <v>7.7</v>
      </c>
      <c r="AU1585" s="6">
        <v>1.3</v>
      </c>
      <c r="AV1585" t="b">
        <v>1</v>
      </c>
      <c r="AW1585" t="s">
        <v>617</v>
      </c>
      <c r="AX1585" t="s">
        <v>635</v>
      </c>
      <c r="AY1585" t="s">
        <v>636</v>
      </c>
      <c r="AZ1585" t="s">
        <v>33</v>
      </c>
      <c r="BA1585" s="18" t="s">
        <v>802</v>
      </c>
      <c r="BB1585" s="3" t="b">
        <v>0</v>
      </c>
      <c r="BC1585" t="s">
        <v>81</v>
      </c>
      <c r="BD1585">
        <v>24</v>
      </c>
      <c r="BE1585" t="s">
        <v>80</v>
      </c>
      <c r="BF1585">
        <v>24</v>
      </c>
      <c r="BG1585" t="s">
        <v>644</v>
      </c>
      <c r="BH1585" t="s">
        <v>31</v>
      </c>
      <c r="BI1585" t="s">
        <v>31</v>
      </c>
      <c r="BJ1585">
        <f t="shared" si="772"/>
        <v>1.3</v>
      </c>
      <c r="BK1585" s="3">
        <f t="shared" si="756"/>
        <v>0.11394335230683679</v>
      </c>
      <c r="BL1585">
        <v>2</v>
      </c>
      <c r="BM1585" s="3">
        <f t="shared" si="767"/>
        <v>2.5375197790319177</v>
      </c>
      <c r="BN1585" t="s">
        <v>33</v>
      </c>
      <c r="BO1585" s="3">
        <f t="shared" si="757"/>
        <v>344.76230769230773</v>
      </c>
      <c r="BP1585" t="s">
        <v>33</v>
      </c>
      <c r="BQ1585" t="s">
        <v>33</v>
      </c>
      <c r="BR1585" t="s">
        <v>33</v>
      </c>
      <c r="BS1585" t="s">
        <v>33</v>
      </c>
      <c r="BT1585" t="s">
        <v>31</v>
      </c>
      <c r="BU1585" t="s">
        <v>664</v>
      </c>
      <c r="BV1585">
        <v>2000</v>
      </c>
      <c r="BW1585" t="s">
        <v>665</v>
      </c>
      <c r="BX1585" t="s">
        <v>78</v>
      </c>
      <c r="BY1585" s="13" t="s">
        <v>685</v>
      </c>
      <c r="CA1585" t="str">
        <f t="shared" si="758"/>
        <v>low acid</v>
      </c>
    </row>
    <row r="1586" spans="1:79">
      <c r="A1586" t="s">
        <v>712</v>
      </c>
      <c r="B1586" t="s">
        <v>566</v>
      </c>
      <c r="C1586" t="s">
        <v>563</v>
      </c>
      <c r="D1586" t="s">
        <v>699</v>
      </c>
      <c r="E1586" t="s">
        <v>77</v>
      </c>
      <c r="F1586" t="s">
        <v>32</v>
      </c>
      <c r="G1586">
        <v>20</v>
      </c>
      <c r="H1586">
        <v>42.5</v>
      </c>
      <c r="I1586" t="b">
        <v>1</v>
      </c>
      <c r="J1586" t="s">
        <v>33</v>
      </c>
      <c r="K1586" t="s">
        <v>33</v>
      </c>
      <c r="L1586">
        <v>20</v>
      </c>
      <c r="M1586" s="4">
        <v>47</v>
      </c>
      <c r="N1586" s="3">
        <f>IFERROR(AF1586/((T1586*X1586/Y1586)*O1586*AI1586),"NA")</f>
        <v>46.759259259259245</v>
      </c>
      <c r="O1586">
        <v>5</v>
      </c>
      <c r="P1586">
        <v>0.43</v>
      </c>
      <c r="Q1586" s="8">
        <f>IFERROR(X1586/Y1586, "NA")</f>
        <v>0.43200000000000011</v>
      </c>
      <c r="R1586" t="s">
        <v>183</v>
      </c>
      <c r="S1586" t="s">
        <v>612</v>
      </c>
      <c r="T1586" s="11">
        <v>1</v>
      </c>
      <c r="U1586">
        <v>4</v>
      </c>
      <c r="V1586" t="s">
        <v>33</v>
      </c>
      <c r="W1586">
        <f>0.4*3*0.5</f>
        <v>0.60000000000000009</v>
      </c>
      <c r="X1586" s="9">
        <f t="shared" si="771"/>
        <v>0.60000000000000009</v>
      </c>
      <c r="Y1586" s="6">
        <f>5000/3600</f>
        <v>1.3888888888888888</v>
      </c>
      <c r="Z1586" s="3">
        <f t="shared" si="766"/>
        <v>1.3960396039603959</v>
      </c>
      <c r="AA1586" t="s">
        <v>33</v>
      </c>
      <c r="AB1586" s="4">
        <f>IFERROR(((X1586*M1586)/Y1586), "NA")</f>
        <v>20.304000000000002</v>
      </c>
      <c r="AC1586" s="4">
        <f t="shared" si="769"/>
        <v>20.21</v>
      </c>
      <c r="AD1586" s="4">
        <f>AB1586*T1586*AI1586</f>
        <v>20.304000000000002</v>
      </c>
      <c r="AE1586" s="3">
        <f t="shared" si="770"/>
        <v>81.216000000000022</v>
      </c>
      <c r="AF1586">
        <v>101</v>
      </c>
      <c r="AG1586" s="4">
        <f>IFERROR((M1586*O1586*P1586), "NA")</f>
        <v>101.05</v>
      </c>
      <c r="AH1586" s="4">
        <f>IFERROR((AG1586*T1586*AI1586), "NA")</f>
        <v>101.05</v>
      </c>
      <c r="AI1586">
        <v>1</v>
      </c>
      <c r="AJ1586" s="11" t="s">
        <v>31</v>
      </c>
      <c r="AK1586">
        <v>2000</v>
      </c>
      <c r="AL1586" t="s">
        <v>784</v>
      </c>
      <c r="AM1586" t="s">
        <v>103</v>
      </c>
      <c r="AN1586" t="s">
        <v>130</v>
      </c>
      <c r="AO1586" t="s">
        <v>795</v>
      </c>
      <c r="AP1586">
        <v>7</v>
      </c>
      <c r="AQ1586" t="s">
        <v>33</v>
      </c>
      <c r="AR1586" t="s">
        <v>33</v>
      </c>
      <c r="AS1586" s="6">
        <f>LOG(AVERAGE(10^8, 10^9))</f>
        <v>8.7403626894942441</v>
      </c>
      <c r="AT1586" s="3">
        <f>IFERROR(AS1586-AU1586,"NA")</f>
        <v>7.7063626894942443</v>
      </c>
      <c r="AU1586" s="6">
        <v>1.034</v>
      </c>
      <c r="AV1586" t="b">
        <v>1</v>
      </c>
      <c r="AW1586" t="s">
        <v>92</v>
      </c>
      <c r="AX1586" t="s">
        <v>93</v>
      </c>
      <c r="AY1586" t="s">
        <v>713</v>
      </c>
      <c r="AZ1586" t="s">
        <v>33</v>
      </c>
      <c r="BA1586" s="18" t="s">
        <v>801</v>
      </c>
      <c r="BB1586" s="3" t="b">
        <v>0</v>
      </c>
      <c r="BC1586" t="s">
        <v>81</v>
      </c>
      <c r="BD1586">
        <v>24</v>
      </c>
      <c r="BE1586" t="s">
        <v>80</v>
      </c>
      <c r="BF1586">
        <v>24</v>
      </c>
      <c r="BG1586" t="s">
        <v>568</v>
      </c>
      <c r="BH1586" t="s">
        <v>31</v>
      </c>
      <c r="BI1586" t="s">
        <v>31</v>
      </c>
      <c r="BJ1586" s="3">
        <f t="shared" si="772"/>
        <v>1.034</v>
      </c>
      <c r="BK1586" s="3">
        <f t="shared" si="756"/>
        <v>1.4520538757923713E-2</v>
      </c>
      <c r="BL1586">
        <v>2</v>
      </c>
      <c r="BM1586" s="3">
        <f t="shared" si="767"/>
        <v>1.8951210573206683</v>
      </c>
      <c r="BN1586" t="s">
        <v>33</v>
      </c>
      <c r="BO1586" s="3">
        <f t="shared" si="757"/>
        <v>78.545454545454561</v>
      </c>
      <c r="BP1586" t="s">
        <v>33</v>
      </c>
      <c r="BQ1586" t="s">
        <v>33</v>
      </c>
      <c r="BR1586" t="s">
        <v>33</v>
      </c>
      <c r="BS1586" t="s">
        <v>33</v>
      </c>
      <c r="BT1586" t="s">
        <v>32</v>
      </c>
      <c r="BU1586" t="s">
        <v>709</v>
      </c>
      <c r="BV1586">
        <v>2024</v>
      </c>
      <c r="BW1586" t="s">
        <v>710</v>
      </c>
      <c r="BX1586" t="s">
        <v>78</v>
      </c>
      <c r="BY1586" t="s">
        <v>711</v>
      </c>
      <c r="CA1586" t="str">
        <f t="shared" si="758"/>
        <v>low acid</v>
      </c>
    </row>
    <row r="1587" spans="1:79">
      <c r="A1587" t="s">
        <v>597</v>
      </c>
      <c r="B1587" t="s">
        <v>565</v>
      </c>
      <c r="C1587" t="s">
        <v>563</v>
      </c>
      <c r="D1587" t="s">
        <v>33</v>
      </c>
      <c r="E1587" t="s">
        <v>77</v>
      </c>
      <c r="F1587" t="s">
        <v>33</v>
      </c>
      <c r="G1587">
        <v>20</v>
      </c>
      <c r="H1587">
        <v>35</v>
      </c>
      <c r="I1587" t="b">
        <v>0</v>
      </c>
      <c r="J1587" t="s">
        <v>33</v>
      </c>
      <c r="K1587" t="s">
        <v>33</v>
      </c>
      <c r="L1587">
        <v>22</v>
      </c>
      <c r="M1587" s="4">
        <v>2</v>
      </c>
      <c r="N1587" t="e">
        <f>(#REF!*Y1587)/(T1587*X1587*#REF!)</f>
        <v>#REF!</v>
      </c>
      <c r="O1587">
        <v>10</v>
      </c>
      <c r="P1587" t="s">
        <v>33</v>
      </c>
      <c r="Q1587" s="1">
        <f t="shared" ref="Q1587:Q1595" si="773">IFERROR(X1587/Z1587, "NA")</f>
        <v>2.016</v>
      </c>
      <c r="R1587" t="s">
        <v>183</v>
      </c>
      <c r="S1587" t="s">
        <v>33</v>
      </c>
      <c r="T1587">
        <v>1</v>
      </c>
      <c r="U1587">
        <v>2.5</v>
      </c>
      <c r="V1587" t="s">
        <v>33</v>
      </c>
      <c r="W1587">
        <v>0.50249999999999995</v>
      </c>
      <c r="X1587">
        <f t="shared" si="771"/>
        <v>0.50249999999999995</v>
      </c>
      <c r="Y1587" t="s">
        <v>33</v>
      </c>
      <c r="Z1587" s="3">
        <f t="shared" si="766"/>
        <v>0.24925595238095236</v>
      </c>
      <c r="AA1587" t="s">
        <v>33</v>
      </c>
      <c r="AB1587">
        <f>IFERROR(((X1587*O1587)/Z1587), "NA")</f>
        <v>20.16</v>
      </c>
      <c r="AC1587" s="1" t="str">
        <f>IFERROR(O1587*P1587,"NA")</f>
        <v>NA</v>
      </c>
      <c r="AE1587" s="3">
        <f t="shared" si="770"/>
        <v>39.029759999999996</v>
      </c>
      <c r="AF1587">
        <v>40.32</v>
      </c>
      <c r="AG1587" s="1" t="str">
        <f>IFERROR((P1587*#REF!*Q1587), "NA")</f>
        <v>NA</v>
      </c>
      <c r="AH1587" s="1" t="str">
        <f>IFERROR((AG1587*U1587*AI1587), "NA")</f>
        <v>NA</v>
      </c>
      <c r="AI1587" s="1">
        <v>1</v>
      </c>
      <c r="AJ1587" s="11" t="s">
        <v>31</v>
      </c>
      <c r="AK1587">
        <v>2000</v>
      </c>
      <c r="AL1587" t="s">
        <v>784</v>
      </c>
      <c r="AM1587" s="3" t="s">
        <v>103</v>
      </c>
      <c r="AN1587" t="s">
        <v>130</v>
      </c>
      <c r="AO1587" t="s">
        <v>795</v>
      </c>
      <c r="AP1587">
        <v>7</v>
      </c>
      <c r="AQ1587" t="s">
        <v>33</v>
      </c>
      <c r="AR1587" t="s">
        <v>33</v>
      </c>
      <c r="AS1587">
        <v>9</v>
      </c>
      <c r="AT1587">
        <f>AS1587-AU1587</f>
        <v>7.74</v>
      </c>
      <c r="AU1587" s="6">
        <v>1.26</v>
      </c>
      <c r="AV1587" t="b">
        <v>1</v>
      </c>
      <c r="AW1587" t="s">
        <v>617</v>
      </c>
      <c r="AX1587" t="s">
        <v>635</v>
      </c>
      <c r="AY1587" t="s">
        <v>636</v>
      </c>
      <c r="AZ1587" t="s">
        <v>33</v>
      </c>
      <c r="BA1587" s="18" t="s">
        <v>802</v>
      </c>
      <c r="BB1587" s="3" t="b">
        <v>0</v>
      </c>
      <c r="BC1587" t="s">
        <v>81</v>
      </c>
      <c r="BD1587">
        <v>24</v>
      </c>
      <c r="BE1587" t="s">
        <v>80</v>
      </c>
      <c r="BF1587">
        <v>24</v>
      </c>
      <c r="BG1587" t="s">
        <v>644</v>
      </c>
      <c r="BH1587" t="s">
        <v>31</v>
      </c>
      <c r="BI1587" t="s">
        <v>31</v>
      </c>
      <c r="BJ1587">
        <f t="shared" si="772"/>
        <v>1.26</v>
      </c>
      <c r="BK1587" s="3">
        <f t="shared" si="756"/>
        <v>0.10037054511756291</v>
      </c>
      <c r="BL1587">
        <v>2</v>
      </c>
      <c r="BM1587" s="3">
        <f t="shared" si="767"/>
        <v>1.4910253356282996</v>
      </c>
      <c r="BN1587" t="s">
        <v>33</v>
      </c>
      <c r="BO1587" s="3">
        <f t="shared" si="757"/>
        <v>30.975999999999996</v>
      </c>
      <c r="BP1587" t="s">
        <v>33</v>
      </c>
      <c r="BQ1587" t="s">
        <v>33</v>
      </c>
      <c r="BR1587" t="s">
        <v>33</v>
      </c>
      <c r="BS1587" t="s">
        <v>33</v>
      </c>
      <c r="BT1587" t="s">
        <v>31</v>
      </c>
      <c r="BU1587" t="s">
        <v>664</v>
      </c>
      <c r="BV1587">
        <v>2000</v>
      </c>
      <c r="BW1587" t="s">
        <v>665</v>
      </c>
      <c r="BX1587" t="s">
        <v>78</v>
      </c>
      <c r="BY1587" s="13" t="s">
        <v>685</v>
      </c>
      <c r="CA1587" t="str">
        <f t="shared" si="758"/>
        <v>low acid</v>
      </c>
    </row>
    <row r="1588" spans="1:79">
      <c r="A1588" t="s">
        <v>376</v>
      </c>
      <c r="B1588" t="s">
        <v>566</v>
      </c>
      <c r="C1588" t="s">
        <v>563</v>
      </c>
      <c r="D1588" t="s">
        <v>369</v>
      </c>
      <c r="E1588" t="s">
        <v>77</v>
      </c>
      <c r="F1588" t="s">
        <v>32</v>
      </c>
      <c r="G1588">
        <v>8</v>
      </c>
      <c r="H1588">
        <v>103.6</v>
      </c>
      <c r="I1588" t="b">
        <v>1</v>
      </c>
      <c r="J1588">
        <v>40500</v>
      </c>
      <c r="K1588">
        <v>300</v>
      </c>
      <c r="L1588">
        <v>54.9</v>
      </c>
      <c r="M1588" s="4">
        <v>500</v>
      </c>
      <c r="N1588" s="3" t="str">
        <f t="shared" ref="N1588:N1594" si="774">IFERROR(AF1588/((T1588*X1588/Y1588)*O1588*AI1588),"NA")</f>
        <v>NA</v>
      </c>
      <c r="O1588">
        <v>0.1</v>
      </c>
      <c r="P1588">
        <v>5</v>
      </c>
      <c r="Q1588" s="8">
        <f t="shared" si="773"/>
        <v>5</v>
      </c>
      <c r="R1588" t="s">
        <v>278</v>
      </c>
      <c r="S1588" t="s">
        <v>613</v>
      </c>
      <c r="T1588" s="11">
        <v>1</v>
      </c>
      <c r="U1588">
        <v>4</v>
      </c>
      <c r="V1588" t="s">
        <v>33</v>
      </c>
      <c r="W1588">
        <v>0.92</v>
      </c>
      <c r="X1588" s="8">
        <f>230*0.01*0.1*U1588</f>
        <v>0.92000000000000015</v>
      </c>
      <c r="Y1588" s="9">
        <f>11/60</f>
        <v>0.18333333333333332</v>
      </c>
      <c r="Z1588" s="3">
        <f>IFERROR(X1588*M1588*O1588*T1588*AI1588/AH1588, "NA")</f>
        <v>0.18400000000000002</v>
      </c>
      <c r="AA1588" t="s">
        <v>33</v>
      </c>
      <c r="AB1588" s="6">
        <f t="shared" ref="AB1588:AB1595" si="775">IFERROR(((X1588*M1588)/Z1588), "NA")</f>
        <v>2500</v>
      </c>
      <c r="AC1588">
        <f t="shared" ref="AC1588:AC1598" si="776">IFERROR(M1588*P1588,"NA")</f>
        <v>2500</v>
      </c>
      <c r="AD1588" s="4">
        <f>AB1588*T1588*AI1588</f>
        <v>2500</v>
      </c>
      <c r="AE1588" s="3">
        <f t="shared" si="770"/>
        <v>3014.0099999999993</v>
      </c>
      <c r="AF1588" t="s">
        <v>33</v>
      </c>
      <c r="AG1588">
        <f t="shared" ref="AG1588:AG1594" si="777">IFERROR((M1588*O1588*P1588), "NA")</f>
        <v>250</v>
      </c>
      <c r="AH1588">
        <f t="shared" ref="AH1588:AH1594" si="778">IFERROR((AG1588*T1588*AI1588), "NA")</f>
        <v>250</v>
      </c>
      <c r="AI1588">
        <v>1</v>
      </c>
      <c r="AJ1588" t="s">
        <v>31</v>
      </c>
      <c r="AK1588">
        <v>4000</v>
      </c>
      <c r="AL1588" t="s">
        <v>548</v>
      </c>
      <c r="AM1588" t="s">
        <v>103</v>
      </c>
      <c r="AN1588" t="s">
        <v>33</v>
      </c>
      <c r="AO1588" t="str">
        <f t="shared" ref="AO1588" si="779">AN1588</f>
        <v>NA</v>
      </c>
      <c r="AP1588" t="s">
        <v>33</v>
      </c>
      <c r="AQ1588" t="s">
        <v>33</v>
      </c>
      <c r="AR1588" t="s">
        <v>33</v>
      </c>
      <c r="AS1588" s="6">
        <f>LOG(9.7*10^10)</f>
        <v>10.986771734266245</v>
      </c>
      <c r="AT1588" s="3">
        <f t="shared" ref="AT1588:AT1594" si="780">IFERROR(AS1588-AU1588,"NA")</f>
        <v>7.7527717342662452</v>
      </c>
      <c r="AU1588" s="6">
        <f>3.374-0.14</f>
        <v>3.234</v>
      </c>
      <c r="AV1588" t="b">
        <v>1</v>
      </c>
      <c r="AW1588" t="s">
        <v>372</v>
      </c>
      <c r="AX1588" t="s">
        <v>373</v>
      </c>
      <c r="AY1588" t="s">
        <v>33</v>
      </c>
      <c r="AZ1588" t="s">
        <v>33</v>
      </c>
      <c r="BA1588" s="18" t="s">
        <v>797</v>
      </c>
      <c r="BB1588" t="b">
        <v>0</v>
      </c>
      <c r="BC1588" t="s">
        <v>374</v>
      </c>
      <c r="BD1588" t="s">
        <v>33</v>
      </c>
      <c r="BE1588" t="s">
        <v>33</v>
      </c>
      <c r="BF1588" s="11">
        <v>24</v>
      </c>
      <c r="BG1588" t="s">
        <v>33</v>
      </c>
      <c r="BH1588" t="s">
        <v>33</v>
      </c>
      <c r="BI1588" t="s">
        <v>31</v>
      </c>
      <c r="BJ1588" s="3">
        <f t="shared" si="772"/>
        <v>3.234</v>
      </c>
      <c r="BK1588" s="3">
        <f t="shared" si="756"/>
        <v>0.50974001557038229</v>
      </c>
      <c r="BL1588">
        <v>2</v>
      </c>
      <c r="BM1588" s="3">
        <f t="shared" si="767"/>
        <v>2.9694046733298012</v>
      </c>
      <c r="BN1588" t="s">
        <v>33</v>
      </c>
      <c r="BO1588" s="3">
        <f t="shared" si="757"/>
        <v>931.9758812615953</v>
      </c>
      <c r="BP1588" t="s">
        <v>33</v>
      </c>
      <c r="BQ1588" t="s">
        <v>33</v>
      </c>
      <c r="BR1588" t="s">
        <v>33</v>
      </c>
      <c r="BS1588" t="s">
        <v>33</v>
      </c>
      <c r="BT1588" t="s">
        <v>31</v>
      </c>
      <c r="BU1588" t="s">
        <v>371</v>
      </c>
      <c r="BV1588">
        <v>2008</v>
      </c>
      <c r="BW1588" t="s">
        <v>380</v>
      </c>
      <c r="BX1588" t="s">
        <v>78</v>
      </c>
      <c r="BY1588" t="s">
        <v>370</v>
      </c>
      <c r="CA1588" t="str">
        <f t="shared" si="758"/>
        <v>NA</v>
      </c>
    </row>
    <row r="1589" spans="1:79">
      <c r="A1589" t="s">
        <v>271</v>
      </c>
      <c r="B1589" t="s">
        <v>565</v>
      </c>
      <c r="C1589" t="s">
        <v>563</v>
      </c>
      <c r="D1589" t="s">
        <v>118</v>
      </c>
      <c r="E1589" t="s">
        <v>77</v>
      </c>
      <c r="F1589" t="s">
        <v>32</v>
      </c>
      <c r="G1589">
        <v>22</v>
      </c>
      <c r="H1589">
        <v>22</v>
      </c>
      <c r="I1589" t="b">
        <v>0</v>
      </c>
      <c r="J1589" t="s">
        <v>33</v>
      </c>
      <c r="K1589" t="s">
        <v>33</v>
      </c>
      <c r="L1589">
        <v>27.5</v>
      </c>
      <c r="M1589" s="4">
        <v>1000</v>
      </c>
      <c r="N1589" s="3">
        <f t="shared" si="774"/>
        <v>1991.9007283517315</v>
      </c>
      <c r="O1589">
        <v>3</v>
      </c>
      <c r="P1589" t="s">
        <v>33</v>
      </c>
      <c r="Q1589">
        <f t="shared" si="773"/>
        <v>1.2E-2</v>
      </c>
      <c r="R1589" t="s">
        <v>183</v>
      </c>
      <c r="S1589" t="s">
        <v>613</v>
      </c>
      <c r="T1589" s="11">
        <v>4</v>
      </c>
      <c r="U1589">
        <v>2.9</v>
      </c>
      <c r="V1589">
        <v>2.2999999999999998</v>
      </c>
      <c r="W1589" t="s">
        <v>33</v>
      </c>
      <c r="X1589" s="8">
        <f t="shared" ref="X1589:X1594" si="781">IFERROR(((PI())*(((V1589*10^-1)/2)^2)*(U1589*10^-1)), "NA")</f>
        <v>1.204879322468025E-2</v>
      </c>
      <c r="Y1589">
        <f>2</f>
        <v>2</v>
      </c>
      <c r="Z1589" s="3">
        <f t="shared" ref="Z1589:Z1612" si="782">IFERROR(X1589*M1589*O1589*T1589*AI1589/AF1589, "NA")</f>
        <v>1.0040661020566874</v>
      </c>
      <c r="AA1589" t="s">
        <v>33</v>
      </c>
      <c r="AB1589" s="6">
        <f t="shared" si="775"/>
        <v>12.000000000000002</v>
      </c>
      <c r="AC1589" t="str">
        <f t="shared" si="776"/>
        <v>NA</v>
      </c>
      <c r="AD1589" s="4">
        <f>AB1589*T1589*AI1589</f>
        <v>48.000000000000007</v>
      </c>
      <c r="AE1589" s="3">
        <f t="shared" si="770"/>
        <v>217.8</v>
      </c>
      <c r="AF1589">
        <v>144</v>
      </c>
      <c r="AG1589" t="str">
        <f t="shared" si="777"/>
        <v>NA</v>
      </c>
      <c r="AH1589" t="str">
        <f t="shared" si="778"/>
        <v>NA</v>
      </c>
      <c r="AI1589">
        <v>1</v>
      </c>
      <c r="AJ1589" t="s">
        <v>31</v>
      </c>
      <c r="AK1589">
        <v>2000</v>
      </c>
      <c r="AL1589" t="s">
        <v>169</v>
      </c>
      <c r="AM1589" t="s">
        <v>103</v>
      </c>
      <c r="AN1589" t="s">
        <v>130</v>
      </c>
      <c r="AO1589" t="s">
        <v>795</v>
      </c>
      <c r="AP1589">
        <v>7.2</v>
      </c>
      <c r="AQ1589" t="s">
        <v>33</v>
      </c>
      <c r="AR1589" t="s">
        <v>33</v>
      </c>
      <c r="AS1589" s="6">
        <v>8.3350000000000009</v>
      </c>
      <c r="AT1589" s="3">
        <f t="shared" si="780"/>
        <v>7.7940000000000005</v>
      </c>
      <c r="AU1589" s="6">
        <v>0.54100000000000004</v>
      </c>
      <c r="AV1589" t="b">
        <v>1</v>
      </c>
      <c r="AW1589" t="s">
        <v>92</v>
      </c>
      <c r="AX1589" t="s">
        <v>93</v>
      </c>
      <c r="AY1589" t="s">
        <v>94</v>
      </c>
      <c r="AZ1589" t="s">
        <v>33</v>
      </c>
      <c r="BA1589" s="18" t="s">
        <v>801</v>
      </c>
      <c r="BB1589" t="b">
        <v>0</v>
      </c>
      <c r="BC1589" t="s">
        <v>81</v>
      </c>
      <c r="BD1589">
        <v>16</v>
      </c>
      <c r="BE1589" t="s">
        <v>80</v>
      </c>
      <c r="BF1589" s="11">
        <v>48</v>
      </c>
      <c r="BG1589" t="s">
        <v>568</v>
      </c>
      <c r="BH1589" t="s">
        <v>31</v>
      </c>
      <c r="BI1589" t="s">
        <v>31</v>
      </c>
      <c r="BJ1589" s="3">
        <f t="shared" si="772"/>
        <v>0.54100000000000004</v>
      </c>
      <c r="BK1589" s="3">
        <f t="shared" si="756"/>
        <v>-0.26680273489343054</v>
      </c>
      <c r="BL1589">
        <v>2</v>
      </c>
      <c r="BM1589" s="3">
        <f t="shared" si="767"/>
        <v>2.6048606103131866</v>
      </c>
      <c r="BN1589" t="s">
        <v>33</v>
      </c>
      <c r="BO1589" s="3">
        <f t="shared" si="757"/>
        <v>402.58780036968574</v>
      </c>
      <c r="BP1589" t="s">
        <v>33</v>
      </c>
      <c r="BQ1589" t="s">
        <v>33</v>
      </c>
      <c r="BR1589" t="s">
        <v>33</v>
      </c>
      <c r="BS1589" t="s">
        <v>33</v>
      </c>
      <c r="BT1589" t="s">
        <v>31</v>
      </c>
      <c r="BU1589" t="s">
        <v>187</v>
      </c>
      <c r="BV1589">
        <v>2004</v>
      </c>
      <c r="BW1589" s="2" t="s">
        <v>184</v>
      </c>
      <c r="BX1589" t="s">
        <v>78</v>
      </c>
      <c r="BY1589" t="s">
        <v>33</v>
      </c>
      <c r="BZ1589" t="s">
        <v>33</v>
      </c>
      <c r="CA1589" t="str">
        <f t="shared" si="758"/>
        <v>low acid</v>
      </c>
    </row>
    <row r="1590" spans="1:79">
      <c r="A1590" t="s">
        <v>188</v>
      </c>
      <c r="B1590" t="s">
        <v>565</v>
      </c>
      <c r="C1590" t="s">
        <v>563</v>
      </c>
      <c r="D1590" t="s">
        <v>118</v>
      </c>
      <c r="E1590" t="s">
        <v>77</v>
      </c>
      <c r="F1590" t="s">
        <v>32</v>
      </c>
      <c r="G1590">
        <v>22</v>
      </c>
      <c r="H1590">
        <v>55</v>
      </c>
      <c r="I1590" t="b">
        <v>0</v>
      </c>
      <c r="J1590" t="s">
        <v>33</v>
      </c>
      <c r="K1590" t="s">
        <v>33</v>
      </c>
      <c r="L1590">
        <v>27.5</v>
      </c>
      <c r="M1590" s="4">
        <v>1000</v>
      </c>
      <c r="N1590" s="3">
        <f t="shared" si="774"/>
        <v>989.12878633904484</v>
      </c>
      <c r="O1590">
        <v>3</v>
      </c>
      <c r="P1590" t="s">
        <v>33</v>
      </c>
      <c r="Q1590">
        <f t="shared" si="773"/>
        <v>1.2000000000000002E-2</v>
      </c>
      <c r="R1590" t="s">
        <v>183</v>
      </c>
      <c r="S1590" t="s">
        <v>613</v>
      </c>
      <c r="T1590" s="11">
        <v>4</v>
      </c>
      <c r="U1590">
        <v>2.92</v>
      </c>
      <c r="V1590">
        <v>2.2999999999999998</v>
      </c>
      <c r="W1590" t="s">
        <v>33</v>
      </c>
      <c r="X1590" s="8">
        <f t="shared" si="781"/>
        <v>1.2131888350367701E-2</v>
      </c>
      <c r="Y1590">
        <v>1</v>
      </c>
      <c r="Z1590" s="3">
        <f t="shared" si="782"/>
        <v>1.0109906958639749</v>
      </c>
      <c r="AA1590" t="s">
        <v>33</v>
      </c>
      <c r="AB1590" s="6">
        <f t="shared" si="775"/>
        <v>12.000000000000002</v>
      </c>
      <c r="AC1590" t="str">
        <f t="shared" si="776"/>
        <v>NA</v>
      </c>
      <c r="AD1590" s="4">
        <f>AB1590*T1590*AI1590</f>
        <v>48.000000000000007</v>
      </c>
      <c r="AE1590" s="3">
        <f t="shared" si="770"/>
        <v>217.80000000000004</v>
      </c>
      <c r="AF1590">
        <v>144</v>
      </c>
      <c r="AG1590" t="str">
        <f t="shared" si="777"/>
        <v>NA</v>
      </c>
      <c r="AH1590" t="str">
        <f t="shared" si="778"/>
        <v>NA</v>
      </c>
      <c r="AI1590">
        <v>1</v>
      </c>
      <c r="AJ1590" t="s">
        <v>31</v>
      </c>
      <c r="AK1590">
        <v>2000</v>
      </c>
      <c r="AL1590" t="s">
        <v>185</v>
      </c>
      <c r="AM1590" t="s">
        <v>103</v>
      </c>
      <c r="AN1590" t="s">
        <v>130</v>
      </c>
      <c r="AO1590" t="s">
        <v>795</v>
      </c>
      <c r="AP1590">
        <v>7.2</v>
      </c>
      <c r="AQ1590" t="s">
        <v>33</v>
      </c>
      <c r="AR1590" t="s">
        <v>33</v>
      </c>
      <c r="AS1590" s="6">
        <v>8.3219999999999992</v>
      </c>
      <c r="AT1590" s="3">
        <f t="shared" si="780"/>
        <v>7.7979999999999992</v>
      </c>
      <c r="AU1590" s="6">
        <v>0.52400000000000002</v>
      </c>
      <c r="AV1590" t="b">
        <v>1</v>
      </c>
      <c r="AW1590" t="s">
        <v>92</v>
      </c>
      <c r="AX1590" t="s">
        <v>93</v>
      </c>
      <c r="AY1590" t="s">
        <v>94</v>
      </c>
      <c r="AZ1590" t="s">
        <v>33</v>
      </c>
      <c r="BA1590" s="18" t="s">
        <v>801</v>
      </c>
      <c r="BB1590" t="b">
        <v>0</v>
      </c>
      <c r="BC1590" t="s">
        <v>81</v>
      </c>
      <c r="BD1590">
        <v>18</v>
      </c>
      <c r="BE1590" t="s">
        <v>80</v>
      </c>
      <c r="BF1590" s="11">
        <v>48</v>
      </c>
      <c r="BG1590" t="s">
        <v>568</v>
      </c>
      <c r="BH1590" t="s">
        <v>31</v>
      </c>
      <c r="BI1590" t="s">
        <v>31</v>
      </c>
      <c r="BJ1590" s="3">
        <f t="shared" si="772"/>
        <v>0.52400000000000002</v>
      </c>
      <c r="BK1590" s="3">
        <f t="shared" si="756"/>
        <v>-0.28066871301627333</v>
      </c>
      <c r="BL1590">
        <v>2</v>
      </c>
      <c r="BM1590" s="3">
        <f t="shared" si="767"/>
        <v>2.6187265884360293</v>
      </c>
      <c r="BN1590" t="s">
        <v>33</v>
      </c>
      <c r="BO1590" s="3">
        <f t="shared" si="757"/>
        <v>415.64885496183211</v>
      </c>
      <c r="BP1590" t="s">
        <v>33</v>
      </c>
      <c r="BQ1590" t="s">
        <v>33</v>
      </c>
      <c r="BR1590" t="s">
        <v>33</v>
      </c>
      <c r="BS1590" t="s">
        <v>33</v>
      </c>
      <c r="BT1590" t="s">
        <v>31</v>
      </c>
      <c r="BU1590" t="s">
        <v>187</v>
      </c>
      <c r="BV1590">
        <v>2004</v>
      </c>
      <c r="BW1590" s="5" t="s">
        <v>184</v>
      </c>
      <c r="BX1590" t="s">
        <v>78</v>
      </c>
      <c r="BY1590" t="s">
        <v>33</v>
      </c>
      <c r="BZ1590" t="s">
        <v>33</v>
      </c>
      <c r="CA1590" t="str">
        <f t="shared" si="758"/>
        <v>low acid</v>
      </c>
    </row>
    <row r="1591" spans="1:79">
      <c r="A1591" t="s">
        <v>232</v>
      </c>
      <c r="B1591" t="s">
        <v>565</v>
      </c>
      <c r="C1591" t="s">
        <v>563</v>
      </c>
      <c r="D1591" t="s">
        <v>33</v>
      </c>
      <c r="E1591" t="s">
        <v>77</v>
      </c>
      <c r="F1591" t="s">
        <v>32</v>
      </c>
      <c r="G1591">
        <v>30</v>
      </c>
      <c r="H1591">
        <v>61</v>
      </c>
      <c r="I1591" t="b">
        <v>1</v>
      </c>
      <c r="J1591" t="s">
        <v>33</v>
      </c>
      <c r="K1591" t="s">
        <v>33</v>
      </c>
      <c r="L1591">
        <v>25</v>
      </c>
      <c r="M1591" s="4">
        <v>500</v>
      </c>
      <c r="N1591" s="3">
        <f t="shared" si="774"/>
        <v>521.04864189465479</v>
      </c>
      <c r="O1591">
        <v>4</v>
      </c>
      <c r="P1591" t="s">
        <v>33</v>
      </c>
      <c r="Q1591" s="8">
        <f t="shared" si="773"/>
        <v>1.3333333333333332E-2</v>
      </c>
      <c r="R1591" t="s">
        <v>183</v>
      </c>
      <c r="S1591" t="s">
        <v>613</v>
      </c>
      <c r="T1591" s="11">
        <v>6</v>
      </c>
      <c r="U1591">
        <v>2.2999999999999998</v>
      </c>
      <c r="V1591">
        <v>2.2000000000000002</v>
      </c>
      <c r="W1591" t="s">
        <v>33</v>
      </c>
      <c r="X1591" s="8">
        <f t="shared" si="781"/>
        <v>8.7430523549403959E-3</v>
      </c>
      <c r="Y1591" s="6">
        <f>41/60</f>
        <v>0.68333333333333335</v>
      </c>
      <c r="Z1591" s="3">
        <f t="shared" si="782"/>
        <v>0.65572892662052973</v>
      </c>
      <c r="AA1591" s="3">
        <f>40/6</f>
        <v>6.666666666666667</v>
      </c>
      <c r="AB1591" s="6">
        <f t="shared" si="775"/>
        <v>6.6666666666666661</v>
      </c>
      <c r="AC1591" t="str">
        <f t="shared" si="776"/>
        <v>NA</v>
      </c>
      <c r="AD1591" s="4">
        <f>AB1591*T1591*AI1591</f>
        <v>40</v>
      </c>
      <c r="AE1591" s="3">
        <f t="shared" si="770"/>
        <v>399.99999999999994</v>
      </c>
      <c r="AF1591">
        <v>160</v>
      </c>
      <c r="AG1591" t="str">
        <f t="shared" si="777"/>
        <v>NA</v>
      </c>
      <c r="AH1591" t="str">
        <f t="shared" si="778"/>
        <v>NA</v>
      </c>
      <c r="AI1591">
        <v>1</v>
      </c>
      <c r="AJ1591" t="s">
        <v>31</v>
      </c>
      <c r="AK1591">
        <v>4000</v>
      </c>
      <c r="AL1591" t="s">
        <v>546</v>
      </c>
      <c r="AM1591" t="s">
        <v>103</v>
      </c>
      <c r="AN1591" t="s">
        <v>130</v>
      </c>
      <c r="AO1591" t="s">
        <v>795</v>
      </c>
      <c r="AP1591">
        <v>5</v>
      </c>
      <c r="AQ1591" t="s">
        <v>33</v>
      </c>
      <c r="AR1591" t="s">
        <v>33</v>
      </c>
      <c r="AS1591" s="6">
        <v>8.3000000000000007</v>
      </c>
      <c r="AT1591" s="3">
        <f t="shared" si="780"/>
        <v>7.8000000000000007</v>
      </c>
      <c r="AU1591" s="6">
        <v>0.5</v>
      </c>
      <c r="AV1591" t="b">
        <v>1</v>
      </c>
      <c r="AW1591" t="s">
        <v>233</v>
      </c>
      <c r="AX1591" t="s">
        <v>234</v>
      </c>
      <c r="AY1591" t="s">
        <v>235</v>
      </c>
      <c r="AZ1591" t="s">
        <v>33</v>
      </c>
      <c r="BA1591" s="18" t="s">
        <v>579</v>
      </c>
      <c r="BB1591" t="b">
        <v>1</v>
      </c>
      <c r="BC1591" t="s">
        <v>81</v>
      </c>
      <c r="BD1591">
        <v>17</v>
      </c>
      <c r="BE1591" t="s">
        <v>80</v>
      </c>
      <c r="BF1591" s="11">
        <v>120</v>
      </c>
      <c r="BG1591" t="s">
        <v>395</v>
      </c>
      <c r="BH1591" t="s">
        <v>31</v>
      </c>
      <c r="BI1591" t="s">
        <v>32</v>
      </c>
      <c r="BJ1591" s="3">
        <f t="shared" si="772"/>
        <v>0.5</v>
      </c>
      <c r="BK1591" s="3">
        <f t="shared" si="756"/>
        <v>-0.3010299956639812</v>
      </c>
      <c r="BL1591">
        <v>2</v>
      </c>
      <c r="BM1591" s="3">
        <f t="shared" si="767"/>
        <v>2.9030899869919433</v>
      </c>
      <c r="BN1591" t="s">
        <v>33</v>
      </c>
      <c r="BO1591" s="3">
        <f t="shared" si="757"/>
        <v>799.99999999999989</v>
      </c>
      <c r="BP1591" t="s">
        <v>33</v>
      </c>
      <c r="BQ1591" t="s">
        <v>33</v>
      </c>
      <c r="BR1591" t="s">
        <v>33</v>
      </c>
      <c r="BS1591" t="s">
        <v>33</v>
      </c>
      <c r="BT1591" t="s">
        <v>31</v>
      </c>
      <c r="BU1591" t="s">
        <v>227</v>
      </c>
      <c r="BV1591">
        <v>2001</v>
      </c>
      <c r="BW1591" t="s">
        <v>228</v>
      </c>
      <c r="BX1591" t="s">
        <v>78</v>
      </c>
      <c r="BY1591" t="s">
        <v>33</v>
      </c>
      <c r="BZ1591" t="s">
        <v>33</v>
      </c>
      <c r="CA1591" t="str">
        <f t="shared" si="758"/>
        <v>low acid</v>
      </c>
    </row>
    <row r="1592" spans="1:79">
      <c r="A1592" t="s">
        <v>232</v>
      </c>
      <c r="B1592" t="s">
        <v>565</v>
      </c>
      <c r="C1592" t="s">
        <v>563</v>
      </c>
      <c r="D1592" t="s">
        <v>33</v>
      </c>
      <c r="E1592" t="s">
        <v>77</v>
      </c>
      <c r="F1592" t="s">
        <v>32</v>
      </c>
      <c r="G1592">
        <v>30</v>
      </c>
      <c r="H1592">
        <v>61</v>
      </c>
      <c r="I1592" t="b">
        <v>1</v>
      </c>
      <c r="J1592" t="s">
        <v>33</v>
      </c>
      <c r="K1592" t="s">
        <v>33</v>
      </c>
      <c r="L1592">
        <v>35</v>
      </c>
      <c r="M1592" s="4">
        <v>500</v>
      </c>
      <c r="N1592" s="3">
        <f t="shared" si="774"/>
        <v>521.04864189465479</v>
      </c>
      <c r="O1592">
        <v>2</v>
      </c>
      <c r="P1592" t="s">
        <v>33</v>
      </c>
      <c r="Q1592" s="8">
        <f t="shared" si="773"/>
        <v>1.3333333333333332E-2</v>
      </c>
      <c r="R1592" t="s">
        <v>183</v>
      </c>
      <c r="S1592" t="s">
        <v>613</v>
      </c>
      <c r="T1592" s="11">
        <v>6</v>
      </c>
      <c r="U1592">
        <v>2.2999999999999998</v>
      </c>
      <c r="V1592">
        <v>2.2000000000000002</v>
      </c>
      <c r="W1592" t="s">
        <v>33</v>
      </c>
      <c r="X1592" s="8">
        <f t="shared" si="781"/>
        <v>8.7430523549403959E-3</v>
      </c>
      <c r="Y1592" s="6">
        <f>41/60</f>
        <v>0.68333333333333335</v>
      </c>
      <c r="Z1592" s="3">
        <f t="shared" si="782"/>
        <v>0.65572892662052973</v>
      </c>
      <c r="AA1592" s="3">
        <f>40/6</f>
        <v>6.666666666666667</v>
      </c>
      <c r="AB1592" s="6">
        <f t="shared" si="775"/>
        <v>6.6666666666666661</v>
      </c>
      <c r="AC1592" t="str">
        <f t="shared" si="776"/>
        <v>NA</v>
      </c>
      <c r="AD1592" s="4">
        <f>AB1592*T1592*AI1592</f>
        <v>40</v>
      </c>
      <c r="AE1592" s="3">
        <f t="shared" si="770"/>
        <v>392</v>
      </c>
      <c r="AF1592">
        <v>80</v>
      </c>
      <c r="AG1592" t="str">
        <f t="shared" si="777"/>
        <v>NA</v>
      </c>
      <c r="AH1592" t="str">
        <f t="shared" si="778"/>
        <v>NA</v>
      </c>
      <c r="AI1592">
        <v>1</v>
      </c>
      <c r="AJ1592" t="s">
        <v>31</v>
      </c>
      <c r="AK1592">
        <v>4000</v>
      </c>
      <c r="AL1592" t="s">
        <v>546</v>
      </c>
      <c r="AM1592" t="s">
        <v>103</v>
      </c>
      <c r="AN1592" t="s">
        <v>130</v>
      </c>
      <c r="AO1592" t="s">
        <v>795</v>
      </c>
      <c r="AP1592">
        <v>5</v>
      </c>
      <c r="AQ1592" t="s">
        <v>33</v>
      </c>
      <c r="AR1592" t="s">
        <v>33</v>
      </c>
      <c r="AS1592" s="6">
        <v>8.3000000000000007</v>
      </c>
      <c r="AT1592" s="3">
        <f t="shared" si="780"/>
        <v>7.8000000000000007</v>
      </c>
      <c r="AU1592" s="6">
        <v>0.5</v>
      </c>
      <c r="AV1592" t="b">
        <v>1</v>
      </c>
      <c r="AW1592" t="s">
        <v>233</v>
      </c>
      <c r="AX1592" t="s">
        <v>234</v>
      </c>
      <c r="AY1592" t="s">
        <v>235</v>
      </c>
      <c r="AZ1592" t="s">
        <v>33</v>
      </c>
      <c r="BA1592" s="18" t="s">
        <v>579</v>
      </c>
      <c r="BB1592" t="b">
        <v>1</v>
      </c>
      <c r="BC1592" t="s">
        <v>81</v>
      </c>
      <c r="BD1592">
        <v>17</v>
      </c>
      <c r="BE1592" t="s">
        <v>80</v>
      </c>
      <c r="BF1592" s="11">
        <v>120</v>
      </c>
      <c r="BG1592" t="s">
        <v>395</v>
      </c>
      <c r="BH1592" t="s">
        <v>31</v>
      </c>
      <c r="BI1592" t="s">
        <v>32</v>
      </c>
      <c r="BJ1592" s="3">
        <f t="shared" si="772"/>
        <v>0.5</v>
      </c>
      <c r="BK1592" s="3">
        <f t="shared" si="756"/>
        <v>-0.3010299956639812</v>
      </c>
      <c r="BL1592">
        <v>2</v>
      </c>
      <c r="BM1592" s="3">
        <f t="shared" si="767"/>
        <v>2.8943160626844384</v>
      </c>
      <c r="BN1592" t="s">
        <v>33</v>
      </c>
      <c r="BO1592" s="3">
        <f t="shared" si="757"/>
        <v>784</v>
      </c>
      <c r="BP1592" t="s">
        <v>33</v>
      </c>
      <c r="BQ1592" t="s">
        <v>33</v>
      </c>
      <c r="BR1592" t="s">
        <v>33</v>
      </c>
      <c r="BS1592" t="s">
        <v>33</v>
      </c>
      <c r="BT1592" t="s">
        <v>31</v>
      </c>
      <c r="BU1592" t="s">
        <v>227</v>
      </c>
      <c r="BV1592">
        <v>2001</v>
      </c>
      <c r="BW1592" t="s">
        <v>228</v>
      </c>
      <c r="BX1592" t="s">
        <v>78</v>
      </c>
      <c r="BY1592" t="s">
        <v>33</v>
      </c>
      <c r="BZ1592" t="s">
        <v>33</v>
      </c>
      <c r="CA1592" t="str">
        <f t="shared" si="758"/>
        <v>low acid</v>
      </c>
    </row>
    <row r="1593" spans="1:79">
      <c r="A1593" t="s">
        <v>176</v>
      </c>
      <c r="B1593" t="s">
        <v>565</v>
      </c>
      <c r="C1593" t="s">
        <v>563</v>
      </c>
      <c r="D1593" t="s">
        <v>118</v>
      </c>
      <c r="E1593" t="s">
        <v>77</v>
      </c>
      <c r="F1593" t="s">
        <v>32</v>
      </c>
      <c r="G1593">
        <v>22</v>
      </c>
      <c r="H1593">
        <v>35</v>
      </c>
      <c r="I1593" t="b">
        <v>0</v>
      </c>
      <c r="J1593" t="s">
        <v>33</v>
      </c>
      <c r="K1593" t="s">
        <v>33</v>
      </c>
      <c r="L1593">
        <v>10</v>
      </c>
      <c r="M1593" s="4">
        <v>1000</v>
      </c>
      <c r="N1593" s="3">
        <f t="shared" si="774"/>
        <v>1000.1191061872564</v>
      </c>
      <c r="O1593">
        <v>3</v>
      </c>
      <c r="P1593" t="s">
        <v>33</v>
      </c>
      <c r="Q1593" s="8">
        <f t="shared" si="773"/>
        <v>1.2133333333333333E-2</v>
      </c>
      <c r="R1593" t="s">
        <v>183</v>
      </c>
      <c r="S1593" t="s">
        <v>613</v>
      </c>
      <c r="T1593" s="11">
        <v>4</v>
      </c>
      <c r="U1593">
        <v>2.92</v>
      </c>
      <c r="V1593">
        <v>2.2999999999999998</v>
      </c>
      <c r="W1593" t="s">
        <v>33</v>
      </c>
      <c r="X1593" s="8">
        <f t="shared" si="781"/>
        <v>1.2131888350367701E-2</v>
      </c>
      <c r="Y1593">
        <v>1</v>
      </c>
      <c r="Z1593" s="3">
        <f t="shared" si="782"/>
        <v>0.99988090799733798</v>
      </c>
      <c r="AA1593">
        <v>12</v>
      </c>
      <c r="AB1593" s="6">
        <f t="shared" si="775"/>
        <v>12.133333333333333</v>
      </c>
      <c r="AC1593" t="str">
        <f t="shared" si="776"/>
        <v>NA</v>
      </c>
      <c r="AD1593" s="4">
        <f>IFERROR(AB1593*T1593*AI1593, "NA")</f>
        <v>48.533333333333331</v>
      </c>
      <c r="AE1593" s="3">
        <f t="shared" si="770"/>
        <v>29.119999999999997</v>
      </c>
      <c r="AF1593">
        <v>145.6</v>
      </c>
      <c r="AG1593" t="str">
        <f t="shared" si="777"/>
        <v>NA</v>
      </c>
      <c r="AH1593" t="str">
        <f t="shared" si="778"/>
        <v>NA</v>
      </c>
      <c r="AI1593" s="11">
        <v>1</v>
      </c>
      <c r="AJ1593" t="s">
        <v>31</v>
      </c>
      <c r="AK1593">
        <v>2000</v>
      </c>
      <c r="AL1593" t="s">
        <v>114</v>
      </c>
      <c r="AM1593" t="s">
        <v>103</v>
      </c>
      <c r="AN1593" t="s">
        <v>130</v>
      </c>
      <c r="AO1593" t="s">
        <v>795</v>
      </c>
      <c r="AP1593" t="s">
        <v>33</v>
      </c>
      <c r="AQ1593" t="s">
        <v>33</v>
      </c>
      <c r="AR1593" t="s">
        <v>33</v>
      </c>
      <c r="AS1593" s="6">
        <f>LOG(2*10^8)</f>
        <v>8.3010299956639813</v>
      </c>
      <c r="AT1593" s="3">
        <f t="shared" si="780"/>
        <v>7.8010299956639813</v>
      </c>
      <c r="AU1593" s="6">
        <v>0.5</v>
      </c>
      <c r="AV1593" t="b">
        <v>1</v>
      </c>
      <c r="AW1593" t="s">
        <v>29</v>
      </c>
      <c r="AX1593" t="s">
        <v>30</v>
      </c>
      <c r="AY1593" t="s">
        <v>33</v>
      </c>
      <c r="AZ1593" t="s">
        <v>134</v>
      </c>
      <c r="BA1593" s="18" t="s">
        <v>798</v>
      </c>
      <c r="BB1593" t="b">
        <v>0</v>
      </c>
      <c r="BC1593" t="s">
        <v>81</v>
      </c>
      <c r="BD1593" t="s">
        <v>33</v>
      </c>
      <c r="BE1593" t="s">
        <v>33</v>
      </c>
      <c r="BF1593" s="11">
        <v>48</v>
      </c>
      <c r="BG1593" t="s">
        <v>569</v>
      </c>
      <c r="BH1593" t="s">
        <v>31</v>
      </c>
      <c r="BI1593" t="s">
        <v>31</v>
      </c>
      <c r="BJ1593" s="3">
        <f t="shared" si="772"/>
        <v>0.5</v>
      </c>
      <c r="BK1593" s="3">
        <f t="shared" si="756"/>
        <v>-0.3010299956639812</v>
      </c>
      <c r="BL1593">
        <v>2</v>
      </c>
      <c r="BM1593" s="3">
        <f t="shared" si="767"/>
        <v>1.7652213663049807</v>
      </c>
      <c r="BN1593" t="s">
        <v>33</v>
      </c>
      <c r="BO1593" s="3">
        <f t="shared" si="757"/>
        <v>58.239999999999995</v>
      </c>
      <c r="BP1593" t="s">
        <v>33</v>
      </c>
      <c r="BQ1593" t="s">
        <v>33</v>
      </c>
      <c r="BR1593" t="s">
        <v>33</v>
      </c>
      <c r="BS1593" t="s">
        <v>33</v>
      </c>
      <c r="BT1593" t="s">
        <v>32</v>
      </c>
      <c r="BU1593" t="s">
        <v>177</v>
      </c>
      <c r="BV1593">
        <v>2001</v>
      </c>
      <c r="BW1593" s="2" t="s">
        <v>178</v>
      </c>
      <c r="BX1593" t="s">
        <v>78</v>
      </c>
      <c r="BY1593" t="s">
        <v>33</v>
      </c>
      <c r="BZ1593" t="s">
        <v>33</v>
      </c>
      <c r="CA1593" t="str">
        <f t="shared" si="758"/>
        <v>low acid</v>
      </c>
    </row>
    <row r="1594" spans="1:79">
      <c r="A1594" t="s">
        <v>537</v>
      </c>
      <c r="B1594" t="s">
        <v>565</v>
      </c>
      <c r="C1594" t="s">
        <v>563</v>
      </c>
      <c r="D1594" t="s">
        <v>118</v>
      </c>
      <c r="E1594" t="s">
        <v>77</v>
      </c>
      <c r="F1594" t="s">
        <v>32</v>
      </c>
      <c r="G1594">
        <v>5</v>
      </c>
      <c r="H1594">
        <v>50</v>
      </c>
      <c r="I1594" t="b">
        <v>0</v>
      </c>
      <c r="J1594" t="s">
        <v>33</v>
      </c>
      <c r="K1594" t="s">
        <v>33</v>
      </c>
      <c r="L1594">
        <v>21</v>
      </c>
      <c r="M1594" s="4">
        <v>500</v>
      </c>
      <c r="N1594" s="3">
        <f t="shared" si="774"/>
        <v>497.97518208793286</v>
      </c>
      <c r="O1594">
        <v>2</v>
      </c>
      <c r="P1594" t="s">
        <v>33</v>
      </c>
      <c r="Q1594">
        <f t="shared" si="773"/>
        <v>1.2E-2</v>
      </c>
      <c r="R1594" t="s">
        <v>183</v>
      </c>
      <c r="S1594" t="s">
        <v>613</v>
      </c>
      <c r="T1594" s="11">
        <v>6</v>
      </c>
      <c r="U1594">
        <v>2.9</v>
      </c>
      <c r="V1594">
        <v>2.2999999999999998</v>
      </c>
      <c r="W1594" t="s">
        <v>33</v>
      </c>
      <c r="X1594" s="8">
        <f t="shared" si="781"/>
        <v>1.204879322468025E-2</v>
      </c>
      <c r="Y1594" s="6">
        <f>60/60</f>
        <v>1</v>
      </c>
      <c r="Z1594" s="3">
        <f t="shared" si="782"/>
        <v>1.0040661020566874</v>
      </c>
      <c r="AA1594" t="s">
        <v>33</v>
      </c>
      <c r="AB1594" s="6">
        <f t="shared" si="775"/>
        <v>6.0000000000000009</v>
      </c>
      <c r="AC1594" t="str">
        <f t="shared" si="776"/>
        <v>NA</v>
      </c>
      <c r="AD1594" s="4">
        <f>IFERROR(AB1594*T1594*AI1594, "NA")</f>
        <v>36.000000000000007</v>
      </c>
      <c r="AE1594" s="3">
        <f t="shared" si="770"/>
        <v>51.057215999999997</v>
      </c>
      <c r="AF1594">
        <v>72</v>
      </c>
      <c r="AG1594" t="str">
        <f t="shared" si="777"/>
        <v>NA</v>
      </c>
      <c r="AH1594" t="str">
        <f t="shared" si="778"/>
        <v>NA</v>
      </c>
      <c r="AI1594" s="11">
        <v>1</v>
      </c>
      <c r="AJ1594" t="s">
        <v>31</v>
      </c>
      <c r="AK1594">
        <v>1608</v>
      </c>
      <c r="AL1594" t="s">
        <v>149</v>
      </c>
      <c r="AM1594" t="s">
        <v>86</v>
      </c>
      <c r="AN1594" t="s">
        <v>205</v>
      </c>
      <c r="AO1594" t="s">
        <v>789</v>
      </c>
      <c r="AP1594">
        <v>3.41</v>
      </c>
      <c r="AQ1594" t="s">
        <v>33</v>
      </c>
      <c r="AR1594" t="s">
        <v>33</v>
      </c>
      <c r="AS1594" s="3">
        <v>9</v>
      </c>
      <c r="AT1594" s="3">
        <f t="shared" si="780"/>
        <v>7.8100000000000005</v>
      </c>
      <c r="AU1594" s="6">
        <v>1.19</v>
      </c>
      <c r="AV1594" t="b">
        <v>1</v>
      </c>
      <c r="AW1594" t="s">
        <v>29</v>
      </c>
      <c r="AX1594" t="s">
        <v>30</v>
      </c>
      <c r="AY1594" t="s">
        <v>33</v>
      </c>
      <c r="AZ1594" t="s">
        <v>134</v>
      </c>
      <c r="BA1594" s="18" t="s">
        <v>798</v>
      </c>
      <c r="BB1594" t="b">
        <v>0</v>
      </c>
      <c r="BC1594" t="s">
        <v>81</v>
      </c>
      <c r="BD1594">
        <f>18</f>
        <v>18</v>
      </c>
      <c r="BE1594" t="s">
        <v>80</v>
      </c>
      <c r="BF1594" s="11">
        <v>24</v>
      </c>
      <c r="BG1594" t="s">
        <v>262</v>
      </c>
      <c r="BH1594" t="s">
        <v>31</v>
      </c>
      <c r="BI1594" t="s">
        <v>31</v>
      </c>
      <c r="BJ1594" s="3">
        <f t="shared" si="772"/>
        <v>1.19</v>
      </c>
      <c r="BK1594" s="3">
        <f t="shared" si="756"/>
        <v>7.554696139253074E-2</v>
      </c>
      <c r="BL1594">
        <v>2</v>
      </c>
      <c r="BM1594" s="3">
        <f t="shared" si="767"/>
        <v>1.6325101689190087</v>
      </c>
      <c r="BN1594" t="s">
        <v>33</v>
      </c>
      <c r="BO1594" s="3">
        <f t="shared" si="757"/>
        <v>42.905223529411764</v>
      </c>
      <c r="BP1594" t="s">
        <v>33</v>
      </c>
      <c r="BQ1594" t="s">
        <v>33</v>
      </c>
      <c r="BR1594" t="s">
        <v>33</v>
      </c>
      <c r="BS1594" t="s">
        <v>33</v>
      </c>
      <c r="BT1594" t="s">
        <v>31</v>
      </c>
      <c r="BU1594" t="s">
        <v>190</v>
      </c>
      <c r="BV1594">
        <v>2021</v>
      </c>
      <c r="BW1594" s="5" t="s">
        <v>191</v>
      </c>
      <c r="BX1594" t="s">
        <v>78</v>
      </c>
      <c r="BY1594" t="s">
        <v>33</v>
      </c>
      <c r="BZ1594" t="s">
        <v>150</v>
      </c>
      <c r="CA1594" t="str">
        <f t="shared" si="758"/>
        <v>high acid</v>
      </c>
    </row>
    <row r="1595" spans="1:79">
      <c r="A1595" t="s">
        <v>597</v>
      </c>
      <c r="B1595" t="s">
        <v>565</v>
      </c>
      <c r="C1595" t="s">
        <v>563</v>
      </c>
      <c r="D1595" t="s">
        <v>33</v>
      </c>
      <c r="E1595" t="s">
        <v>77</v>
      </c>
      <c r="F1595" t="s">
        <v>33</v>
      </c>
      <c r="G1595">
        <v>20</v>
      </c>
      <c r="H1595">
        <v>35</v>
      </c>
      <c r="I1595" t="b">
        <v>0</v>
      </c>
      <c r="J1595" t="s">
        <v>33</v>
      </c>
      <c r="K1595" t="s">
        <v>33</v>
      </c>
      <c r="L1595">
        <v>22</v>
      </c>
      <c r="M1595" s="4">
        <v>3</v>
      </c>
      <c r="N1595" t="e">
        <f>(#REF!*Y1595)/(T1595*X1595*O1595)</f>
        <v>#REF!</v>
      </c>
      <c r="O1595">
        <v>2</v>
      </c>
      <c r="P1595" t="s">
        <v>33</v>
      </c>
      <c r="Q1595" s="1">
        <f t="shared" si="773"/>
        <v>7.4266666666666676</v>
      </c>
      <c r="R1595" t="s">
        <v>183</v>
      </c>
      <c r="S1595" t="s">
        <v>33</v>
      </c>
      <c r="T1595">
        <v>1</v>
      </c>
      <c r="U1595">
        <v>2.5</v>
      </c>
      <c r="V1595" t="s">
        <v>33</v>
      </c>
      <c r="W1595">
        <v>0.50249999999999995</v>
      </c>
      <c r="X1595">
        <f t="shared" ref="X1595:X1601" si="783">W1595</f>
        <v>0.50249999999999995</v>
      </c>
      <c r="Y1595" t="s">
        <v>33</v>
      </c>
      <c r="Z1595" s="3">
        <f t="shared" si="782"/>
        <v>6.7661579892280055E-2</v>
      </c>
      <c r="AA1595" t="s">
        <v>33</v>
      </c>
      <c r="AB1595">
        <f t="shared" si="775"/>
        <v>22.280000000000005</v>
      </c>
      <c r="AC1595" s="1" t="str">
        <f t="shared" si="776"/>
        <v>NA</v>
      </c>
      <c r="AE1595" s="3">
        <f t="shared" si="770"/>
        <v>43.134080000000004</v>
      </c>
      <c r="AF1595">
        <v>44.56</v>
      </c>
      <c r="AG1595" s="1" t="str">
        <f>IFERROR((N1595*P1595*Q1595), "NA")</f>
        <v>NA</v>
      </c>
      <c r="AH1595" s="1" t="str">
        <f>IFERROR((AG1595*U1595*AI1595), "NA")</f>
        <v>NA</v>
      </c>
      <c r="AI1595" s="1">
        <v>1</v>
      </c>
      <c r="AJ1595" s="11" t="s">
        <v>31</v>
      </c>
      <c r="AK1595">
        <v>2000</v>
      </c>
      <c r="AL1595" t="s">
        <v>784</v>
      </c>
      <c r="AM1595" s="3" t="s">
        <v>103</v>
      </c>
      <c r="AN1595" t="s">
        <v>130</v>
      </c>
      <c r="AO1595" t="s">
        <v>795</v>
      </c>
      <c r="AP1595">
        <v>7</v>
      </c>
      <c r="AQ1595" t="s">
        <v>33</v>
      </c>
      <c r="AR1595" t="s">
        <v>33</v>
      </c>
      <c r="AS1595">
        <v>9</v>
      </c>
      <c r="AT1595">
        <f>AS1595-AU1595</f>
        <v>7.82</v>
      </c>
      <c r="AU1595" s="6">
        <v>1.18</v>
      </c>
      <c r="AV1595" t="b">
        <v>1</v>
      </c>
      <c r="AW1595" t="s">
        <v>617</v>
      </c>
      <c r="AX1595" t="s">
        <v>635</v>
      </c>
      <c r="AY1595" t="s">
        <v>636</v>
      </c>
      <c r="AZ1595" t="s">
        <v>33</v>
      </c>
      <c r="BA1595" s="18" t="s">
        <v>802</v>
      </c>
      <c r="BB1595" s="3" t="b">
        <v>0</v>
      </c>
      <c r="BC1595" t="s">
        <v>81</v>
      </c>
      <c r="BD1595">
        <v>24</v>
      </c>
      <c r="BE1595" t="s">
        <v>80</v>
      </c>
      <c r="BF1595">
        <v>24</v>
      </c>
      <c r="BG1595" t="s">
        <v>644</v>
      </c>
      <c r="BH1595" t="s">
        <v>31</v>
      </c>
      <c r="BI1595" t="s">
        <v>31</v>
      </c>
      <c r="BJ1595">
        <f t="shared" si="772"/>
        <v>1.18</v>
      </c>
      <c r="BK1595" s="3">
        <f t="shared" si="756"/>
        <v>7.1882007306125359E-2</v>
      </c>
      <c r="BL1595">
        <v>2</v>
      </c>
      <c r="BM1595" s="3">
        <f t="shared" si="767"/>
        <v>1.5629385321679408</v>
      </c>
      <c r="BN1595" t="s">
        <v>33</v>
      </c>
      <c r="BO1595" s="3">
        <f t="shared" si="757"/>
        <v>36.554305084745771</v>
      </c>
      <c r="BP1595" t="s">
        <v>33</v>
      </c>
      <c r="BQ1595" t="s">
        <v>33</v>
      </c>
      <c r="BR1595" t="s">
        <v>33</v>
      </c>
      <c r="BS1595" t="s">
        <v>33</v>
      </c>
      <c r="BT1595" t="s">
        <v>31</v>
      </c>
      <c r="BU1595" t="s">
        <v>664</v>
      </c>
      <c r="BV1595">
        <v>2000</v>
      </c>
      <c r="BW1595" t="s">
        <v>665</v>
      </c>
      <c r="BX1595" t="s">
        <v>78</v>
      </c>
      <c r="BY1595" s="13" t="s">
        <v>685</v>
      </c>
      <c r="CA1595" t="str">
        <f t="shared" si="758"/>
        <v>low acid</v>
      </c>
    </row>
    <row r="1596" spans="1:79">
      <c r="A1596" t="s">
        <v>712</v>
      </c>
      <c r="B1596" t="s">
        <v>566</v>
      </c>
      <c r="C1596" t="s">
        <v>563</v>
      </c>
      <c r="D1596" t="s">
        <v>699</v>
      </c>
      <c r="E1596" t="s">
        <v>77</v>
      </c>
      <c r="F1596" t="s">
        <v>32</v>
      </c>
      <c r="G1596">
        <v>20</v>
      </c>
      <c r="H1596">
        <v>42.5</v>
      </c>
      <c r="I1596" t="b">
        <v>1</v>
      </c>
      <c r="J1596" t="s">
        <v>33</v>
      </c>
      <c r="K1596" t="s">
        <v>33</v>
      </c>
      <c r="L1596">
        <v>20</v>
      </c>
      <c r="M1596" s="4">
        <v>47</v>
      </c>
      <c r="N1596" s="3">
        <f>IFERROR(AF1596/((T1596*X1596/Y1596)*O1596*AI1596),"NA")</f>
        <v>46.759259259259245</v>
      </c>
      <c r="O1596">
        <v>5</v>
      </c>
      <c r="P1596">
        <v>0.43</v>
      </c>
      <c r="Q1596" s="8">
        <f>IFERROR(X1596/Y1596, "NA")</f>
        <v>0.43200000000000011</v>
      </c>
      <c r="R1596" t="s">
        <v>183</v>
      </c>
      <c r="S1596" t="s">
        <v>612</v>
      </c>
      <c r="T1596" s="11">
        <v>1</v>
      </c>
      <c r="U1596">
        <v>4</v>
      </c>
      <c r="V1596" t="s">
        <v>33</v>
      </c>
      <c r="W1596">
        <f>0.4*3*0.5</f>
        <v>0.60000000000000009</v>
      </c>
      <c r="X1596" s="9">
        <f t="shared" si="783"/>
        <v>0.60000000000000009</v>
      </c>
      <c r="Y1596" s="6">
        <f>5000/3600</f>
        <v>1.3888888888888888</v>
      </c>
      <c r="Z1596" s="3">
        <f t="shared" si="782"/>
        <v>1.3960396039603959</v>
      </c>
      <c r="AA1596" t="s">
        <v>33</v>
      </c>
      <c r="AB1596" s="4">
        <f>IFERROR(((X1596*M1596)/Y1596), "NA")</f>
        <v>20.304000000000002</v>
      </c>
      <c r="AC1596" s="4">
        <f t="shared" si="776"/>
        <v>20.21</v>
      </c>
      <c r="AD1596" s="4">
        <f>AB1596*T1596*AI1596</f>
        <v>20.304000000000002</v>
      </c>
      <c r="AE1596" s="3">
        <f t="shared" si="770"/>
        <v>81.216000000000022</v>
      </c>
      <c r="AF1596">
        <v>101</v>
      </c>
      <c r="AG1596" s="4">
        <f>IFERROR((M1596*O1596*P1596), "NA")</f>
        <v>101.05</v>
      </c>
      <c r="AH1596" s="4">
        <f>IFERROR((AG1596*T1596*AI1596), "NA")</f>
        <v>101.05</v>
      </c>
      <c r="AI1596">
        <v>1</v>
      </c>
      <c r="AJ1596" s="11" t="s">
        <v>31</v>
      </c>
      <c r="AK1596">
        <v>2000</v>
      </c>
      <c r="AL1596" t="s">
        <v>784</v>
      </c>
      <c r="AM1596" t="s">
        <v>103</v>
      </c>
      <c r="AN1596" t="s">
        <v>130</v>
      </c>
      <c r="AO1596" t="s">
        <v>795</v>
      </c>
      <c r="AP1596">
        <v>7</v>
      </c>
      <c r="AQ1596" t="s">
        <v>33</v>
      </c>
      <c r="AR1596" t="s">
        <v>33</v>
      </c>
      <c r="AS1596" s="6">
        <f>LOG(AVERAGE(10^8, 10^9))</f>
        <v>8.7403626894942441</v>
      </c>
      <c r="AT1596" s="3">
        <f>IFERROR(AS1596-AU1596,"NA")</f>
        <v>7.822362689494244</v>
      </c>
      <c r="AU1596" s="6">
        <v>0.91800000000000004</v>
      </c>
      <c r="AV1596" t="b">
        <v>1</v>
      </c>
      <c r="AW1596" t="s">
        <v>92</v>
      </c>
      <c r="AX1596" t="s">
        <v>93</v>
      </c>
      <c r="AY1596" t="s">
        <v>714</v>
      </c>
      <c r="AZ1596" t="s">
        <v>33</v>
      </c>
      <c r="BA1596" s="18" t="s">
        <v>801</v>
      </c>
      <c r="BB1596" s="3" t="b">
        <v>0</v>
      </c>
      <c r="BC1596" t="s">
        <v>81</v>
      </c>
      <c r="BD1596">
        <v>24</v>
      </c>
      <c r="BE1596" t="s">
        <v>80</v>
      </c>
      <c r="BF1596">
        <v>24</v>
      </c>
      <c r="BG1596" t="s">
        <v>568</v>
      </c>
      <c r="BH1596" t="s">
        <v>31</v>
      </c>
      <c r="BI1596" t="s">
        <v>31</v>
      </c>
      <c r="BJ1596" s="3">
        <f t="shared" si="772"/>
        <v>0.91800000000000004</v>
      </c>
      <c r="BK1596" s="3">
        <f t="shared" si="756"/>
        <v>-3.7157318798757548E-2</v>
      </c>
      <c r="BL1596">
        <v>2</v>
      </c>
      <c r="BM1596" s="3">
        <f t="shared" ref="BM1596:BM1627" si="784">IFERROR(LOG(BO1596),"NA")</f>
        <v>1.9467989148773497</v>
      </c>
      <c r="BN1596" t="s">
        <v>33</v>
      </c>
      <c r="BO1596" s="3">
        <f t="shared" si="757"/>
        <v>88.470588235294144</v>
      </c>
      <c r="BP1596" t="s">
        <v>33</v>
      </c>
      <c r="BQ1596" t="s">
        <v>33</v>
      </c>
      <c r="BR1596" t="s">
        <v>33</v>
      </c>
      <c r="BS1596" t="s">
        <v>33</v>
      </c>
      <c r="BT1596" t="s">
        <v>32</v>
      </c>
      <c r="BU1596" t="s">
        <v>709</v>
      </c>
      <c r="BV1596">
        <v>2024</v>
      </c>
      <c r="BW1596" t="s">
        <v>710</v>
      </c>
      <c r="BX1596" t="s">
        <v>78</v>
      </c>
      <c r="BY1596" t="s">
        <v>711</v>
      </c>
      <c r="CA1596" t="str">
        <f t="shared" si="758"/>
        <v>low acid</v>
      </c>
    </row>
    <row r="1597" spans="1:79">
      <c r="A1597" t="s">
        <v>589</v>
      </c>
      <c r="B1597" t="s">
        <v>566</v>
      </c>
      <c r="C1597" t="s">
        <v>563</v>
      </c>
      <c r="D1597" t="s">
        <v>33</v>
      </c>
      <c r="E1597" t="s">
        <v>77</v>
      </c>
      <c r="F1597" t="s">
        <v>33</v>
      </c>
      <c r="G1597" t="s">
        <v>33</v>
      </c>
      <c r="H1597">
        <v>35</v>
      </c>
      <c r="I1597" t="b">
        <v>0</v>
      </c>
      <c r="J1597" t="s">
        <v>33</v>
      </c>
      <c r="K1597" t="s">
        <v>33</v>
      </c>
      <c r="L1597">
        <v>12</v>
      </c>
      <c r="M1597" s="4">
        <v>1</v>
      </c>
      <c r="N1597" t="e">
        <f>(#REF!*Y1597)/(T1597*X1597*O1597)</f>
        <v>#REF!</v>
      </c>
      <c r="O1597">
        <v>2</v>
      </c>
      <c r="P1597" t="s">
        <v>33</v>
      </c>
      <c r="Q1597" s="1">
        <f>IFERROR(X1597/Z1597, "NA")</f>
        <v>47.45</v>
      </c>
      <c r="R1597" t="s">
        <v>183</v>
      </c>
      <c r="S1597" t="s">
        <v>613</v>
      </c>
      <c r="T1597">
        <v>1</v>
      </c>
      <c r="U1597">
        <v>2.5</v>
      </c>
      <c r="V1597" t="s">
        <v>33</v>
      </c>
      <c r="W1597">
        <v>0.50249999999999995</v>
      </c>
      <c r="X1597">
        <f t="shared" si="783"/>
        <v>0.50249999999999995</v>
      </c>
      <c r="Y1597" t="s">
        <v>33</v>
      </c>
      <c r="Z1597" s="3">
        <f t="shared" si="782"/>
        <v>1.0590094836670177E-2</v>
      </c>
      <c r="AA1597" t="s">
        <v>33</v>
      </c>
      <c r="AB1597">
        <f>IFERROR(((X1597*M1597)/Z1597), "NA")</f>
        <v>47.45</v>
      </c>
      <c r="AC1597" s="1" t="str">
        <f t="shared" si="776"/>
        <v>NA</v>
      </c>
      <c r="AE1597" s="3">
        <f t="shared" si="770"/>
        <v>27.331199999999999</v>
      </c>
      <c r="AF1597">
        <v>94.9</v>
      </c>
      <c r="AG1597" s="1" t="str">
        <f>IFERROR((N1597*P1597*Q1597), "NA")</f>
        <v>NA</v>
      </c>
      <c r="AH1597" s="1" t="str">
        <f>IFERROR((AG1597*U1597*AI1597), "NA")</f>
        <v>NA</v>
      </c>
      <c r="AI1597" s="1">
        <v>1</v>
      </c>
      <c r="AJ1597" s="11" t="s">
        <v>31</v>
      </c>
      <c r="AK1597">
        <v>2000</v>
      </c>
      <c r="AL1597" t="s">
        <v>616</v>
      </c>
      <c r="AM1597" s="3" t="s">
        <v>103</v>
      </c>
      <c r="AN1597" t="s">
        <v>130</v>
      </c>
      <c r="AO1597" t="s">
        <v>795</v>
      </c>
      <c r="AP1597">
        <v>7</v>
      </c>
      <c r="AQ1597" t="s">
        <v>33</v>
      </c>
      <c r="AR1597" t="s">
        <v>33</v>
      </c>
      <c r="AS1597">
        <v>9</v>
      </c>
      <c r="AT1597">
        <f>AS1597-AU1597</f>
        <v>7.83</v>
      </c>
      <c r="AU1597" s="6">
        <v>1.17</v>
      </c>
      <c r="AV1597" t="b">
        <v>1</v>
      </c>
      <c r="AW1597" t="s">
        <v>617</v>
      </c>
      <c r="AX1597" t="s">
        <v>33</v>
      </c>
      <c r="AY1597" t="s">
        <v>628</v>
      </c>
      <c r="AZ1597" t="s">
        <v>619</v>
      </c>
      <c r="BA1597" s="18" t="s">
        <v>802</v>
      </c>
      <c r="BB1597" s="3" t="b">
        <v>0</v>
      </c>
      <c r="BC1597" t="s">
        <v>81</v>
      </c>
      <c r="BD1597">
        <v>24</v>
      </c>
      <c r="BE1597" t="s">
        <v>80</v>
      </c>
      <c r="BF1597">
        <v>24</v>
      </c>
      <c r="BG1597" t="s">
        <v>644</v>
      </c>
      <c r="BH1597" t="s">
        <v>31</v>
      </c>
      <c r="BI1597" t="s">
        <v>31</v>
      </c>
      <c r="BJ1597">
        <f t="shared" si="772"/>
        <v>1.17</v>
      </c>
      <c r="BK1597" s="3">
        <f t="shared" si="756"/>
        <v>6.8185861746161619E-2</v>
      </c>
      <c r="BL1597">
        <v>2</v>
      </c>
      <c r="BM1597" s="3">
        <f t="shared" si="784"/>
        <v>1.3684728384403619</v>
      </c>
      <c r="BN1597" t="s">
        <v>33</v>
      </c>
      <c r="BO1597" s="3">
        <f t="shared" si="757"/>
        <v>23.36</v>
      </c>
      <c r="BP1597" t="s">
        <v>33</v>
      </c>
      <c r="BQ1597" t="s">
        <v>33</v>
      </c>
      <c r="BR1597" t="s">
        <v>33</v>
      </c>
      <c r="BS1597" t="s">
        <v>33</v>
      </c>
      <c r="BT1597" t="s">
        <v>31</v>
      </c>
      <c r="BU1597" s="15" t="s">
        <v>655</v>
      </c>
      <c r="BV1597">
        <v>2003</v>
      </c>
      <c r="BW1597" t="s">
        <v>656</v>
      </c>
      <c r="BX1597" t="s">
        <v>78</v>
      </c>
      <c r="BY1597" s="13" t="s">
        <v>677</v>
      </c>
      <c r="CA1597" t="str">
        <f t="shared" si="758"/>
        <v>low acid</v>
      </c>
    </row>
    <row r="1598" spans="1:79">
      <c r="A1598" t="s">
        <v>733</v>
      </c>
      <c r="B1598" t="s">
        <v>566</v>
      </c>
      <c r="C1598" t="s">
        <v>563</v>
      </c>
      <c r="D1598" t="s">
        <v>699</v>
      </c>
      <c r="E1598" t="s">
        <v>77</v>
      </c>
      <c r="F1598" t="s">
        <v>32</v>
      </c>
      <c r="G1598">
        <v>20</v>
      </c>
      <c r="H1598">
        <v>41</v>
      </c>
      <c r="I1598" t="b">
        <v>1</v>
      </c>
      <c r="J1598" t="s">
        <v>33</v>
      </c>
      <c r="K1598" t="s">
        <v>33</v>
      </c>
      <c r="L1598">
        <v>20</v>
      </c>
      <c r="M1598" s="4">
        <v>30</v>
      </c>
      <c r="N1598" s="3">
        <f>IFERROR(AF1598/((T1598*X1598/Y1598)*O1598*AI1598),"NA")</f>
        <v>29.861111111111104</v>
      </c>
      <c r="O1598">
        <v>5</v>
      </c>
      <c r="P1598">
        <v>0.43</v>
      </c>
      <c r="Q1598" s="8">
        <f>IFERROR(X1598/Y1598, "NA")</f>
        <v>0.43200000000000011</v>
      </c>
      <c r="R1598" t="s">
        <v>183</v>
      </c>
      <c r="S1598" t="s">
        <v>612</v>
      </c>
      <c r="T1598" s="11">
        <v>1</v>
      </c>
      <c r="U1598">
        <v>4</v>
      </c>
      <c r="V1598" t="s">
        <v>33</v>
      </c>
      <c r="W1598">
        <f>0.4*3*0.5</f>
        <v>0.60000000000000009</v>
      </c>
      <c r="X1598" s="9">
        <f t="shared" si="783"/>
        <v>0.60000000000000009</v>
      </c>
      <c r="Y1598" s="6">
        <f>5000/3600</f>
        <v>1.3888888888888888</v>
      </c>
      <c r="Z1598" s="3">
        <f t="shared" si="782"/>
        <v>1.3953488372093026</v>
      </c>
      <c r="AA1598" t="s">
        <v>33</v>
      </c>
      <c r="AB1598" s="4">
        <f>IFERROR(((X1598*M1598)/Y1598), "NA")</f>
        <v>12.960000000000003</v>
      </c>
      <c r="AC1598" s="4">
        <f t="shared" si="776"/>
        <v>12.9</v>
      </c>
      <c r="AD1598" s="4">
        <f>AB1598*T1598*AI1598</f>
        <v>12.960000000000003</v>
      </c>
      <c r="AE1598" s="3">
        <f t="shared" si="770"/>
        <v>51.840000000000011</v>
      </c>
      <c r="AF1598">
        <v>64.5</v>
      </c>
      <c r="AG1598" s="4">
        <f>IFERROR((M1598*O1598*P1598), "NA")</f>
        <v>64.5</v>
      </c>
      <c r="AH1598" s="4">
        <f>IFERROR((AG1598*T1598*AI1598), "NA")</f>
        <v>64.5</v>
      </c>
      <c r="AI1598">
        <v>1</v>
      </c>
      <c r="AJ1598" s="11" t="s">
        <v>31</v>
      </c>
      <c r="AK1598">
        <v>2000</v>
      </c>
      <c r="AL1598" t="s">
        <v>784</v>
      </c>
      <c r="AM1598" t="s">
        <v>103</v>
      </c>
      <c r="AN1598" t="s">
        <v>130</v>
      </c>
      <c r="AO1598" t="s">
        <v>795</v>
      </c>
      <c r="AP1598">
        <v>7</v>
      </c>
      <c r="AQ1598" t="s">
        <v>33</v>
      </c>
      <c r="AR1598" t="s">
        <v>33</v>
      </c>
      <c r="AS1598" s="6">
        <f>LOG(AVERAGE(10^8, 10^9))</f>
        <v>8.7403626894942441</v>
      </c>
      <c r="AT1598" s="3">
        <f>IFERROR(AS1598-AU1598,"NA")</f>
        <v>7.8363626894942442</v>
      </c>
      <c r="AU1598" s="6">
        <v>0.90400000000000003</v>
      </c>
      <c r="AV1598" t="b">
        <v>1</v>
      </c>
      <c r="AW1598" t="s">
        <v>172</v>
      </c>
      <c r="AX1598" t="s">
        <v>173</v>
      </c>
      <c r="AY1598" t="s">
        <v>737</v>
      </c>
      <c r="AZ1598" t="s">
        <v>33</v>
      </c>
      <c r="BA1598" s="18" t="s">
        <v>799</v>
      </c>
      <c r="BB1598" s="3" t="b">
        <v>0</v>
      </c>
      <c r="BC1598" t="s">
        <v>81</v>
      </c>
      <c r="BD1598">
        <v>24</v>
      </c>
      <c r="BE1598" t="s">
        <v>80</v>
      </c>
      <c r="BF1598">
        <v>48</v>
      </c>
      <c r="BG1598" t="s">
        <v>734</v>
      </c>
      <c r="BH1598" t="s">
        <v>31</v>
      </c>
      <c r="BI1598" t="s">
        <v>31</v>
      </c>
      <c r="BJ1598" s="3">
        <f t="shared" si="772"/>
        <v>0.90400000000000003</v>
      </c>
      <c r="BK1598" s="3">
        <f t="shared" si="756"/>
        <v>-4.3831569524636682E-2</v>
      </c>
      <c r="BL1598">
        <v>2</v>
      </c>
      <c r="BM1598" s="3">
        <f t="shared" si="784"/>
        <v>1.7584965623871738</v>
      </c>
      <c r="BN1598" t="s">
        <v>33</v>
      </c>
      <c r="BO1598" s="3">
        <f t="shared" si="757"/>
        <v>57.345132743362839</v>
      </c>
      <c r="BP1598" t="s">
        <v>33</v>
      </c>
      <c r="BQ1598" t="s">
        <v>33</v>
      </c>
      <c r="BR1598" t="s">
        <v>33</v>
      </c>
      <c r="BS1598" t="s">
        <v>33</v>
      </c>
      <c r="BT1598" t="s">
        <v>32</v>
      </c>
      <c r="BU1598" t="s">
        <v>709</v>
      </c>
      <c r="BV1598">
        <v>2024</v>
      </c>
      <c r="BW1598" t="s">
        <v>710</v>
      </c>
      <c r="BX1598" t="s">
        <v>78</v>
      </c>
      <c r="BY1598" t="s">
        <v>711</v>
      </c>
      <c r="CA1598" t="str">
        <f t="shared" si="758"/>
        <v>low acid</v>
      </c>
    </row>
    <row r="1599" spans="1:79">
      <c r="A1599" t="s">
        <v>597</v>
      </c>
      <c r="B1599" t="s">
        <v>565</v>
      </c>
      <c r="C1599" t="s">
        <v>563</v>
      </c>
      <c r="D1599" t="s">
        <v>33</v>
      </c>
      <c r="E1599" t="s">
        <v>77</v>
      </c>
      <c r="F1599" t="s">
        <v>33</v>
      </c>
      <c r="G1599">
        <v>20</v>
      </c>
      <c r="H1599">
        <v>35</v>
      </c>
      <c r="I1599" t="b">
        <v>0</v>
      </c>
      <c r="J1599" t="s">
        <v>33</v>
      </c>
      <c r="K1599" t="s">
        <v>33</v>
      </c>
      <c r="L1599">
        <v>22</v>
      </c>
      <c r="M1599" s="4">
        <v>2</v>
      </c>
      <c r="N1599" t="e">
        <f>(#REF!*Y1599)/(T1599*X1599*#REF!)</f>
        <v>#REF!</v>
      </c>
      <c r="O1599">
        <v>2</v>
      </c>
      <c r="P1599" t="s">
        <v>33</v>
      </c>
      <c r="Q1599" s="1">
        <f>IFERROR(X1599/Z1599, "NA")</f>
        <v>5.0225</v>
      </c>
      <c r="R1599" t="s">
        <v>183</v>
      </c>
      <c r="S1599" t="s">
        <v>33</v>
      </c>
      <c r="T1599">
        <v>1</v>
      </c>
      <c r="U1599">
        <v>2.5</v>
      </c>
      <c r="V1599" t="s">
        <v>33</v>
      </c>
      <c r="W1599">
        <v>0.50249999999999995</v>
      </c>
      <c r="X1599">
        <f t="shared" si="783"/>
        <v>0.50249999999999995</v>
      </c>
      <c r="Y1599" t="s">
        <v>33</v>
      </c>
      <c r="Z1599" s="3">
        <f t="shared" si="782"/>
        <v>0.10004977600796415</v>
      </c>
      <c r="AA1599" t="s">
        <v>33</v>
      </c>
      <c r="AB1599">
        <f>IFERROR(((X1599*O1599)/Z1599), "NA")</f>
        <v>10.045</v>
      </c>
      <c r="AC1599" s="1" t="str">
        <f>IFERROR(O1599*P1599,"NA")</f>
        <v>NA</v>
      </c>
      <c r="AE1599" s="3">
        <f t="shared" si="770"/>
        <v>19.447119999999998</v>
      </c>
      <c r="AF1599">
        <v>20.09</v>
      </c>
      <c r="AG1599" s="1" t="str">
        <f>IFERROR((P1599*#REF!*Q1599), "NA")</f>
        <v>NA</v>
      </c>
      <c r="AH1599" s="1" t="str">
        <f>IFERROR((AG1599*U1599*AI1599), "NA")</f>
        <v>NA</v>
      </c>
      <c r="AI1599" s="1">
        <v>1</v>
      </c>
      <c r="AJ1599" s="11" t="s">
        <v>31</v>
      </c>
      <c r="AK1599">
        <v>2000</v>
      </c>
      <c r="AL1599" t="s">
        <v>784</v>
      </c>
      <c r="AM1599" s="3" t="s">
        <v>103</v>
      </c>
      <c r="AN1599" t="s">
        <v>130</v>
      </c>
      <c r="AO1599" t="s">
        <v>795</v>
      </c>
      <c r="AP1599">
        <v>7</v>
      </c>
      <c r="AQ1599" t="s">
        <v>33</v>
      </c>
      <c r="AR1599" t="s">
        <v>33</v>
      </c>
      <c r="AS1599">
        <v>9</v>
      </c>
      <c r="AT1599">
        <f>AS1599-AU1599</f>
        <v>7.84</v>
      </c>
      <c r="AU1599" s="6">
        <v>1.1599999999999999</v>
      </c>
      <c r="AV1599" t="b">
        <v>1</v>
      </c>
      <c r="AW1599" t="s">
        <v>617</v>
      </c>
      <c r="AX1599" t="s">
        <v>635</v>
      </c>
      <c r="AY1599" t="s">
        <v>636</v>
      </c>
      <c r="AZ1599" t="s">
        <v>33</v>
      </c>
      <c r="BA1599" s="18" t="s">
        <v>802</v>
      </c>
      <c r="BB1599" s="3" t="b">
        <v>0</v>
      </c>
      <c r="BC1599" t="s">
        <v>81</v>
      </c>
      <c r="BD1599">
        <v>24</v>
      </c>
      <c r="BE1599" t="s">
        <v>80</v>
      </c>
      <c r="BF1599">
        <v>24</v>
      </c>
      <c r="BG1599" t="s">
        <v>644</v>
      </c>
      <c r="BH1599" t="s">
        <v>31</v>
      </c>
      <c r="BI1599" t="s">
        <v>31</v>
      </c>
      <c r="BJ1599">
        <f t="shared" si="772"/>
        <v>1.1599999999999999</v>
      </c>
      <c r="BK1599" s="3">
        <f t="shared" si="756"/>
        <v>6.445798922691845E-2</v>
      </c>
      <c r="BL1599">
        <v>2</v>
      </c>
      <c r="BM1599" s="3">
        <f t="shared" si="784"/>
        <v>1.2243973048297243</v>
      </c>
      <c r="BN1599" t="s">
        <v>33</v>
      </c>
      <c r="BO1599" s="3">
        <f t="shared" si="757"/>
        <v>16.764758620689655</v>
      </c>
      <c r="BP1599" t="s">
        <v>33</v>
      </c>
      <c r="BQ1599" t="s">
        <v>33</v>
      </c>
      <c r="BR1599" t="s">
        <v>33</v>
      </c>
      <c r="BS1599" t="s">
        <v>33</v>
      </c>
      <c r="BT1599" t="s">
        <v>31</v>
      </c>
      <c r="BU1599" t="s">
        <v>664</v>
      </c>
      <c r="BV1599">
        <v>2000</v>
      </c>
      <c r="BW1599" t="s">
        <v>665</v>
      </c>
      <c r="BX1599" t="s">
        <v>78</v>
      </c>
      <c r="BY1599" s="13" t="s">
        <v>685</v>
      </c>
      <c r="CA1599" t="str">
        <f t="shared" si="758"/>
        <v>low acid</v>
      </c>
    </row>
    <row r="1600" spans="1:79">
      <c r="A1600" t="s">
        <v>597</v>
      </c>
      <c r="B1600" t="s">
        <v>565</v>
      </c>
      <c r="C1600" t="s">
        <v>563</v>
      </c>
      <c r="D1600" t="s">
        <v>33</v>
      </c>
      <c r="E1600" t="s">
        <v>77</v>
      </c>
      <c r="F1600" t="s">
        <v>33</v>
      </c>
      <c r="G1600">
        <v>20</v>
      </c>
      <c r="H1600">
        <v>35</v>
      </c>
      <c r="I1600" t="b">
        <v>0</v>
      </c>
      <c r="J1600" t="s">
        <v>33</v>
      </c>
      <c r="K1600" t="s">
        <v>33</v>
      </c>
      <c r="L1600">
        <v>22</v>
      </c>
      <c r="M1600" s="4">
        <v>2</v>
      </c>
      <c r="N1600" t="e">
        <f>(#REF!*Y1600)/(T1600*X1600*O1600)</f>
        <v>#REF!</v>
      </c>
      <c r="O1600">
        <v>15</v>
      </c>
      <c r="P1600" t="s">
        <v>33</v>
      </c>
      <c r="Q1600" s="1">
        <f>IFERROR(X1600/Z1600, "NA")</f>
        <v>1.5266666666666664</v>
      </c>
      <c r="R1600" t="s">
        <v>183</v>
      </c>
      <c r="S1600" t="s">
        <v>33</v>
      </c>
      <c r="T1600">
        <v>1</v>
      </c>
      <c r="U1600">
        <v>2.5</v>
      </c>
      <c r="V1600" t="s">
        <v>33</v>
      </c>
      <c r="W1600">
        <v>0.50249999999999995</v>
      </c>
      <c r="X1600">
        <f t="shared" si="783"/>
        <v>0.50249999999999995</v>
      </c>
      <c r="Y1600" t="s">
        <v>33</v>
      </c>
      <c r="Z1600" s="3">
        <f t="shared" si="782"/>
        <v>0.32914847161572053</v>
      </c>
      <c r="AA1600" t="s">
        <v>33</v>
      </c>
      <c r="AB1600">
        <f>IFERROR(((X1600*M1600)/Z1600), "NA")</f>
        <v>3.0533333333333328</v>
      </c>
      <c r="AC1600" s="1" t="str">
        <f t="shared" ref="AC1600:AC1624" si="785">IFERROR(M1600*P1600,"NA")</f>
        <v>NA</v>
      </c>
      <c r="AE1600" s="3">
        <f t="shared" si="770"/>
        <v>44.334399999999988</v>
      </c>
      <c r="AF1600">
        <v>45.8</v>
      </c>
      <c r="AG1600" s="1" t="str">
        <f>IFERROR((N1600*P1600*Q1600), "NA")</f>
        <v>NA</v>
      </c>
      <c r="AH1600" s="1" t="str">
        <f>IFERROR((AG1600*U1600*AI1600), "NA")</f>
        <v>NA</v>
      </c>
      <c r="AI1600" s="1">
        <v>1</v>
      </c>
      <c r="AJ1600" s="11" t="s">
        <v>31</v>
      </c>
      <c r="AK1600">
        <v>2000</v>
      </c>
      <c r="AL1600" t="s">
        <v>784</v>
      </c>
      <c r="AM1600" s="3" t="s">
        <v>103</v>
      </c>
      <c r="AN1600" t="s">
        <v>130</v>
      </c>
      <c r="AO1600" t="s">
        <v>795</v>
      </c>
      <c r="AP1600">
        <v>7</v>
      </c>
      <c r="AQ1600" t="s">
        <v>33</v>
      </c>
      <c r="AR1600" t="s">
        <v>33</v>
      </c>
      <c r="AS1600">
        <v>9</v>
      </c>
      <c r="AT1600">
        <f>AS1600-AU1600</f>
        <v>7.85</v>
      </c>
      <c r="AU1600" s="6">
        <v>1.1499999999999999</v>
      </c>
      <c r="AV1600" t="b">
        <v>1</v>
      </c>
      <c r="AW1600" t="s">
        <v>617</v>
      </c>
      <c r="AX1600" t="s">
        <v>635</v>
      </c>
      <c r="AY1600" t="s">
        <v>636</v>
      </c>
      <c r="AZ1600" t="s">
        <v>33</v>
      </c>
      <c r="BA1600" s="18" t="s">
        <v>802</v>
      </c>
      <c r="BB1600" s="3" t="b">
        <v>0</v>
      </c>
      <c r="BC1600" t="s">
        <v>81</v>
      </c>
      <c r="BD1600">
        <v>24</v>
      </c>
      <c r="BE1600" t="s">
        <v>80</v>
      </c>
      <c r="BF1600">
        <v>24</v>
      </c>
      <c r="BG1600" t="s">
        <v>644</v>
      </c>
      <c r="BH1600" t="s">
        <v>31</v>
      </c>
      <c r="BI1600" t="s">
        <v>31</v>
      </c>
      <c r="BJ1600">
        <f t="shared" si="772"/>
        <v>1.1499999999999999</v>
      </c>
      <c r="BK1600" s="3">
        <f t="shared" ref="BK1600:BK1663" si="786">LOG10(BJ1600)</f>
        <v>6.069784035361165E-2</v>
      </c>
      <c r="BL1600">
        <v>2</v>
      </c>
      <c r="BM1600" s="3">
        <f t="shared" si="784"/>
        <v>1.586042994958651</v>
      </c>
      <c r="BN1600" t="s">
        <v>33</v>
      </c>
      <c r="BO1600" s="3">
        <f t="shared" si="757"/>
        <v>38.551652173913034</v>
      </c>
      <c r="BP1600" t="s">
        <v>33</v>
      </c>
      <c r="BQ1600" t="s">
        <v>33</v>
      </c>
      <c r="BR1600" t="s">
        <v>33</v>
      </c>
      <c r="BS1600" t="s">
        <v>33</v>
      </c>
      <c r="BT1600" t="s">
        <v>31</v>
      </c>
      <c r="BU1600" t="s">
        <v>664</v>
      </c>
      <c r="BV1600">
        <v>2000</v>
      </c>
      <c r="BW1600" t="s">
        <v>665</v>
      </c>
      <c r="BX1600" t="s">
        <v>78</v>
      </c>
      <c r="BY1600" s="13" t="s">
        <v>685</v>
      </c>
      <c r="CA1600" t="str">
        <f t="shared" si="758"/>
        <v>low acid</v>
      </c>
    </row>
    <row r="1601" spans="1:79">
      <c r="A1601" t="s">
        <v>589</v>
      </c>
      <c r="B1601" t="s">
        <v>566</v>
      </c>
      <c r="C1601" t="s">
        <v>563</v>
      </c>
      <c r="D1601" t="s">
        <v>33</v>
      </c>
      <c r="E1601" t="s">
        <v>77</v>
      </c>
      <c r="F1601" t="s">
        <v>33</v>
      </c>
      <c r="G1601" t="s">
        <v>33</v>
      </c>
      <c r="H1601">
        <v>35</v>
      </c>
      <c r="I1601" t="b">
        <v>0</v>
      </c>
      <c r="J1601" t="s">
        <v>33</v>
      </c>
      <c r="K1601" t="s">
        <v>33</v>
      </c>
      <c r="L1601">
        <v>9</v>
      </c>
      <c r="M1601" s="4">
        <v>1</v>
      </c>
      <c r="N1601" t="e">
        <f>(#REF!*Y1601)/(T1601*X1601*O1601)</f>
        <v>#REF!</v>
      </c>
      <c r="O1601">
        <v>2</v>
      </c>
      <c r="P1601" t="s">
        <v>33</v>
      </c>
      <c r="Q1601" s="1">
        <f>IFERROR(X1601/Z1601, "NA")</f>
        <v>200.5</v>
      </c>
      <c r="R1601" t="s">
        <v>183</v>
      </c>
      <c r="S1601" t="s">
        <v>613</v>
      </c>
      <c r="T1601">
        <v>1</v>
      </c>
      <c r="U1601">
        <v>2.5</v>
      </c>
      <c r="V1601" t="s">
        <v>33</v>
      </c>
      <c r="W1601">
        <v>0.50249999999999995</v>
      </c>
      <c r="X1601">
        <f t="shared" si="783"/>
        <v>0.50249999999999995</v>
      </c>
      <c r="Y1601" t="s">
        <v>33</v>
      </c>
      <c r="Z1601" s="3">
        <f t="shared" si="782"/>
        <v>2.506234413965087E-3</v>
      </c>
      <c r="AA1601" t="s">
        <v>33</v>
      </c>
      <c r="AB1601">
        <f>IFERROR(((X1601*M1601)/Z1601), "NA")</f>
        <v>200.5</v>
      </c>
      <c r="AC1601" s="1" t="str">
        <f t="shared" si="785"/>
        <v>NA</v>
      </c>
      <c r="AE1601" s="3">
        <f t="shared" si="770"/>
        <v>64.962000000000003</v>
      </c>
      <c r="AF1601">
        <v>401</v>
      </c>
      <c r="AG1601" s="1" t="str">
        <f>IFERROR((N1601*P1601*Q1601), "NA")</f>
        <v>NA</v>
      </c>
      <c r="AH1601" s="1" t="str">
        <f>IFERROR((AG1601*U1601*AI1601), "NA")</f>
        <v>NA</v>
      </c>
      <c r="AI1601" s="1">
        <v>1</v>
      </c>
      <c r="AJ1601" s="11" t="s">
        <v>31</v>
      </c>
      <c r="AK1601">
        <v>2000</v>
      </c>
      <c r="AL1601" t="s">
        <v>616</v>
      </c>
      <c r="AM1601" s="3" t="s">
        <v>103</v>
      </c>
      <c r="AN1601" t="s">
        <v>130</v>
      </c>
      <c r="AO1601" t="s">
        <v>795</v>
      </c>
      <c r="AP1601">
        <v>7</v>
      </c>
      <c r="AQ1601" t="s">
        <v>33</v>
      </c>
      <c r="AR1601" t="s">
        <v>33</v>
      </c>
      <c r="AS1601">
        <v>9</v>
      </c>
      <c r="AT1601">
        <f>AS1601-AU1601</f>
        <v>7.86</v>
      </c>
      <c r="AU1601" s="6">
        <v>1.1399999999999999</v>
      </c>
      <c r="AV1601" t="b">
        <v>1</v>
      </c>
      <c r="AW1601" t="s">
        <v>617</v>
      </c>
      <c r="AX1601" t="s">
        <v>33</v>
      </c>
      <c r="AY1601" t="s">
        <v>629</v>
      </c>
      <c r="AZ1601" t="s">
        <v>630</v>
      </c>
      <c r="BA1601" s="18" t="s">
        <v>802</v>
      </c>
      <c r="BB1601" s="3" t="b">
        <v>0</v>
      </c>
      <c r="BC1601" t="s">
        <v>81</v>
      </c>
      <c r="BD1601">
        <v>24</v>
      </c>
      <c r="BE1601" t="s">
        <v>80</v>
      </c>
      <c r="BF1601">
        <v>24</v>
      </c>
      <c r="BG1601" t="s">
        <v>644</v>
      </c>
      <c r="BH1601" t="s">
        <v>31</v>
      </c>
      <c r="BI1601" t="s">
        <v>31</v>
      </c>
      <c r="BJ1601">
        <f t="shared" si="772"/>
        <v>1.1399999999999999</v>
      </c>
      <c r="BK1601" s="3">
        <f t="shared" si="786"/>
        <v>5.6904851336472557E-2</v>
      </c>
      <c r="BL1601">
        <v>2</v>
      </c>
      <c r="BM1601" s="3">
        <f t="shared" si="784"/>
        <v>1.7557545358263407</v>
      </c>
      <c r="BN1601" t="s">
        <v>33</v>
      </c>
      <c r="BO1601" s="3">
        <f t="shared" si="757"/>
        <v>56.984210526315799</v>
      </c>
      <c r="BP1601" t="s">
        <v>33</v>
      </c>
      <c r="BQ1601" t="s">
        <v>33</v>
      </c>
      <c r="BR1601" t="s">
        <v>33</v>
      </c>
      <c r="BS1601" t="s">
        <v>33</v>
      </c>
      <c r="BT1601" t="s">
        <v>31</v>
      </c>
      <c r="BU1601" s="15" t="s">
        <v>655</v>
      </c>
      <c r="BV1601">
        <v>2003</v>
      </c>
      <c r="BW1601" t="s">
        <v>656</v>
      </c>
      <c r="BX1601" t="s">
        <v>78</v>
      </c>
      <c r="BY1601" s="13" t="s">
        <v>677</v>
      </c>
      <c r="CA1601" t="str">
        <f t="shared" si="758"/>
        <v>low acid</v>
      </c>
    </row>
    <row r="1602" spans="1:79">
      <c r="A1602" t="s">
        <v>537</v>
      </c>
      <c r="B1602" t="s">
        <v>565</v>
      </c>
      <c r="C1602" t="s">
        <v>563</v>
      </c>
      <c r="D1602" t="s">
        <v>118</v>
      </c>
      <c r="E1602" t="s">
        <v>77</v>
      </c>
      <c r="F1602" t="s">
        <v>32</v>
      </c>
      <c r="G1602">
        <v>5</v>
      </c>
      <c r="H1602">
        <v>50</v>
      </c>
      <c r="I1602" t="b">
        <v>0</v>
      </c>
      <c r="J1602" t="s">
        <v>33</v>
      </c>
      <c r="K1602" t="s">
        <v>33</v>
      </c>
      <c r="L1602">
        <v>21</v>
      </c>
      <c r="M1602" s="4">
        <v>750</v>
      </c>
      <c r="N1602" s="3">
        <f>IFERROR(AF1602/((T1602*X1602/Y1602)*O1602*AI1602),"NA")</f>
        <v>746.96277313189933</v>
      </c>
      <c r="O1602">
        <v>2</v>
      </c>
      <c r="P1602" t="s">
        <v>33</v>
      </c>
      <c r="Q1602">
        <f>IFERROR(X1602/Z1602, "NA")</f>
        <v>1.2E-2</v>
      </c>
      <c r="R1602" t="s">
        <v>183</v>
      </c>
      <c r="S1602" t="s">
        <v>613</v>
      </c>
      <c r="T1602" s="11">
        <v>6</v>
      </c>
      <c r="U1602">
        <v>2.9</v>
      </c>
      <c r="V1602">
        <v>2.2999999999999998</v>
      </c>
      <c r="W1602" t="s">
        <v>33</v>
      </c>
      <c r="X1602" s="8">
        <f>IFERROR(((PI())*(((V1602*10^-1)/2)^2)*(U1602*10^-1)), "NA")</f>
        <v>1.204879322468025E-2</v>
      </c>
      <c r="Y1602" s="6">
        <f>60/60</f>
        <v>1</v>
      </c>
      <c r="Z1602" s="3">
        <f t="shared" si="782"/>
        <v>1.0040661020566874</v>
      </c>
      <c r="AA1602" t="s">
        <v>33</v>
      </c>
      <c r="AB1602" s="6">
        <f>IFERROR(((X1602*M1602)/Z1602), "NA")</f>
        <v>9</v>
      </c>
      <c r="AC1602" t="str">
        <f t="shared" si="785"/>
        <v>NA</v>
      </c>
      <c r="AD1602" s="4">
        <f>IFERROR(AB1602*T1602*AI1602, "NA")</f>
        <v>54</v>
      </c>
      <c r="AE1602" s="3">
        <f t="shared" si="770"/>
        <v>76.585824000000002</v>
      </c>
      <c r="AF1602">
        <v>108</v>
      </c>
      <c r="AG1602" t="str">
        <f>IFERROR((M1602*O1602*P1602), "NA")</f>
        <v>NA</v>
      </c>
      <c r="AH1602" t="str">
        <f>IFERROR((AG1602*T1602*AI1602), "NA")</f>
        <v>NA</v>
      </c>
      <c r="AI1602" s="11">
        <v>1</v>
      </c>
      <c r="AJ1602" t="s">
        <v>31</v>
      </c>
      <c r="AK1602">
        <v>1608</v>
      </c>
      <c r="AL1602" t="s">
        <v>492</v>
      </c>
      <c r="AM1602" t="s">
        <v>103</v>
      </c>
      <c r="AN1602" t="s">
        <v>305</v>
      </c>
      <c r="AO1602" t="s">
        <v>790</v>
      </c>
      <c r="AP1602">
        <v>3.41</v>
      </c>
      <c r="AQ1602" t="s">
        <v>33</v>
      </c>
      <c r="AR1602" t="s">
        <v>33</v>
      </c>
      <c r="AS1602" s="3">
        <v>9</v>
      </c>
      <c r="AT1602" s="3">
        <f>IFERROR(AS1602-AU1602,"NA")</f>
        <v>7.87</v>
      </c>
      <c r="AU1602" s="6">
        <v>1.1299999999999999</v>
      </c>
      <c r="AV1602" t="b">
        <v>1</v>
      </c>
      <c r="AW1602" t="s">
        <v>29</v>
      </c>
      <c r="AX1602" t="s">
        <v>30</v>
      </c>
      <c r="AY1602" t="s">
        <v>33</v>
      </c>
      <c r="AZ1602" t="s">
        <v>134</v>
      </c>
      <c r="BA1602" s="18" t="s">
        <v>798</v>
      </c>
      <c r="BB1602" t="b">
        <v>0</v>
      </c>
      <c r="BC1602" t="s">
        <v>81</v>
      </c>
      <c r="BD1602">
        <f>18</f>
        <v>18</v>
      </c>
      <c r="BE1602" t="s">
        <v>80</v>
      </c>
      <c r="BF1602" s="11">
        <v>24</v>
      </c>
      <c r="BG1602" t="s">
        <v>262</v>
      </c>
      <c r="BH1602" t="s">
        <v>31</v>
      </c>
      <c r="BI1602" t="s">
        <v>31</v>
      </c>
      <c r="BJ1602" s="3">
        <f t="shared" si="772"/>
        <v>1.1299999999999999</v>
      </c>
      <c r="BK1602" s="3">
        <f t="shared" si="786"/>
        <v>5.3078443483419682E-2</v>
      </c>
      <c r="BL1602">
        <v>2</v>
      </c>
      <c r="BM1602" s="3">
        <f t="shared" si="784"/>
        <v>1.8310699458838009</v>
      </c>
      <c r="BN1602" t="s">
        <v>33</v>
      </c>
      <c r="BO1602" s="3">
        <f t="shared" ref="BO1602:BO1665" si="787">IFERROR((AE1602/BJ1602),"NA")</f>
        <v>67.775065486725666</v>
      </c>
      <c r="BP1602" t="s">
        <v>33</v>
      </c>
      <c r="BQ1602" t="s">
        <v>33</v>
      </c>
      <c r="BR1602" t="s">
        <v>33</v>
      </c>
      <c r="BS1602" t="s">
        <v>33</v>
      </c>
      <c r="BT1602" t="s">
        <v>31</v>
      </c>
      <c r="BU1602" t="s">
        <v>190</v>
      </c>
      <c r="BV1602">
        <v>2021</v>
      </c>
      <c r="BW1602" s="5" t="s">
        <v>191</v>
      </c>
      <c r="BX1602" t="s">
        <v>78</v>
      </c>
      <c r="BY1602" t="s">
        <v>33</v>
      </c>
      <c r="BZ1602" t="s">
        <v>150</v>
      </c>
      <c r="CA1602" t="str">
        <f t="shared" si="758"/>
        <v>high acid</v>
      </c>
    </row>
    <row r="1603" spans="1:79">
      <c r="A1603" t="s">
        <v>712</v>
      </c>
      <c r="B1603" t="s">
        <v>566</v>
      </c>
      <c r="C1603" t="s">
        <v>563</v>
      </c>
      <c r="D1603" t="s">
        <v>699</v>
      </c>
      <c r="E1603" t="s">
        <v>77</v>
      </c>
      <c r="F1603" t="s">
        <v>32</v>
      </c>
      <c r="G1603">
        <v>20</v>
      </c>
      <c r="H1603">
        <v>42.5</v>
      </c>
      <c r="I1603" t="b">
        <v>1</v>
      </c>
      <c r="J1603" t="s">
        <v>33</v>
      </c>
      <c r="K1603" t="s">
        <v>33</v>
      </c>
      <c r="L1603">
        <v>20</v>
      </c>
      <c r="M1603" s="4">
        <v>47</v>
      </c>
      <c r="N1603" s="3">
        <f>IFERROR(AF1603/((T1603*X1603/Y1603)*O1603*AI1603),"NA")</f>
        <v>46.759259259259245</v>
      </c>
      <c r="O1603">
        <v>5</v>
      </c>
      <c r="P1603">
        <v>0.43</v>
      </c>
      <c r="Q1603" s="8">
        <f>IFERROR(X1603/Y1603, "NA")</f>
        <v>0.43200000000000011</v>
      </c>
      <c r="R1603" t="s">
        <v>183</v>
      </c>
      <c r="S1603" t="s">
        <v>612</v>
      </c>
      <c r="T1603" s="11">
        <v>1</v>
      </c>
      <c r="U1603">
        <v>4</v>
      </c>
      <c r="V1603" t="s">
        <v>33</v>
      </c>
      <c r="W1603">
        <f>0.4*3*0.5</f>
        <v>0.60000000000000009</v>
      </c>
      <c r="X1603" s="9">
        <f t="shared" ref="X1603:X1612" si="788">W1603</f>
        <v>0.60000000000000009</v>
      </c>
      <c r="Y1603" s="6">
        <f>5000/3600</f>
        <v>1.3888888888888888</v>
      </c>
      <c r="Z1603" s="3">
        <f t="shared" si="782"/>
        <v>1.3960396039603959</v>
      </c>
      <c r="AA1603" t="s">
        <v>33</v>
      </c>
      <c r="AB1603" s="4">
        <f>IFERROR(((X1603*M1603)/Y1603), "NA")</f>
        <v>20.304000000000002</v>
      </c>
      <c r="AC1603" s="4">
        <f t="shared" si="785"/>
        <v>20.21</v>
      </c>
      <c r="AD1603" s="4">
        <f>AB1603*T1603*AI1603</f>
        <v>20.304000000000002</v>
      </c>
      <c r="AE1603" s="3">
        <f t="shared" si="770"/>
        <v>81.216000000000022</v>
      </c>
      <c r="AF1603">
        <v>101</v>
      </c>
      <c r="AG1603" s="4">
        <f>IFERROR((M1603*O1603*P1603), "NA")</f>
        <v>101.05</v>
      </c>
      <c r="AH1603" s="4">
        <f>IFERROR((AG1603*T1603*AI1603), "NA")</f>
        <v>101.05</v>
      </c>
      <c r="AI1603">
        <v>1</v>
      </c>
      <c r="AJ1603" s="11" t="s">
        <v>31</v>
      </c>
      <c r="AK1603">
        <v>2000</v>
      </c>
      <c r="AL1603" t="s">
        <v>784</v>
      </c>
      <c r="AM1603" t="s">
        <v>103</v>
      </c>
      <c r="AN1603" t="s">
        <v>130</v>
      </c>
      <c r="AO1603" t="s">
        <v>795</v>
      </c>
      <c r="AP1603">
        <v>7</v>
      </c>
      <c r="AQ1603" t="s">
        <v>33</v>
      </c>
      <c r="AR1603" t="s">
        <v>33</v>
      </c>
      <c r="AS1603" s="6">
        <f>LOG(AVERAGE(10^8, 10^9))</f>
        <v>8.7403626894942441</v>
      </c>
      <c r="AT1603" s="3">
        <f>IFERROR(AS1603-AU1603,"NA")</f>
        <v>7.8763626894942442</v>
      </c>
      <c r="AU1603" s="6">
        <v>0.86399999999999999</v>
      </c>
      <c r="AV1603" t="b">
        <v>1</v>
      </c>
      <c r="AW1603" t="s">
        <v>92</v>
      </c>
      <c r="AX1603" t="s">
        <v>93</v>
      </c>
      <c r="AY1603" t="s">
        <v>719</v>
      </c>
      <c r="AZ1603" t="s">
        <v>33</v>
      </c>
      <c r="BA1603" s="18" t="s">
        <v>801</v>
      </c>
      <c r="BB1603" s="3" t="b">
        <v>0</v>
      </c>
      <c r="BC1603" t="s">
        <v>81</v>
      </c>
      <c r="BD1603">
        <v>24</v>
      </c>
      <c r="BE1603" t="s">
        <v>80</v>
      </c>
      <c r="BF1603">
        <v>24</v>
      </c>
      <c r="BG1603" t="s">
        <v>568</v>
      </c>
      <c r="BH1603" t="s">
        <v>31</v>
      </c>
      <c r="BI1603" t="s">
        <v>31</v>
      </c>
      <c r="BJ1603" s="3">
        <f t="shared" si="772"/>
        <v>0.86399999999999999</v>
      </c>
      <c r="BK1603" s="3">
        <f t="shared" si="786"/>
        <v>-6.3486257521106718E-2</v>
      </c>
      <c r="BL1603">
        <v>2</v>
      </c>
      <c r="BM1603" s="3">
        <f t="shared" si="784"/>
        <v>1.9731278535996988</v>
      </c>
      <c r="BN1603" t="s">
        <v>33</v>
      </c>
      <c r="BO1603" s="3">
        <f t="shared" si="787"/>
        <v>94.000000000000028</v>
      </c>
      <c r="BP1603" t="s">
        <v>33</v>
      </c>
      <c r="BQ1603" t="s">
        <v>33</v>
      </c>
      <c r="BR1603" t="s">
        <v>33</v>
      </c>
      <c r="BS1603" t="s">
        <v>33</v>
      </c>
      <c r="BT1603" t="s">
        <v>32</v>
      </c>
      <c r="BU1603" t="s">
        <v>709</v>
      </c>
      <c r="BV1603">
        <v>2024</v>
      </c>
      <c r="BW1603" t="s">
        <v>710</v>
      </c>
      <c r="BX1603" t="s">
        <v>78</v>
      </c>
      <c r="BY1603" t="s">
        <v>711</v>
      </c>
      <c r="CA1603" t="str">
        <f t="shared" ref="CA1603:CA1666" si="789">IF(OR(AN1603="low acidic liquid medium", AN1603="low acidic food product"), "low acid",
    IF(OR(AN1603="high acidic food product", AN1603="high acidic liquid medium"), "high acid", "NA"))</f>
        <v>low acid</v>
      </c>
    </row>
    <row r="1604" spans="1:79">
      <c r="A1604" t="s">
        <v>712</v>
      </c>
      <c r="B1604" t="s">
        <v>566</v>
      </c>
      <c r="C1604" t="s">
        <v>563</v>
      </c>
      <c r="D1604" t="s">
        <v>699</v>
      </c>
      <c r="E1604" t="s">
        <v>77</v>
      </c>
      <c r="F1604" t="s">
        <v>32</v>
      </c>
      <c r="G1604">
        <v>20</v>
      </c>
      <c r="H1604">
        <v>42.5</v>
      </c>
      <c r="I1604" t="b">
        <v>1</v>
      </c>
      <c r="J1604" t="s">
        <v>33</v>
      </c>
      <c r="K1604" t="s">
        <v>33</v>
      </c>
      <c r="L1604">
        <v>20</v>
      </c>
      <c r="M1604" s="4">
        <v>47</v>
      </c>
      <c r="N1604" s="3">
        <f>IFERROR(AF1604/((T1604*X1604/Y1604)*O1604*AI1604),"NA")</f>
        <v>46.759259259259245</v>
      </c>
      <c r="O1604">
        <v>5</v>
      </c>
      <c r="P1604">
        <v>0.43</v>
      </c>
      <c r="Q1604" s="8">
        <f>IFERROR(X1604/Y1604, "NA")</f>
        <v>0.43200000000000011</v>
      </c>
      <c r="R1604" t="s">
        <v>183</v>
      </c>
      <c r="S1604" t="s">
        <v>612</v>
      </c>
      <c r="T1604" s="11">
        <v>1</v>
      </c>
      <c r="U1604">
        <v>4</v>
      </c>
      <c r="V1604" t="s">
        <v>33</v>
      </c>
      <c r="W1604">
        <f>0.4*3*0.5</f>
        <v>0.60000000000000009</v>
      </c>
      <c r="X1604" s="9">
        <f t="shared" si="788"/>
        <v>0.60000000000000009</v>
      </c>
      <c r="Y1604" s="6">
        <f>5000/3600</f>
        <v>1.3888888888888888</v>
      </c>
      <c r="Z1604" s="3">
        <f t="shared" si="782"/>
        <v>1.3960396039603959</v>
      </c>
      <c r="AA1604" t="s">
        <v>33</v>
      </c>
      <c r="AB1604" s="4">
        <f>IFERROR(((X1604*M1604)/Y1604), "NA")</f>
        <v>20.304000000000002</v>
      </c>
      <c r="AC1604" s="4">
        <f t="shared" si="785"/>
        <v>20.21</v>
      </c>
      <c r="AD1604" s="4">
        <f>AB1604*T1604*AI1604</f>
        <v>20.304000000000002</v>
      </c>
      <c r="AE1604" s="3">
        <f t="shared" si="770"/>
        <v>81.216000000000022</v>
      </c>
      <c r="AF1604">
        <v>101</v>
      </c>
      <c r="AG1604" s="4">
        <f>IFERROR((M1604*O1604*P1604), "NA")</f>
        <v>101.05</v>
      </c>
      <c r="AH1604" s="4">
        <f>IFERROR((AG1604*T1604*AI1604), "NA")</f>
        <v>101.05</v>
      </c>
      <c r="AI1604">
        <v>1</v>
      </c>
      <c r="AJ1604" s="11" t="s">
        <v>31</v>
      </c>
      <c r="AK1604">
        <v>2000</v>
      </c>
      <c r="AL1604" t="s">
        <v>784</v>
      </c>
      <c r="AM1604" t="s">
        <v>103</v>
      </c>
      <c r="AN1604" t="s">
        <v>130</v>
      </c>
      <c r="AO1604" t="s">
        <v>795</v>
      </c>
      <c r="AP1604">
        <v>7</v>
      </c>
      <c r="AQ1604" t="s">
        <v>33</v>
      </c>
      <c r="AR1604" t="s">
        <v>33</v>
      </c>
      <c r="AS1604" s="6">
        <f>LOG(AVERAGE(10^8, 10^9))</f>
        <v>8.7403626894942441</v>
      </c>
      <c r="AT1604" s="3">
        <f>IFERROR(AS1604-AU1604,"NA")</f>
        <v>7.9213626894942442</v>
      </c>
      <c r="AU1604" s="6">
        <v>0.81899999999999995</v>
      </c>
      <c r="AV1604" t="b">
        <v>1</v>
      </c>
      <c r="AW1604" t="s">
        <v>92</v>
      </c>
      <c r="AX1604" t="s">
        <v>93</v>
      </c>
      <c r="AY1604" t="s">
        <v>718</v>
      </c>
      <c r="AZ1604" t="s">
        <v>33</v>
      </c>
      <c r="BA1604" s="18" t="s">
        <v>801</v>
      </c>
      <c r="BB1604" s="3" t="b">
        <v>0</v>
      </c>
      <c r="BC1604" t="s">
        <v>81</v>
      </c>
      <c r="BD1604">
        <v>24</v>
      </c>
      <c r="BE1604" t="s">
        <v>80</v>
      </c>
      <c r="BF1604">
        <v>24</v>
      </c>
      <c r="BG1604" t="s">
        <v>568</v>
      </c>
      <c r="BH1604" t="s">
        <v>31</v>
      </c>
      <c r="BI1604" t="s">
        <v>31</v>
      </c>
      <c r="BJ1604" s="3">
        <f t="shared" si="772"/>
        <v>0.81899999999999995</v>
      </c>
      <c r="BK1604" s="3">
        <f t="shared" si="786"/>
        <v>-8.6716098239581554E-2</v>
      </c>
      <c r="BL1604">
        <v>2</v>
      </c>
      <c r="BM1604" s="3">
        <f t="shared" si="784"/>
        <v>1.9963576943181736</v>
      </c>
      <c r="BN1604" t="s">
        <v>33</v>
      </c>
      <c r="BO1604" s="3">
        <f t="shared" si="787"/>
        <v>99.164835164835196</v>
      </c>
      <c r="BP1604" t="s">
        <v>33</v>
      </c>
      <c r="BQ1604" t="s">
        <v>33</v>
      </c>
      <c r="BR1604" t="s">
        <v>33</v>
      </c>
      <c r="BS1604" t="s">
        <v>33</v>
      </c>
      <c r="BT1604" t="s">
        <v>32</v>
      </c>
      <c r="BU1604" t="s">
        <v>709</v>
      </c>
      <c r="BV1604">
        <v>2024</v>
      </c>
      <c r="BW1604" t="s">
        <v>710</v>
      </c>
      <c r="BX1604" t="s">
        <v>78</v>
      </c>
      <c r="BY1604" t="s">
        <v>711</v>
      </c>
      <c r="CA1604" t="str">
        <f t="shared" si="789"/>
        <v>low acid</v>
      </c>
    </row>
    <row r="1605" spans="1:79">
      <c r="A1605" t="s">
        <v>589</v>
      </c>
      <c r="B1605" t="s">
        <v>566</v>
      </c>
      <c r="C1605" t="s">
        <v>563</v>
      </c>
      <c r="D1605" t="s">
        <v>33</v>
      </c>
      <c r="E1605" t="s">
        <v>77</v>
      </c>
      <c r="F1605" t="s">
        <v>33</v>
      </c>
      <c r="G1605" t="s">
        <v>33</v>
      </c>
      <c r="H1605">
        <v>35</v>
      </c>
      <c r="I1605" t="b">
        <v>0</v>
      </c>
      <c r="J1605" t="s">
        <v>33</v>
      </c>
      <c r="K1605" t="s">
        <v>33</v>
      </c>
      <c r="L1605">
        <v>9</v>
      </c>
      <c r="M1605" s="4">
        <v>1</v>
      </c>
      <c r="N1605" t="e">
        <f>(#REF!*Y1605)/(T1605*X1605*O1605)</f>
        <v>#REF!</v>
      </c>
      <c r="O1605">
        <v>2</v>
      </c>
      <c r="P1605" t="s">
        <v>33</v>
      </c>
      <c r="Q1605" s="1">
        <f>IFERROR(X1605/Z1605, "NA")</f>
        <v>98.75</v>
      </c>
      <c r="R1605" t="s">
        <v>183</v>
      </c>
      <c r="S1605" t="s">
        <v>613</v>
      </c>
      <c r="T1605">
        <v>1</v>
      </c>
      <c r="U1605">
        <v>2.5</v>
      </c>
      <c r="V1605" t="s">
        <v>33</v>
      </c>
      <c r="W1605">
        <v>0.50249999999999995</v>
      </c>
      <c r="X1605">
        <f t="shared" si="788"/>
        <v>0.50249999999999995</v>
      </c>
      <c r="Y1605" t="s">
        <v>33</v>
      </c>
      <c r="Z1605" s="3">
        <f t="shared" si="782"/>
        <v>5.0886075949367086E-3</v>
      </c>
      <c r="AA1605" t="s">
        <v>33</v>
      </c>
      <c r="AB1605">
        <f>IFERROR(((X1605*M1605)/Z1605), "NA")</f>
        <v>98.75</v>
      </c>
      <c r="AC1605" s="1" t="str">
        <f t="shared" si="785"/>
        <v>NA</v>
      </c>
      <c r="AE1605" s="3">
        <f t="shared" si="770"/>
        <v>31.995000000000001</v>
      </c>
      <c r="AF1605">
        <v>197.5</v>
      </c>
      <c r="AG1605" s="1" t="str">
        <f>IFERROR((N1605*P1605*Q1605), "NA")</f>
        <v>NA</v>
      </c>
      <c r="AH1605" s="1" t="str">
        <f>IFERROR((AG1605*U1605*AI1605), "NA")</f>
        <v>NA</v>
      </c>
      <c r="AI1605" s="1">
        <v>1</v>
      </c>
      <c r="AJ1605" s="11" t="s">
        <v>31</v>
      </c>
      <c r="AK1605">
        <v>2000</v>
      </c>
      <c r="AL1605" t="s">
        <v>616</v>
      </c>
      <c r="AM1605" s="3" t="s">
        <v>103</v>
      </c>
      <c r="AN1605" t="s">
        <v>130</v>
      </c>
      <c r="AO1605" t="s">
        <v>795</v>
      </c>
      <c r="AP1605">
        <v>7</v>
      </c>
      <c r="AQ1605" t="s">
        <v>33</v>
      </c>
      <c r="AR1605" t="s">
        <v>33</v>
      </c>
      <c r="AS1605">
        <v>9</v>
      </c>
      <c r="AT1605">
        <f>AS1605-AU1605</f>
        <v>7.93</v>
      </c>
      <c r="AU1605" s="6">
        <v>1.07</v>
      </c>
      <c r="AV1605" t="b">
        <v>1</v>
      </c>
      <c r="AW1605" t="s">
        <v>617</v>
      </c>
      <c r="AX1605" t="s">
        <v>33</v>
      </c>
      <c r="AY1605" t="s">
        <v>629</v>
      </c>
      <c r="AZ1605" t="s">
        <v>630</v>
      </c>
      <c r="BA1605" s="18" t="s">
        <v>802</v>
      </c>
      <c r="BB1605" s="3" t="b">
        <v>0</v>
      </c>
      <c r="BC1605" t="s">
        <v>81</v>
      </c>
      <c r="BD1605">
        <v>24</v>
      </c>
      <c r="BE1605" t="s">
        <v>80</v>
      </c>
      <c r="BF1605">
        <v>24</v>
      </c>
      <c r="BG1605" t="s">
        <v>644</v>
      </c>
      <c r="BH1605" t="s">
        <v>31</v>
      </c>
      <c r="BI1605" t="s">
        <v>31</v>
      </c>
      <c r="BJ1605">
        <f t="shared" si="772"/>
        <v>1.07</v>
      </c>
      <c r="BK1605" s="3">
        <f t="shared" si="786"/>
        <v>2.9383777685209667E-2</v>
      </c>
      <c r="BL1605">
        <v>2</v>
      </c>
      <c r="BM1605" s="3">
        <f t="shared" si="784"/>
        <v>1.4756983368199004</v>
      </c>
      <c r="BN1605" t="s">
        <v>33</v>
      </c>
      <c r="BO1605" s="3">
        <f t="shared" si="787"/>
        <v>29.901869158878505</v>
      </c>
      <c r="BP1605" t="s">
        <v>33</v>
      </c>
      <c r="BQ1605" t="s">
        <v>33</v>
      </c>
      <c r="BR1605" t="s">
        <v>33</v>
      </c>
      <c r="BS1605" t="s">
        <v>33</v>
      </c>
      <c r="BT1605" t="s">
        <v>31</v>
      </c>
      <c r="BU1605" s="15" t="s">
        <v>655</v>
      </c>
      <c r="BV1605">
        <v>2003</v>
      </c>
      <c r="BW1605" t="s">
        <v>656</v>
      </c>
      <c r="BX1605" t="s">
        <v>78</v>
      </c>
      <c r="BY1605" s="13" t="s">
        <v>677</v>
      </c>
      <c r="CA1605" t="str">
        <f t="shared" si="789"/>
        <v>low acid</v>
      </c>
    </row>
    <row r="1606" spans="1:79">
      <c r="A1606" t="s">
        <v>597</v>
      </c>
      <c r="B1606" t="s">
        <v>565</v>
      </c>
      <c r="C1606" t="s">
        <v>563</v>
      </c>
      <c r="D1606" t="s">
        <v>33</v>
      </c>
      <c r="E1606" t="s">
        <v>77</v>
      </c>
      <c r="F1606" t="s">
        <v>33</v>
      </c>
      <c r="G1606">
        <v>20</v>
      </c>
      <c r="H1606">
        <v>35</v>
      </c>
      <c r="I1606" t="b">
        <v>0</v>
      </c>
      <c r="J1606" t="s">
        <v>33</v>
      </c>
      <c r="K1606" t="s">
        <v>33</v>
      </c>
      <c r="L1606">
        <v>22</v>
      </c>
      <c r="M1606" s="4">
        <v>5</v>
      </c>
      <c r="N1606" t="e">
        <f>(#REF!*Y1606)/(T1606*X1606*O1606)</f>
        <v>#REF!</v>
      </c>
      <c r="O1606">
        <v>2</v>
      </c>
      <c r="P1606" t="s">
        <v>33</v>
      </c>
      <c r="Q1606" s="1">
        <f>IFERROR(X1606/Z1606, "NA")</f>
        <v>2.4079999999999999</v>
      </c>
      <c r="R1606" t="s">
        <v>183</v>
      </c>
      <c r="S1606" t="s">
        <v>33</v>
      </c>
      <c r="T1606">
        <v>1</v>
      </c>
      <c r="U1606">
        <v>2.5</v>
      </c>
      <c r="V1606" t="s">
        <v>33</v>
      </c>
      <c r="W1606">
        <v>0.50249999999999995</v>
      </c>
      <c r="X1606">
        <f t="shared" si="788"/>
        <v>0.50249999999999995</v>
      </c>
      <c r="Y1606" t="s">
        <v>33</v>
      </c>
      <c r="Z1606" s="3">
        <f t="shared" si="782"/>
        <v>0.20867940199335547</v>
      </c>
      <c r="AA1606" t="s">
        <v>33</v>
      </c>
      <c r="AB1606">
        <f>IFERROR(((X1606*M1606)/Z1606), "NA")</f>
        <v>12.04</v>
      </c>
      <c r="AC1606" s="1" t="str">
        <f t="shared" si="785"/>
        <v>NA</v>
      </c>
      <c r="AE1606" s="3">
        <f t="shared" si="770"/>
        <v>23.309439999999999</v>
      </c>
      <c r="AF1606">
        <v>24.08</v>
      </c>
      <c r="AG1606" s="1" t="str">
        <f>IFERROR((N1606*P1606*Q1606), "NA")</f>
        <v>NA</v>
      </c>
      <c r="AH1606" s="1" t="str">
        <f>IFERROR((AG1606*U1606*AI1606), "NA")</f>
        <v>NA</v>
      </c>
      <c r="AI1606" s="1">
        <v>1</v>
      </c>
      <c r="AJ1606" s="11" t="s">
        <v>31</v>
      </c>
      <c r="AK1606">
        <v>2000</v>
      </c>
      <c r="AL1606" t="s">
        <v>784</v>
      </c>
      <c r="AM1606" s="3" t="s">
        <v>103</v>
      </c>
      <c r="AN1606" t="s">
        <v>130</v>
      </c>
      <c r="AO1606" t="s">
        <v>795</v>
      </c>
      <c r="AP1606">
        <v>7</v>
      </c>
      <c r="AQ1606" t="s">
        <v>33</v>
      </c>
      <c r="AR1606" t="s">
        <v>33</v>
      </c>
      <c r="AS1606">
        <v>9</v>
      </c>
      <c r="AT1606">
        <f>AS1606-AU1606</f>
        <v>7.93</v>
      </c>
      <c r="AU1606" s="6">
        <v>1.07</v>
      </c>
      <c r="AV1606" t="b">
        <v>1</v>
      </c>
      <c r="AW1606" t="s">
        <v>617</v>
      </c>
      <c r="AX1606" t="s">
        <v>635</v>
      </c>
      <c r="AY1606" t="s">
        <v>636</v>
      </c>
      <c r="AZ1606" t="s">
        <v>33</v>
      </c>
      <c r="BA1606" s="18" t="s">
        <v>802</v>
      </c>
      <c r="BB1606" s="3" t="b">
        <v>0</v>
      </c>
      <c r="BC1606" t="s">
        <v>81</v>
      </c>
      <c r="BD1606">
        <v>24</v>
      </c>
      <c r="BE1606" t="s">
        <v>80</v>
      </c>
      <c r="BF1606">
        <v>24</v>
      </c>
      <c r="BG1606" t="s">
        <v>644</v>
      </c>
      <c r="BH1606" t="s">
        <v>31</v>
      </c>
      <c r="BI1606" t="s">
        <v>31</v>
      </c>
      <c r="BJ1606">
        <f t="shared" si="772"/>
        <v>1.07</v>
      </c>
      <c r="BK1606" s="3">
        <f t="shared" si="786"/>
        <v>2.9383777685209667E-2</v>
      </c>
      <c r="BL1606">
        <v>2</v>
      </c>
      <c r="BM1606" s="3">
        <f t="shared" si="784"/>
        <v>1.338148062208971</v>
      </c>
      <c r="BN1606" t="s">
        <v>33</v>
      </c>
      <c r="BO1606" s="3">
        <f t="shared" si="787"/>
        <v>21.784523364485977</v>
      </c>
      <c r="BP1606" t="s">
        <v>33</v>
      </c>
      <c r="BQ1606" t="s">
        <v>33</v>
      </c>
      <c r="BR1606" t="s">
        <v>33</v>
      </c>
      <c r="BS1606" t="s">
        <v>33</v>
      </c>
      <c r="BT1606" t="s">
        <v>31</v>
      </c>
      <c r="BU1606" t="s">
        <v>664</v>
      </c>
      <c r="BV1606">
        <v>2000</v>
      </c>
      <c r="BW1606" t="s">
        <v>665</v>
      </c>
      <c r="BX1606" t="s">
        <v>78</v>
      </c>
      <c r="BY1606" s="13" t="s">
        <v>685</v>
      </c>
      <c r="CA1606" t="str">
        <f t="shared" si="789"/>
        <v>low acid</v>
      </c>
    </row>
    <row r="1607" spans="1:79">
      <c r="A1607" t="s">
        <v>712</v>
      </c>
      <c r="B1607" t="s">
        <v>566</v>
      </c>
      <c r="C1607" t="s">
        <v>563</v>
      </c>
      <c r="D1607" t="s">
        <v>699</v>
      </c>
      <c r="E1607" t="s">
        <v>77</v>
      </c>
      <c r="F1607" t="s">
        <v>32</v>
      </c>
      <c r="G1607">
        <v>20</v>
      </c>
      <c r="H1607">
        <v>42.5</v>
      </c>
      <c r="I1607" t="b">
        <v>1</v>
      </c>
      <c r="J1607" t="s">
        <v>33</v>
      </c>
      <c r="K1607" t="s">
        <v>33</v>
      </c>
      <c r="L1607">
        <v>20</v>
      </c>
      <c r="M1607" s="4">
        <v>47</v>
      </c>
      <c r="N1607" s="3">
        <f>IFERROR(AF1607/((T1607*X1607/Y1607)*O1607*AI1607),"NA")</f>
        <v>46.759259259259245</v>
      </c>
      <c r="O1607">
        <v>5</v>
      </c>
      <c r="P1607">
        <v>0.43</v>
      </c>
      <c r="Q1607" s="8">
        <f>IFERROR(X1607/Y1607, "NA")</f>
        <v>0.43200000000000011</v>
      </c>
      <c r="R1607" t="s">
        <v>183</v>
      </c>
      <c r="S1607" t="s">
        <v>612</v>
      </c>
      <c r="T1607" s="11">
        <v>1</v>
      </c>
      <c r="U1607">
        <v>4</v>
      </c>
      <c r="V1607" t="s">
        <v>33</v>
      </c>
      <c r="W1607">
        <f>0.4*3*0.5</f>
        <v>0.60000000000000009</v>
      </c>
      <c r="X1607" s="9">
        <f t="shared" si="788"/>
        <v>0.60000000000000009</v>
      </c>
      <c r="Y1607" s="6">
        <f>5000/3600</f>
        <v>1.3888888888888888</v>
      </c>
      <c r="Z1607" s="3">
        <f t="shared" si="782"/>
        <v>1.3960396039603959</v>
      </c>
      <c r="AA1607" t="s">
        <v>33</v>
      </c>
      <c r="AB1607" s="4">
        <f>IFERROR(((X1607*M1607)/Y1607), "NA")</f>
        <v>20.304000000000002</v>
      </c>
      <c r="AC1607" s="4">
        <f t="shared" si="785"/>
        <v>20.21</v>
      </c>
      <c r="AD1607" s="4">
        <f>AB1607*T1607*AI1607</f>
        <v>20.304000000000002</v>
      </c>
      <c r="AE1607" s="3">
        <f t="shared" si="770"/>
        <v>81.216000000000022</v>
      </c>
      <c r="AF1607">
        <v>101</v>
      </c>
      <c r="AG1607" s="4">
        <f>IFERROR((M1607*O1607*P1607), "NA")</f>
        <v>101.05</v>
      </c>
      <c r="AH1607" s="4">
        <f>IFERROR((AG1607*T1607*AI1607), "NA")</f>
        <v>101.05</v>
      </c>
      <c r="AI1607">
        <v>1</v>
      </c>
      <c r="AJ1607" s="11" t="s">
        <v>31</v>
      </c>
      <c r="AK1607">
        <v>2000</v>
      </c>
      <c r="AL1607" t="s">
        <v>784</v>
      </c>
      <c r="AM1607" t="s">
        <v>103</v>
      </c>
      <c r="AN1607" t="s">
        <v>130</v>
      </c>
      <c r="AO1607" t="s">
        <v>795</v>
      </c>
      <c r="AP1607">
        <v>7</v>
      </c>
      <c r="AQ1607" t="s">
        <v>33</v>
      </c>
      <c r="AR1607" t="s">
        <v>33</v>
      </c>
      <c r="AS1607" s="6">
        <f>LOG(AVERAGE(10^8, 10^9))</f>
        <v>8.7403626894942441</v>
      </c>
      <c r="AT1607" s="3">
        <f>IFERROR(AS1607-AU1607,"NA")</f>
        <v>7.939362689494244</v>
      </c>
      <c r="AU1607" s="6">
        <v>0.80100000000000005</v>
      </c>
      <c r="AV1607" t="b">
        <v>1</v>
      </c>
      <c r="AW1607" t="s">
        <v>92</v>
      </c>
      <c r="AX1607" t="s">
        <v>93</v>
      </c>
      <c r="AY1607" t="s">
        <v>94</v>
      </c>
      <c r="AZ1607" t="s">
        <v>33</v>
      </c>
      <c r="BA1607" s="18" t="s">
        <v>801</v>
      </c>
      <c r="BB1607" s="3" t="b">
        <v>0</v>
      </c>
      <c r="BC1607" t="s">
        <v>81</v>
      </c>
      <c r="BD1607">
        <v>24</v>
      </c>
      <c r="BE1607" t="s">
        <v>80</v>
      </c>
      <c r="BF1607">
        <v>24</v>
      </c>
      <c r="BG1607" t="s">
        <v>568</v>
      </c>
      <c r="BH1607" t="s">
        <v>31</v>
      </c>
      <c r="BI1607" t="s">
        <v>31</v>
      </c>
      <c r="BJ1607" s="3">
        <f t="shared" si="772"/>
        <v>0.80100000000000005</v>
      </c>
      <c r="BK1607" s="3">
        <f t="shared" si="786"/>
        <v>-9.6367483915762317E-2</v>
      </c>
      <c r="BL1607">
        <v>2</v>
      </c>
      <c r="BM1607" s="3">
        <f t="shared" si="784"/>
        <v>2.0060090799943544</v>
      </c>
      <c r="BN1607" t="s">
        <v>33</v>
      </c>
      <c r="BO1607" s="3">
        <f t="shared" si="787"/>
        <v>101.39325842696631</v>
      </c>
      <c r="BP1607" t="s">
        <v>33</v>
      </c>
      <c r="BQ1607" t="s">
        <v>33</v>
      </c>
      <c r="BR1607" t="s">
        <v>33</v>
      </c>
      <c r="BS1607" t="s">
        <v>33</v>
      </c>
      <c r="BT1607" t="s">
        <v>32</v>
      </c>
      <c r="BU1607" t="s">
        <v>709</v>
      </c>
      <c r="BV1607">
        <v>2024</v>
      </c>
      <c r="BW1607" t="s">
        <v>710</v>
      </c>
      <c r="BX1607" t="s">
        <v>78</v>
      </c>
      <c r="BY1607" t="s">
        <v>711</v>
      </c>
      <c r="CA1607" t="str">
        <f t="shared" si="789"/>
        <v>low acid</v>
      </c>
    </row>
    <row r="1608" spans="1:79">
      <c r="A1608" t="s">
        <v>722</v>
      </c>
      <c r="B1608" t="s">
        <v>566</v>
      </c>
      <c r="C1608" t="s">
        <v>563</v>
      </c>
      <c r="D1608" t="s">
        <v>699</v>
      </c>
      <c r="E1608" t="s">
        <v>77</v>
      </c>
      <c r="F1608" t="s">
        <v>32</v>
      </c>
      <c r="G1608">
        <v>20</v>
      </c>
      <c r="H1608">
        <v>41</v>
      </c>
      <c r="I1608" t="b">
        <v>1</v>
      </c>
      <c r="J1608" t="s">
        <v>33</v>
      </c>
      <c r="K1608" t="s">
        <v>33</v>
      </c>
      <c r="L1608">
        <v>20</v>
      </c>
      <c r="M1608" s="4">
        <v>30</v>
      </c>
      <c r="N1608" s="3">
        <f>IFERROR(AF1608/((T1608*X1608/Y1608)*O1608*AI1608),"NA")</f>
        <v>29.861111111111104</v>
      </c>
      <c r="O1608">
        <v>5</v>
      </c>
      <c r="P1608">
        <v>0.43</v>
      </c>
      <c r="Q1608" s="8">
        <f>IFERROR(X1608/Y1608, "NA")</f>
        <v>0.43200000000000011</v>
      </c>
      <c r="R1608" t="s">
        <v>183</v>
      </c>
      <c r="S1608" t="s">
        <v>612</v>
      </c>
      <c r="T1608" s="11">
        <v>1</v>
      </c>
      <c r="U1608">
        <v>4</v>
      </c>
      <c r="V1608" t="s">
        <v>33</v>
      </c>
      <c r="W1608">
        <f>0.4*3*0.5</f>
        <v>0.60000000000000009</v>
      </c>
      <c r="X1608" s="9">
        <f t="shared" si="788"/>
        <v>0.60000000000000009</v>
      </c>
      <c r="Y1608" s="6">
        <f>5000/3600</f>
        <v>1.3888888888888888</v>
      </c>
      <c r="Z1608" s="3">
        <f t="shared" si="782"/>
        <v>1.3953488372093026</v>
      </c>
      <c r="AA1608" t="s">
        <v>33</v>
      </c>
      <c r="AB1608" s="4">
        <f>IFERROR(((X1608*M1608)/Y1608), "NA")</f>
        <v>12.960000000000003</v>
      </c>
      <c r="AC1608" s="4">
        <f t="shared" si="785"/>
        <v>12.9</v>
      </c>
      <c r="AD1608" s="4">
        <f>AB1608*T1608*AI1608</f>
        <v>12.960000000000003</v>
      </c>
      <c r="AE1608" s="3">
        <f t="shared" si="770"/>
        <v>51.840000000000011</v>
      </c>
      <c r="AF1608">
        <v>64.5</v>
      </c>
      <c r="AG1608" s="4">
        <f>IFERROR((M1608*O1608*P1608), "NA")</f>
        <v>64.5</v>
      </c>
      <c r="AH1608" s="4">
        <f>IFERROR((AG1608*T1608*AI1608), "NA")</f>
        <v>64.5</v>
      </c>
      <c r="AI1608">
        <v>1</v>
      </c>
      <c r="AJ1608" s="11" t="s">
        <v>31</v>
      </c>
      <c r="AK1608">
        <v>2000</v>
      </c>
      <c r="AL1608" t="s">
        <v>784</v>
      </c>
      <c r="AM1608" t="s">
        <v>103</v>
      </c>
      <c r="AN1608" t="s">
        <v>130</v>
      </c>
      <c r="AO1608" t="s">
        <v>795</v>
      </c>
      <c r="AP1608">
        <v>7</v>
      </c>
      <c r="AQ1608" t="s">
        <v>33</v>
      </c>
      <c r="AR1608" t="s">
        <v>33</v>
      </c>
      <c r="AS1608" s="6">
        <f>LOG(AVERAGE(10^8, 10^9))</f>
        <v>8.7403626894942441</v>
      </c>
      <c r="AT1608" s="3">
        <f>IFERROR(AS1608-AU1608,"NA")</f>
        <v>7.9453626894942442</v>
      </c>
      <c r="AU1608" s="6">
        <v>0.79500000000000004</v>
      </c>
      <c r="AV1608" t="b">
        <v>1</v>
      </c>
      <c r="AW1608" t="s">
        <v>123</v>
      </c>
      <c r="AX1608" t="s">
        <v>88</v>
      </c>
      <c r="AY1608" t="s">
        <v>731</v>
      </c>
      <c r="AZ1608" t="s">
        <v>33</v>
      </c>
      <c r="BA1608" s="18" t="s">
        <v>579</v>
      </c>
      <c r="BB1608" s="3" t="b">
        <v>1</v>
      </c>
      <c r="BC1608" t="s">
        <v>81</v>
      </c>
      <c r="BD1608">
        <v>24</v>
      </c>
      <c r="BE1608" t="s">
        <v>80</v>
      </c>
      <c r="BF1608">
        <v>48</v>
      </c>
      <c r="BG1608" t="s">
        <v>395</v>
      </c>
      <c r="BH1608" t="s">
        <v>31</v>
      </c>
      <c r="BI1608" t="s">
        <v>31</v>
      </c>
      <c r="BJ1608" s="3">
        <f t="shared" si="772"/>
        <v>0.79500000000000004</v>
      </c>
      <c r="BK1608" s="3">
        <f t="shared" si="786"/>
        <v>-9.9632871343529689E-2</v>
      </c>
      <c r="BL1608">
        <v>2</v>
      </c>
      <c r="BM1608" s="3">
        <f t="shared" si="784"/>
        <v>1.8142978642060668</v>
      </c>
      <c r="BN1608" t="s">
        <v>33</v>
      </c>
      <c r="BO1608" s="3">
        <f t="shared" si="787"/>
        <v>65.207547169811335</v>
      </c>
      <c r="BP1608" t="s">
        <v>33</v>
      </c>
      <c r="BQ1608" t="s">
        <v>33</v>
      </c>
      <c r="BR1608" t="s">
        <v>33</v>
      </c>
      <c r="BS1608" t="s">
        <v>33</v>
      </c>
      <c r="BT1608" t="s">
        <v>32</v>
      </c>
      <c r="BU1608" t="s">
        <v>709</v>
      </c>
      <c r="BV1608">
        <v>2024</v>
      </c>
      <c r="BW1608" t="s">
        <v>710</v>
      </c>
      <c r="BX1608" t="s">
        <v>78</v>
      </c>
      <c r="BY1608" t="s">
        <v>711</v>
      </c>
      <c r="CA1608" t="str">
        <f t="shared" si="789"/>
        <v>low acid</v>
      </c>
    </row>
    <row r="1609" spans="1:79">
      <c r="A1609" t="s">
        <v>597</v>
      </c>
      <c r="B1609" t="s">
        <v>565</v>
      </c>
      <c r="C1609" t="s">
        <v>563</v>
      </c>
      <c r="D1609" t="s">
        <v>33</v>
      </c>
      <c r="E1609" t="s">
        <v>77</v>
      </c>
      <c r="F1609" t="s">
        <v>33</v>
      </c>
      <c r="G1609">
        <v>20</v>
      </c>
      <c r="H1609">
        <v>35</v>
      </c>
      <c r="I1609" t="b">
        <v>0</v>
      </c>
      <c r="J1609" t="s">
        <v>33</v>
      </c>
      <c r="K1609" t="s">
        <v>33</v>
      </c>
      <c r="L1609">
        <v>22</v>
      </c>
      <c r="M1609" s="4">
        <v>2</v>
      </c>
      <c r="N1609" t="e">
        <f>(#REF!*Y1609)/(T1609*X1609*O1609)</f>
        <v>#REF!</v>
      </c>
      <c r="O1609">
        <v>15</v>
      </c>
      <c r="P1609" t="s">
        <v>33</v>
      </c>
      <c r="Q1609" s="1">
        <f>IFERROR(X1609/Z1609, "NA")</f>
        <v>1.02</v>
      </c>
      <c r="R1609" t="s">
        <v>183</v>
      </c>
      <c r="S1609" t="s">
        <v>33</v>
      </c>
      <c r="T1609">
        <v>1</v>
      </c>
      <c r="U1609">
        <v>2.5</v>
      </c>
      <c r="V1609" t="s">
        <v>33</v>
      </c>
      <c r="W1609">
        <v>0.50249999999999995</v>
      </c>
      <c r="X1609">
        <f t="shared" si="788"/>
        <v>0.50249999999999995</v>
      </c>
      <c r="Y1609" t="s">
        <v>33</v>
      </c>
      <c r="Z1609" s="3">
        <f t="shared" si="782"/>
        <v>0.49264705882352938</v>
      </c>
      <c r="AA1609" t="s">
        <v>33</v>
      </c>
      <c r="AB1609">
        <f>IFERROR(((X1609*M1609)/Z1609), "NA")</f>
        <v>2.04</v>
      </c>
      <c r="AC1609" s="1" t="str">
        <f t="shared" si="785"/>
        <v>NA</v>
      </c>
      <c r="AE1609" s="3">
        <f t="shared" si="770"/>
        <v>29.620799999999999</v>
      </c>
      <c r="AF1609">
        <v>30.6</v>
      </c>
      <c r="AG1609" s="1" t="str">
        <f>IFERROR((N1609*P1609*Q1609), "NA")</f>
        <v>NA</v>
      </c>
      <c r="AH1609" s="1" t="str">
        <f>IFERROR((AG1609*U1609*AI1609), "NA")</f>
        <v>NA</v>
      </c>
      <c r="AI1609" s="1">
        <v>1</v>
      </c>
      <c r="AJ1609" s="11" t="s">
        <v>31</v>
      </c>
      <c r="AK1609">
        <v>2000</v>
      </c>
      <c r="AL1609" t="s">
        <v>784</v>
      </c>
      <c r="AM1609" s="3" t="s">
        <v>103</v>
      </c>
      <c r="AN1609" t="s">
        <v>130</v>
      </c>
      <c r="AO1609" t="s">
        <v>795</v>
      </c>
      <c r="AP1609">
        <v>7</v>
      </c>
      <c r="AQ1609" t="s">
        <v>33</v>
      </c>
      <c r="AR1609" t="s">
        <v>33</v>
      </c>
      <c r="AS1609">
        <v>9</v>
      </c>
      <c r="AT1609">
        <f>AS1609-AU1609</f>
        <v>7.95</v>
      </c>
      <c r="AU1609" s="6">
        <v>1.05</v>
      </c>
      <c r="AV1609" t="b">
        <v>1</v>
      </c>
      <c r="AW1609" t="s">
        <v>617</v>
      </c>
      <c r="AX1609" t="s">
        <v>635</v>
      </c>
      <c r="AY1609" t="s">
        <v>636</v>
      </c>
      <c r="AZ1609" t="s">
        <v>33</v>
      </c>
      <c r="BA1609" s="18" t="s">
        <v>802</v>
      </c>
      <c r="BB1609" s="3" t="b">
        <v>0</v>
      </c>
      <c r="BC1609" t="s">
        <v>81</v>
      </c>
      <c r="BD1609">
        <v>24</v>
      </c>
      <c r="BE1609" t="s">
        <v>80</v>
      </c>
      <c r="BF1609">
        <v>24</v>
      </c>
      <c r="BG1609" t="s">
        <v>644</v>
      </c>
      <c r="BH1609" t="s">
        <v>31</v>
      </c>
      <c r="BI1609" t="s">
        <v>31</v>
      </c>
      <c r="BJ1609">
        <f t="shared" si="772"/>
        <v>1.05</v>
      </c>
      <c r="BK1609" s="3">
        <f t="shared" si="786"/>
        <v>2.1189299069938092E-2</v>
      </c>
      <c r="BL1609">
        <v>2</v>
      </c>
      <c r="BM1609" s="3">
        <f t="shared" si="784"/>
        <v>1.4504074847200357</v>
      </c>
      <c r="BN1609" t="s">
        <v>33</v>
      </c>
      <c r="BO1609" s="3">
        <f t="shared" si="787"/>
        <v>28.210285714285714</v>
      </c>
      <c r="BP1609" t="s">
        <v>33</v>
      </c>
      <c r="BQ1609" t="s">
        <v>33</v>
      </c>
      <c r="BR1609" t="s">
        <v>33</v>
      </c>
      <c r="BS1609" t="s">
        <v>33</v>
      </c>
      <c r="BT1609" t="s">
        <v>31</v>
      </c>
      <c r="BU1609" t="s">
        <v>664</v>
      </c>
      <c r="BV1609">
        <v>2000</v>
      </c>
      <c r="BW1609" t="s">
        <v>665</v>
      </c>
      <c r="BX1609" t="s">
        <v>78</v>
      </c>
      <c r="BY1609" s="13" t="s">
        <v>685</v>
      </c>
      <c r="CA1609" t="str">
        <f t="shared" si="789"/>
        <v>low acid</v>
      </c>
    </row>
    <row r="1610" spans="1:79">
      <c r="A1610" t="s">
        <v>597</v>
      </c>
      <c r="B1610" t="s">
        <v>565</v>
      </c>
      <c r="C1610" t="s">
        <v>563</v>
      </c>
      <c r="D1610" t="s">
        <v>33</v>
      </c>
      <c r="E1610" t="s">
        <v>77</v>
      </c>
      <c r="F1610" t="s">
        <v>33</v>
      </c>
      <c r="G1610">
        <v>20</v>
      </c>
      <c r="H1610">
        <v>35</v>
      </c>
      <c r="I1610" t="b">
        <v>0</v>
      </c>
      <c r="J1610" t="s">
        <v>33</v>
      </c>
      <c r="K1610" t="s">
        <v>33</v>
      </c>
      <c r="L1610">
        <v>15</v>
      </c>
      <c r="M1610" s="4">
        <v>1</v>
      </c>
      <c r="N1610" t="e">
        <f>(#REF!*Y1610)/(T1610*X1610*O1610)</f>
        <v>#REF!</v>
      </c>
      <c r="O1610">
        <v>2</v>
      </c>
      <c r="P1610" t="s">
        <v>33</v>
      </c>
      <c r="Q1610" s="1">
        <f>IFERROR(X1610/Z1610, "NA")</f>
        <v>297.19</v>
      </c>
      <c r="R1610" t="s">
        <v>183</v>
      </c>
      <c r="S1610" t="s">
        <v>33</v>
      </c>
      <c r="T1610">
        <v>1</v>
      </c>
      <c r="U1610">
        <v>2.5</v>
      </c>
      <c r="V1610" t="s">
        <v>33</v>
      </c>
      <c r="W1610">
        <v>0.50249999999999995</v>
      </c>
      <c r="X1610">
        <f t="shared" si="788"/>
        <v>0.50249999999999995</v>
      </c>
      <c r="Y1610" t="s">
        <v>33</v>
      </c>
      <c r="Z1610" s="3">
        <f t="shared" si="782"/>
        <v>1.6908375113563712E-3</v>
      </c>
      <c r="AA1610" t="s">
        <v>33</v>
      </c>
      <c r="AB1610">
        <f>IFERROR(((X1610*M1610)/Z1610), "NA")</f>
        <v>297.19</v>
      </c>
      <c r="AC1610" s="1" t="str">
        <f t="shared" si="785"/>
        <v>NA</v>
      </c>
      <c r="AE1610" s="3">
        <f t="shared" si="770"/>
        <v>267.47099999999995</v>
      </c>
      <c r="AF1610">
        <v>594.38</v>
      </c>
      <c r="AG1610" s="1" t="str">
        <f>IFERROR((N1610*P1610*Q1610), "NA")</f>
        <v>NA</v>
      </c>
      <c r="AH1610" s="1" t="str">
        <f>IFERROR((AG1610*U1610*AI1610), "NA")</f>
        <v>NA</v>
      </c>
      <c r="AI1610" s="1">
        <v>1</v>
      </c>
      <c r="AJ1610" s="11" t="s">
        <v>31</v>
      </c>
      <c r="AK1610">
        <v>2000</v>
      </c>
      <c r="AL1610" t="s">
        <v>784</v>
      </c>
      <c r="AM1610" s="3" t="s">
        <v>103</v>
      </c>
      <c r="AN1610" t="s">
        <v>130</v>
      </c>
      <c r="AO1610" t="s">
        <v>795</v>
      </c>
      <c r="AP1610">
        <v>7</v>
      </c>
      <c r="AQ1610" t="s">
        <v>33</v>
      </c>
      <c r="AR1610" t="s">
        <v>33</v>
      </c>
      <c r="AS1610">
        <v>9</v>
      </c>
      <c r="AT1610">
        <f>AS1610-AU1610</f>
        <v>7.95</v>
      </c>
      <c r="AU1610" s="6">
        <v>1.05</v>
      </c>
      <c r="AV1610" t="b">
        <v>1</v>
      </c>
      <c r="AW1610" t="s">
        <v>617</v>
      </c>
      <c r="AX1610" t="s">
        <v>635</v>
      </c>
      <c r="AY1610" t="s">
        <v>636</v>
      </c>
      <c r="AZ1610" t="s">
        <v>33</v>
      </c>
      <c r="BA1610" s="18" t="s">
        <v>802</v>
      </c>
      <c r="BB1610" s="3" t="b">
        <v>0</v>
      </c>
      <c r="BC1610" t="s">
        <v>81</v>
      </c>
      <c r="BD1610">
        <v>24</v>
      </c>
      <c r="BE1610" t="s">
        <v>80</v>
      </c>
      <c r="BF1610">
        <v>24</v>
      </c>
      <c r="BG1610" t="s">
        <v>644</v>
      </c>
      <c r="BH1610" t="s">
        <v>31</v>
      </c>
      <c r="BI1610" t="s">
        <v>31</v>
      </c>
      <c r="BJ1610">
        <f t="shared" si="772"/>
        <v>1.05</v>
      </c>
      <c r="BK1610" s="3">
        <f t="shared" si="786"/>
        <v>2.1189299069938092E-2</v>
      </c>
      <c r="BL1610">
        <v>2</v>
      </c>
      <c r="BM1610" s="3">
        <f t="shared" si="784"/>
        <v>2.4060874023425645</v>
      </c>
      <c r="BN1610" t="s">
        <v>33</v>
      </c>
      <c r="BO1610" s="3">
        <f t="shared" si="787"/>
        <v>254.73428571428565</v>
      </c>
      <c r="BP1610" t="s">
        <v>33</v>
      </c>
      <c r="BQ1610" t="s">
        <v>33</v>
      </c>
      <c r="BR1610" t="s">
        <v>33</v>
      </c>
      <c r="BS1610" t="s">
        <v>33</v>
      </c>
      <c r="BT1610" t="s">
        <v>31</v>
      </c>
      <c r="BU1610" t="s">
        <v>664</v>
      </c>
      <c r="BV1610">
        <v>2000</v>
      </c>
      <c r="BW1610" t="s">
        <v>665</v>
      </c>
      <c r="BX1610" t="s">
        <v>78</v>
      </c>
      <c r="BY1610" s="13" t="s">
        <v>685</v>
      </c>
      <c r="CA1610" t="str">
        <f t="shared" si="789"/>
        <v>low acid</v>
      </c>
    </row>
    <row r="1611" spans="1:79">
      <c r="A1611" t="s">
        <v>601</v>
      </c>
      <c r="B1611" t="s">
        <v>566</v>
      </c>
      <c r="C1611" t="s">
        <v>563</v>
      </c>
      <c r="D1611" t="s">
        <v>611</v>
      </c>
      <c r="E1611" t="s">
        <v>77</v>
      </c>
      <c r="F1611" t="s">
        <v>32</v>
      </c>
      <c r="G1611" t="s">
        <v>33</v>
      </c>
      <c r="H1611" t="s">
        <v>33</v>
      </c>
      <c r="I1611" t="b">
        <v>0</v>
      </c>
      <c r="J1611" t="s">
        <v>33</v>
      </c>
      <c r="K1611" t="s">
        <v>33</v>
      </c>
      <c r="L1611">
        <v>30</v>
      </c>
      <c r="M1611" s="4">
        <v>15</v>
      </c>
      <c r="N1611" t="e">
        <f>(#REF!*Y1611)/(T1611*X1611*O1611)</f>
        <v>#REF!</v>
      </c>
      <c r="O1611">
        <v>1</v>
      </c>
      <c r="P1611" t="s">
        <v>33</v>
      </c>
      <c r="Q1611" s="1">
        <f>IFERROR(X1611/Z1611, "NA")</f>
        <v>10</v>
      </c>
      <c r="R1611" t="s">
        <v>33</v>
      </c>
      <c r="S1611" t="s">
        <v>33</v>
      </c>
      <c r="T1611">
        <v>1</v>
      </c>
      <c r="U1611">
        <v>2.5</v>
      </c>
      <c r="V1611" t="s">
        <v>33</v>
      </c>
      <c r="W1611">
        <v>1.75</v>
      </c>
      <c r="X1611">
        <f t="shared" si="788"/>
        <v>1.75</v>
      </c>
      <c r="Y1611">
        <v>0.19666666999999999</v>
      </c>
      <c r="Z1611" s="3">
        <f t="shared" si="782"/>
        <v>0.17499999999999999</v>
      </c>
      <c r="AA1611" t="s">
        <v>33</v>
      </c>
      <c r="AB1611">
        <f>IFERROR(((X1611*M1611)/Z1611), "NA")</f>
        <v>150</v>
      </c>
      <c r="AC1611" s="1" t="str">
        <f t="shared" si="785"/>
        <v>NA</v>
      </c>
      <c r="AE1611" s="3">
        <f t="shared" si="770"/>
        <v>567</v>
      </c>
      <c r="AF1611">
        <v>150</v>
      </c>
      <c r="AG1611" s="1" t="str">
        <f>IFERROR((N1611*P1611*Q1611), "NA")</f>
        <v>NA</v>
      </c>
      <c r="AH1611" s="1" t="str">
        <f>IFERROR((O1611*Q1611*R1611), "NA")</f>
        <v>NA</v>
      </c>
      <c r="AI1611" s="1">
        <v>1</v>
      </c>
      <c r="AJ1611" s="11" t="s">
        <v>31</v>
      </c>
      <c r="AK1611">
        <v>4200</v>
      </c>
      <c r="AL1611" t="s">
        <v>238</v>
      </c>
      <c r="AM1611" t="s">
        <v>86</v>
      </c>
      <c r="AN1611" t="s">
        <v>205</v>
      </c>
      <c r="AO1611" t="s">
        <v>789</v>
      </c>
      <c r="AP1611">
        <v>3.7</v>
      </c>
      <c r="AQ1611" t="s">
        <v>33</v>
      </c>
      <c r="AR1611" t="s">
        <v>33</v>
      </c>
      <c r="AS1611">
        <v>11</v>
      </c>
      <c r="AT1611">
        <f>AS1611-AU1611</f>
        <v>7.95</v>
      </c>
      <c r="AU1611" s="6">
        <v>3.05</v>
      </c>
      <c r="AV1611" t="b">
        <v>1</v>
      </c>
      <c r="AW1611" t="s">
        <v>626</v>
      </c>
      <c r="AX1611" t="s">
        <v>627</v>
      </c>
      <c r="AY1611" t="s">
        <v>641</v>
      </c>
      <c r="AZ1611" t="s">
        <v>33</v>
      </c>
      <c r="BA1611" s="18" t="s">
        <v>800</v>
      </c>
      <c r="BB1611" s="3" t="b">
        <v>0</v>
      </c>
      <c r="BC1611" t="s">
        <v>81</v>
      </c>
      <c r="BD1611">
        <v>24</v>
      </c>
      <c r="BE1611" t="s">
        <v>80</v>
      </c>
      <c r="BF1611">
        <v>24</v>
      </c>
      <c r="BG1611" t="s">
        <v>568</v>
      </c>
      <c r="BH1611" t="s">
        <v>31</v>
      </c>
      <c r="BI1611" t="s">
        <v>31</v>
      </c>
      <c r="BJ1611" s="3">
        <f t="shared" si="772"/>
        <v>3.05</v>
      </c>
      <c r="BK1611" s="3">
        <f t="shared" si="786"/>
        <v>0.48429983934678583</v>
      </c>
      <c r="BL1611">
        <v>2</v>
      </c>
      <c r="BM1611" s="3">
        <f t="shared" si="784"/>
        <v>2.2692832195461206</v>
      </c>
      <c r="BN1611" t="s">
        <v>33</v>
      </c>
      <c r="BO1611" s="3">
        <f t="shared" si="787"/>
        <v>185.90163934426229</v>
      </c>
      <c r="BP1611" t="s">
        <v>33</v>
      </c>
      <c r="BQ1611" t="s">
        <v>33</v>
      </c>
      <c r="BR1611" t="s">
        <v>33</v>
      </c>
      <c r="BS1611" t="s">
        <v>33</v>
      </c>
      <c r="BT1611" t="s">
        <v>31</v>
      </c>
      <c r="BU1611" t="s">
        <v>668</v>
      </c>
      <c r="BV1611" s="14">
        <v>2009</v>
      </c>
      <c r="BW1611" t="s">
        <v>669</v>
      </c>
      <c r="BX1611" t="s">
        <v>78</v>
      </c>
      <c r="BY1611" s="13" t="s">
        <v>689</v>
      </c>
      <c r="CA1611" t="str">
        <f t="shared" si="789"/>
        <v>high acid</v>
      </c>
    </row>
    <row r="1612" spans="1:79">
      <c r="A1612" t="s">
        <v>712</v>
      </c>
      <c r="B1612" t="s">
        <v>566</v>
      </c>
      <c r="C1612" t="s">
        <v>563</v>
      </c>
      <c r="D1612" t="s">
        <v>699</v>
      </c>
      <c r="E1612" t="s">
        <v>77</v>
      </c>
      <c r="F1612" t="s">
        <v>32</v>
      </c>
      <c r="G1612">
        <v>20</v>
      </c>
      <c r="H1612">
        <v>42.5</v>
      </c>
      <c r="I1612" t="b">
        <v>1</v>
      </c>
      <c r="J1612" t="s">
        <v>33</v>
      </c>
      <c r="K1612" t="s">
        <v>33</v>
      </c>
      <c r="L1612">
        <v>20</v>
      </c>
      <c r="M1612" s="4">
        <v>47</v>
      </c>
      <c r="N1612" s="3">
        <f>IFERROR(AF1612/((T1612*X1612/Y1612)*O1612*AI1612),"NA")</f>
        <v>46.759259259259245</v>
      </c>
      <c r="O1612">
        <v>5</v>
      </c>
      <c r="P1612">
        <v>0.43</v>
      </c>
      <c r="Q1612" s="8">
        <f>IFERROR(X1612/Y1612, "NA")</f>
        <v>0.43200000000000011</v>
      </c>
      <c r="R1612" t="s">
        <v>183</v>
      </c>
      <c r="S1612" t="s">
        <v>612</v>
      </c>
      <c r="T1612" s="11">
        <v>1</v>
      </c>
      <c r="U1612">
        <v>4</v>
      </c>
      <c r="V1612" t="s">
        <v>33</v>
      </c>
      <c r="W1612">
        <f>0.4*3*0.5</f>
        <v>0.60000000000000009</v>
      </c>
      <c r="X1612" s="9">
        <f t="shared" si="788"/>
        <v>0.60000000000000009</v>
      </c>
      <c r="Y1612" s="6">
        <f>5000/3600</f>
        <v>1.3888888888888888</v>
      </c>
      <c r="Z1612" s="3">
        <f t="shared" si="782"/>
        <v>1.3960396039603959</v>
      </c>
      <c r="AA1612" t="s">
        <v>33</v>
      </c>
      <c r="AB1612" s="4">
        <f>IFERROR(((X1612*M1612)/Y1612), "NA")</f>
        <v>20.304000000000002</v>
      </c>
      <c r="AC1612" s="4">
        <f t="shared" si="785"/>
        <v>20.21</v>
      </c>
      <c r="AD1612" s="4">
        <f>AB1612*T1612*AI1612</f>
        <v>20.304000000000002</v>
      </c>
      <c r="AE1612" s="3">
        <f t="shared" si="770"/>
        <v>81.216000000000022</v>
      </c>
      <c r="AF1612">
        <v>101</v>
      </c>
      <c r="AG1612" s="4">
        <f>IFERROR((M1612*O1612*P1612), "NA")</f>
        <v>101.05</v>
      </c>
      <c r="AH1612" s="4">
        <f>IFERROR((AG1612*T1612*AI1612), "NA")</f>
        <v>101.05</v>
      </c>
      <c r="AI1612">
        <v>1</v>
      </c>
      <c r="AJ1612" s="11" t="s">
        <v>31</v>
      </c>
      <c r="AK1612">
        <v>2000</v>
      </c>
      <c r="AL1612" t="s">
        <v>784</v>
      </c>
      <c r="AM1612" t="s">
        <v>103</v>
      </c>
      <c r="AN1612" t="s">
        <v>130</v>
      </c>
      <c r="AO1612" t="s">
        <v>795</v>
      </c>
      <c r="AP1612">
        <v>7</v>
      </c>
      <c r="AQ1612" t="s">
        <v>33</v>
      </c>
      <c r="AR1612" t="s">
        <v>33</v>
      </c>
      <c r="AS1612" s="6">
        <f>LOG(AVERAGE(10^8, 10^9))</f>
        <v>8.7403626894942441</v>
      </c>
      <c r="AT1612" s="3">
        <f>IFERROR(AS1612-AU1612,"NA")</f>
        <v>7.9573626894942437</v>
      </c>
      <c r="AU1612" s="6">
        <v>0.78300000000000003</v>
      </c>
      <c r="AV1612" t="b">
        <v>1</v>
      </c>
      <c r="AW1612" t="s">
        <v>92</v>
      </c>
      <c r="AX1612" t="s">
        <v>93</v>
      </c>
      <c r="AY1612" t="s">
        <v>717</v>
      </c>
      <c r="AZ1612" t="s">
        <v>33</v>
      </c>
      <c r="BA1612" s="18" t="s">
        <v>801</v>
      </c>
      <c r="BB1612" s="3" t="b">
        <v>0</v>
      </c>
      <c r="BC1612" t="s">
        <v>81</v>
      </c>
      <c r="BD1612">
        <v>24</v>
      </c>
      <c r="BE1612" t="s">
        <v>80</v>
      </c>
      <c r="BF1612">
        <v>24</v>
      </c>
      <c r="BG1612" t="s">
        <v>568</v>
      </c>
      <c r="BH1612" t="s">
        <v>31</v>
      </c>
      <c r="BI1612" t="s">
        <v>31</v>
      </c>
      <c r="BJ1612" s="3">
        <f t="shared" si="772"/>
        <v>0.78300000000000003</v>
      </c>
      <c r="BK1612" s="3">
        <f t="shared" si="786"/>
        <v>-0.10623823794205658</v>
      </c>
      <c r="BL1612">
        <v>2</v>
      </c>
      <c r="BM1612" s="3">
        <f t="shared" si="784"/>
        <v>2.0158798340206485</v>
      </c>
      <c r="BN1612" t="s">
        <v>33</v>
      </c>
      <c r="BO1612" s="3">
        <f t="shared" si="787"/>
        <v>103.72413793103451</v>
      </c>
      <c r="BP1612" t="s">
        <v>33</v>
      </c>
      <c r="BQ1612" t="s">
        <v>33</v>
      </c>
      <c r="BR1612" t="s">
        <v>33</v>
      </c>
      <c r="BS1612" t="s">
        <v>33</v>
      </c>
      <c r="BT1612" t="s">
        <v>32</v>
      </c>
      <c r="BU1612" t="s">
        <v>709</v>
      </c>
      <c r="BV1612">
        <v>2024</v>
      </c>
      <c r="BW1612" t="s">
        <v>710</v>
      </c>
      <c r="BX1612" t="s">
        <v>78</v>
      </c>
      <c r="BY1612" t="s">
        <v>711</v>
      </c>
      <c r="CA1612" t="str">
        <f t="shared" si="789"/>
        <v>low acid</v>
      </c>
    </row>
    <row r="1613" spans="1:79">
      <c r="A1613" t="s">
        <v>376</v>
      </c>
      <c r="B1613" t="s">
        <v>566</v>
      </c>
      <c r="C1613" t="s">
        <v>563</v>
      </c>
      <c r="D1613" t="s">
        <v>369</v>
      </c>
      <c r="E1613" t="s">
        <v>77</v>
      </c>
      <c r="F1613" t="s">
        <v>32</v>
      </c>
      <c r="G1613">
        <v>8</v>
      </c>
      <c r="H1613">
        <v>114.9</v>
      </c>
      <c r="I1613" t="b">
        <v>1</v>
      </c>
      <c r="J1613">
        <v>40500</v>
      </c>
      <c r="K1613">
        <v>300</v>
      </c>
      <c r="L1613">
        <v>83.1</v>
      </c>
      <c r="M1613" s="4">
        <v>500</v>
      </c>
      <c r="N1613" s="3" t="str">
        <f>IFERROR(AF1613/((T1613*X1613/Y1613)*O1613*AI1613),"NA")</f>
        <v>NA</v>
      </c>
      <c r="O1613">
        <v>0.1</v>
      </c>
      <c r="P1613">
        <v>5</v>
      </c>
      <c r="Q1613" s="8">
        <f>IFERROR(X1613/Z1613, "NA")</f>
        <v>5</v>
      </c>
      <c r="R1613" t="s">
        <v>278</v>
      </c>
      <c r="S1613" t="s">
        <v>613</v>
      </c>
      <c r="T1613" s="11">
        <v>1</v>
      </c>
      <c r="U1613">
        <v>4</v>
      </c>
      <c r="V1613" t="s">
        <v>33</v>
      </c>
      <c r="W1613">
        <v>0.92</v>
      </c>
      <c r="X1613" s="8">
        <f>230*0.01*0.1*U1613</f>
        <v>0.92000000000000015</v>
      </c>
      <c r="Y1613" s="9">
        <f>11/60</f>
        <v>0.18333333333333332</v>
      </c>
      <c r="Z1613" s="3">
        <f>IFERROR(X1613*M1613*O1613*T1613*AI1613/AH1613, "NA")</f>
        <v>0.18400000000000002</v>
      </c>
      <c r="AA1613" t="s">
        <v>33</v>
      </c>
      <c r="AB1613" s="6">
        <f>IFERROR(((X1613*M1613)/Z1613), "NA")</f>
        <v>2500</v>
      </c>
      <c r="AC1613">
        <f t="shared" si="785"/>
        <v>2500</v>
      </c>
      <c r="AD1613" s="4">
        <f>AB1613*T1613*AI1613</f>
        <v>2500</v>
      </c>
      <c r="AE1613" s="3">
        <f t="shared" si="770"/>
        <v>2071.683</v>
      </c>
      <c r="AF1613" t="s">
        <v>33</v>
      </c>
      <c r="AG1613">
        <f>IFERROR((M1613*O1613*P1613), "NA")</f>
        <v>250</v>
      </c>
      <c r="AH1613">
        <f>IFERROR((AG1613*T1613*AI1613), "NA")</f>
        <v>250</v>
      </c>
      <c r="AI1613">
        <v>1</v>
      </c>
      <c r="AJ1613" t="s">
        <v>31</v>
      </c>
      <c r="AK1613">
        <v>1200</v>
      </c>
      <c r="AL1613" t="s">
        <v>548</v>
      </c>
      <c r="AM1613" t="s">
        <v>103</v>
      </c>
      <c r="AN1613" t="s">
        <v>33</v>
      </c>
      <c r="AO1613" t="str">
        <f t="shared" ref="AO1613:AO1645" si="790">AN1613</f>
        <v>NA</v>
      </c>
      <c r="AP1613" t="s">
        <v>33</v>
      </c>
      <c r="AQ1613" t="s">
        <v>33</v>
      </c>
      <c r="AR1613" t="s">
        <v>33</v>
      </c>
      <c r="AS1613" s="6">
        <f>LOG(9.7*10^10)</f>
        <v>10.986771734266245</v>
      </c>
      <c r="AT1613" s="3">
        <f>IFERROR(AS1613-AU1613,"NA")</f>
        <v>7.9587717342662456</v>
      </c>
      <c r="AU1613" s="6">
        <f>6.728-3.7</f>
        <v>3.0279999999999996</v>
      </c>
      <c r="AV1613" t="b">
        <v>1</v>
      </c>
      <c r="AW1613" t="s">
        <v>372</v>
      </c>
      <c r="AX1613" t="s">
        <v>373</v>
      </c>
      <c r="AY1613" t="s">
        <v>33</v>
      </c>
      <c r="AZ1613" t="s">
        <v>33</v>
      </c>
      <c r="BA1613" s="18" t="s">
        <v>797</v>
      </c>
      <c r="BB1613" t="b">
        <v>0</v>
      </c>
      <c r="BC1613" t="s">
        <v>374</v>
      </c>
      <c r="BD1613" t="s">
        <v>33</v>
      </c>
      <c r="BE1613" t="s">
        <v>33</v>
      </c>
      <c r="BF1613" s="11">
        <v>24</v>
      </c>
      <c r="BG1613" t="s">
        <v>33</v>
      </c>
      <c r="BH1613" t="s">
        <v>33</v>
      </c>
      <c r="BI1613" t="s">
        <v>32</v>
      </c>
      <c r="BJ1613" s="3">
        <f t="shared" si="772"/>
        <v>3.0279999999999996</v>
      </c>
      <c r="BK1613" s="3">
        <f t="shared" si="786"/>
        <v>0.48115587082803507</v>
      </c>
      <c r="BL1613">
        <v>2</v>
      </c>
      <c r="BM1613" s="3">
        <f t="shared" si="784"/>
        <v>2.8351674314598494</v>
      </c>
      <c r="BN1613" t="s">
        <v>33</v>
      </c>
      <c r="BO1613" s="3">
        <f t="shared" si="787"/>
        <v>684.17536327608991</v>
      </c>
      <c r="BP1613" t="s">
        <v>33</v>
      </c>
      <c r="BQ1613" t="s">
        <v>33</v>
      </c>
      <c r="BR1613" t="s">
        <v>33</v>
      </c>
      <c r="BS1613" t="s">
        <v>33</v>
      </c>
      <c r="BT1613" t="s">
        <v>31</v>
      </c>
      <c r="BU1613" t="s">
        <v>371</v>
      </c>
      <c r="BV1613">
        <v>2008</v>
      </c>
      <c r="BW1613" t="s">
        <v>380</v>
      </c>
      <c r="BX1613" t="s">
        <v>78</v>
      </c>
      <c r="BY1613" t="s">
        <v>375</v>
      </c>
      <c r="CA1613" t="str">
        <f t="shared" si="789"/>
        <v>NA</v>
      </c>
    </row>
    <row r="1614" spans="1:79">
      <c r="A1614" t="s">
        <v>597</v>
      </c>
      <c r="B1614" t="s">
        <v>565</v>
      </c>
      <c r="C1614" t="s">
        <v>563</v>
      </c>
      <c r="D1614" t="s">
        <v>33</v>
      </c>
      <c r="E1614" t="s">
        <v>77</v>
      </c>
      <c r="F1614" t="s">
        <v>33</v>
      </c>
      <c r="G1614">
        <v>20</v>
      </c>
      <c r="H1614">
        <v>35</v>
      </c>
      <c r="I1614" t="b">
        <v>0</v>
      </c>
      <c r="J1614" t="s">
        <v>33</v>
      </c>
      <c r="K1614" t="s">
        <v>33</v>
      </c>
      <c r="L1614">
        <v>22</v>
      </c>
      <c r="M1614" s="4">
        <v>2</v>
      </c>
      <c r="N1614" t="e">
        <f>(#REF!*Y1614)/(T1614*X1614*O1614)</f>
        <v>#REF!</v>
      </c>
      <c r="O1614">
        <v>2</v>
      </c>
      <c r="P1614" t="s">
        <v>33</v>
      </c>
      <c r="Q1614" s="1">
        <f>IFERROR(X1614/Z1614, "NA")</f>
        <v>6.02</v>
      </c>
      <c r="R1614" t="s">
        <v>183</v>
      </c>
      <c r="S1614" t="s">
        <v>33</v>
      </c>
      <c r="T1614">
        <v>1</v>
      </c>
      <c r="U1614">
        <v>2.5</v>
      </c>
      <c r="V1614" t="s">
        <v>33</v>
      </c>
      <c r="W1614">
        <v>0.50249999999999995</v>
      </c>
      <c r="X1614">
        <f t="shared" ref="X1614:X1621" si="791">W1614</f>
        <v>0.50249999999999995</v>
      </c>
      <c r="Y1614" t="s">
        <v>33</v>
      </c>
      <c r="Z1614" s="3">
        <f t="shared" ref="Z1614:Z1643" si="792">IFERROR(X1614*M1614*O1614*T1614*AI1614/AF1614, "NA")</f>
        <v>8.3471760797342184E-2</v>
      </c>
      <c r="AA1614" t="s">
        <v>33</v>
      </c>
      <c r="AB1614">
        <f>IFERROR(((X1614*M1614)/Z1614), "NA")</f>
        <v>12.04</v>
      </c>
      <c r="AC1614" s="1" t="str">
        <f t="shared" si="785"/>
        <v>NA</v>
      </c>
      <c r="AE1614" s="3">
        <f t="shared" si="770"/>
        <v>23.309439999999999</v>
      </c>
      <c r="AF1614">
        <v>24.08</v>
      </c>
      <c r="AG1614" s="1" t="str">
        <f>IFERROR((N1614*P1614*Q1614), "NA")</f>
        <v>NA</v>
      </c>
      <c r="AH1614" s="1" t="str">
        <f>IFERROR((AG1614*U1614*AI1614), "NA")</f>
        <v>NA</v>
      </c>
      <c r="AI1614" s="1">
        <v>1</v>
      </c>
      <c r="AJ1614" s="11" t="s">
        <v>31</v>
      </c>
      <c r="AK1614">
        <v>2000</v>
      </c>
      <c r="AL1614" t="s">
        <v>784</v>
      </c>
      <c r="AM1614" s="3" t="s">
        <v>103</v>
      </c>
      <c r="AN1614" t="s">
        <v>130</v>
      </c>
      <c r="AO1614" t="s">
        <v>795</v>
      </c>
      <c r="AP1614">
        <v>7</v>
      </c>
      <c r="AQ1614" t="s">
        <v>33</v>
      </c>
      <c r="AR1614" t="s">
        <v>33</v>
      </c>
      <c r="AS1614">
        <v>9</v>
      </c>
      <c r="AT1614">
        <f>AS1614-AU1614</f>
        <v>7.97</v>
      </c>
      <c r="AU1614" s="6">
        <v>1.03</v>
      </c>
      <c r="AV1614" t="b">
        <v>1</v>
      </c>
      <c r="AW1614" t="s">
        <v>617</v>
      </c>
      <c r="AX1614" t="s">
        <v>635</v>
      </c>
      <c r="AY1614" t="s">
        <v>636</v>
      </c>
      <c r="AZ1614" t="s">
        <v>33</v>
      </c>
      <c r="BA1614" s="18" t="s">
        <v>802</v>
      </c>
      <c r="BB1614" s="3" t="b">
        <v>0</v>
      </c>
      <c r="BC1614" t="s">
        <v>81</v>
      </c>
      <c r="BD1614">
        <v>24</v>
      </c>
      <c r="BE1614" t="s">
        <v>80</v>
      </c>
      <c r="BF1614">
        <v>24</v>
      </c>
      <c r="BG1614" t="s">
        <v>644</v>
      </c>
      <c r="BH1614" t="s">
        <v>31</v>
      </c>
      <c r="BI1614" t="s">
        <v>31</v>
      </c>
      <c r="BJ1614">
        <f t="shared" si="772"/>
        <v>1.03</v>
      </c>
      <c r="BK1614" s="3">
        <f t="shared" si="786"/>
        <v>1.2837224705172217E-2</v>
      </c>
      <c r="BL1614">
        <v>2</v>
      </c>
      <c r="BM1614" s="3">
        <f t="shared" si="784"/>
        <v>1.3546946151890085</v>
      </c>
      <c r="BN1614" t="s">
        <v>33</v>
      </c>
      <c r="BO1614" s="3">
        <f t="shared" si="787"/>
        <v>22.63052427184466</v>
      </c>
      <c r="BP1614" t="s">
        <v>33</v>
      </c>
      <c r="BQ1614" t="s">
        <v>33</v>
      </c>
      <c r="BR1614" t="s">
        <v>33</v>
      </c>
      <c r="BS1614" t="s">
        <v>33</v>
      </c>
      <c r="BT1614" t="s">
        <v>31</v>
      </c>
      <c r="BU1614" t="s">
        <v>664</v>
      </c>
      <c r="BV1614">
        <v>2000</v>
      </c>
      <c r="BW1614" t="s">
        <v>665</v>
      </c>
      <c r="BX1614" t="s">
        <v>78</v>
      </c>
      <c r="BY1614" s="13" t="s">
        <v>685</v>
      </c>
      <c r="CA1614" t="str">
        <f t="shared" si="789"/>
        <v>low acid</v>
      </c>
    </row>
    <row r="1615" spans="1:79">
      <c r="A1615" t="s">
        <v>712</v>
      </c>
      <c r="B1615" t="s">
        <v>566</v>
      </c>
      <c r="C1615" t="s">
        <v>563</v>
      </c>
      <c r="D1615" t="s">
        <v>699</v>
      </c>
      <c r="E1615" t="s">
        <v>77</v>
      </c>
      <c r="F1615" t="s">
        <v>32</v>
      </c>
      <c r="G1615">
        <v>20</v>
      </c>
      <c r="H1615">
        <v>42.5</v>
      </c>
      <c r="I1615" t="b">
        <v>1</v>
      </c>
      <c r="J1615" t="s">
        <v>33</v>
      </c>
      <c r="K1615" t="s">
        <v>33</v>
      </c>
      <c r="L1615">
        <v>20</v>
      </c>
      <c r="M1615" s="4">
        <v>47</v>
      </c>
      <c r="N1615" s="3">
        <f>IFERROR(AF1615/((T1615*X1615/Y1615)*O1615*AI1615),"NA")</f>
        <v>46.759259259259245</v>
      </c>
      <c r="O1615">
        <v>5</v>
      </c>
      <c r="P1615">
        <v>0.43</v>
      </c>
      <c r="Q1615" s="8">
        <f>IFERROR(X1615/Y1615, "NA")</f>
        <v>0.43200000000000011</v>
      </c>
      <c r="R1615" t="s">
        <v>183</v>
      </c>
      <c r="S1615" t="s">
        <v>612</v>
      </c>
      <c r="T1615" s="11">
        <v>1</v>
      </c>
      <c r="U1615">
        <v>4</v>
      </c>
      <c r="V1615" t="s">
        <v>33</v>
      </c>
      <c r="W1615">
        <f>0.4*3*0.5</f>
        <v>0.60000000000000009</v>
      </c>
      <c r="X1615" s="9">
        <f t="shared" si="791"/>
        <v>0.60000000000000009</v>
      </c>
      <c r="Y1615" s="6">
        <f>5000/3600</f>
        <v>1.3888888888888888</v>
      </c>
      <c r="Z1615" s="3">
        <f t="shared" si="792"/>
        <v>1.3960396039603959</v>
      </c>
      <c r="AA1615" t="s">
        <v>33</v>
      </c>
      <c r="AB1615" s="4">
        <f>IFERROR(((X1615*M1615)/Y1615), "NA")</f>
        <v>20.304000000000002</v>
      </c>
      <c r="AC1615" s="4">
        <f t="shared" si="785"/>
        <v>20.21</v>
      </c>
      <c r="AD1615" s="4">
        <f>AB1615*T1615*AI1615</f>
        <v>20.304000000000002</v>
      </c>
      <c r="AE1615" s="3">
        <f t="shared" si="770"/>
        <v>81.216000000000022</v>
      </c>
      <c r="AF1615">
        <v>101</v>
      </c>
      <c r="AG1615" s="4">
        <f>IFERROR((M1615*O1615*P1615), "NA")</f>
        <v>101.05</v>
      </c>
      <c r="AH1615" s="4">
        <f>IFERROR((AG1615*T1615*AI1615), "NA")</f>
        <v>101.05</v>
      </c>
      <c r="AI1615">
        <v>1</v>
      </c>
      <c r="AJ1615" s="11" t="s">
        <v>31</v>
      </c>
      <c r="AK1615">
        <v>2000</v>
      </c>
      <c r="AL1615" t="s">
        <v>784</v>
      </c>
      <c r="AM1615" t="s">
        <v>103</v>
      </c>
      <c r="AN1615" t="s">
        <v>130</v>
      </c>
      <c r="AO1615" t="s">
        <v>795</v>
      </c>
      <c r="AP1615">
        <v>7</v>
      </c>
      <c r="AQ1615" t="s">
        <v>33</v>
      </c>
      <c r="AR1615" t="s">
        <v>33</v>
      </c>
      <c r="AS1615" s="6">
        <f>LOG(AVERAGE(10^8, 10^9))</f>
        <v>8.7403626894942441</v>
      </c>
      <c r="AT1615" s="3">
        <f>IFERROR(AS1615-AU1615,"NA")</f>
        <v>7.9933626894942442</v>
      </c>
      <c r="AU1615" s="6">
        <v>0.747</v>
      </c>
      <c r="AV1615" t="b">
        <v>1</v>
      </c>
      <c r="AW1615" t="s">
        <v>92</v>
      </c>
      <c r="AX1615" t="s">
        <v>93</v>
      </c>
      <c r="AY1615" t="s">
        <v>716</v>
      </c>
      <c r="AZ1615" t="s">
        <v>33</v>
      </c>
      <c r="BA1615" s="18" t="s">
        <v>801</v>
      </c>
      <c r="BB1615" s="3" t="b">
        <v>0</v>
      </c>
      <c r="BC1615" t="s">
        <v>81</v>
      </c>
      <c r="BD1615">
        <v>24</v>
      </c>
      <c r="BE1615" t="s">
        <v>80</v>
      </c>
      <c r="BF1615">
        <v>24</v>
      </c>
      <c r="BG1615" t="s">
        <v>568</v>
      </c>
      <c r="BH1615" t="s">
        <v>31</v>
      </c>
      <c r="BI1615" t="s">
        <v>31</v>
      </c>
      <c r="BJ1615" s="3">
        <f t="shared" si="772"/>
        <v>0.747</v>
      </c>
      <c r="BK1615" s="3">
        <f t="shared" si="786"/>
        <v>-0.12667939818460122</v>
      </c>
      <c r="BL1615">
        <v>2</v>
      </c>
      <c r="BM1615" s="3">
        <f t="shared" si="784"/>
        <v>2.0363209942631935</v>
      </c>
      <c r="BN1615" t="s">
        <v>33</v>
      </c>
      <c r="BO1615" s="3">
        <f t="shared" si="787"/>
        <v>108.72289156626509</v>
      </c>
      <c r="BP1615" t="s">
        <v>33</v>
      </c>
      <c r="BQ1615" t="s">
        <v>33</v>
      </c>
      <c r="BR1615" t="s">
        <v>33</v>
      </c>
      <c r="BS1615" t="s">
        <v>33</v>
      </c>
      <c r="BT1615" t="s">
        <v>32</v>
      </c>
      <c r="BU1615" t="s">
        <v>709</v>
      </c>
      <c r="BV1615">
        <v>2024</v>
      </c>
      <c r="BW1615" t="s">
        <v>710</v>
      </c>
      <c r="BX1615" t="s">
        <v>78</v>
      </c>
      <c r="BY1615" t="s">
        <v>711</v>
      </c>
      <c r="CA1615" t="str">
        <f t="shared" si="789"/>
        <v>low acid</v>
      </c>
    </row>
    <row r="1616" spans="1:79">
      <c r="A1616" t="s">
        <v>722</v>
      </c>
      <c r="B1616" t="s">
        <v>566</v>
      </c>
      <c r="C1616" t="s">
        <v>563</v>
      </c>
      <c r="D1616" t="s">
        <v>699</v>
      </c>
      <c r="E1616" t="s">
        <v>77</v>
      </c>
      <c r="F1616" t="s">
        <v>32</v>
      </c>
      <c r="G1616">
        <v>20</v>
      </c>
      <c r="H1616">
        <v>41</v>
      </c>
      <c r="I1616" t="b">
        <v>1</v>
      </c>
      <c r="J1616" t="s">
        <v>33</v>
      </c>
      <c r="K1616" t="s">
        <v>33</v>
      </c>
      <c r="L1616">
        <v>20</v>
      </c>
      <c r="M1616" s="4">
        <v>30</v>
      </c>
      <c r="N1616" s="3">
        <f>IFERROR(AF1616/((T1616*X1616/Y1616)*O1616*AI1616),"NA")</f>
        <v>29.861111111111104</v>
      </c>
      <c r="O1616">
        <v>5</v>
      </c>
      <c r="P1616">
        <v>0.43</v>
      </c>
      <c r="Q1616" s="8">
        <f>IFERROR(X1616/Y1616, "NA")</f>
        <v>0.43200000000000011</v>
      </c>
      <c r="R1616" t="s">
        <v>183</v>
      </c>
      <c r="S1616" t="s">
        <v>612</v>
      </c>
      <c r="T1616" s="11">
        <v>1</v>
      </c>
      <c r="U1616">
        <v>4</v>
      </c>
      <c r="V1616" t="s">
        <v>33</v>
      </c>
      <c r="W1616">
        <f>0.4*3*0.5</f>
        <v>0.60000000000000009</v>
      </c>
      <c r="X1616" s="9">
        <f t="shared" si="791"/>
        <v>0.60000000000000009</v>
      </c>
      <c r="Y1616" s="6">
        <f>5000/3600</f>
        <v>1.3888888888888888</v>
      </c>
      <c r="Z1616" s="3">
        <f t="shared" si="792"/>
        <v>1.3953488372093026</v>
      </c>
      <c r="AA1616" t="s">
        <v>33</v>
      </c>
      <c r="AB1616" s="4">
        <f>IFERROR(((X1616*M1616)/Y1616), "NA")</f>
        <v>12.960000000000003</v>
      </c>
      <c r="AC1616" s="4">
        <f t="shared" si="785"/>
        <v>12.9</v>
      </c>
      <c r="AD1616" s="4">
        <f>AB1616*T1616*AI1616</f>
        <v>12.960000000000003</v>
      </c>
      <c r="AE1616" s="3">
        <f t="shared" si="770"/>
        <v>51.840000000000011</v>
      </c>
      <c r="AF1616">
        <v>64.5</v>
      </c>
      <c r="AG1616" s="4">
        <f>IFERROR((M1616*O1616*P1616), "NA")</f>
        <v>64.5</v>
      </c>
      <c r="AH1616" s="4">
        <f>IFERROR((AG1616*T1616*AI1616), "NA")</f>
        <v>64.5</v>
      </c>
      <c r="AI1616">
        <v>1</v>
      </c>
      <c r="AJ1616" s="11" t="s">
        <v>31</v>
      </c>
      <c r="AK1616">
        <v>2000</v>
      </c>
      <c r="AL1616" t="s">
        <v>784</v>
      </c>
      <c r="AM1616" t="s">
        <v>103</v>
      </c>
      <c r="AN1616" t="s">
        <v>130</v>
      </c>
      <c r="AO1616" t="s">
        <v>795</v>
      </c>
      <c r="AP1616">
        <v>7</v>
      </c>
      <c r="AQ1616" t="s">
        <v>33</v>
      </c>
      <c r="AR1616" t="s">
        <v>33</v>
      </c>
      <c r="AS1616" s="6">
        <f>LOG(AVERAGE(10^8, 10^9))</f>
        <v>8.7403626894942441</v>
      </c>
      <c r="AT1616" s="3">
        <f>IFERROR(AS1616-AU1616,"NA")</f>
        <v>7.9993626894942444</v>
      </c>
      <c r="AU1616" s="6">
        <v>0.74099999999999999</v>
      </c>
      <c r="AV1616" t="b">
        <v>1</v>
      </c>
      <c r="AW1616" t="s">
        <v>123</v>
      </c>
      <c r="AX1616" t="s">
        <v>88</v>
      </c>
      <c r="AY1616" t="s">
        <v>729</v>
      </c>
      <c r="AZ1616" t="s">
        <v>33</v>
      </c>
      <c r="BA1616" s="18" t="s">
        <v>579</v>
      </c>
      <c r="BB1616" s="3" t="b">
        <v>1</v>
      </c>
      <c r="BC1616" t="s">
        <v>81</v>
      </c>
      <c r="BD1616">
        <v>24</v>
      </c>
      <c r="BE1616" t="s">
        <v>80</v>
      </c>
      <c r="BF1616">
        <v>48</v>
      </c>
      <c r="BG1616" t="s">
        <v>395</v>
      </c>
      <c r="BH1616" t="s">
        <v>31</v>
      </c>
      <c r="BI1616" t="s">
        <v>31</v>
      </c>
      <c r="BJ1616" s="3">
        <f t="shared" si="772"/>
        <v>0.74099999999999999</v>
      </c>
      <c r="BK1616" s="3">
        <f t="shared" si="786"/>
        <v>-0.13018179202067184</v>
      </c>
      <c r="BL1616">
        <v>2</v>
      </c>
      <c r="BM1616" s="3">
        <f t="shared" si="784"/>
        <v>1.8448467848832089</v>
      </c>
      <c r="BN1616" t="s">
        <v>33</v>
      </c>
      <c r="BO1616" s="3">
        <f t="shared" si="787"/>
        <v>69.959514170040507</v>
      </c>
      <c r="BP1616" t="s">
        <v>33</v>
      </c>
      <c r="BQ1616" t="s">
        <v>33</v>
      </c>
      <c r="BR1616" t="s">
        <v>33</v>
      </c>
      <c r="BS1616" t="s">
        <v>33</v>
      </c>
      <c r="BT1616" t="s">
        <v>32</v>
      </c>
      <c r="BU1616" t="s">
        <v>709</v>
      </c>
      <c r="BV1616">
        <v>2024</v>
      </c>
      <c r="BW1616" t="s">
        <v>710</v>
      </c>
      <c r="BX1616" t="s">
        <v>78</v>
      </c>
      <c r="BY1616" t="s">
        <v>711</v>
      </c>
      <c r="CA1616" t="str">
        <f t="shared" si="789"/>
        <v>low acid</v>
      </c>
    </row>
    <row r="1617" spans="1:79">
      <c r="A1617" t="s">
        <v>712</v>
      </c>
      <c r="B1617" t="s">
        <v>566</v>
      </c>
      <c r="C1617" t="s">
        <v>563</v>
      </c>
      <c r="D1617" t="s">
        <v>699</v>
      </c>
      <c r="E1617" t="s">
        <v>77</v>
      </c>
      <c r="F1617" t="s">
        <v>32</v>
      </c>
      <c r="G1617">
        <v>20</v>
      </c>
      <c r="H1617">
        <v>42.5</v>
      </c>
      <c r="I1617" t="b">
        <v>1</v>
      </c>
      <c r="J1617" t="s">
        <v>33</v>
      </c>
      <c r="K1617" t="s">
        <v>33</v>
      </c>
      <c r="L1617">
        <v>20</v>
      </c>
      <c r="M1617" s="4">
        <v>47</v>
      </c>
      <c r="N1617" s="3">
        <f>IFERROR(AF1617/((T1617*X1617/Y1617)*O1617*AI1617),"NA")</f>
        <v>46.759259259259245</v>
      </c>
      <c r="O1617">
        <v>5</v>
      </c>
      <c r="P1617">
        <v>0.43</v>
      </c>
      <c r="Q1617" s="8">
        <f>IFERROR(X1617/Y1617, "NA")</f>
        <v>0.43200000000000011</v>
      </c>
      <c r="R1617" t="s">
        <v>183</v>
      </c>
      <c r="S1617" t="s">
        <v>612</v>
      </c>
      <c r="T1617" s="11">
        <v>1</v>
      </c>
      <c r="U1617">
        <v>4</v>
      </c>
      <c r="V1617" t="s">
        <v>33</v>
      </c>
      <c r="W1617">
        <f>0.4*3*0.5</f>
        <v>0.60000000000000009</v>
      </c>
      <c r="X1617" s="9">
        <f t="shared" si="791"/>
        <v>0.60000000000000009</v>
      </c>
      <c r="Y1617" s="6">
        <f>5000/3600</f>
        <v>1.3888888888888888</v>
      </c>
      <c r="Z1617" s="3">
        <f t="shared" si="792"/>
        <v>1.3960396039603959</v>
      </c>
      <c r="AA1617" t="s">
        <v>33</v>
      </c>
      <c r="AB1617" s="4">
        <f>IFERROR(((X1617*M1617)/Y1617), "NA")</f>
        <v>20.304000000000002</v>
      </c>
      <c r="AC1617" s="4">
        <f t="shared" si="785"/>
        <v>20.21</v>
      </c>
      <c r="AD1617" s="4">
        <f>AB1617*T1617*AI1617</f>
        <v>20.304000000000002</v>
      </c>
      <c r="AE1617" s="3">
        <f t="shared" si="770"/>
        <v>81.216000000000022</v>
      </c>
      <c r="AF1617">
        <v>101</v>
      </c>
      <c r="AG1617" s="4">
        <f>IFERROR((M1617*O1617*P1617), "NA")</f>
        <v>101.05</v>
      </c>
      <c r="AH1617" s="4">
        <f>IFERROR((AG1617*T1617*AI1617), "NA")</f>
        <v>101.05</v>
      </c>
      <c r="AI1617">
        <v>1</v>
      </c>
      <c r="AJ1617" s="11" t="s">
        <v>31</v>
      </c>
      <c r="AK1617">
        <v>2000</v>
      </c>
      <c r="AL1617" t="s">
        <v>784</v>
      </c>
      <c r="AM1617" t="s">
        <v>103</v>
      </c>
      <c r="AN1617" t="s">
        <v>130</v>
      </c>
      <c r="AO1617" t="s">
        <v>795</v>
      </c>
      <c r="AP1617">
        <v>7</v>
      </c>
      <c r="AQ1617" t="s">
        <v>33</v>
      </c>
      <c r="AR1617" t="s">
        <v>33</v>
      </c>
      <c r="AS1617" s="6">
        <f>LOG(AVERAGE(10^8, 10^9))</f>
        <v>8.7403626894942441</v>
      </c>
      <c r="AT1617" s="3">
        <f>IFERROR(AS1617-AU1617,"NA")</f>
        <v>8.0023626894942446</v>
      </c>
      <c r="AU1617" s="6">
        <v>0.73799999999999999</v>
      </c>
      <c r="AV1617" t="b">
        <v>1</v>
      </c>
      <c r="AW1617" t="s">
        <v>92</v>
      </c>
      <c r="AX1617" t="s">
        <v>93</v>
      </c>
      <c r="AY1617" t="s">
        <v>715</v>
      </c>
      <c r="AZ1617" t="s">
        <v>33</v>
      </c>
      <c r="BA1617" s="18" t="s">
        <v>801</v>
      </c>
      <c r="BB1617" s="3" t="b">
        <v>0</v>
      </c>
      <c r="BC1617" t="s">
        <v>81</v>
      </c>
      <c r="BD1617">
        <v>24</v>
      </c>
      <c r="BE1617" t="s">
        <v>80</v>
      </c>
      <c r="BF1617">
        <v>24</v>
      </c>
      <c r="BG1617" t="s">
        <v>568</v>
      </c>
      <c r="BH1617" t="s">
        <v>31</v>
      </c>
      <c r="BI1617" t="s">
        <v>31</v>
      </c>
      <c r="BJ1617" s="3">
        <f t="shared" si="772"/>
        <v>0.73799999999999999</v>
      </c>
      <c r="BK1617" s="3">
        <f t="shared" si="786"/>
        <v>-0.13194363817695845</v>
      </c>
      <c r="BL1617">
        <v>2</v>
      </c>
      <c r="BM1617" s="3">
        <f t="shared" si="784"/>
        <v>2.0415852342555505</v>
      </c>
      <c r="BN1617" t="s">
        <v>33</v>
      </c>
      <c r="BO1617" s="3">
        <f t="shared" si="787"/>
        <v>110.0487804878049</v>
      </c>
      <c r="BP1617" t="s">
        <v>33</v>
      </c>
      <c r="BQ1617" t="s">
        <v>33</v>
      </c>
      <c r="BR1617" t="s">
        <v>33</v>
      </c>
      <c r="BS1617" t="s">
        <v>33</v>
      </c>
      <c r="BT1617" t="s">
        <v>32</v>
      </c>
      <c r="BU1617" t="s">
        <v>709</v>
      </c>
      <c r="BV1617">
        <v>2024</v>
      </c>
      <c r="BW1617" t="s">
        <v>710</v>
      </c>
      <c r="BX1617" t="s">
        <v>78</v>
      </c>
      <c r="BY1617" t="s">
        <v>711</v>
      </c>
      <c r="CA1617" t="str">
        <f t="shared" si="789"/>
        <v>low acid</v>
      </c>
    </row>
    <row r="1618" spans="1:79">
      <c r="A1618" t="s">
        <v>712</v>
      </c>
      <c r="B1618" t="s">
        <v>566</v>
      </c>
      <c r="C1618" t="s">
        <v>563</v>
      </c>
      <c r="D1618" t="s">
        <v>699</v>
      </c>
      <c r="E1618" t="s">
        <v>77</v>
      </c>
      <c r="F1618" t="s">
        <v>32</v>
      </c>
      <c r="G1618">
        <v>20</v>
      </c>
      <c r="H1618">
        <v>42.5</v>
      </c>
      <c r="I1618" t="b">
        <v>1</v>
      </c>
      <c r="J1618" t="s">
        <v>33</v>
      </c>
      <c r="K1618" t="s">
        <v>33</v>
      </c>
      <c r="L1618">
        <v>20</v>
      </c>
      <c r="M1618" s="4">
        <v>47</v>
      </c>
      <c r="N1618" s="3">
        <f>IFERROR(AF1618/((T1618*X1618/Y1618)*O1618*AI1618),"NA")</f>
        <v>46.759259259259245</v>
      </c>
      <c r="O1618">
        <v>5</v>
      </c>
      <c r="P1618">
        <v>0.43</v>
      </c>
      <c r="Q1618" s="8">
        <f>IFERROR(X1618/Y1618, "NA")</f>
        <v>0.43200000000000011</v>
      </c>
      <c r="R1618" t="s">
        <v>183</v>
      </c>
      <c r="S1618" t="s">
        <v>612</v>
      </c>
      <c r="T1618" s="11">
        <v>1</v>
      </c>
      <c r="U1618">
        <v>4</v>
      </c>
      <c r="V1618" t="s">
        <v>33</v>
      </c>
      <c r="W1618">
        <f>0.4*3*0.5</f>
        <v>0.60000000000000009</v>
      </c>
      <c r="X1618" s="9">
        <f t="shared" si="791"/>
        <v>0.60000000000000009</v>
      </c>
      <c r="Y1618" s="6">
        <f>5000/3600</f>
        <v>1.3888888888888888</v>
      </c>
      <c r="Z1618" s="3">
        <f t="shared" si="792"/>
        <v>1.3960396039603959</v>
      </c>
      <c r="AA1618" t="s">
        <v>33</v>
      </c>
      <c r="AB1618" s="4">
        <f>IFERROR(((X1618*M1618)/Y1618), "NA")</f>
        <v>20.304000000000002</v>
      </c>
      <c r="AC1618" s="4">
        <f t="shared" si="785"/>
        <v>20.21</v>
      </c>
      <c r="AD1618" s="4">
        <f>AB1618*T1618*AI1618</f>
        <v>20.304000000000002</v>
      </c>
      <c r="AE1618" s="3">
        <f t="shared" si="770"/>
        <v>81.216000000000022</v>
      </c>
      <c r="AF1618">
        <v>101</v>
      </c>
      <c r="AG1618" s="4">
        <f>IFERROR((M1618*O1618*P1618), "NA")</f>
        <v>101.05</v>
      </c>
      <c r="AH1618" s="4">
        <f>IFERROR((AG1618*T1618*AI1618), "NA")</f>
        <v>101.05</v>
      </c>
      <c r="AI1618">
        <v>1</v>
      </c>
      <c r="AJ1618" s="11" t="s">
        <v>31</v>
      </c>
      <c r="AK1618">
        <v>2000</v>
      </c>
      <c r="AL1618" t="s">
        <v>784</v>
      </c>
      <c r="AM1618" t="s">
        <v>103</v>
      </c>
      <c r="AN1618" t="s">
        <v>130</v>
      </c>
      <c r="AO1618" t="s">
        <v>795</v>
      </c>
      <c r="AP1618">
        <v>7</v>
      </c>
      <c r="AQ1618" t="s">
        <v>33</v>
      </c>
      <c r="AR1618" t="s">
        <v>33</v>
      </c>
      <c r="AS1618" s="6">
        <f>LOG(AVERAGE(10^8, 10^9))</f>
        <v>8.7403626894942441</v>
      </c>
      <c r="AT1618" s="3">
        <f>IFERROR(AS1618-AU1618,"NA")</f>
        <v>8.0293626894942438</v>
      </c>
      <c r="AU1618" s="6">
        <v>0.71099999999999997</v>
      </c>
      <c r="AV1618" t="b">
        <v>1</v>
      </c>
      <c r="AW1618" t="s">
        <v>92</v>
      </c>
      <c r="AX1618" t="s">
        <v>93</v>
      </c>
      <c r="AY1618" t="s">
        <v>720</v>
      </c>
      <c r="AZ1618" t="s">
        <v>33</v>
      </c>
      <c r="BA1618" s="18" t="s">
        <v>801</v>
      </c>
      <c r="BB1618" s="3" t="b">
        <v>0</v>
      </c>
      <c r="BC1618" t="s">
        <v>81</v>
      </c>
      <c r="BD1618">
        <v>24</v>
      </c>
      <c r="BE1618" t="s">
        <v>80</v>
      </c>
      <c r="BF1618">
        <v>24</v>
      </c>
      <c r="BG1618" t="s">
        <v>568</v>
      </c>
      <c r="BH1618" t="s">
        <v>31</v>
      </c>
      <c r="BI1618" t="s">
        <v>31</v>
      </c>
      <c r="BJ1618" s="3">
        <f t="shared" si="772"/>
        <v>0.71099999999999997</v>
      </c>
      <c r="BK1618" s="3">
        <f t="shared" si="786"/>
        <v>-0.14813039927023372</v>
      </c>
      <c r="BL1618">
        <v>2</v>
      </c>
      <c r="BM1618" s="3">
        <f t="shared" si="784"/>
        <v>2.0577719953488258</v>
      </c>
      <c r="BN1618" t="s">
        <v>33</v>
      </c>
      <c r="BO1618" s="3">
        <f t="shared" si="787"/>
        <v>114.22784810126586</v>
      </c>
      <c r="BP1618" t="s">
        <v>33</v>
      </c>
      <c r="BQ1618" t="s">
        <v>33</v>
      </c>
      <c r="BR1618" t="s">
        <v>33</v>
      </c>
      <c r="BS1618" t="s">
        <v>33</v>
      </c>
      <c r="BT1618" t="s">
        <v>32</v>
      </c>
      <c r="BU1618" t="s">
        <v>709</v>
      </c>
      <c r="BV1618">
        <v>2024</v>
      </c>
      <c r="BW1618" t="s">
        <v>710</v>
      </c>
      <c r="BX1618" t="s">
        <v>78</v>
      </c>
      <c r="BY1618" t="s">
        <v>711</v>
      </c>
      <c r="CA1618" t="str">
        <f t="shared" si="789"/>
        <v>low acid</v>
      </c>
    </row>
    <row r="1619" spans="1:79">
      <c r="A1619" t="s">
        <v>589</v>
      </c>
      <c r="B1619" t="s">
        <v>566</v>
      </c>
      <c r="C1619" t="s">
        <v>563</v>
      </c>
      <c r="D1619" t="s">
        <v>33</v>
      </c>
      <c r="E1619" t="s">
        <v>77</v>
      </c>
      <c r="F1619" t="s">
        <v>33</v>
      </c>
      <c r="G1619" t="s">
        <v>33</v>
      </c>
      <c r="H1619">
        <v>35</v>
      </c>
      <c r="I1619" t="b">
        <v>0</v>
      </c>
      <c r="J1619" t="s">
        <v>33</v>
      </c>
      <c r="K1619" t="s">
        <v>33</v>
      </c>
      <c r="L1619">
        <v>9</v>
      </c>
      <c r="M1619" s="4">
        <v>1</v>
      </c>
      <c r="N1619" t="e">
        <f>(#REF!*Y1619)/(T1619*X1619*O1619)</f>
        <v>#REF!</v>
      </c>
      <c r="O1619">
        <v>2</v>
      </c>
      <c r="P1619" t="s">
        <v>33</v>
      </c>
      <c r="Q1619" s="1">
        <f>IFERROR(X1619/Z1619, "NA")</f>
        <v>394</v>
      </c>
      <c r="R1619" t="s">
        <v>183</v>
      </c>
      <c r="S1619" t="s">
        <v>613</v>
      </c>
      <c r="T1619">
        <v>1</v>
      </c>
      <c r="U1619">
        <v>2.5</v>
      </c>
      <c r="V1619" t="s">
        <v>33</v>
      </c>
      <c r="W1619">
        <v>0.50249999999999995</v>
      </c>
      <c r="X1619">
        <f t="shared" si="791"/>
        <v>0.50249999999999995</v>
      </c>
      <c r="Y1619" t="s">
        <v>33</v>
      </c>
      <c r="Z1619" s="3">
        <f t="shared" si="792"/>
        <v>1.2753807106598983E-3</v>
      </c>
      <c r="AA1619" t="s">
        <v>33</v>
      </c>
      <c r="AB1619">
        <f>IFERROR(((X1619*M1619)/Z1619), "NA")</f>
        <v>394</v>
      </c>
      <c r="AC1619" s="1" t="str">
        <f t="shared" si="785"/>
        <v>NA</v>
      </c>
      <c r="AE1619" s="3">
        <f t="shared" si="770"/>
        <v>127.65600000000001</v>
      </c>
      <c r="AF1619">
        <v>788</v>
      </c>
      <c r="AG1619" s="1" t="str">
        <f>IFERROR((N1619*P1619*Q1619), "NA")</f>
        <v>NA</v>
      </c>
      <c r="AH1619" s="1" t="str">
        <f>IFERROR((AG1619*U1619*AI1619), "NA")</f>
        <v>NA</v>
      </c>
      <c r="AI1619" s="1">
        <v>1</v>
      </c>
      <c r="AJ1619" s="11" t="s">
        <v>31</v>
      </c>
      <c r="AK1619">
        <v>2000</v>
      </c>
      <c r="AL1619" t="s">
        <v>616</v>
      </c>
      <c r="AM1619" s="3" t="s">
        <v>103</v>
      </c>
      <c r="AN1619" t="s">
        <v>130</v>
      </c>
      <c r="AO1619" t="s">
        <v>795</v>
      </c>
      <c r="AP1619">
        <v>7</v>
      </c>
      <c r="AQ1619" t="s">
        <v>33</v>
      </c>
      <c r="AR1619" t="s">
        <v>33</v>
      </c>
      <c r="AS1619">
        <v>9</v>
      </c>
      <c r="AT1619">
        <f>AS1619-AU1619</f>
        <v>8.0299999999999994</v>
      </c>
      <c r="AU1619" s="6">
        <v>0.97</v>
      </c>
      <c r="AV1619" t="b">
        <v>1</v>
      </c>
      <c r="AW1619" t="s">
        <v>617</v>
      </c>
      <c r="AX1619" t="s">
        <v>33</v>
      </c>
      <c r="AY1619" t="s">
        <v>628</v>
      </c>
      <c r="AZ1619" t="s">
        <v>619</v>
      </c>
      <c r="BA1619" s="18" t="s">
        <v>802</v>
      </c>
      <c r="BB1619" s="3" t="b">
        <v>0</v>
      </c>
      <c r="BC1619" t="s">
        <v>81</v>
      </c>
      <c r="BD1619">
        <v>24</v>
      </c>
      <c r="BE1619" t="s">
        <v>80</v>
      </c>
      <c r="BF1619">
        <v>24</v>
      </c>
      <c r="BG1619" t="s">
        <v>644</v>
      </c>
      <c r="BH1619" t="s">
        <v>31</v>
      </c>
      <c r="BI1619" t="s">
        <v>31</v>
      </c>
      <c r="BJ1619">
        <f t="shared" si="772"/>
        <v>0.97</v>
      </c>
      <c r="BK1619" s="3">
        <f t="shared" si="786"/>
        <v>-1.322826573375516E-2</v>
      </c>
      <c r="BL1619">
        <v>2</v>
      </c>
      <c r="BM1619" s="3">
        <f t="shared" si="784"/>
        <v>2.1192694977659414</v>
      </c>
      <c r="BN1619" t="s">
        <v>33</v>
      </c>
      <c r="BO1619" s="3">
        <f t="shared" si="787"/>
        <v>131.60412371134021</v>
      </c>
      <c r="BP1619" t="s">
        <v>33</v>
      </c>
      <c r="BQ1619" t="s">
        <v>33</v>
      </c>
      <c r="BR1619" t="s">
        <v>33</v>
      </c>
      <c r="BS1619" t="s">
        <v>33</v>
      </c>
      <c r="BT1619" t="s">
        <v>31</v>
      </c>
      <c r="BU1619" s="15" t="s">
        <v>655</v>
      </c>
      <c r="BV1619">
        <v>2003</v>
      </c>
      <c r="BW1619" t="s">
        <v>656</v>
      </c>
      <c r="BX1619" t="s">
        <v>78</v>
      </c>
      <c r="BY1619" s="13" t="s">
        <v>677</v>
      </c>
      <c r="CA1619" t="str">
        <f t="shared" si="789"/>
        <v>low acid</v>
      </c>
    </row>
    <row r="1620" spans="1:79">
      <c r="A1620" t="s">
        <v>597</v>
      </c>
      <c r="B1620" t="s">
        <v>565</v>
      </c>
      <c r="C1620" t="s">
        <v>563</v>
      </c>
      <c r="D1620" t="s">
        <v>33</v>
      </c>
      <c r="E1620" t="s">
        <v>77</v>
      </c>
      <c r="F1620" t="s">
        <v>33</v>
      </c>
      <c r="G1620">
        <v>20</v>
      </c>
      <c r="H1620">
        <v>35</v>
      </c>
      <c r="I1620" t="b">
        <v>0</v>
      </c>
      <c r="J1620" t="s">
        <v>33</v>
      </c>
      <c r="K1620" t="s">
        <v>33</v>
      </c>
      <c r="L1620">
        <v>22</v>
      </c>
      <c r="M1620" s="4">
        <v>1</v>
      </c>
      <c r="N1620" t="e">
        <f>(#REF!*Y1620)/(T1620*X1620*O1620)</f>
        <v>#REF!</v>
      </c>
      <c r="O1620">
        <v>2</v>
      </c>
      <c r="P1620" t="s">
        <v>33</v>
      </c>
      <c r="Q1620" s="1">
        <f>IFERROR(X1620/Z1620, "NA")</f>
        <v>12.27</v>
      </c>
      <c r="R1620" t="s">
        <v>183</v>
      </c>
      <c r="S1620" t="s">
        <v>33</v>
      </c>
      <c r="T1620">
        <v>1</v>
      </c>
      <c r="U1620">
        <v>2.5</v>
      </c>
      <c r="V1620" t="s">
        <v>33</v>
      </c>
      <c r="W1620">
        <v>0.50249999999999995</v>
      </c>
      <c r="X1620">
        <f t="shared" si="791"/>
        <v>0.50249999999999995</v>
      </c>
      <c r="Y1620" t="s">
        <v>33</v>
      </c>
      <c r="Z1620" s="3">
        <f t="shared" si="792"/>
        <v>4.0953545232273833E-2</v>
      </c>
      <c r="AA1620" t="s">
        <v>33</v>
      </c>
      <c r="AB1620">
        <f>IFERROR(((X1620*M1620)/Z1620), "NA")</f>
        <v>12.27</v>
      </c>
      <c r="AC1620" s="1" t="str">
        <f t="shared" si="785"/>
        <v>NA</v>
      </c>
      <c r="AE1620" s="3">
        <f t="shared" si="770"/>
        <v>23.754719999999999</v>
      </c>
      <c r="AF1620">
        <v>24.54</v>
      </c>
      <c r="AG1620" s="1" t="str">
        <f>IFERROR((N1620*P1620*Q1620), "NA")</f>
        <v>NA</v>
      </c>
      <c r="AH1620" s="1" t="str">
        <f>IFERROR((AG1620*U1620*AI1620), "NA")</f>
        <v>NA</v>
      </c>
      <c r="AI1620" s="1">
        <v>1</v>
      </c>
      <c r="AJ1620" s="11" t="s">
        <v>31</v>
      </c>
      <c r="AK1620">
        <v>2000</v>
      </c>
      <c r="AL1620" t="s">
        <v>784</v>
      </c>
      <c r="AM1620" s="3" t="s">
        <v>103</v>
      </c>
      <c r="AN1620" t="s">
        <v>130</v>
      </c>
      <c r="AO1620" t="s">
        <v>795</v>
      </c>
      <c r="AP1620">
        <v>7</v>
      </c>
      <c r="AQ1620" t="s">
        <v>33</v>
      </c>
      <c r="AR1620" t="s">
        <v>33</v>
      </c>
      <c r="AS1620">
        <v>9</v>
      </c>
      <c r="AT1620">
        <f>AS1620-AU1620</f>
        <v>8.06</v>
      </c>
      <c r="AU1620" s="6">
        <v>0.94</v>
      </c>
      <c r="AV1620" t="b">
        <v>1</v>
      </c>
      <c r="AW1620" t="s">
        <v>617</v>
      </c>
      <c r="AX1620" t="s">
        <v>635</v>
      </c>
      <c r="AY1620" t="s">
        <v>636</v>
      </c>
      <c r="AZ1620" t="s">
        <v>33</v>
      </c>
      <c r="BA1620" s="18" t="s">
        <v>802</v>
      </c>
      <c r="BB1620" s="3" t="b">
        <v>0</v>
      </c>
      <c r="BC1620" t="s">
        <v>81</v>
      </c>
      <c r="BD1620">
        <v>24</v>
      </c>
      <c r="BE1620" t="s">
        <v>80</v>
      </c>
      <c r="BF1620">
        <v>24</v>
      </c>
      <c r="BG1620" t="s">
        <v>644</v>
      </c>
      <c r="BH1620" t="s">
        <v>31</v>
      </c>
      <c r="BI1620" t="s">
        <v>31</v>
      </c>
      <c r="BJ1620">
        <f t="shared" si="772"/>
        <v>0.94</v>
      </c>
      <c r="BK1620" s="3">
        <f t="shared" si="786"/>
        <v>-2.6872146400301365E-2</v>
      </c>
      <c r="BL1620">
        <v>2</v>
      </c>
      <c r="BM1620" s="3">
        <f t="shared" si="784"/>
        <v>1.4026220620996805</v>
      </c>
      <c r="BN1620" t="s">
        <v>33</v>
      </c>
      <c r="BO1620" s="3">
        <f t="shared" si="787"/>
        <v>25.270978723404255</v>
      </c>
      <c r="BP1620" t="s">
        <v>33</v>
      </c>
      <c r="BQ1620" t="s">
        <v>33</v>
      </c>
      <c r="BR1620" t="s">
        <v>33</v>
      </c>
      <c r="BS1620" t="s">
        <v>33</v>
      </c>
      <c r="BT1620" t="s">
        <v>31</v>
      </c>
      <c r="BU1620" t="s">
        <v>664</v>
      </c>
      <c r="BV1620">
        <v>2000</v>
      </c>
      <c r="BW1620" t="s">
        <v>665</v>
      </c>
      <c r="BX1620" t="s">
        <v>78</v>
      </c>
      <c r="BY1620" s="13" t="s">
        <v>685</v>
      </c>
      <c r="CA1620" t="str">
        <f t="shared" si="789"/>
        <v>low acid</v>
      </c>
    </row>
    <row r="1621" spans="1:79">
      <c r="A1621" t="s">
        <v>712</v>
      </c>
      <c r="B1621" t="s">
        <v>566</v>
      </c>
      <c r="C1621" t="s">
        <v>563</v>
      </c>
      <c r="D1621" t="s">
        <v>699</v>
      </c>
      <c r="E1621" t="s">
        <v>77</v>
      </c>
      <c r="F1621" t="s">
        <v>32</v>
      </c>
      <c r="G1621">
        <v>20</v>
      </c>
      <c r="H1621">
        <v>42.5</v>
      </c>
      <c r="I1621" t="b">
        <v>1</v>
      </c>
      <c r="J1621" t="s">
        <v>33</v>
      </c>
      <c r="K1621" t="s">
        <v>33</v>
      </c>
      <c r="L1621">
        <v>20</v>
      </c>
      <c r="M1621" s="4">
        <v>47</v>
      </c>
      <c r="N1621" s="3">
        <f>IFERROR(AF1621/((T1621*X1621/Y1621)*O1621*AI1621),"NA")</f>
        <v>46.759259259259245</v>
      </c>
      <c r="O1621">
        <v>5</v>
      </c>
      <c r="P1621">
        <v>0.43</v>
      </c>
      <c r="Q1621" s="8">
        <f>IFERROR(X1621/Y1621, "NA")</f>
        <v>0.43200000000000011</v>
      </c>
      <c r="R1621" t="s">
        <v>183</v>
      </c>
      <c r="S1621" t="s">
        <v>612</v>
      </c>
      <c r="T1621" s="11">
        <v>1</v>
      </c>
      <c r="U1621">
        <v>4</v>
      </c>
      <c r="V1621" t="s">
        <v>33</v>
      </c>
      <c r="W1621">
        <f>0.4*3*0.5</f>
        <v>0.60000000000000009</v>
      </c>
      <c r="X1621" s="9">
        <f t="shared" si="791"/>
        <v>0.60000000000000009</v>
      </c>
      <c r="Y1621" s="6">
        <f>5000/3600</f>
        <v>1.3888888888888888</v>
      </c>
      <c r="Z1621" s="3">
        <f t="shared" si="792"/>
        <v>1.3960396039603959</v>
      </c>
      <c r="AA1621" t="s">
        <v>33</v>
      </c>
      <c r="AB1621" s="4">
        <f>IFERROR(((X1621*M1621)/Y1621), "NA")</f>
        <v>20.304000000000002</v>
      </c>
      <c r="AC1621" s="4">
        <f t="shared" si="785"/>
        <v>20.21</v>
      </c>
      <c r="AD1621" s="4">
        <f>AB1621*T1621*AI1621</f>
        <v>20.304000000000002</v>
      </c>
      <c r="AE1621" s="3">
        <f t="shared" si="770"/>
        <v>81.216000000000022</v>
      </c>
      <c r="AF1621">
        <v>101</v>
      </c>
      <c r="AG1621" s="4">
        <f>IFERROR((M1621*O1621*P1621), "NA")</f>
        <v>101.05</v>
      </c>
      <c r="AH1621" s="4">
        <f>IFERROR((AG1621*T1621*AI1621), "NA")</f>
        <v>101.05</v>
      </c>
      <c r="AI1621">
        <v>1</v>
      </c>
      <c r="AJ1621" s="11" t="s">
        <v>31</v>
      </c>
      <c r="AK1621">
        <v>2000</v>
      </c>
      <c r="AL1621" t="s">
        <v>784</v>
      </c>
      <c r="AM1621" t="s">
        <v>103</v>
      </c>
      <c r="AN1621" t="s">
        <v>130</v>
      </c>
      <c r="AO1621" t="s">
        <v>795</v>
      </c>
      <c r="AP1621">
        <v>7</v>
      </c>
      <c r="AQ1621" t="s">
        <v>33</v>
      </c>
      <c r="AR1621" t="s">
        <v>33</v>
      </c>
      <c r="AS1621" s="6">
        <f>LOG(AVERAGE(10^8, 10^9))</f>
        <v>8.7403626894942441</v>
      </c>
      <c r="AT1621" s="3">
        <f>IFERROR(AS1621-AU1621,"NA")</f>
        <v>8.0653626894942434</v>
      </c>
      <c r="AU1621" s="6">
        <v>0.67500000000000004</v>
      </c>
      <c r="AV1621" t="b">
        <v>1</v>
      </c>
      <c r="AW1621" t="s">
        <v>92</v>
      </c>
      <c r="AX1621" t="s">
        <v>93</v>
      </c>
      <c r="AY1621" t="s">
        <v>721</v>
      </c>
      <c r="AZ1621" t="s">
        <v>33</v>
      </c>
      <c r="BA1621" s="18" t="s">
        <v>801</v>
      </c>
      <c r="BB1621" s="3" t="b">
        <v>0</v>
      </c>
      <c r="BC1621" t="s">
        <v>81</v>
      </c>
      <c r="BD1621">
        <v>24</v>
      </c>
      <c r="BE1621" t="s">
        <v>80</v>
      </c>
      <c r="BF1621">
        <v>24</v>
      </c>
      <c r="BG1621" t="s">
        <v>568</v>
      </c>
      <c r="BH1621" t="s">
        <v>31</v>
      </c>
      <c r="BI1621" t="s">
        <v>31</v>
      </c>
      <c r="BJ1621" s="3">
        <f t="shared" si="772"/>
        <v>0.67500000000000004</v>
      </c>
      <c r="BK1621" s="3">
        <f t="shared" si="786"/>
        <v>-0.17069622716897506</v>
      </c>
      <c r="BL1621">
        <v>2</v>
      </c>
      <c r="BM1621" s="3">
        <f t="shared" si="784"/>
        <v>2.0803378232475671</v>
      </c>
      <c r="BN1621" t="s">
        <v>33</v>
      </c>
      <c r="BO1621" s="3">
        <f t="shared" si="787"/>
        <v>120.32000000000002</v>
      </c>
      <c r="BP1621" t="s">
        <v>33</v>
      </c>
      <c r="BQ1621" t="s">
        <v>33</v>
      </c>
      <c r="BR1621" t="s">
        <v>33</v>
      </c>
      <c r="BS1621" t="s">
        <v>33</v>
      </c>
      <c r="BT1621" t="s">
        <v>32</v>
      </c>
      <c r="BU1621" t="s">
        <v>709</v>
      </c>
      <c r="BV1621">
        <v>2024</v>
      </c>
      <c r="BW1621" t="s">
        <v>710</v>
      </c>
      <c r="BX1621" t="s">
        <v>78</v>
      </c>
      <c r="BY1621" t="s">
        <v>711</v>
      </c>
      <c r="CA1621" t="str">
        <f t="shared" si="789"/>
        <v>low acid</v>
      </c>
    </row>
    <row r="1622" spans="1:79">
      <c r="A1622" t="s">
        <v>496</v>
      </c>
      <c r="B1622" t="s">
        <v>566</v>
      </c>
      <c r="C1622" t="s">
        <v>563</v>
      </c>
      <c r="D1622" t="s">
        <v>279</v>
      </c>
      <c r="E1622" t="s">
        <v>77</v>
      </c>
      <c r="F1622" t="s">
        <v>32</v>
      </c>
      <c r="G1622">
        <v>15</v>
      </c>
      <c r="H1622">
        <v>35</v>
      </c>
      <c r="I1622" t="b">
        <v>0</v>
      </c>
      <c r="J1622" t="s">
        <v>33</v>
      </c>
      <c r="K1622" t="s">
        <v>33</v>
      </c>
      <c r="L1622">
        <v>15</v>
      </c>
      <c r="M1622" s="4">
        <v>1000</v>
      </c>
      <c r="N1622" s="3">
        <f>IFERROR(AF1622/((T1622*X1622/Y1622)*O1622*AI1622),"NA")</f>
        <v>999.99999999999989</v>
      </c>
      <c r="O1622">
        <v>20</v>
      </c>
      <c r="P1622">
        <f>0.02/0.5</f>
        <v>0.04</v>
      </c>
      <c r="Q1622" s="8">
        <f>IFERROR(X1622/Z1622, "NA")</f>
        <v>3.95840674352314E-2</v>
      </c>
      <c r="R1622" t="s">
        <v>183</v>
      </c>
      <c r="S1622" t="s">
        <v>613</v>
      </c>
      <c r="T1622" s="11">
        <v>1</v>
      </c>
      <c r="U1622">
        <v>2.8</v>
      </c>
      <c r="V1622">
        <v>3</v>
      </c>
      <c r="W1622">
        <v>0.02</v>
      </c>
      <c r="X1622" s="9">
        <f>IFERROR(((PI())*(((V1622*10^-1)/2)^2)*(U1622*10^-1)), "NA")</f>
        <v>1.97920337176157E-2</v>
      </c>
      <c r="Y1622">
        <v>0.5</v>
      </c>
      <c r="Z1622" s="3">
        <f t="shared" si="792"/>
        <v>0.5</v>
      </c>
      <c r="AA1622" t="s">
        <v>33</v>
      </c>
      <c r="AB1622" s="4">
        <f>IFERROR(((X1622*M1622)/Y1622), "NA")</f>
        <v>39.584067435231397</v>
      </c>
      <c r="AC1622" s="4">
        <f t="shared" si="785"/>
        <v>40</v>
      </c>
      <c r="AD1622" s="4">
        <f>IFERROR(AB1622*T1622*AI1622, "NA")</f>
        <v>39.584067435231397</v>
      </c>
      <c r="AE1622" s="3">
        <f t="shared" si="770"/>
        <v>32.063094622537434</v>
      </c>
      <c r="AF1622" s="4">
        <f>AI1622*T1622*AB1622*O1622</f>
        <v>791.68134870462791</v>
      </c>
      <c r="AG1622" s="4">
        <f>IFERROR((M1622*O1622*P1622), "NA")</f>
        <v>800</v>
      </c>
      <c r="AH1622" s="4">
        <f>IFERROR((AG1622*T1622*AI1622), "NA")</f>
        <v>800</v>
      </c>
      <c r="AI1622" s="11">
        <v>1</v>
      </c>
      <c r="AJ1622" t="s">
        <v>31</v>
      </c>
      <c r="AK1622" s="11">
        <v>180</v>
      </c>
      <c r="AL1622" t="s">
        <v>492</v>
      </c>
      <c r="AM1622" t="s">
        <v>103</v>
      </c>
      <c r="AN1622" t="s">
        <v>130</v>
      </c>
      <c r="AO1622" t="s">
        <v>795</v>
      </c>
      <c r="AP1622" t="s">
        <v>33</v>
      </c>
      <c r="AQ1622" t="s">
        <v>33</v>
      </c>
      <c r="AR1622" t="s">
        <v>33</v>
      </c>
      <c r="AS1622" s="6">
        <f>LOG(10^9)</f>
        <v>9</v>
      </c>
      <c r="AT1622" s="3">
        <f>IFERROR(AS1622-AU1622,"NA")</f>
        <v>8.0749999999999993</v>
      </c>
      <c r="AU1622" s="6">
        <v>0.92500000000000004</v>
      </c>
      <c r="AV1622" t="b">
        <v>1</v>
      </c>
      <c r="AW1622" t="s">
        <v>29</v>
      </c>
      <c r="AX1622" t="s">
        <v>30</v>
      </c>
      <c r="AY1622" t="s">
        <v>33</v>
      </c>
      <c r="AZ1622" t="s">
        <v>33</v>
      </c>
      <c r="BA1622" s="18" t="s">
        <v>798</v>
      </c>
      <c r="BB1622" t="b">
        <v>0</v>
      </c>
      <c r="BC1622" t="s">
        <v>81</v>
      </c>
      <c r="BD1622" t="s">
        <v>33</v>
      </c>
      <c r="BE1622" t="s">
        <v>159</v>
      </c>
      <c r="BF1622" s="11">
        <v>24</v>
      </c>
      <c r="BG1622" t="s">
        <v>569</v>
      </c>
      <c r="BH1622" t="s">
        <v>31</v>
      </c>
      <c r="BI1622" t="s">
        <v>31</v>
      </c>
      <c r="BJ1622" s="3">
        <f t="shared" si="772"/>
        <v>0.92500000000000004</v>
      </c>
      <c r="BK1622" s="3">
        <f t="shared" si="786"/>
        <v>-3.385826726096737E-2</v>
      </c>
      <c r="BL1622">
        <v>2</v>
      </c>
      <c r="BM1622" s="3">
        <f t="shared" si="784"/>
        <v>1.5398637039513139</v>
      </c>
      <c r="BN1622" t="s">
        <v>33</v>
      </c>
      <c r="BO1622" s="3">
        <f t="shared" si="787"/>
        <v>34.662804997337766</v>
      </c>
      <c r="BP1622" t="s">
        <v>33</v>
      </c>
      <c r="BQ1622" t="s">
        <v>33</v>
      </c>
      <c r="BR1622" t="s">
        <v>33</v>
      </c>
      <c r="BS1622" t="s">
        <v>33</v>
      </c>
      <c r="BT1622" t="s">
        <v>32</v>
      </c>
      <c r="BU1622" t="s">
        <v>497</v>
      </c>
      <c r="BV1622" s="11">
        <v>2017</v>
      </c>
      <c r="BW1622" t="s">
        <v>498</v>
      </c>
      <c r="BX1622" t="s">
        <v>78</v>
      </c>
      <c r="BY1622" t="s">
        <v>499</v>
      </c>
      <c r="BZ1622" t="s">
        <v>500</v>
      </c>
      <c r="CA1622" t="str">
        <f t="shared" si="789"/>
        <v>low acid</v>
      </c>
    </row>
    <row r="1623" spans="1:79">
      <c r="A1623" t="s">
        <v>597</v>
      </c>
      <c r="B1623" t="s">
        <v>565</v>
      </c>
      <c r="C1623" t="s">
        <v>563</v>
      </c>
      <c r="D1623" t="s">
        <v>33</v>
      </c>
      <c r="E1623" t="s">
        <v>77</v>
      </c>
      <c r="F1623" t="s">
        <v>33</v>
      </c>
      <c r="G1623">
        <v>20</v>
      </c>
      <c r="H1623">
        <v>35</v>
      </c>
      <c r="I1623" t="b">
        <v>0</v>
      </c>
      <c r="J1623" t="s">
        <v>33</v>
      </c>
      <c r="K1623" t="s">
        <v>33</v>
      </c>
      <c r="L1623">
        <v>12</v>
      </c>
      <c r="M1623" s="4">
        <v>1</v>
      </c>
      <c r="N1623" t="e">
        <f>(#REF!*Y1623)/(T1623*X1623*O1623)</f>
        <v>#REF!</v>
      </c>
      <c r="O1623">
        <v>2</v>
      </c>
      <c r="P1623" t="s">
        <v>33</v>
      </c>
      <c r="Q1623" s="1">
        <f>IFERROR(X1623/Z1623, "NA")</f>
        <v>996</v>
      </c>
      <c r="R1623" t="s">
        <v>183</v>
      </c>
      <c r="S1623" t="s">
        <v>33</v>
      </c>
      <c r="T1623">
        <v>1</v>
      </c>
      <c r="U1623">
        <v>2.5</v>
      </c>
      <c r="V1623" t="s">
        <v>33</v>
      </c>
      <c r="W1623">
        <v>0.50249999999999995</v>
      </c>
      <c r="X1623">
        <f t="shared" ref="X1623:X1643" si="793">W1623</f>
        <v>0.50249999999999995</v>
      </c>
      <c r="Y1623" t="s">
        <v>33</v>
      </c>
      <c r="Z1623" s="3">
        <f t="shared" si="792"/>
        <v>5.0451807228915656E-4</v>
      </c>
      <c r="AA1623" t="s">
        <v>33</v>
      </c>
      <c r="AB1623">
        <f>IFERROR(((X1623*M1623)/Z1623), "NA")</f>
        <v>996</v>
      </c>
      <c r="AC1623" s="1" t="str">
        <f t="shared" si="785"/>
        <v>NA</v>
      </c>
      <c r="AE1623" s="3">
        <f t="shared" si="770"/>
        <v>573.69599999999991</v>
      </c>
      <c r="AF1623">
        <v>1992</v>
      </c>
      <c r="AG1623" s="1" t="str">
        <f>IFERROR((N1623*P1623*Q1623), "NA")</f>
        <v>NA</v>
      </c>
      <c r="AH1623" s="1" t="str">
        <f>IFERROR((AG1623*U1623*AI1623), "NA")</f>
        <v>NA</v>
      </c>
      <c r="AI1623" s="1">
        <v>1</v>
      </c>
      <c r="AJ1623" s="11" t="s">
        <v>31</v>
      </c>
      <c r="AK1623">
        <v>2000</v>
      </c>
      <c r="AL1623" t="s">
        <v>784</v>
      </c>
      <c r="AM1623" s="3" t="s">
        <v>103</v>
      </c>
      <c r="AN1623" t="s">
        <v>130</v>
      </c>
      <c r="AO1623" t="s">
        <v>795</v>
      </c>
      <c r="AP1623">
        <v>7</v>
      </c>
      <c r="AQ1623" t="s">
        <v>33</v>
      </c>
      <c r="AR1623" t="s">
        <v>33</v>
      </c>
      <c r="AS1623">
        <v>9</v>
      </c>
      <c r="AT1623">
        <f>AS1623-AU1623</f>
        <v>8.09</v>
      </c>
      <c r="AU1623" s="6">
        <v>0.91</v>
      </c>
      <c r="AV1623" t="b">
        <v>1</v>
      </c>
      <c r="AW1623" t="s">
        <v>617</v>
      </c>
      <c r="AX1623" t="s">
        <v>635</v>
      </c>
      <c r="AY1623" t="s">
        <v>636</v>
      </c>
      <c r="AZ1623" t="s">
        <v>33</v>
      </c>
      <c r="BA1623" s="18" t="s">
        <v>802</v>
      </c>
      <c r="BB1623" s="3" t="b">
        <v>0</v>
      </c>
      <c r="BC1623" t="s">
        <v>81</v>
      </c>
      <c r="BD1623">
        <v>24</v>
      </c>
      <c r="BE1623" t="s">
        <v>80</v>
      </c>
      <c r="BF1623">
        <v>24</v>
      </c>
      <c r="BG1623" t="s">
        <v>644</v>
      </c>
      <c r="BH1623" t="s">
        <v>31</v>
      </c>
      <c r="BI1623" t="s">
        <v>31</v>
      </c>
      <c r="BJ1623">
        <f t="shared" si="772"/>
        <v>0.91</v>
      </c>
      <c r="BK1623" s="3">
        <f t="shared" si="786"/>
        <v>-4.0958607678906384E-2</v>
      </c>
      <c r="BL1623">
        <v>2</v>
      </c>
      <c r="BM1623" s="3">
        <f t="shared" si="784"/>
        <v>2.7996404295258173</v>
      </c>
      <c r="BN1623" t="s">
        <v>33</v>
      </c>
      <c r="BO1623" s="3">
        <f t="shared" si="787"/>
        <v>630.43516483516476</v>
      </c>
      <c r="BP1623" t="s">
        <v>33</v>
      </c>
      <c r="BQ1623" t="s">
        <v>33</v>
      </c>
      <c r="BR1623" t="s">
        <v>33</v>
      </c>
      <c r="BS1623" t="s">
        <v>33</v>
      </c>
      <c r="BT1623" t="s">
        <v>31</v>
      </c>
      <c r="BU1623" t="s">
        <v>664</v>
      </c>
      <c r="BV1623">
        <v>2000</v>
      </c>
      <c r="BW1623" t="s">
        <v>665</v>
      </c>
      <c r="BX1623" t="s">
        <v>78</v>
      </c>
      <c r="BY1623" s="13" t="s">
        <v>685</v>
      </c>
      <c r="CA1623" t="str">
        <f t="shared" si="789"/>
        <v>low acid</v>
      </c>
    </row>
    <row r="1624" spans="1:79">
      <c r="A1624" t="s">
        <v>712</v>
      </c>
      <c r="B1624" t="s">
        <v>566</v>
      </c>
      <c r="C1624" t="s">
        <v>563</v>
      </c>
      <c r="D1624" t="s">
        <v>699</v>
      </c>
      <c r="E1624" t="s">
        <v>77</v>
      </c>
      <c r="F1624" t="s">
        <v>32</v>
      </c>
      <c r="G1624">
        <v>20</v>
      </c>
      <c r="H1624">
        <v>41</v>
      </c>
      <c r="I1624" t="b">
        <v>1</v>
      </c>
      <c r="J1624" t="s">
        <v>33</v>
      </c>
      <c r="K1624" t="s">
        <v>33</v>
      </c>
      <c r="L1624">
        <v>20</v>
      </c>
      <c r="M1624" s="4">
        <v>30</v>
      </c>
      <c r="N1624" s="3">
        <f>IFERROR(AF1624/((T1624*X1624/Y1624)*O1624*AI1624),"NA")</f>
        <v>29.861111111111104</v>
      </c>
      <c r="O1624">
        <v>5</v>
      </c>
      <c r="P1624">
        <v>0.43</v>
      </c>
      <c r="Q1624" s="8">
        <f>IFERROR(X1624/Y1624, "NA")</f>
        <v>0.43200000000000011</v>
      </c>
      <c r="R1624" t="s">
        <v>183</v>
      </c>
      <c r="S1624" t="s">
        <v>612</v>
      </c>
      <c r="T1624" s="11">
        <v>1</v>
      </c>
      <c r="U1624">
        <v>4</v>
      </c>
      <c r="V1624" t="s">
        <v>33</v>
      </c>
      <c r="W1624">
        <f>0.4*3*0.5</f>
        <v>0.60000000000000009</v>
      </c>
      <c r="X1624" s="9">
        <f t="shared" si="793"/>
        <v>0.60000000000000009</v>
      </c>
      <c r="Y1624" s="6">
        <f>5000/3600</f>
        <v>1.3888888888888888</v>
      </c>
      <c r="Z1624" s="3">
        <f t="shared" si="792"/>
        <v>1.3953488372093026</v>
      </c>
      <c r="AA1624" t="s">
        <v>33</v>
      </c>
      <c r="AB1624" s="4">
        <f>IFERROR(((X1624*M1624)/Y1624), "NA")</f>
        <v>12.960000000000003</v>
      </c>
      <c r="AC1624" s="4">
        <f t="shared" si="785"/>
        <v>12.9</v>
      </c>
      <c r="AD1624" s="4">
        <f>AB1624*T1624*AI1624</f>
        <v>12.960000000000003</v>
      </c>
      <c r="AE1624" s="3">
        <f t="shared" si="770"/>
        <v>51.840000000000011</v>
      </c>
      <c r="AF1624">
        <v>64.5</v>
      </c>
      <c r="AG1624" s="4">
        <f>IFERROR((M1624*O1624*P1624), "NA")</f>
        <v>64.5</v>
      </c>
      <c r="AH1624" s="4">
        <f>IFERROR((AG1624*T1624*AI1624), "NA")</f>
        <v>64.5</v>
      </c>
      <c r="AI1624">
        <v>1</v>
      </c>
      <c r="AJ1624" s="11" t="s">
        <v>31</v>
      </c>
      <c r="AK1624">
        <v>2000</v>
      </c>
      <c r="AL1624" t="s">
        <v>784</v>
      </c>
      <c r="AM1624" t="s">
        <v>103</v>
      </c>
      <c r="AN1624" t="s">
        <v>130</v>
      </c>
      <c r="AO1624" t="s">
        <v>795</v>
      </c>
      <c r="AP1624">
        <v>7</v>
      </c>
      <c r="AQ1624" t="s">
        <v>33</v>
      </c>
      <c r="AR1624" t="s">
        <v>33</v>
      </c>
      <c r="AS1624" s="6">
        <f>LOG(AVERAGE(10^8, 10^9))</f>
        <v>8.7403626894942441</v>
      </c>
      <c r="AT1624" s="3">
        <f>IFERROR(AS1624-AU1624,"NA")</f>
        <v>8.1013626894942448</v>
      </c>
      <c r="AU1624" s="6">
        <v>0.63900000000000001</v>
      </c>
      <c r="AV1624" t="b">
        <v>1</v>
      </c>
      <c r="AW1624" t="s">
        <v>92</v>
      </c>
      <c r="AX1624" t="s">
        <v>93</v>
      </c>
      <c r="AY1624" t="s">
        <v>714</v>
      </c>
      <c r="AZ1624" t="s">
        <v>33</v>
      </c>
      <c r="BA1624" s="18" t="s">
        <v>801</v>
      </c>
      <c r="BB1624" s="3" t="b">
        <v>0</v>
      </c>
      <c r="BC1624" t="s">
        <v>81</v>
      </c>
      <c r="BD1624">
        <v>24</v>
      </c>
      <c r="BE1624" t="s">
        <v>80</v>
      </c>
      <c r="BF1624">
        <v>24</v>
      </c>
      <c r="BG1624" t="s">
        <v>568</v>
      </c>
      <c r="BH1624" t="s">
        <v>31</v>
      </c>
      <c r="BI1624" t="s">
        <v>31</v>
      </c>
      <c r="BJ1624" s="3">
        <f t="shared" si="772"/>
        <v>0.63900000000000001</v>
      </c>
      <c r="BK1624" s="3">
        <f t="shared" si="786"/>
        <v>-0.19449914184159983</v>
      </c>
      <c r="BL1624">
        <v>2</v>
      </c>
      <c r="BM1624" s="3">
        <f t="shared" si="784"/>
        <v>1.9091641347041368</v>
      </c>
      <c r="BN1624" t="s">
        <v>33</v>
      </c>
      <c r="BO1624" s="3">
        <f t="shared" si="787"/>
        <v>81.126760563380302</v>
      </c>
      <c r="BP1624" t="s">
        <v>33</v>
      </c>
      <c r="BQ1624" t="s">
        <v>33</v>
      </c>
      <c r="BR1624" t="s">
        <v>33</v>
      </c>
      <c r="BS1624" t="s">
        <v>33</v>
      </c>
      <c r="BT1624" t="s">
        <v>32</v>
      </c>
      <c r="BU1624" t="s">
        <v>709</v>
      </c>
      <c r="BV1624">
        <v>2024</v>
      </c>
      <c r="BW1624" t="s">
        <v>710</v>
      </c>
      <c r="BX1624" t="s">
        <v>78</v>
      </c>
      <c r="BY1624" t="s">
        <v>711</v>
      </c>
      <c r="CA1624" t="str">
        <f t="shared" si="789"/>
        <v>low acid</v>
      </c>
    </row>
    <row r="1625" spans="1:79">
      <c r="A1625" t="s">
        <v>597</v>
      </c>
      <c r="B1625" t="s">
        <v>565</v>
      </c>
      <c r="C1625" t="s">
        <v>563</v>
      </c>
      <c r="D1625" t="s">
        <v>33</v>
      </c>
      <c r="E1625" t="s">
        <v>77</v>
      </c>
      <c r="F1625" t="s">
        <v>33</v>
      </c>
      <c r="G1625">
        <v>20</v>
      </c>
      <c r="H1625">
        <v>35</v>
      </c>
      <c r="I1625" t="b">
        <v>0</v>
      </c>
      <c r="J1625" t="s">
        <v>33</v>
      </c>
      <c r="K1625" t="s">
        <v>33</v>
      </c>
      <c r="L1625">
        <v>22</v>
      </c>
      <c r="M1625" s="4">
        <v>2</v>
      </c>
      <c r="N1625" t="e">
        <f>(#REF!*Y1625)/(T1625*X1625*#REF!)</f>
        <v>#REF!</v>
      </c>
      <c r="O1625">
        <v>10</v>
      </c>
      <c r="P1625" t="s">
        <v>33</v>
      </c>
      <c r="Q1625" s="1">
        <f>IFERROR(X1625/Z1625, "NA")</f>
        <v>1.006</v>
      </c>
      <c r="R1625" t="s">
        <v>183</v>
      </c>
      <c r="S1625" t="s">
        <v>33</v>
      </c>
      <c r="T1625">
        <v>1</v>
      </c>
      <c r="U1625">
        <v>2.5</v>
      </c>
      <c r="V1625" t="s">
        <v>33</v>
      </c>
      <c r="W1625">
        <v>0.50249999999999995</v>
      </c>
      <c r="X1625">
        <f t="shared" si="793"/>
        <v>0.50249999999999995</v>
      </c>
      <c r="Y1625" t="s">
        <v>33</v>
      </c>
      <c r="Z1625" s="3">
        <f t="shared" si="792"/>
        <v>0.49950298210735578</v>
      </c>
      <c r="AA1625" t="s">
        <v>33</v>
      </c>
      <c r="AB1625">
        <f>IFERROR(((X1625*O1625)/Z1625), "NA")</f>
        <v>10.06</v>
      </c>
      <c r="AC1625" s="1" t="str">
        <f>IFERROR(O1625*P1625,"NA")</f>
        <v>NA</v>
      </c>
      <c r="AE1625" s="3">
        <f t="shared" si="770"/>
        <v>19.47616</v>
      </c>
      <c r="AF1625">
        <v>20.12</v>
      </c>
      <c r="AG1625" s="1" t="str">
        <f>IFERROR((P1625*#REF!*Q1625), "NA")</f>
        <v>NA</v>
      </c>
      <c r="AH1625" s="1" t="str">
        <f>IFERROR((AG1625*U1625*AI1625), "NA")</f>
        <v>NA</v>
      </c>
      <c r="AI1625" s="1">
        <v>1</v>
      </c>
      <c r="AJ1625" s="11" t="s">
        <v>31</v>
      </c>
      <c r="AK1625">
        <v>2000</v>
      </c>
      <c r="AL1625" t="s">
        <v>784</v>
      </c>
      <c r="AM1625" s="3" t="s">
        <v>103</v>
      </c>
      <c r="AN1625" t="s">
        <v>130</v>
      </c>
      <c r="AO1625" t="s">
        <v>795</v>
      </c>
      <c r="AP1625">
        <v>7</v>
      </c>
      <c r="AQ1625" t="s">
        <v>33</v>
      </c>
      <c r="AR1625" t="s">
        <v>33</v>
      </c>
      <c r="AS1625">
        <v>9</v>
      </c>
      <c r="AT1625">
        <f>AS1625-AU1625</f>
        <v>8.11</v>
      </c>
      <c r="AU1625" s="6">
        <v>0.89</v>
      </c>
      <c r="AV1625" t="b">
        <v>1</v>
      </c>
      <c r="AW1625" t="s">
        <v>617</v>
      </c>
      <c r="AX1625" t="s">
        <v>635</v>
      </c>
      <c r="AY1625" t="s">
        <v>636</v>
      </c>
      <c r="AZ1625" t="s">
        <v>33</v>
      </c>
      <c r="BA1625" s="18" t="s">
        <v>802</v>
      </c>
      <c r="BB1625" s="3" t="b">
        <v>0</v>
      </c>
      <c r="BC1625" t="s">
        <v>81</v>
      </c>
      <c r="BD1625">
        <v>24</v>
      </c>
      <c r="BE1625" t="s">
        <v>80</v>
      </c>
      <c r="BF1625">
        <v>24</v>
      </c>
      <c r="BG1625" t="s">
        <v>644</v>
      </c>
      <c r="BH1625" t="s">
        <v>31</v>
      </c>
      <c r="BI1625" t="s">
        <v>31</v>
      </c>
      <c r="BJ1625">
        <f t="shared" si="772"/>
        <v>0.89</v>
      </c>
      <c r="BK1625" s="3">
        <f t="shared" si="786"/>
        <v>-5.0609993355087209E-2</v>
      </c>
      <c r="BL1625">
        <v>2</v>
      </c>
      <c r="BM1625" s="3">
        <f t="shared" si="784"/>
        <v>1.3401133270473706</v>
      </c>
      <c r="BN1625" t="s">
        <v>33</v>
      </c>
      <c r="BO1625" s="3">
        <f t="shared" si="787"/>
        <v>21.883325842696628</v>
      </c>
      <c r="BP1625" t="s">
        <v>33</v>
      </c>
      <c r="BQ1625" t="s">
        <v>33</v>
      </c>
      <c r="BR1625" t="s">
        <v>33</v>
      </c>
      <c r="BS1625" t="s">
        <v>33</v>
      </c>
      <c r="BT1625" t="s">
        <v>31</v>
      </c>
      <c r="BU1625" t="s">
        <v>664</v>
      </c>
      <c r="BV1625">
        <v>2000</v>
      </c>
      <c r="BW1625" t="s">
        <v>665</v>
      </c>
      <c r="BX1625" t="s">
        <v>78</v>
      </c>
      <c r="BY1625" s="13" t="s">
        <v>685</v>
      </c>
      <c r="CA1625" t="str">
        <f t="shared" si="789"/>
        <v>low acid</v>
      </c>
    </row>
    <row r="1626" spans="1:79">
      <c r="A1626" t="s">
        <v>589</v>
      </c>
      <c r="B1626" t="s">
        <v>566</v>
      </c>
      <c r="C1626" t="s">
        <v>563</v>
      </c>
      <c r="D1626" t="s">
        <v>33</v>
      </c>
      <c r="E1626" t="s">
        <v>77</v>
      </c>
      <c r="F1626" t="s">
        <v>33</v>
      </c>
      <c r="G1626" t="s">
        <v>33</v>
      </c>
      <c r="H1626">
        <v>35</v>
      </c>
      <c r="I1626" t="b">
        <v>0</v>
      </c>
      <c r="J1626" t="s">
        <v>33</v>
      </c>
      <c r="K1626" t="s">
        <v>33</v>
      </c>
      <c r="L1626">
        <v>12</v>
      </c>
      <c r="M1626" s="4">
        <v>1</v>
      </c>
      <c r="N1626" t="e">
        <f>(#REF!*Y1626)/(T1626*X1626*O1626)</f>
        <v>#REF!</v>
      </c>
      <c r="O1626">
        <v>2</v>
      </c>
      <c r="P1626" t="s">
        <v>33</v>
      </c>
      <c r="Q1626" s="1">
        <f>IFERROR(X1626/Z1626, "NA")</f>
        <v>6.17</v>
      </c>
      <c r="R1626" t="s">
        <v>183</v>
      </c>
      <c r="S1626" t="s">
        <v>613</v>
      </c>
      <c r="T1626">
        <v>1</v>
      </c>
      <c r="U1626">
        <v>2.5</v>
      </c>
      <c r="V1626" t="s">
        <v>33</v>
      </c>
      <c r="W1626">
        <v>0.50249999999999995</v>
      </c>
      <c r="X1626">
        <f t="shared" si="793"/>
        <v>0.50249999999999995</v>
      </c>
      <c r="Y1626" t="s">
        <v>33</v>
      </c>
      <c r="Z1626" s="3">
        <f t="shared" si="792"/>
        <v>8.1442463533225276E-2</v>
      </c>
      <c r="AA1626" t="s">
        <v>33</v>
      </c>
      <c r="AB1626">
        <f>IFERROR(((X1626*M1626)/Z1626), "NA")</f>
        <v>6.17</v>
      </c>
      <c r="AC1626" s="1" t="str">
        <f>IFERROR(M1626*P1626,"NA")</f>
        <v>NA</v>
      </c>
      <c r="AE1626" s="3">
        <f t="shared" si="770"/>
        <v>3.5539199999999997</v>
      </c>
      <c r="AF1626">
        <v>12.34</v>
      </c>
      <c r="AG1626" s="1" t="str">
        <f>IFERROR((N1626*P1626*Q1626), "NA")</f>
        <v>NA</v>
      </c>
      <c r="AH1626" s="1" t="str">
        <f>IFERROR((AG1626*U1626*AI1626), "NA")</f>
        <v>NA</v>
      </c>
      <c r="AI1626" s="1">
        <v>1</v>
      </c>
      <c r="AJ1626" s="11" t="s">
        <v>31</v>
      </c>
      <c r="AK1626">
        <v>2000</v>
      </c>
      <c r="AL1626" t="s">
        <v>616</v>
      </c>
      <c r="AM1626" s="3" t="s">
        <v>103</v>
      </c>
      <c r="AN1626" t="s">
        <v>130</v>
      </c>
      <c r="AO1626" t="s">
        <v>795</v>
      </c>
      <c r="AP1626">
        <v>7</v>
      </c>
      <c r="AQ1626" t="s">
        <v>33</v>
      </c>
      <c r="AR1626" t="s">
        <v>33</v>
      </c>
      <c r="AS1626">
        <v>9</v>
      </c>
      <c r="AT1626">
        <f>AS1626-AU1626</f>
        <v>8.1199999999999992</v>
      </c>
      <c r="AU1626" s="6">
        <v>0.88</v>
      </c>
      <c r="AV1626" t="b">
        <v>1</v>
      </c>
      <c r="AW1626" t="s">
        <v>617</v>
      </c>
      <c r="AX1626" t="s">
        <v>33</v>
      </c>
      <c r="AY1626" t="s">
        <v>629</v>
      </c>
      <c r="AZ1626" t="s">
        <v>630</v>
      </c>
      <c r="BA1626" s="18" t="s">
        <v>802</v>
      </c>
      <c r="BB1626" s="3" t="b">
        <v>0</v>
      </c>
      <c r="BC1626" t="s">
        <v>81</v>
      </c>
      <c r="BD1626">
        <v>24</v>
      </c>
      <c r="BE1626" t="s">
        <v>80</v>
      </c>
      <c r="BF1626">
        <v>24</v>
      </c>
      <c r="BG1626" t="s">
        <v>644</v>
      </c>
      <c r="BH1626" t="s">
        <v>31</v>
      </c>
      <c r="BI1626" t="s">
        <v>31</v>
      </c>
      <c r="BJ1626">
        <f t="shared" si="772"/>
        <v>0.88</v>
      </c>
      <c r="BK1626" s="3">
        <f t="shared" si="786"/>
        <v>-5.551732784983137E-2</v>
      </c>
      <c r="BL1626">
        <v>2</v>
      </c>
      <c r="BM1626" s="3">
        <f t="shared" si="784"/>
        <v>0.60622497530628516</v>
      </c>
      <c r="BN1626" t="s">
        <v>33</v>
      </c>
      <c r="BO1626" s="3">
        <f t="shared" si="787"/>
        <v>4.0385454545454547</v>
      </c>
      <c r="BP1626" t="s">
        <v>33</v>
      </c>
      <c r="BQ1626" t="s">
        <v>33</v>
      </c>
      <c r="BR1626" t="s">
        <v>33</v>
      </c>
      <c r="BS1626" t="s">
        <v>33</v>
      </c>
      <c r="BT1626" t="s">
        <v>31</v>
      </c>
      <c r="BU1626" s="15" t="s">
        <v>655</v>
      </c>
      <c r="BV1626">
        <v>2003</v>
      </c>
      <c r="BW1626" t="s">
        <v>656</v>
      </c>
      <c r="BX1626" t="s">
        <v>78</v>
      </c>
      <c r="BY1626" s="13" t="s">
        <v>677</v>
      </c>
      <c r="CA1626" t="str">
        <f t="shared" si="789"/>
        <v>low acid</v>
      </c>
    </row>
    <row r="1627" spans="1:79">
      <c r="A1627" t="s">
        <v>597</v>
      </c>
      <c r="B1627" t="s">
        <v>565</v>
      </c>
      <c r="C1627" t="s">
        <v>563</v>
      </c>
      <c r="D1627" t="s">
        <v>33</v>
      </c>
      <c r="E1627" t="s">
        <v>77</v>
      </c>
      <c r="F1627" t="s">
        <v>33</v>
      </c>
      <c r="G1627">
        <v>20</v>
      </c>
      <c r="H1627">
        <v>35</v>
      </c>
      <c r="I1627" t="b">
        <v>0</v>
      </c>
      <c r="J1627" t="s">
        <v>33</v>
      </c>
      <c r="K1627" t="s">
        <v>33</v>
      </c>
      <c r="L1627">
        <v>15</v>
      </c>
      <c r="M1627" s="4">
        <v>1</v>
      </c>
      <c r="N1627" t="e">
        <f>(#REF!*Y1627)/(T1627*X1627*O1627)</f>
        <v>#REF!</v>
      </c>
      <c r="O1627">
        <v>2</v>
      </c>
      <c r="P1627" t="s">
        <v>33</v>
      </c>
      <c r="Q1627" s="1">
        <f>IFERROR(X1627/Z1627, "NA")</f>
        <v>148.595</v>
      </c>
      <c r="R1627" t="s">
        <v>183</v>
      </c>
      <c r="S1627" t="s">
        <v>33</v>
      </c>
      <c r="T1627">
        <v>1</v>
      </c>
      <c r="U1627">
        <v>2.5</v>
      </c>
      <c r="V1627" t="s">
        <v>33</v>
      </c>
      <c r="W1627">
        <v>0.50249999999999995</v>
      </c>
      <c r="X1627">
        <f t="shared" si="793"/>
        <v>0.50249999999999995</v>
      </c>
      <c r="Y1627" t="s">
        <v>33</v>
      </c>
      <c r="Z1627" s="3">
        <f t="shared" si="792"/>
        <v>3.3816750227127425E-3</v>
      </c>
      <c r="AA1627" t="s">
        <v>33</v>
      </c>
      <c r="AB1627">
        <f>IFERROR(((X1627*M1627)/Z1627), "NA")</f>
        <v>148.595</v>
      </c>
      <c r="AC1627" s="1" t="str">
        <f>IFERROR(M1627*P1627,"NA")</f>
        <v>NA</v>
      </c>
      <c r="AE1627" s="3">
        <f t="shared" si="770"/>
        <v>133.73549999999997</v>
      </c>
      <c r="AF1627">
        <v>297.19</v>
      </c>
      <c r="AG1627" s="1" t="str">
        <f>IFERROR((N1627*P1627*Q1627), "NA")</f>
        <v>NA</v>
      </c>
      <c r="AH1627" s="1" t="str">
        <f>IFERROR((AG1627*U1627*AI1627), "NA")</f>
        <v>NA</v>
      </c>
      <c r="AI1627" s="1">
        <v>1</v>
      </c>
      <c r="AJ1627" s="11" t="s">
        <v>31</v>
      </c>
      <c r="AK1627">
        <v>2000</v>
      </c>
      <c r="AL1627" t="s">
        <v>784</v>
      </c>
      <c r="AM1627" s="3" t="s">
        <v>103</v>
      </c>
      <c r="AN1627" t="s">
        <v>130</v>
      </c>
      <c r="AO1627" t="s">
        <v>795</v>
      </c>
      <c r="AP1627">
        <v>7</v>
      </c>
      <c r="AQ1627" t="s">
        <v>33</v>
      </c>
      <c r="AR1627" t="s">
        <v>33</v>
      </c>
      <c r="AS1627">
        <v>9</v>
      </c>
      <c r="AT1627">
        <f>AS1627-AU1627</f>
        <v>8.1199999999999992</v>
      </c>
      <c r="AU1627" s="6">
        <v>0.88</v>
      </c>
      <c r="AV1627" t="b">
        <v>1</v>
      </c>
      <c r="AW1627" t="s">
        <v>617</v>
      </c>
      <c r="AX1627" t="s">
        <v>635</v>
      </c>
      <c r="AY1627" t="s">
        <v>636</v>
      </c>
      <c r="AZ1627" t="s">
        <v>33</v>
      </c>
      <c r="BA1627" s="18" t="s">
        <v>802</v>
      </c>
      <c r="BB1627" s="3" t="b">
        <v>0</v>
      </c>
      <c r="BC1627" t="s">
        <v>81</v>
      </c>
      <c r="BD1627">
        <v>24</v>
      </c>
      <c r="BE1627" t="s">
        <v>80</v>
      </c>
      <c r="BF1627">
        <v>24</v>
      </c>
      <c r="BG1627" t="s">
        <v>644</v>
      </c>
      <c r="BH1627" t="s">
        <v>31</v>
      </c>
      <c r="BI1627" t="s">
        <v>31</v>
      </c>
      <c r="BJ1627">
        <f t="shared" si="772"/>
        <v>0.88</v>
      </c>
      <c r="BK1627" s="3">
        <f t="shared" si="786"/>
        <v>-5.551732784983137E-2</v>
      </c>
      <c r="BL1627">
        <v>2</v>
      </c>
      <c r="BM1627" s="3">
        <f t="shared" si="784"/>
        <v>2.1817640335983524</v>
      </c>
      <c r="BN1627" t="s">
        <v>33</v>
      </c>
      <c r="BO1627" s="3">
        <f t="shared" si="787"/>
        <v>151.97215909090906</v>
      </c>
      <c r="BP1627" t="s">
        <v>33</v>
      </c>
      <c r="BQ1627" t="s">
        <v>33</v>
      </c>
      <c r="BR1627" t="s">
        <v>33</v>
      </c>
      <c r="BS1627" t="s">
        <v>33</v>
      </c>
      <c r="BT1627" t="s">
        <v>31</v>
      </c>
      <c r="BU1627" t="s">
        <v>664</v>
      </c>
      <c r="BV1627">
        <v>2000</v>
      </c>
      <c r="BW1627" t="s">
        <v>665</v>
      </c>
      <c r="BX1627" t="s">
        <v>78</v>
      </c>
      <c r="BY1627" s="13" t="s">
        <v>685</v>
      </c>
      <c r="CA1627" t="str">
        <f t="shared" si="789"/>
        <v>low acid</v>
      </c>
    </row>
    <row r="1628" spans="1:79">
      <c r="A1628" t="s">
        <v>733</v>
      </c>
      <c r="B1628" t="s">
        <v>566</v>
      </c>
      <c r="C1628" t="s">
        <v>563</v>
      </c>
      <c r="D1628" t="s">
        <v>699</v>
      </c>
      <c r="E1628" t="s">
        <v>77</v>
      </c>
      <c r="F1628" t="s">
        <v>32</v>
      </c>
      <c r="G1628">
        <v>20</v>
      </c>
      <c r="H1628">
        <v>41</v>
      </c>
      <c r="I1628" t="b">
        <v>1</v>
      </c>
      <c r="J1628" t="s">
        <v>33</v>
      </c>
      <c r="K1628" t="s">
        <v>33</v>
      </c>
      <c r="L1628">
        <v>20</v>
      </c>
      <c r="M1628" s="4">
        <v>30</v>
      </c>
      <c r="N1628" s="3">
        <f>IFERROR(AF1628/((T1628*X1628/Y1628)*O1628*AI1628),"NA")</f>
        <v>29.861111111111104</v>
      </c>
      <c r="O1628">
        <v>5</v>
      </c>
      <c r="P1628">
        <v>0.43</v>
      </c>
      <c r="Q1628" s="8">
        <f>IFERROR(X1628/Y1628, "NA")</f>
        <v>0.43200000000000011</v>
      </c>
      <c r="R1628" t="s">
        <v>183</v>
      </c>
      <c r="S1628" t="s">
        <v>612</v>
      </c>
      <c r="T1628" s="11">
        <v>1</v>
      </c>
      <c r="U1628">
        <v>4</v>
      </c>
      <c r="V1628" t="s">
        <v>33</v>
      </c>
      <c r="W1628">
        <f>0.4*3*0.5</f>
        <v>0.60000000000000009</v>
      </c>
      <c r="X1628" s="9">
        <f t="shared" si="793"/>
        <v>0.60000000000000009</v>
      </c>
      <c r="Y1628" s="6">
        <f>5000/3600</f>
        <v>1.3888888888888888</v>
      </c>
      <c r="Z1628" s="3">
        <f t="shared" si="792"/>
        <v>1.3953488372093026</v>
      </c>
      <c r="AA1628" t="s">
        <v>33</v>
      </c>
      <c r="AB1628" s="4">
        <f>IFERROR(((X1628*M1628)/Y1628), "NA")</f>
        <v>12.960000000000003</v>
      </c>
      <c r="AC1628" s="4">
        <f>IFERROR(M1628*P1628,"NA")</f>
        <v>12.9</v>
      </c>
      <c r="AD1628" s="4">
        <f>AB1628*T1628*AI1628</f>
        <v>12.960000000000003</v>
      </c>
      <c r="AE1628" s="3">
        <f t="shared" si="770"/>
        <v>51.840000000000011</v>
      </c>
      <c r="AF1628">
        <v>64.5</v>
      </c>
      <c r="AG1628" s="4">
        <f>IFERROR((M1628*O1628*P1628), "NA")</f>
        <v>64.5</v>
      </c>
      <c r="AH1628" s="4">
        <f>IFERROR((AG1628*T1628*AI1628), "NA")</f>
        <v>64.5</v>
      </c>
      <c r="AI1628">
        <v>1</v>
      </c>
      <c r="AJ1628" s="11" t="s">
        <v>31</v>
      </c>
      <c r="AK1628">
        <v>2000</v>
      </c>
      <c r="AL1628" t="s">
        <v>784</v>
      </c>
      <c r="AM1628" t="s">
        <v>103</v>
      </c>
      <c r="AN1628" t="s">
        <v>130</v>
      </c>
      <c r="AO1628" t="s">
        <v>795</v>
      </c>
      <c r="AP1628">
        <v>7</v>
      </c>
      <c r="AQ1628" t="s">
        <v>33</v>
      </c>
      <c r="AR1628" t="s">
        <v>33</v>
      </c>
      <c r="AS1628" s="6">
        <f>LOG(AVERAGE(10^8, 10^9))</f>
        <v>8.7403626894942441</v>
      </c>
      <c r="AT1628" s="3">
        <f>IFERROR(AS1628-AU1628,"NA")</f>
        <v>8.1403626894942445</v>
      </c>
      <c r="AU1628" s="6">
        <v>0.6</v>
      </c>
      <c r="AV1628" t="b">
        <v>1</v>
      </c>
      <c r="AW1628" t="s">
        <v>172</v>
      </c>
      <c r="AX1628" t="s">
        <v>173</v>
      </c>
      <c r="AY1628">
        <v>106.0004</v>
      </c>
      <c r="AZ1628" t="s">
        <v>33</v>
      </c>
      <c r="BA1628" s="18" t="s">
        <v>799</v>
      </c>
      <c r="BB1628" s="3" t="b">
        <v>0</v>
      </c>
      <c r="BC1628" t="s">
        <v>81</v>
      </c>
      <c r="BD1628">
        <v>24</v>
      </c>
      <c r="BE1628" t="s">
        <v>80</v>
      </c>
      <c r="BF1628">
        <v>48</v>
      </c>
      <c r="BG1628" t="s">
        <v>734</v>
      </c>
      <c r="BH1628" t="s">
        <v>31</v>
      </c>
      <c r="BI1628" t="s">
        <v>31</v>
      </c>
      <c r="BJ1628" s="3">
        <f t="shared" si="772"/>
        <v>0.6</v>
      </c>
      <c r="BK1628" s="3">
        <f t="shared" si="786"/>
        <v>-0.22184874961635639</v>
      </c>
      <c r="BL1628">
        <v>2</v>
      </c>
      <c r="BM1628" s="3">
        <f t="shared" ref="BM1628:BM1659" si="794">IFERROR(LOG(BO1628),"NA")</f>
        <v>1.9365137424788934</v>
      </c>
      <c r="BN1628" t="s">
        <v>33</v>
      </c>
      <c r="BO1628" s="3">
        <f t="shared" si="787"/>
        <v>86.40000000000002</v>
      </c>
      <c r="BP1628" t="s">
        <v>33</v>
      </c>
      <c r="BQ1628" t="s">
        <v>33</v>
      </c>
      <c r="BR1628" t="s">
        <v>33</v>
      </c>
      <c r="BS1628" t="s">
        <v>33</v>
      </c>
      <c r="BT1628" t="s">
        <v>32</v>
      </c>
      <c r="BU1628" t="s">
        <v>709</v>
      </c>
      <c r="BV1628">
        <v>2024</v>
      </c>
      <c r="BW1628" t="s">
        <v>710</v>
      </c>
      <c r="BX1628" t="s">
        <v>78</v>
      </c>
      <c r="BY1628" t="s">
        <v>711</v>
      </c>
      <c r="CA1628" t="str">
        <f t="shared" si="789"/>
        <v>low acid</v>
      </c>
    </row>
    <row r="1629" spans="1:79">
      <c r="A1629" t="s">
        <v>712</v>
      </c>
      <c r="B1629" t="s">
        <v>566</v>
      </c>
      <c r="C1629" t="s">
        <v>563</v>
      </c>
      <c r="D1629" t="s">
        <v>699</v>
      </c>
      <c r="E1629" t="s">
        <v>77</v>
      </c>
      <c r="F1629" t="s">
        <v>32</v>
      </c>
      <c r="G1629">
        <v>20</v>
      </c>
      <c r="H1629">
        <v>41</v>
      </c>
      <c r="I1629" t="b">
        <v>1</v>
      </c>
      <c r="J1629" t="s">
        <v>33</v>
      </c>
      <c r="K1629" t="s">
        <v>33</v>
      </c>
      <c r="L1629">
        <v>20</v>
      </c>
      <c r="M1629" s="4">
        <v>30</v>
      </c>
      <c r="N1629" s="3">
        <f>IFERROR(AF1629/((T1629*X1629/Y1629)*O1629*AI1629),"NA")</f>
        <v>29.861111111111104</v>
      </c>
      <c r="O1629">
        <v>5</v>
      </c>
      <c r="P1629">
        <v>0.43</v>
      </c>
      <c r="Q1629" s="8">
        <f>IFERROR(X1629/Y1629, "NA")</f>
        <v>0.43200000000000011</v>
      </c>
      <c r="R1629" t="s">
        <v>183</v>
      </c>
      <c r="S1629" t="s">
        <v>612</v>
      </c>
      <c r="T1629" s="11">
        <v>1</v>
      </c>
      <c r="U1629">
        <v>4</v>
      </c>
      <c r="V1629" t="s">
        <v>33</v>
      </c>
      <c r="W1629">
        <f>0.4*3*0.5</f>
        <v>0.60000000000000009</v>
      </c>
      <c r="X1629" s="9">
        <f t="shared" si="793"/>
        <v>0.60000000000000009</v>
      </c>
      <c r="Y1629" s="6">
        <f>5000/3600</f>
        <v>1.3888888888888888</v>
      </c>
      <c r="Z1629" s="3">
        <f t="shared" si="792"/>
        <v>1.3953488372093026</v>
      </c>
      <c r="AA1629" t="s">
        <v>33</v>
      </c>
      <c r="AB1629" s="4">
        <f>IFERROR(((X1629*M1629)/Y1629), "NA")</f>
        <v>12.960000000000003</v>
      </c>
      <c r="AC1629" s="4">
        <f>IFERROR(M1629*P1629,"NA")</f>
        <v>12.9</v>
      </c>
      <c r="AD1629" s="4">
        <f>AB1629*T1629*AI1629</f>
        <v>12.960000000000003</v>
      </c>
      <c r="AE1629" s="3">
        <f t="shared" si="770"/>
        <v>51.840000000000011</v>
      </c>
      <c r="AF1629">
        <v>64.5</v>
      </c>
      <c r="AG1629" s="4">
        <f>IFERROR((M1629*O1629*P1629), "NA")</f>
        <v>64.5</v>
      </c>
      <c r="AH1629" s="4">
        <f>IFERROR((AG1629*T1629*AI1629), "NA")</f>
        <v>64.5</v>
      </c>
      <c r="AI1629">
        <v>1</v>
      </c>
      <c r="AJ1629" s="11" t="s">
        <v>31</v>
      </c>
      <c r="AK1629">
        <v>2000</v>
      </c>
      <c r="AL1629" t="s">
        <v>784</v>
      </c>
      <c r="AM1629" t="s">
        <v>103</v>
      </c>
      <c r="AN1629" t="s">
        <v>130</v>
      </c>
      <c r="AO1629" t="s">
        <v>795</v>
      </c>
      <c r="AP1629">
        <v>7</v>
      </c>
      <c r="AQ1629" t="s">
        <v>33</v>
      </c>
      <c r="AR1629" t="s">
        <v>33</v>
      </c>
      <c r="AS1629" s="6">
        <f>LOG(AVERAGE(10^8, 10^9))</f>
        <v>8.7403626894942441</v>
      </c>
      <c r="AT1629" s="3">
        <f>IFERROR(AS1629-AU1629,"NA")</f>
        <v>8.1463626894942447</v>
      </c>
      <c r="AU1629" s="6">
        <v>0.59399999999999997</v>
      </c>
      <c r="AV1629" t="b">
        <v>1</v>
      </c>
      <c r="AW1629" t="s">
        <v>92</v>
      </c>
      <c r="AX1629" t="s">
        <v>93</v>
      </c>
      <c r="AY1629" t="s">
        <v>718</v>
      </c>
      <c r="AZ1629" t="s">
        <v>33</v>
      </c>
      <c r="BA1629" s="18" t="s">
        <v>801</v>
      </c>
      <c r="BB1629" s="3" t="b">
        <v>0</v>
      </c>
      <c r="BC1629" t="s">
        <v>81</v>
      </c>
      <c r="BD1629">
        <v>24</v>
      </c>
      <c r="BE1629" t="s">
        <v>80</v>
      </c>
      <c r="BF1629">
        <v>24</v>
      </c>
      <c r="BG1629" t="s">
        <v>568</v>
      </c>
      <c r="BH1629" t="s">
        <v>31</v>
      </c>
      <c r="BI1629" t="s">
        <v>31</v>
      </c>
      <c r="BJ1629" s="3">
        <f t="shared" si="772"/>
        <v>0.59399999999999997</v>
      </c>
      <c r="BK1629" s="3">
        <f t="shared" si="786"/>
        <v>-0.22621355501880647</v>
      </c>
      <c r="BL1629">
        <v>2</v>
      </c>
      <c r="BM1629" s="3">
        <f t="shared" si="794"/>
        <v>1.9408785478813435</v>
      </c>
      <c r="BN1629" t="s">
        <v>33</v>
      </c>
      <c r="BO1629" s="3">
        <f t="shared" si="787"/>
        <v>87.272727272727295</v>
      </c>
      <c r="BP1629" t="s">
        <v>33</v>
      </c>
      <c r="BQ1629" t="s">
        <v>33</v>
      </c>
      <c r="BR1629" t="s">
        <v>33</v>
      </c>
      <c r="BS1629" t="s">
        <v>33</v>
      </c>
      <c r="BT1629" t="s">
        <v>32</v>
      </c>
      <c r="BU1629" t="s">
        <v>709</v>
      </c>
      <c r="BV1629">
        <v>2024</v>
      </c>
      <c r="BW1629" t="s">
        <v>710</v>
      </c>
      <c r="BX1629" t="s">
        <v>78</v>
      </c>
      <c r="BY1629" t="s">
        <v>711</v>
      </c>
      <c r="CA1629" t="str">
        <f t="shared" si="789"/>
        <v>low acid</v>
      </c>
    </row>
    <row r="1630" spans="1:79">
      <c r="A1630" t="s">
        <v>712</v>
      </c>
      <c r="B1630" t="s">
        <v>566</v>
      </c>
      <c r="C1630" t="s">
        <v>563</v>
      </c>
      <c r="D1630" t="s">
        <v>699</v>
      </c>
      <c r="E1630" t="s">
        <v>77</v>
      </c>
      <c r="F1630" t="s">
        <v>32</v>
      </c>
      <c r="G1630">
        <v>20</v>
      </c>
      <c r="H1630">
        <v>41</v>
      </c>
      <c r="I1630" t="b">
        <v>1</v>
      </c>
      <c r="J1630" t="s">
        <v>33</v>
      </c>
      <c r="K1630" t="s">
        <v>33</v>
      </c>
      <c r="L1630">
        <v>20</v>
      </c>
      <c r="M1630" s="4">
        <v>30</v>
      </c>
      <c r="N1630" s="3">
        <f>IFERROR(AF1630/((T1630*X1630/Y1630)*O1630*AI1630),"NA")</f>
        <v>29.861111111111104</v>
      </c>
      <c r="O1630">
        <v>5</v>
      </c>
      <c r="P1630">
        <v>0.43</v>
      </c>
      <c r="Q1630" s="8">
        <f>IFERROR(X1630/Y1630, "NA")</f>
        <v>0.43200000000000011</v>
      </c>
      <c r="R1630" t="s">
        <v>183</v>
      </c>
      <c r="S1630" t="s">
        <v>612</v>
      </c>
      <c r="T1630" s="11">
        <v>1</v>
      </c>
      <c r="U1630">
        <v>4</v>
      </c>
      <c r="V1630" t="s">
        <v>33</v>
      </c>
      <c r="W1630">
        <f>0.4*3*0.5</f>
        <v>0.60000000000000009</v>
      </c>
      <c r="X1630" s="9">
        <f t="shared" si="793"/>
        <v>0.60000000000000009</v>
      </c>
      <c r="Y1630" s="6">
        <f>5000/3600</f>
        <v>1.3888888888888888</v>
      </c>
      <c r="Z1630" s="3">
        <f t="shared" si="792"/>
        <v>1.3953488372093026</v>
      </c>
      <c r="AA1630" t="s">
        <v>33</v>
      </c>
      <c r="AB1630" s="4">
        <f>IFERROR(((X1630*M1630)/Y1630), "NA")</f>
        <v>12.960000000000003</v>
      </c>
      <c r="AC1630" s="4">
        <f>IFERROR(M1630*P1630,"NA")</f>
        <v>12.9</v>
      </c>
      <c r="AD1630" s="4">
        <f>AB1630*T1630*AI1630</f>
        <v>12.960000000000003</v>
      </c>
      <c r="AE1630" s="3">
        <f t="shared" si="770"/>
        <v>51.840000000000011</v>
      </c>
      <c r="AF1630">
        <v>64.5</v>
      </c>
      <c r="AG1630" s="4">
        <f>IFERROR((M1630*O1630*P1630), "NA")</f>
        <v>64.5</v>
      </c>
      <c r="AH1630" s="4">
        <f>IFERROR((AG1630*T1630*AI1630), "NA")</f>
        <v>64.5</v>
      </c>
      <c r="AI1630">
        <v>1</v>
      </c>
      <c r="AJ1630" s="11" t="s">
        <v>31</v>
      </c>
      <c r="AK1630">
        <v>2000</v>
      </c>
      <c r="AL1630" t="s">
        <v>784</v>
      </c>
      <c r="AM1630" t="s">
        <v>103</v>
      </c>
      <c r="AN1630" t="s">
        <v>130</v>
      </c>
      <c r="AO1630" t="s">
        <v>795</v>
      </c>
      <c r="AP1630">
        <v>7</v>
      </c>
      <c r="AQ1630" t="s">
        <v>33</v>
      </c>
      <c r="AR1630" t="s">
        <v>33</v>
      </c>
      <c r="AS1630" s="6">
        <f>LOG(AVERAGE(10^8, 10^9))</f>
        <v>8.7403626894942441</v>
      </c>
      <c r="AT1630" s="3">
        <f>IFERROR(AS1630-AU1630,"NA")</f>
        <v>8.1553626894942433</v>
      </c>
      <c r="AU1630" s="6">
        <v>0.58499999999999996</v>
      </c>
      <c r="AV1630" t="b">
        <v>1</v>
      </c>
      <c r="AW1630" t="s">
        <v>92</v>
      </c>
      <c r="AX1630" t="s">
        <v>93</v>
      </c>
      <c r="AY1630" t="s">
        <v>94</v>
      </c>
      <c r="AZ1630" t="s">
        <v>33</v>
      </c>
      <c r="BA1630" s="18" t="s">
        <v>801</v>
      </c>
      <c r="BB1630" s="3" t="b">
        <v>0</v>
      </c>
      <c r="BC1630" t="s">
        <v>81</v>
      </c>
      <c r="BD1630">
        <v>24</v>
      </c>
      <c r="BE1630" t="s">
        <v>80</v>
      </c>
      <c r="BF1630">
        <v>24</v>
      </c>
      <c r="BG1630" t="s">
        <v>568</v>
      </c>
      <c r="BH1630" t="s">
        <v>31</v>
      </c>
      <c r="BI1630" t="s">
        <v>31</v>
      </c>
      <c r="BJ1630" s="3">
        <f t="shared" si="772"/>
        <v>0.58499999999999996</v>
      </c>
      <c r="BK1630" s="3">
        <f t="shared" si="786"/>
        <v>-0.23284413391781958</v>
      </c>
      <c r="BL1630">
        <v>2</v>
      </c>
      <c r="BM1630" s="3">
        <f t="shared" si="794"/>
        <v>1.9475091267803566</v>
      </c>
      <c r="BN1630" t="s">
        <v>33</v>
      </c>
      <c r="BO1630" s="3">
        <f t="shared" si="787"/>
        <v>88.615384615384642</v>
      </c>
      <c r="BP1630" t="s">
        <v>33</v>
      </c>
      <c r="BQ1630" t="s">
        <v>33</v>
      </c>
      <c r="BR1630" t="s">
        <v>33</v>
      </c>
      <c r="BS1630" t="s">
        <v>33</v>
      </c>
      <c r="BT1630" t="s">
        <v>32</v>
      </c>
      <c r="BU1630" t="s">
        <v>709</v>
      </c>
      <c r="BV1630">
        <v>2024</v>
      </c>
      <c r="BW1630" t="s">
        <v>710</v>
      </c>
      <c r="BX1630" t="s">
        <v>78</v>
      </c>
      <c r="BY1630" t="s">
        <v>711</v>
      </c>
      <c r="CA1630" t="str">
        <f t="shared" si="789"/>
        <v>low acid</v>
      </c>
    </row>
    <row r="1631" spans="1:79">
      <c r="A1631" t="s">
        <v>597</v>
      </c>
      <c r="B1631" t="s">
        <v>565</v>
      </c>
      <c r="C1631" t="s">
        <v>563</v>
      </c>
      <c r="D1631" t="s">
        <v>33</v>
      </c>
      <c r="E1631" t="s">
        <v>77</v>
      </c>
      <c r="F1631" t="s">
        <v>33</v>
      </c>
      <c r="G1631">
        <v>20</v>
      </c>
      <c r="H1631">
        <v>35</v>
      </c>
      <c r="I1631" t="b">
        <v>0</v>
      </c>
      <c r="J1631" t="s">
        <v>33</v>
      </c>
      <c r="K1631" t="s">
        <v>33</v>
      </c>
      <c r="L1631">
        <v>22</v>
      </c>
      <c r="M1631" s="4">
        <v>2</v>
      </c>
      <c r="N1631" t="e">
        <f>(#REF!*Y1631)/(T1631*X1631*#REF!)</f>
        <v>#REF!</v>
      </c>
      <c r="O1631">
        <v>5</v>
      </c>
      <c r="P1631" t="s">
        <v>33</v>
      </c>
      <c r="Q1631" s="1">
        <f>IFERROR(X1631/Z1631, "NA")</f>
        <v>2.0500000000000003</v>
      </c>
      <c r="R1631" t="s">
        <v>183</v>
      </c>
      <c r="S1631" t="s">
        <v>33</v>
      </c>
      <c r="T1631">
        <v>1</v>
      </c>
      <c r="U1631">
        <v>2.5</v>
      </c>
      <c r="V1631" t="s">
        <v>33</v>
      </c>
      <c r="W1631">
        <v>0.50249999999999995</v>
      </c>
      <c r="X1631">
        <f t="shared" si="793"/>
        <v>0.50249999999999995</v>
      </c>
      <c r="Y1631" t="s">
        <v>33</v>
      </c>
      <c r="Z1631" s="3">
        <f t="shared" si="792"/>
        <v>0.24512195121951216</v>
      </c>
      <c r="AA1631" t="s">
        <v>33</v>
      </c>
      <c r="AB1631">
        <f>IFERROR(((X1631*O1631)/Z1631), "NA")</f>
        <v>10.25</v>
      </c>
      <c r="AC1631" s="1" t="str">
        <f>IFERROR(O1631*P1631,"NA")</f>
        <v>NA</v>
      </c>
      <c r="AE1631" s="3">
        <f t="shared" si="770"/>
        <v>19.844000000000001</v>
      </c>
      <c r="AF1631">
        <v>20.5</v>
      </c>
      <c r="AG1631" s="1" t="str">
        <f>IFERROR((P1631*#REF!*Q1631), "NA")</f>
        <v>NA</v>
      </c>
      <c r="AH1631" s="1" t="str">
        <f>IFERROR((AG1631*U1631*AI1631), "NA")</f>
        <v>NA</v>
      </c>
      <c r="AI1631" s="1">
        <v>1</v>
      </c>
      <c r="AJ1631" s="11" t="s">
        <v>31</v>
      </c>
      <c r="AK1631">
        <v>2000</v>
      </c>
      <c r="AL1631" t="s">
        <v>784</v>
      </c>
      <c r="AM1631" s="3" t="s">
        <v>103</v>
      </c>
      <c r="AN1631" t="s">
        <v>130</v>
      </c>
      <c r="AO1631" t="s">
        <v>795</v>
      </c>
      <c r="AP1631">
        <v>7</v>
      </c>
      <c r="AQ1631" t="s">
        <v>33</v>
      </c>
      <c r="AR1631" t="s">
        <v>33</v>
      </c>
      <c r="AS1631">
        <v>9</v>
      </c>
      <c r="AT1631">
        <f>AS1631-AU1631</f>
        <v>8.16</v>
      </c>
      <c r="AU1631" s="6">
        <v>0.84</v>
      </c>
      <c r="AV1631" t="b">
        <v>1</v>
      </c>
      <c r="AW1631" t="s">
        <v>617</v>
      </c>
      <c r="AX1631" t="s">
        <v>635</v>
      </c>
      <c r="AY1631" t="s">
        <v>636</v>
      </c>
      <c r="AZ1631" t="s">
        <v>33</v>
      </c>
      <c r="BA1631" s="18" t="s">
        <v>802</v>
      </c>
      <c r="BB1631" s="3" t="b">
        <v>0</v>
      </c>
      <c r="BC1631" t="s">
        <v>81</v>
      </c>
      <c r="BD1631">
        <v>24</v>
      </c>
      <c r="BE1631" t="s">
        <v>80</v>
      </c>
      <c r="BF1631">
        <v>24</v>
      </c>
      <c r="BG1631" t="s">
        <v>644</v>
      </c>
      <c r="BH1631" t="s">
        <v>31</v>
      </c>
      <c r="BI1631" t="s">
        <v>31</v>
      </c>
      <c r="BJ1631">
        <f t="shared" si="772"/>
        <v>0.84</v>
      </c>
      <c r="BK1631" s="3">
        <f t="shared" si="786"/>
        <v>-7.5720713938118356E-2</v>
      </c>
      <c r="BL1631">
        <v>2</v>
      </c>
      <c r="BM1631" s="3">
        <f t="shared" si="794"/>
        <v>1.3733499323022664</v>
      </c>
      <c r="BN1631" t="s">
        <v>33</v>
      </c>
      <c r="BO1631" s="3">
        <f t="shared" si="787"/>
        <v>23.623809523809527</v>
      </c>
      <c r="BP1631" t="s">
        <v>33</v>
      </c>
      <c r="BQ1631" t="s">
        <v>33</v>
      </c>
      <c r="BR1631" t="s">
        <v>33</v>
      </c>
      <c r="BS1631" t="s">
        <v>33</v>
      </c>
      <c r="BT1631" t="s">
        <v>31</v>
      </c>
      <c r="BU1631" t="s">
        <v>664</v>
      </c>
      <c r="BV1631">
        <v>2000</v>
      </c>
      <c r="BW1631" t="s">
        <v>665</v>
      </c>
      <c r="BX1631" t="s">
        <v>78</v>
      </c>
      <c r="BY1631" s="13" t="s">
        <v>685</v>
      </c>
      <c r="CA1631" t="str">
        <f t="shared" si="789"/>
        <v>low acid</v>
      </c>
    </row>
    <row r="1632" spans="1:79">
      <c r="A1632" t="s">
        <v>597</v>
      </c>
      <c r="B1632" t="s">
        <v>565</v>
      </c>
      <c r="C1632" t="s">
        <v>563</v>
      </c>
      <c r="D1632" t="s">
        <v>33</v>
      </c>
      <c r="E1632" t="s">
        <v>77</v>
      </c>
      <c r="F1632" t="s">
        <v>33</v>
      </c>
      <c r="G1632">
        <v>20</v>
      </c>
      <c r="H1632">
        <v>35</v>
      </c>
      <c r="I1632" t="b">
        <v>0</v>
      </c>
      <c r="J1632" t="s">
        <v>33</v>
      </c>
      <c r="K1632" t="s">
        <v>33</v>
      </c>
      <c r="L1632">
        <v>19</v>
      </c>
      <c r="M1632" s="4">
        <v>1</v>
      </c>
      <c r="N1632" t="e">
        <f>(#REF!*Y1632)/(T1632*X1632*O1632)</f>
        <v>#REF!</v>
      </c>
      <c r="O1632">
        <v>2</v>
      </c>
      <c r="P1632" t="s">
        <v>33</v>
      </c>
      <c r="Q1632" s="1">
        <f>IFERROR(X1632/Z1632, "NA")</f>
        <v>24.094999999999999</v>
      </c>
      <c r="R1632" t="s">
        <v>183</v>
      </c>
      <c r="S1632" t="s">
        <v>33</v>
      </c>
      <c r="T1632">
        <v>1</v>
      </c>
      <c r="U1632">
        <v>2.5</v>
      </c>
      <c r="V1632" t="s">
        <v>33</v>
      </c>
      <c r="W1632">
        <v>0.50249999999999995</v>
      </c>
      <c r="X1632">
        <f t="shared" si="793"/>
        <v>0.50249999999999995</v>
      </c>
      <c r="Y1632" t="s">
        <v>33</v>
      </c>
      <c r="Z1632" s="3">
        <f t="shared" si="792"/>
        <v>2.0854949159576676E-2</v>
      </c>
      <c r="AA1632" t="s">
        <v>33</v>
      </c>
      <c r="AB1632">
        <f>IFERROR(((X1632*M1632)/Z1632), "NA")</f>
        <v>24.094999999999999</v>
      </c>
      <c r="AC1632" s="1" t="str">
        <f>IFERROR(M1632*P1632,"NA")</f>
        <v>NA</v>
      </c>
      <c r="AE1632" s="3">
        <f t="shared" si="770"/>
        <v>34.79318</v>
      </c>
      <c r="AF1632">
        <v>48.19</v>
      </c>
      <c r="AG1632" s="1" t="str">
        <f>IFERROR((N1632*P1632*Q1632), "NA")</f>
        <v>NA</v>
      </c>
      <c r="AH1632" s="1" t="str">
        <f>IFERROR((AG1632*U1632*AI1632), "NA")</f>
        <v>NA</v>
      </c>
      <c r="AI1632" s="1">
        <v>1</v>
      </c>
      <c r="AJ1632" s="11" t="s">
        <v>31</v>
      </c>
      <c r="AK1632">
        <v>2000</v>
      </c>
      <c r="AL1632" t="s">
        <v>784</v>
      </c>
      <c r="AM1632" s="3" t="s">
        <v>103</v>
      </c>
      <c r="AN1632" t="s">
        <v>130</v>
      </c>
      <c r="AO1632" t="s">
        <v>795</v>
      </c>
      <c r="AP1632">
        <v>7</v>
      </c>
      <c r="AQ1632" t="s">
        <v>33</v>
      </c>
      <c r="AR1632" t="s">
        <v>33</v>
      </c>
      <c r="AS1632">
        <v>9</v>
      </c>
      <c r="AT1632">
        <f>AS1632-AU1632</f>
        <v>8.18</v>
      </c>
      <c r="AU1632" s="6">
        <v>0.82</v>
      </c>
      <c r="AV1632" t="b">
        <v>1</v>
      </c>
      <c r="AW1632" t="s">
        <v>617</v>
      </c>
      <c r="AX1632" t="s">
        <v>635</v>
      </c>
      <c r="AY1632" t="s">
        <v>636</v>
      </c>
      <c r="AZ1632" t="s">
        <v>33</v>
      </c>
      <c r="BA1632" s="18" t="s">
        <v>802</v>
      </c>
      <c r="BB1632" s="3" t="b">
        <v>0</v>
      </c>
      <c r="BC1632" t="s">
        <v>81</v>
      </c>
      <c r="BD1632">
        <v>24</v>
      </c>
      <c r="BE1632" t="s">
        <v>80</v>
      </c>
      <c r="BF1632">
        <v>24</v>
      </c>
      <c r="BG1632" t="s">
        <v>644</v>
      </c>
      <c r="BH1632" t="s">
        <v>31</v>
      </c>
      <c r="BI1632" t="s">
        <v>31</v>
      </c>
      <c r="BJ1632">
        <f t="shared" si="772"/>
        <v>0.82</v>
      </c>
      <c r="BK1632" s="3">
        <f t="shared" si="786"/>
        <v>-8.6186147616283335E-2</v>
      </c>
      <c r="BL1632">
        <v>2</v>
      </c>
      <c r="BM1632" s="3">
        <f t="shared" si="794"/>
        <v>1.6276802714871308</v>
      </c>
      <c r="BN1632" t="s">
        <v>33</v>
      </c>
      <c r="BO1632" s="3">
        <f t="shared" si="787"/>
        <v>42.430707317073171</v>
      </c>
      <c r="BP1632" t="s">
        <v>33</v>
      </c>
      <c r="BQ1632" t="s">
        <v>33</v>
      </c>
      <c r="BR1632" t="s">
        <v>33</v>
      </c>
      <c r="BS1632" t="s">
        <v>33</v>
      </c>
      <c r="BT1632" t="s">
        <v>31</v>
      </c>
      <c r="BU1632" t="s">
        <v>664</v>
      </c>
      <c r="BV1632">
        <v>2000</v>
      </c>
      <c r="BW1632" t="s">
        <v>665</v>
      </c>
      <c r="BX1632" t="s">
        <v>78</v>
      </c>
      <c r="BY1632" s="13" t="s">
        <v>685</v>
      </c>
      <c r="CA1632" t="str">
        <f t="shared" si="789"/>
        <v>low acid</v>
      </c>
    </row>
    <row r="1633" spans="1:79">
      <c r="A1633" t="s">
        <v>712</v>
      </c>
      <c r="B1633" t="s">
        <v>566</v>
      </c>
      <c r="C1633" t="s">
        <v>563</v>
      </c>
      <c r="D1633" t="s">
        <v>699</v>
      </c>
      <c r="E1633" t="s">
        <v>77</v>
      </c>
      <c r="F1633" t="s">
        <v>32</v>
      </c>
      <c r="G1633">
        <v>20</v>
      </c>
      <c r="H1633">
        <v>41</v>
      </c>
      <c r="I1633" t="b">
        <v>1</v>
      </c>
      <c r="J1633" t="s">
        <v>33</v>
      </c>
      <c r="K1633" t="s">
        <v>33</v>
      </c>
      <c r="L1633">
        <v>20</v>
      </c>
      <c r="M1633" s="4">
        <v>30</v>
      </c>
      <c r="N1633" s="3">
        <f>IFERROR(AF1633/((T1633*X1633/Y1633)*O1633*AI1633),"NA")</f>
        <v>29.861111111111104</v>
      </c>
      <c r="O1633">
        <v>5</v>
      </c>
      <c r="P1633">
        <v>0.43</v>
      </c>
      <c r="Q1633" s="8">
        <f>IFERROR(X1633/Y1633, "NA")</f>
        <v>0.43200000000000011</v>
      </c>
      <c r="R1633" t="s">
        <v>183</v>
      </c>
      <c r="S1633" t="s">
        <v>612</v>
      </c>
      <c r="T1633" s="11">
        <v>1</v>
      </c>
      <c r="U1633">
        <v>4</v>
      </c>
      <c r="V1633" t="s">
        <v>33</v>
      </c>
      <c r="W1633">
        <f>0.4*3*0.5</f>
        <v>0.60000000000000009</v>
      </c>
      <c r="X1633" s="9">
        <f t="shared" si="793"/>
        <v>0.60000000000000009</v>
      </c>
      <c r="Y1633" s="6">
        <f>5000/3600</f>
        <v>1.3888888888888888</v>
      </c>
      <c r="Z1633" s="3">
        <f t="shared" si="792"/>
        <v>1.3953488372093026</v>
      </c>
      <c r="AA1633" t="s">
        <v>33</v>
      </c>
      <c r="AB1633" s="4">
        <f>IFERROR(((X1633*M1633)/Y1633), "NA")</f>
        <v>12.960000000000003</v>
      </c>
      <c r="AC1633" s="4">
        <f>IFERROR(M1633*P1633,"NA")</f>
        <v>12.9</v>
      </c>
      <c r="AD1633" s="4">
        <f>AB1633*T1633*AI1633</f>
        <v>12.960000000000003</v>
      </c>
      <c r="AE1633" s="3">
        <f t="shared" si="770"/>
        <v>51.840000000000011</v>
      </c>
      <c r="AF1633">
        <v>64.5</v>
      </c>
      <c r="AG1633" s="4">
        <f>IFERROR((M1633*O1633*P1633), "NA")</f>
        <v>64.5</v>
      </c>
      <c r="AH1633" s="4">
        <f>IFERROR((AG1633*T1633*AI1633), "NA")</f>
        <v>64.5</v>
      </c>
      <c r="AI1633">
        <v>1</v>
      </c>
      <c r="AJ1633" s="11" t="s">
        <v>31</v>
      </c>
      <c r="AK1633">
        <v>2000</v>
      </c>
      <c r="AL1633" t="s">
        <v>784</v>
      </c>
      <c r="AM1633" t="s">
        <v>103</v>
      </c>
      <c r="AN1633" t="s">
        <v>130</v>
      </c>
      <c r="AO1633" t="s">
        <v>795</v>
      </c>
      <c r="AP1633">
        <v>7</v>
      </c>
      <c r="AQ1633" t="s">
        <v>33</v>
      </c>
      <c r="AR1633" t="s">
        <v>33</v>
      </c>
      <c r="AS1633" s="6">
        <f>LOG(AVERAGE(10^8, 10^9))</f>
        <v>8.7403626894942441</v>
      </c>
      <c r="AT1633" s="3">
        <f>IFERROR(AS1633-AU1633,"NA")</f>
        <v>8.1913626894942446</v>
      </c>
      <c r="AU1633" s="6">
        <v>0.54900000000000004</v>
      </c>
      <c r="AV1633" t="b">
        <v>1</v>
      </c>
      <c r="AW1633" t="s">
        <v>92</v>
      </c>
      <c r="AX1633" t="s">
        <v>93</v>
      </c>
      <c r="AY1633" t="s">
        <v>715</v>
      </c>
      <c r="AZ1633" t="s">
        <v>33</v>
      </c>
      <c r="BA1633" s="18" t="s">
        <v>801</v>
      </c>
      <c r="BB1633" s="3" t="b">
        <v>0</v>
      </c>
      <c r="BC1633" t="s">
        <v>81</v>
      </c>
      <c r="BD1633">
        <v>24</v>
      </c>
      <c r="BE1633" t="s">
        <v>80</v>
      </c>
      <c r="BF1633">
        <v>24</v>
      </c>
      <c r="BG1633" t="s">
        <v>568</v>
      </c>
      <c r="BH1633" t="s">
        <v>31</v>
      </c>
      <c r="BI1633" t="s">
        <v>31</v>
      </c>
      <c r="BJ1633" s="3">
        <f t="shared" si="772"/>
        <v>0.54900000000000004</v>
      </c>
      <c r="BK1633" s="3">
        <f t="shared" si="786"/>
        <v>-0.26042765554990804</v>
      </c>
      <c r="BL1633">
        <v>2</v>
      </c>
      <c r="BM1633" s="3">
        <f t="shared" si="794"/>
        <v>1.9750926484124451</v>
      </c>
      <c r="BN1633" t="s">
        <v>33</v>
      </c>
      <c r="BO1633" s="3">
        <f t="shared" si="787"/>
        <v>94.426229508196727</v>
      </c>
      <c r="BP1633" t="s">
        <v>33</v>
      </c>
      <c r="BQ1633" t="s">
        <v>33</v>
      </c>
      <c r="BR1633" t="s">
        <v>33</v>
      </c>
      <c r="BS1633" t="s">
        <v>33</v>
      </c>
      <c r="BT1633" t="s">
        <v>32</v>
      </c>
      <c r="BU1633" t="s">
        <v>709</v>
      </c>
      <c r="BV1633">
        <v>2024</v>
      </c>
      <c r="BW1633" t="s">
        <v>710</v>
      </c>
      <c r="BX1633" t="s">
        <v>78</v>
      </c>
      <c r="BY1633" t="s">
        <v>711</v>
      </c>
      <c r="CA1633" t="str">
        <f t="shared" si="789"/>
        <v>low acid</v>
      </c>
    </row>
    <row r="1634" spans="1:79">
      <c r="A1634" t="s">
        <v>589</v>
      </c>
      <c r="B1634" t="s">
        <v>566</v>
      </c>
      <c r="C1634" t="s">
        <v>563</v>
      </c>
      <c r="D1634" t="s">
        <v>33</v>
      </c>
      <c r="E1634" t="s">
        <v>77</v>
      </c>
      <c r="F1634" t="s">
        <v>33</v>
      </c>
      <c r="G1634" t="s">
        <v>33</v>
      </c>
      <c r="H1634">
        <v>35</v>
      </c>
      <c r="I1634" t="b">
        <v>0</v>
      </c>
      <c r="J1634" t="s">
        <v>33</v>
      </c>
      <c r="K1634" t="s">
        <v>33</v>
      </c>
      <c r="L1634">
        <v>12</v>
      </c>
      <c r="M1634" s="4">
        <v>1</v>
      </c>
      <c r="N1634" t="e">
        <f>(#REF!*Y1634)/(T1634*X1634*O1634)</f>
        <v>#REF!</v>
      </c>
      <c r="O1634">
        <v>2</v>
      </c>
      <c r="P1634" t="s">
        <v>33</v>
      </c>
      <c r="Q1634" s="1">
        <f t="shared" ref="Q1634:Q1652" si="795">IFERROR(X1634/Z1634, "NA")</f>
        <v>14.699999999999998</v>
      </c>
      <c r="R1634" t="s">
        <v>183</v>
      </c>
      <c r="S1634" t="s">
        <v>613</v>
      </c>
      <c r="T1634">
        <v>1</v>
      </c>
      <c r="U1634">
        <v>2.5</v>
      </c>
      <c r="V1634" t="s">
        <v>33</v>
      </c>
      <c r="W1634">
        <v>0.50249999999999995</v>
      </c>
      <c r="X1634">
        <f t="shared" si="793"/>
        <v>0.50249999999999995</v>
      </c>
      <c r="Y1634" t="s">
        <v>33</v>
      </c>
      <c r="Z1634" s="3">
        <f t="shared" si="792"/>
        <v>3.4183673469387756E-2</v>
      </c>
      <c r="AA1634" t="s">
        <v>33</v>
      </c>
      <c r="AB1634">
        <f>IFERROR(((X1634*M1634)/Z1634), "NA")</f>
        <v>14.699999999999998</v>
      </c>
      <c r="AC1634" s="1" t="str">
        <f>IFERROR(M1634*P1634,"NA")</f>
        <v>NA</v>
      </c>
      <c r="AE1634" s="3">
        <f t="shared" si="770"/>
        <v>8.4671999999999983</v>
      </c>
      <c r="AF1634">
        <v>29.4</v>
      </c>
      <c r="AG1634" s="1" t="str">
        <f>IFERROR((N1634*P1634*Q1634), "NA")</f>
        <v>NA</v>
      </c>
      <c r="AH1634" s="1" t="str">
        <f t="shared" ref="AH1634:AH1643" si="796">IFERROR((AG1634*U1634*AI1634), "NA")</f>
        <v>NA</v>
      </c>
      <c r="AI1634" s="1">
        <v>1</v>
      </c>
      <c r="AJ1634" s="11" t="s">
        <v>31</v>
      </c>
      <c r="AK1634">
        <v>2000</v>
      </c>
      <c r="AL1634" t="s">
        <v>616</v>
      </c>
      <c r="AM1634" s="3" t="s">
        <v>103</v>
      </c>
      <c r="AN1634" t="s">
        <v>130</v>
      </c>
      <c r="AO1634" t="s">
        <v>795</v>
      </c>
      <c r="AP1634">
        <v>7</v>
      </c>
      <c r="AQ1634" t="s">
        <v>33</v>
      </c>
      <c r="AR1634" t="s">
        <v>33</v>
      </c>
      <c r="AS1634">
        <v>9</v>
      </c>
      <c r="AT1634">
        <f t="shared" ref="AT1634:AT1643" si="797">AS1634-AU1634</f>
        <v>8.2200000000000006</v>
      </c>
      <c r="AU1634" s="6">
        <v>0.78</v>
      </c>
      <c r="AV1634" t="b">
        <v>1</v>
      </c>
      <c r="AW1634" t="s">
        <v>617</v>
      </c>
      <c r="AX1634" t="s">
        <v>33</v>
      </c>
      <c r="AY1634" t="s">
        <v>628</v>
      </c>
      <c r="AZ1634" t="s">
        <v>619</v>
      </c>
      <c r="BA1634" s="18" t="s">
        <v>802</v>
      </c>
      <c r="BB1634" s="3" t="b">
        <v>0</v>
      </c>
      <c r="BC1634" t="s">
        <v>81</v>
      </c>
      <c r="BD1634">
        <v>24</v>
      </c>
      <c r="BE1634" t="s">
        <v>80</v>
      </c>
      <c r="BF1634">
        <v>24</v>
      </c>
      <c r="BG1634" t="s">
        <v>644</v>
      </c>
      <c r="BH1634" t="s">
        <v>31</v>
      </c>
      <c r="BI1634" t="s">
        <v>31</v>
      </c>
      <c r="BJ1634">
        <f t="shared" si="772"/>
        <v>0.78</v>
      </c>
      <c r="BK1634" s="3">
        <f t="shared" si="786"/>
        <v>-0.10790539730951958</v>
      </c>
      <c r="BL1634">
        <v>2</v>
      </c>
      <c r="BM1634" s="3">
        <f t="shared" si="794"/>
        <v>1.0356452154809077</v>
      </c>
      <c r="BN1634" t="s">
        <v>33</v>
      </c>
      <c r="BO1634" s="3">
        <f t="shared" si="787"/>
        <v>10.855384615384613</v>
      </c>
      <c r="BP1634" t="s">
        <v>33</v>
      </c>
      <c r="BQ1634" t="s">
        <v>33</v>
      </c>
      <c r="BR1634" t="s">
        <v>33</v>
      </c>
      <c r="BS1634" t="s">
        <v>33</v>
      </c>
      <c r="BT1634" t="s">
        <v>31</v>
      </c>
      <c r="BU1634" s="15" t="s">
        <v>655</v>
      </c>
      <c r="BV1634">
        <v>2003</v>
      </c>
      <c r="BW1634" t="s">
        <v>656</v>
      </c>
      <c r="BX1634" t="s">
        <v>78</v>
      </c>
      <c r="BY1634" s="13" t="s">
        <v>677</v>
      </c>
      <c r="CA1634" t="str">
        <f t="shared" si="789"/>
        <v>low acid</v>
      </c>
    </row>
    <row r="1635" spans="1:79">
      <c r="A1635" t="s">
        <v>597</v>
      </c>
      <c r="B1635" t="s">
        <v>565</v>
      </c>
      <c r="C1635" t="s">
        <v>563</v>
      </c>
      <c r="D1635" t="s">
        <v>33</v>
      </c>
      <c r="E1635" t="s">
        <v>77</v>
      </c>
      <c r="F1635" t="s">
        <v>33</v>
      </c>
      <c r="G1635">
        <v>20</v>
      </c>
      <c r="H1635">
        <v>35</v>
      </c>
      <c r="I1635" t="b">
        <v>0</v>
      </c>
      <c r="J1635" t="s">
        <v>33</v>
      </c>
      <c r="K1635" t="s">
        <v>33</v>
      </c>
      <c r="L1635">
        <v>22</v>
      </c>
      <c r="M1635" s="4">
        <v>2</v>
      </c>
      <c r="N1635" t="e">
        <f>(#REF!*Y1635)/(T1635*X1635*O1635)</f>
        <v>#REF!</v>
      </c>
      <c r="O1635">
        <v>15</v>
      </c>
      <c r="P1635" t="s">
        <v>33</v>
      </c>
      <c r="Q1635" s="1">
        <f t="shared" si="795"/>
        <v>0.51666666666666661</v>
      </c>
      <c r="R1635" t="s">
        <v>183</v>
      </c>
      <c r="S1635" t="s">
        <v>33</v>
      </c>
      <c r="T1635">
        <v>1</v>
      </c>
      <c r="U1635">
        <v>2.5</v>
      </c>
      <c r="V1635" t="s">
        <v>33</v>
      </c>
      <c r="W1635">
        <v>0.50249999999999995</v>
      </c>
      <c r="X1635">
        <f t="shared" si="793"/>
        <v>0.50249999999999995</v>
      </c>
      <c r="Y1635" t="s">
        <v>33</v>
      </c>
      <c r="Z1635" s="3">
        <f t="shared" si="792"/>
        <v>0.97258064516129028</v>
      </c>
      <c r="AA1635" t="s">
        <v>33</v>
      </c>
      <c r="AB1635">
        <f>IFERROR(((X1635*M1635)/Z1635), "NA")</f>
        <v>1.0333333333333332</v>
      </c>
      <c r="AC1635" s="1" t="str">
        <f>IFERROR(M1635*P1635,"NA")</f>
        <v>NA</v>
      </c>
      <c r="AE1635" s="3">
        <f t="shared" si="770"/>
        <v>15.003999999999998</v>
      </c>
      <c r="AF1635">
        <v>15.5</v>
      </c>
      <c r="AG1635" s="1" t="str">
        <f>IFERROR((N1635*P1635*Q1635), "NA")</f>
        <v>NA</v>
      </c>
      <c r="AH1635" s="1" t="str">
        <f t="shared" si="796"/>
        <v>NA</v>
      </c>
      <c r="AI1635" s="1">
        <v>1</v>
      </c>
      <c r="AJ1635" s="11" t="s">
        <v>31</v>
      </c>
      <c r="AK1635">
        <v>2000</v>
      </c>
      <c r="AL1635" t="s">
        <v>784</v>
      </c>
      <c r="AM1635" s="3" t="s">
        <v>103</v>
      </c>
      <c r="AN1635" t="s">
        <v>130</v>
      </c>
      <c r="AO1635" t="s">
        <v>795</v>
      </c>
      <c r="AP1635">
        <v>7</v>
      </c>
      <c r="AQ1635" t="s">
        <v>33</v>
      </c>
      <c r="AR1635" t="s">
        <v>33</v>
      </c>
      <c r="AS1635">
        <v>9</v>
      </c>
      <c r="AT1635">
        <f t="shared" si="797"/>
        <v>8.2200000000000006</v>
      </c>
      <c r="AU1635" s="6">
        <v>0.78</v>
      </c>
      <c r="AV1635" t="b">
        <v>1</v>
      </c>
      <c r="AW1635" t="s">
        <v>617</v>
      </c>
      <c r="AX1635" t="s">
        <v>635</v>
      </c>
      <c r="AY1635" t="s">
        <v>636</v>
      </c>
      <c r="AZ1635" t="s">
        <v>33</v>
      </c>
      <c r="BA1635" s="18" t="s">
        <v>802</v>
      </c>
      <c r="BB1635" s="3" t="b">
        <v>0</v>
      </c>
      <c r="BC1635" t="s">
        <v>81</v>
      </c>
      <c r="BD1635">
        <v>24</v>
      </c>
      <c r="BE1635" t="s">
        <v>80</v>
      </c>
      <c r="BF1635">
        <v>24</v>
      </c>
      <c r="BG1635" t="s">
        <v>644</v>
      </c>
      <c r="BH1635" t="s">
        <v>31</v>
      </c>
      <c r="BI1635" t="s">
        <v>31</v>
      </c>
      <c r="BJ1635">
        <f t="shared" si="772"/>
        <v>0.78</v>
      </c>
      <c r="BK1635" s="3">
        <f t="shared" si="786"/>
        <v>-0.10790539730951958</v>
      </c>
      <c r="BL1635">
        <v>2</v>
      </c>
      <c r="BM1635" s="3">
        <f t="shared" si="794"/>
        <v>1.2841124527882046</v>
      </c>
      <c r="BN1635" t="s">
        <v>33</v>
      </c>
      <c r="BO1635" s="3">
        <f t="shared" si="787"/>
        <v>19.235897435897432</v>
      </c>
      <c r="BP1635" t="s">
        <v>33</v>
      </c>
      <c r="BQ1635" t="s">
        <v>33</v>
      </c>
      <c r="BR1635" t="s">
        <v>33</v>
      </c>
      <c r="BS1635" t="s">
        <v>33</v>
      </c>
      <c r="BT1635" t="s">
        <v>31</v>
      </c>
      <c r="BU1635" t="s">
        <v>664</v>
      </c>
      <c r="BV1635">
        <v>2000</v>
      </c>
      <c r="BW1635" t="s">
        <v>665</v>
      </c>
      <c r="BX1635" t="s">
        <v>78</v>
      </c>
      <c r="BY1635" s="13" t="s">
        <v>685</v>
      </c>
      <c r="CA1635" t="str">
        <f t="shared" si="789"/>
        <v>low acid</v>
      </c>
    </row>
    <row r="1636" spans="1:79">
      <c r="A1636" t="s">
        <v>597</v>
      </c>
      <c r="B1636" t="s">
        <v>565</v>
      </c>
      <c r="C1636" t="s">
        <v>563</v>
      </c>
      <c r="D1636" t="s">
        <v>33</v>
      </c>
      <c r="E1636" t="s">
        <v>77</v>
      </c>
      <c r="F1636" t="s">
        <v>33</v>
      </c>
      <c r="G1636">
        <v>20</v>
      </c>
      <c r="H1636">
        <v>35</v>
      </c>
      <c r="I1636" t="b">
        <v>0</v>
      </c>
      <c r="J1636" t="s">
        <v>33</v>
      </c>
      <c r="K1636" t="s">
        <v>33</v>
      </c>
      <c r="L1636">
        <v>12</v>
      </c>
      <c r="M1636" s="4">
        <v>1</v>
      </c>
      <c r="N1636" t="e">
        <f>(#REF!*Y1636)/(T1636*X1636*O1636)</f>
        <v>#REF!</v>
      </c>
      <c r="O1636">
        <v>2</v>
      </c>
      <c r="P1636" t="s">
        <v>33</v>
      </c>
      <c r="Q1636" s="1">
        <f t="shared" si="795"/>
        <v>747</v>
      </c>
      <c r="R1636" t="s">
        <v>183</v>
      </c>
      <c r="S1636" t="s">
        <v>33</v>
      </c>
      <c r="T1636">
        <v>1</v>
      </c>
      <c r="U1636">
        <v>2.5</v>
      </c>
      <c r="V1636" t="s">
        <v>33</v>
      </c>
      <c r="W1636">
        <v>0.50249999999999995</v>
      </c>
      <c r="X1636">
        <f t="shared" si="793"/>
        <v>0.50249999999999995</v>
      </c>
      <c r="Y1636" t="s">
        <v>33</v>
      </c>
      <c r="Z1636" s="3">
        <f t="shared" si="792"/>
        <v>6.7269076305220875E-4</v>
      </c>
      <c r="AA1636" t="s">
        <v>33</v>
      </c>
      <c r="AB1636">
        <f>IFERROR(((X1636*M1636)/Z1636), "NA")</f>
        <v>747</v>
      </c>
      <c r="AC1636" s="1" t="str">
        <f>IFERROR(M1636*P1636,"NA")</f>
        <v>NA</v>
      </c>
      <c r="AE1636" s="3">
        <f t="shared" si="770"/>
        <v>430.27199999999999</v>
      </c>
      <c r="AF1636">
        <v>1494</v>
      </c>
      <c r="AG1636" s="1" t="str">
        <f>IFERROR((N1636*P1636*Q1636), "NA")</f>
        <v>NA</v>
      </c>
      <c r="AH1636" s="1" t="str">
        <f t="shared" si="796"/>
        <v>NA</v>
      </c>
      <c r="AI1636" s="1">
        <v>1</v>
      </c>
      <c r="AJ1636" s="11" t="s">
        <v>31</v>
      </c>
      <c r="AK1636">
        <v>2000</v>
      </c>
      <c r="AL1636" t="s">
        <v>784</v>
      </c>
      <c r="AM1636" s="3" t="s">
        <v>103</v>
      </c>
      <c r="AN1636" t="s">
        <v>130</v>
      </c>
      <c r="AO1636" t="s">
        <v>795</v>
      </c>
      <c r="AP1636">
        <v>7</v>
      </c>
      <c r="AQ1636" t="s">
        <v>33</v>
      </c>
      <c r="AR1636" t="s">
        <v>33</v>
      </c>
      <c r="AS1636">
        <v>9</v>
      </c>
      <c r="AT1636">
        <f t="shared" si="797"/>
        <v>8.24</v>
      </c>
      <c r="AU1636" s="6">
        <v>0.76</v>
      </c>
      <c r="AV1636" t="b">
        <v>1</v>
      </c>
      <c r="AW1636" t="s">
        <v>617</v>
      </c>
      <c r="AX1636" t="s">
        <v>635</v>
      </c>
      <c r="AY1636" t="s">
        <v>636</v>
      </c>
      <c r="AZ1636" t="s">
        <v>33</v>
      </c>
      <c r="BA1636" s="18" t="s">
        <v>802</v>
      </c>
      <c r="BB1636" s="3" t="b">
        <v>0</v>
      </c>
      <c r="BC1636" t="s">
        <v>81</v>
      </c>
      <c r="BD1636">
        <v>24</v>
      </c>
      <c r="BE1636" t="s">
        <v>80</v>
      </c>
      <c r="BF1636">
        <v>24</v>
      </c>
      <c r="BG1636" t="s">
        <v>644</v>
      </c>
      <c r="BH1636" t="s">
        <v>31</v>
      </c>
      <c r="BI1636" t="s">
        <v>31</v>
      </c>
      <c r="BJ1636">
        <f t="shared" si="772"/>
        <v>0.76</v>
      </c>
      <c r="BK1636" s="3">
        <f t="shared" si="786"/>
        <v>-0.11918640771920865</v>
      </c>
      <c r="BL1636">
        <v>2</v>
      </c>
      <c r="BM1636" s="3">
        <f t="shared" si="794"/>
        <v>2.7529294929578194</v>
      </c>
      <c r="BN1636" t="s">
        <v>33</v>
      </c>
      <c r="BO1636" s="3">
        <f t="shared" si="787"/>
        <v>566.14736842105265</v>
      </c>
      <c r="BP1636" t="s">
        <v>33</v>
      </c>
      <c r="BQ1636" t="s">
        <v>33</v>
      </c>
      <c r="BR1636" t="s">
        <v>33</v>
      </c>
      <c r="BS1636" t="s">
        <v>33</v>
      </c>
      <c r="BT1636" t="s">
        <v>31</v>
      </c>
      <c r="BU1636" t="s">
        <v>664</v>
      </c>
      <c r="BV1636">
        <v>2000</v>
      </c>
      <c r="BW1636" t="s">
        <v>665</v>
      </c>
      <c r="BX1636" t="s">
        <v>78</v>
      </c>
      <c r="BY1636" s="13" t="s">
        <v>685</v>
      </c>
      <c r="CA1636" t="str">
        <f t="shared" si="789"/>
        <v>low acid</v>
      </c>
    </row>
    <row r="1637" spans="1:79">
      <c r="A1637" t="s">
        <v>597</v>
      </c>
      <c r="B1637" t="s">
        <v>565</v>
      </c>
      <c r="C1637" t="s">
        <v>563</v>
      </c>
      <c r="D1637" t="s">
        <v>33</v>
      </c>
      <c r="E1637" t="s">
        <v>77</v>
      </c>
      <c r="F1637" t="s">
        <v>33</v>
      </c>
      <c r="G1637">
        <v>20</v>
      </c>
      <c r="H1637">
        <v>35</v>
      </c>
      <c r="I1637" t="b">
        <v>0</v>
      </c>
      <c r="J1637" t="s">
        <v>33</v>
      </c>
      <c r="K1637" t="s">
        <v>33</v>
      </c>
      <c r="L1637">
        <v>22</v>
      </c>
      <c r="M1637" s="4">
        <v>2</v>
      </c>
      <c r="N1637" t="e">
        <f>(#REF!*Y1637)/(T1637*X1637*#REF!)</f>
        <v>#REF!</v>
      </c>
      <c r="O1637">
        <v>10</v>
      </c>
      <c r="P1637" t="s">
        <v>33</v>
      </c>
      <c r="Q1637" s="1">
        <f t="shared" si="795"/>
        <v>0.52249999999999996</v>
      </c>
      <c r="R1637" t="s">
        <v>183</v>
      </c>
      <c r="S1637" t="s">
        <v>33</v>
      </c>
      <c r="T1637">
        <v>1</v>
      </c>
      <c r="U1637">
        <v>2.5</v>
      </c>
      <c r="V1637" t="s">
        <v>33</v>
      </c>
      <c r="W1637">
        <v>0.50249999999999995</v>
      </c>
      <c r="X1637">
        <f t="shared" si="793"/>
        <v>0.50249999999999995</v>
      </c>
      <c r="Y1637" t="s">
        <v>33</v>
      </c>
      <c r="Z1637" s="3">
        <f t="shared" si="792"/>
        <v>0.96172248803827742</v>
      </c>
      <c r="AA1637" t="s">
        <v>33</v>
      </c>
      <c r="AB1637">
        <f>IFERROR(((X1637*O1637)/Z1637), "NA")</f>
        <v>5.2249999999999996</v>
      </c>
      <c r="AC1637" s="1" t="str">
        <f>IFERROR(O1637*P1637,"NA")</f>
        <v>NA</v>
      </c>
      <c r="AE1637" s="3">
        <f t="shared" si="770"/>
        <v>10.115599999999999</v>
      </c>
      <c r="AF1637">
        <v>10.45</v>
      </c>
      <c r="AG1637" s="1" t="str">
        <f>IFERROR((P1637*#REF!*Q1637), "NA")</f>
        <v>NA</v>
      </c>
      <c r="AH1637" s="1" t="str">
        <f t="shared" si="796"/>
        <v>NA</v>
      </c>
      <c r="AI1637" s="1">
        <v>1</v>
      </c>
      <c r="AJ1637" s="11" t="s">
        <v>31</v>
      </c>
      <c r="AK1637">
        <v>2000</v>
      </c>
      <c r="AL1637" t="s">
        <v>784</v>
      </c>
      <c r="AM1637" s="3" t="s">
        <v>103</v>
      </c>
      <c r="AN1637" t="s">
        <v>130</v>
      </c>
      <c r="AO1637" t="s">
        <v>795</v>
      </c>
      <c r="AP1637">
        <v>7</v>
      </c>
      <c r="AQ1637" t="s">
        <v>33</v>
      </c>
      <c r="AR1637" t="s">
        <v>33</v>
      </c>
      <c r="AS1637">
        <v>9</v>
      </c>
      <c r="AT1637">
        <f t="shared" si="797"/>
        <v>8.26</v>
      </c>
      <c r="AU1637" s="6">
        <v>0.74</v>
      </c>
      <c r="AV1637" t="b">
        <v>1</v>
      </c>
      <c r="AW1637" t="s">
        <v>617</v>
      </c>
      <c r="AX1637" t="s">
        <v>635</v>
      </c>
      <c r="AY1637" t="s">
        <v>636</v>
      </c>
      <c r="AZ1637" t="s">
        <v>33</v>
      </c>
      <c r="BA1637" s="18" t="s">
        <v>802</v>
      </c>
      <c r="BB1637" s="3" t="b">
        <v>0</v>
      </c>
      <c r="BC1637" t="s">
        <v>81</v>
      </c>
      <c r="BD1637">
        <v>24</v>
      </c>
      <c r="BE1637" t="s">
        <v>80</v>
      </c>
      <c r="BF1637">
        <v>24</v>
      </c>
      <c r="BG1637" t="s">
        <v>644</v>
      </c>
      <c r="BH1637" t="s">
        <v>31</v>
      </c>
      <c r="BI1637" t="s">
        <v>31</v>
      </c>
      <c r="BJ1637">
        <f t="shared" si="772"/>
        <v>0.74</v>
      </c>
      <c r="BK1637" s="3">
        <f t="shared" si="786"/>
        <v>-0.13076828026902382</v>
      </c>
      <c r="BL1637">
        <v>2</v>
      </c>
      <c r="BM1637" s="3">
        <f t="shared" si="794"/>
        <v>1.1357599280244901</v>
      </c>
      <c r="BN1637" t="s">
        <v>33</v>
      </c>
      <c r="BO1637" s="3">
        <f t="shared" si="787"/>
        <v>13.669729729729728</v>
      </c>
      <c r="BP1637" t="s">
        <v>33</v>
      </c>
      <c r="BQ1637" t="s">
        <v>33</v>
      </c>
      <c r="BR1637" t="s">
        <v>33</v>
      </c>
      <c r="BS1637" t="s">
        <v>33</v>
      </c>
      <c r="BT1637" t="s">
        <v>31</v>
      </c>
      <c r="BU1637" t="s">
        <v>664</v>
      </c>
      <c r="BV1637">
        <v>2000</v>
      </c>
      <c r="BW1637" t="s">
        <v>665</v>
      </c>
      <c r="BX1637" t="s">
        <v>78</v>
      </c>
      <c r="BY1637" s="13" t="s">
        <v>685</v>
      </c>
      <c r="CA1637" t="str">
        <f t="shared" si="789"/>
        <v>low acid</v>
      </c>
    </row>
    <row r="1638" spans="1:79">
      <c r="A1638" t="s">
        <v>597</v>
      </c>
      <c r="B1638" t="s">
        <v>565</v>
      </c>
      <c r="C1638" t="s">
        <v>563</v>
      </c>
      <c r="D1638" t="s">
        <v>33</v>
      </c>
      <c r="E1638" t="s">
        <v>77</v>
      </c>
      <c r="F1638" t="s">
        <v>33</v>
      </c>
      <c r="G1638">
        <v>20</v>
      </c>
      <c r="H1638">
        <v>35</v>
      </c>
      <c r="I1638" t="b">
        <v>0</v>
      </c>
      <c r="J1638" t="s">
        <v>33</v>
      </c>
      <c r="K1638" t="s">
        <v>33</v>
      </c>
      <c r="L1638">
        <v>22</v>
      </c>
      <c r="M1638" s="4">
        <v>1</v>
      </c>
      <c r="N1638" t="e">
        <f>(#REF!*Y1638)/(T1638*X1638*O1638)</f>
        <v>#REF!</v>
      </c>
      <c r="O1638">
        <v>2</v>
      </c>
      <c r="P1638" t="s">
        <v>33</v>
      </c>
      <c r="Q1638" s="1">
        <f t="shared" si="795"/>
        <v>6.7149999999999999</v>
      </c>
      <c r="R1638" t="s">
        <v>183</v>
      </c>
      <c r="S1638" t="s">
        <v>33</v>
      </c>
      <c r="T1638">
        <v>1</v>
      </c>
      <c r="U1638">
        <v>2.5</v>
      </c>
      <c r="V1638" t="s">
        <v>33</v>
      </c>
      <c r="W1638">
        <v>0.50249999999999995</v>
      </c>
      <c r="X1638">
        <f t="shared" si="793"/>
        <v>0.50249999999999995</v>
      </c>
      <c r="Y1638" t="s">
        <v>33</v>
      </c>
      <c r="Z1638" s="3">
        <f t="shared" si="792"/>
        <v>7.483246463142218E-2</v>
      </c>
      <c r="AA1638" t="s">
        <v>33</v>
      </c>
      <c r="AB1638">
        <f t="shared" ref="AB1638:AB1652" si="798">IFERROR(((X1638*M1638)/Z1638), "NA")</f>
        <v>6.7149999999999999</v>
      </c>
      <c r="AC1638" s="1" t="str">
        <f t="shared" ref="AC1638:AC1669" si="799">IFERROR(M1638*P1638,"NA")</f>
        <v>NA</v>
      </c>
      <c r="AE1638" s="3">
        <f t="shared" si="770"/>
        <v>13.00024</v>
      </c>
      <c r="AF1638">
        <v>13.43</v>
      </c>
      <c r="AG1638" s="1" t="str">
        <f t="shared" ref="AG1638:AG1643" si="800">IFERROR((N1638*P1638*Q1638), "NA")</f>
        <v>NA</v>
      </c>
      <c r="AH1638" s="1" t="str">
        <f t="shared" si="796"/>
        <v>NA</v>
      </c>
      <c r="AI1638" s="1">
        <v>1</v>
      </c>
      <c r="AJ1638" s="11" t="s">
        <v>31</v>
      </c>
      <c r="AK1638">
        <v>2000</v>
      </c>
      <c r="AL1638" t="s">
        <v>784</v>
      </c>
      <c r="AM1638" s="3" t="s">
        <v>103</v>
      </c>
      <c r="AN1638" t="s">
        <v>130</v>
      </c>
      <c r="AO1638" t="s">
        <v>795</v>
      </c>
      <c r="AP1638">
        <v>7</v>
      </c>
      <c r="AQ1638" t="s">
        <v>33</v>
      </c>
      <c r="AR1638" t="s">
        <v>33</v>
      </c>
      <c r="AS1638">
        <v>9</v>
      </c>
      <c r="AT1638">
        <f t="shared" si="797"/>
        <v>8.3000000000000007</v>
      </c>
      <c r="AU1638" s="6">
        <v>0.7</v>
      </c>
      <c r="AV1638" t="b">
        <v>1</v>
      </c>
      <c r="AW1638" t="s">
        <v>617</v>
      </c>
      <c r="AX1638" t="s">
        <v>635</v>
      </c>
      <c r="AY1638" t="s">
        <v>636</v>
      </c>
      <c r="AZ1638" t="s">
        <v>33</v>
      </c>
      <c r="BA1638" s="18" t="s">
        <v>802</v>
      </c>
      <c r="BB1638" s="3" t="b">
        <v>0</v>
      </c>
      <c r="BC1638" t="s">
        <v>81</v>
      </c>
      <c r="BD1638">
        <v>24</v>
      </c>
      <c r="BE1638" t="s">
        <v>80</v>
      </c>
      <c r="BF1638">
        <v>24</v>
      </c>
      <c r="BG1638" t="s">
        <v>644</v>
      </c>
      <c r="BH1638" t="s">
        <v>31</v>
      </c>
      <c r="BI1638" t="s">
        <v>31</v>
      </c>
      <c r="BJ1638">
        <f t="shared" si="772"/>
        <v>0.7</v>
      </c>
      <c r="BK1638" s="3">
        <f t="shared" si="786"/>
        <v>-0.15490195998574319</v>
      </c>
      <c r="BL1638">
        <v>2</v>
      </c>
      <c r="BM1638" s="3">
        <f t="shared" si="794"/>
        <v>1.2688533299628522</v>
      </c>
      <c r="BN1638" t="s">
        <v>33</v>
      </c>
      <c r="BO1638" s="3">
        <f t="shared" si="787"/>
        <v>18.571771428571431</v>
      </c>
      <c r="BP1638" t="s">
        <v>33</v>
      </c>
      <c r="BQ1638" t="s">
        <v>33</v>
      </c>
      <c r="BR1638" t="s">
        <v>33</v>
      </c>
      <c r="BS1638" t="s">
        <v>33</v>
      </c>
      <c r="BT1638" t="s">
        <v>31</v>
      </c>
      <c r="BU1638" t="s">
        <v>664</v>
      </c>
      <c r="BV1638">
        <v>2000</v>
      </c>
      <c r="BW1638" t="s">
        <v>665</v>
      </c>
      <c r="BX1638" t="s">
        <v>78</v>
      </c>
      <c r="BY1638" s="13" t="s">
        <v>685</v>
      </c>
      <c r="CA1638" t="str">
        <f t="shared" si="789"/>
        <v>low acid</v>
      </c>
    </row>
    <row r="1639" spans="1:79">
      <c r="A1639" t="s">
        <v>589</v>
      </c>
      <c r="B1639" t="s">
        <v>566</v>
      </c>
      <c r="C1639" t="s">
        <v>563</v>
      </c>
      <c r="D1639" t="s">
        <v>33</v>
      </c>
      <c r="E1639" t="s">
        <v>77</v>
      </c>
      <c r="F1639" t="s">
        <v>33</v>
      </c>
      <c r="G1639" t="s">
        <v>33</v>
      </c>
      <c r="H1639">
        <v>35</v>
      </c>
      <c r="I1639" t="b">
        <v>0</v>
      </c>
      <c r="J1639" t="s">
        <v>33</v>
      </c>
      <c r="K1639" t="s">
        <v>33</v>
      </c>
      <c r="L1639">
        <v>9</v>
      </c>
      <c r="M1639" s="4">
        <v>1</v>
      </c>
      <c r="N1639" t="e">
        <f>(#REF!*Y1639)/(T1639*X1639*O1639)</f>
        <v>#REF!</v>
      </c>
      <c r="O1639">
        <v>2</v>
      </c>
      <c r="P1639" t="s">
        <v>33</v>
      </c>
      <c r="Q1639" s="1">
        <f t="shared" si="795"/>
        <v>52.45</v>
      </c>
      <c r="R1639" t="s">
        <v>183</v>
      </c>
      <c r="S1639" t="s">
        <v>613</v>
      </c>
      <c r="T1639">
        <v>1</v>
      </c>
      <c r="U1639">
        <v>2.5</v>
      </c>
      <c r="V1639" t="s">
        <v>33</v>
      </c>
      <c r="W1639">
        <v>0.50249999999999995</v>
      </c>
      <c r="X1639">
        <f t="shared" si="793"/>
        <v>0.50249999999999995</v>
      </c>
      <c r="Y1639" t="s">
        <v>33</v>
      </c>
      <c r="Z1639" s="3">
        <f t="shared" si="792"/>
        <v>9.58055290753098E-3</v>
      </c>
      <c r="AA1639" t="s">
        <v>33</v>
      </c>
      <c r="AB1639">
        <f t="shared" si="798"/>
        <v>52.45</v>
      </c>
      <c r="AC1639" s="1" t="str">
        <f t="shared" si="799"/>
        <v>NA</v>
      </c>
      <c r="AE1639" s="3">
        <f t="shared" si="770"/>
        <v>16.9938</v>
      </c>
      <c r="AF1639">
        <v>104.9</v>
      </c>
      <c r="AG1639" s="1" t="str">
        <f t="shared" si="800"/>
        <v>NA</v>
      </c>
      <c r="AH1639" s="1" t="str">
        <f t="shared" si="796"/>
        <v>NA</v>
      </c>
      <c r="AI1639" s="1">
        <v>1</v>
      </c>
      <c r="AJ1639" s="11" t="s">
        <v>31</v>
      </c>
      <c r="AK1639">
        <v>2000</v>
      </c>
      <c r="AL1639" t="s">
        <v>616</v>
      </c>
      <c r="AM1639" s="3" t="s">
        <v>103</v>
      </c>
      <c r="AN1639" t="s">
        <v>130</v>
      </c>
      <c r="AO1639" t="s">
        <v>795</v>
      </c>
      <c r="AP1639">
        <v>7</v>
      </c>
      <c r="AQ1639" t="s">
        <v>33</v>
      </c>
      <c r="AR1639" t="s">
        <v>33</v>
      </c>
      <c r="AS1639">
        <v>9</v>
      </c>
      <c r="AT1639">
        <f t="shared" si="797"/>
        <v>8.34</v>
      </c>
      <c r="AU1639" s="6">
        <v>0.66</v>
      </c>
      <c r="AV1639" t="b">
        <v>1</v>
      </c>
      <c r="AW1639" t="s">
        <v>617</v>
      </c>
      <c r="AX1639" t="s">
        <v>33</v>
      </c>
      <c r="AY1639" t="s">
        <v>629</v>
      </c>
      <c r="AZ1639" t="s">
        <v>630</v>
      </c>
      <c r="BA1639" s="18" t="s">
        <v>802</v>
      </c>
      <c r="BB1639" s="3" t="b">
        <v>0</v>
      </c>
      <c r="BC1639" t="s">
        <v>81</v>
      </c>
      <c r="BD1639">
        <v>24</v>
      </c>
      <c r="BE1639" t="s">
        <v>80</v>
      </c>
      <c r="BF1639">
        <v>24</v>
      </c>
      <c r="BG1639" t="s">
        <v>644</v>
      </c>
      <c r="BH1639" t="s">
        <v>31</v>
      </c>
      <c r="BI1639" t="s">
        <v>31</v>
      </c>
      <c r="BJ1639">
        <f t="shared" si="772"/>
        <v>0.66</v>
      </c>
      <c r="BK1639" s="3">
        <f t="shared" si="786"/>
        <v>-0.18045606445813131</v>
      </c>
      <c r="BL1639">
        <v>2</v>
      </c>
      <c r="BM1639" s="3">
        <f t="shared" si="794"/>
        <v>1.41074656719432</v>
      </c>
      <c r="BN1639" t="s">
        <v>33</v>
      </c>
      <c r="BO1639" s="3">
        <f t="shared" si="787"/>
        <v>25.748181818181816</v>
      </c>
      <c r="BP1639" t="s">
        <v>33</v>
      </c>
      <c r="BQ1639" t="s">
        <v>33</v>
      </c>
      <c r="BR1639" t="s">
        <v>33</v>
      </c>
      <c r="BS1639" t="s">
        <v>33</v>
      </c>
      <c r="BT1639" t="s">
        <v>31</v>
      </c>
      <c r="BU1639" s="15" t="s">
        <v>655</v>
      </c>
      <c r="BV1639">
        <v>2003</v>
      </c>
      <c r="BW1639" t="s">
        <v>656</v>
      </c>
      <c r="BX1639" t="s">
        <v>78</v>
      </c>
      <c r="BY1639" s="13" t="s">
        <v>677</v>
      </c>
      <c r="CA1639" t="str">
        <f t="shared" si="789"/>
        <v>low acid</v>
      </c>
    </row>
    <row r="1640" spans="1:79">
      <c r="A1640" t="s">
        <v>589</v>
      </c>
      <c r="B1640" t="s">
        <v>566</v>
      </c>
      <c r="C1640" t="s">
        <v>563</v>
      </c>
      <c r="D1640" t="s">
        <v>33</v>
      </c>
      <c r="E1640" t="s">
        <v>77</v>
      </c>
      <c r="F1640" t="s">
        <v>33</v>
      </c>
      <c r="G1640" t="s">
        <v>33</v>
      </c>
      <c r="H1640">
        <v>35</v>
      </c>
      <c r="I1640" t="b">
        <v>0</v>
      </c>
      <c r="J1640" t="s">
        <v>33</v>
      </c>
      <c r="K1640" t="s">
        <v>33</v>
      </c>
      <c r="L1640">
        <v>9</v>
      </c>
      <c r="M1640" s="4">
        <v>1</v>
      </c>
      <c r="N1640" t="e">
        <f>(#REF!*Y1640)/(T1640*X1640*O1640)</f>
        <v>#REF!</v>
      </c>
      <c r="O1640">
        <v>2</v>
      </c>
      <c r="P1640" t="s">
        <v>33</v>
      </c>
      <c r="Q1640" s="1">
        <f t="shared" si="795"/>
        <v>15.4</v>
      </c>
      <c r="R1640" t="s">
        <v>183</v>
      </c>
      <c r="S1640" t="s">
        <v>613</v>
      </c>
      <c r="T1640">
        <v>1</v>
      </c>
      <c r="U1640">
        <v>2.5</v>
      </c>
      <c r="V1640" t="s">
        <v>33</v>
      </c>
      <c r="W1640">
        <v>0.50249999999999995</v>
      </c>
      <c r="X1640">
        <f t="shared" si="793"/>
        <v>0.50249999999999995</v>
      </c>
      <c r="Y1640" t="s">
        <v>33</v>
      </c>
      <c r="Z1640" s="3">
        <f t="shared" si="792"/>
        <v>3.2629870129870127E-2</v>
      </c>
      <c r="AA1640" t="s">
        <v>33</v>
      </c>
      <c r="AB1640">
        <f t="shared" si="798"/>
        <v>15.4</v>
      </c>
      <c r="AC1640" s="1" t="str">
        <f t="shared" si="799"/>
        <v>NA</v>
      </c>
      <c r="AE1640" s="3">
        <f t="shared" si="770"/>
        <v>4.9896000000000003</v>
      </c>
      <c r="AF1640">
        <v>30.8</v>
      </c>
      <c r="AG1640" s="1" t="str">
        <f t="shared" si="800"/>
        <v>NA</v>
      </c>
      <c r="AH1640" s="1" t="str">
        <f t="shared" si="796"/>
        <v>NA</v>
      </c>
      <c r="AI1640" s="1">
        <v>1</v>
      </c>
      <c r="AJ1640" s="11" t="s">
        <v>31</v>
      </c>
      <c r="AK1640">
        <v>2000</v>
      </c>
      <c r="AL1640" t="s">
        <v>616</v>
      </c>
      <c r="AM1640" s="3" t="s">
        <v>103</v>
      </c>
      <c r="AN1640" t="s">
        <v>130</v>
      </c>
      <c r="AO1640" t="s">
        <v>795</v>
      </c>
      <c r="AP1640">
        <v>7</v>
      </c>
      <c r="AQ1640" t="s">
        <v>33</v>
      </c>
      <c r="AR1640" t="s">
        <v>33</v>
      </c>
      <c r="AS1640">
        <v>9</v>
      </c>
      <c r="AT1640">
        <f t="shared" si="797"/>
        <v>8.3800000000000008</v>
      </c>
      <c r="AU1640" s="6">
        <v>0.62</v>
      </c>
      <c r="AV1640" t="b">
        <v>1</v>
      </c>
      <c r="AW1640" t="s">
        <v>617</v>
      </c>
      <c r="AX1640" t="s">
        <v>33</v>
      </c>
      <c r="AY1640" t="s">
        <v>629</v>
      </c>
      <c r="AZ1640" t="s">
        <v>630</v>
      </c>
      <c r="BA1640" s="18" t="s">
        <v>802</v>
      </c>
      <c r="BB1640" s="3" t="b">
        <v>0</v>
      </c>
      <c r="BC1640" t="s">
        <v>81</v>
      </c>
      <c r="BD1640">
        <v>24</v>
      </c>
      <c r="BE1640" t="s">
        <v>80</v>
      </c>
      <c r="BF1640">
        <v>24</v>
      </c>
      <c r="BG1640" t="s">
        <v>644</v>
      </c>
      <c r="BH1640" t="s">
        <v>31</v>
      </c>
      <c r="BI1640" t="s">
        <v>31</v>
      </c>
      <c r="BJ1640">
        <f t="shared" si="772"/>
        <v>0.62</v>
      </c>
      <c r="BK1640" s="3">
        <f t="shared" si="786"/>
        <v>-0.20760831050174613</v>
      </c>
      <c r="BL1640">
        <v>2</v>
      </c>
      <c r="BM1640" s="3">
        <f t="shared" si="794"/>
        <v>0.90567404154482134</v>
      </c>
      <c r="BN1640" t="s">
        <v>33</v>
      </c>
      <c r="BO1640" s="3">
        <f t="shared" si="787"/>
        <v>8.047741935483872</v>
      </c>
      <c r="BP1640" t="s">
        <v>33</v>
      </c>
      <c r="BQ1640" t="s">
        <v>33</v>
      </c>
      <c r="BR1640" t="s">
        <v>33</v>
      </c>
      <c r="BS1640" t="s">
        <v>33</v>
      </c>
      <c r="BT1640" t="s">
        <v>31</v>
      </c>
      <c r="BU1640" s="15" t="s">
        <v>655</v>
      </c>
      <c r="BV1640">
        <v>2003</v>
      </c>
      <c r="BW1640" t="s">
        <v>656</v>
      </c>
      <c r="BX1640" t="s">
        <v>78</v>
      </c>
      <c r="BY1640" s="13" t="s">
        <v>677</v>
      </c>
      <c r="CA1640" t="str">
        <f t="shared" si="789"/>
        <v>low acid</v>
      </c>
    </row>
    <row r="1641" spans="1:79">
      <c r="A1641" t="s">
        <v>589</v>
      </c>
      <c r="B1641" t="s">
        <v>566</v>
      </c>
      <c r="C1641" t="s">
        <v>563</v>
      </c>
      <c r="D1641" t="s">
        <v>33</v>
      </c>
      <c r="E1641" t="s">
        <v>77</v>
      </c>
      <c r="F1641" t="s">
        <v>33</v>
      </c>
      <c r="G1641" t="s">
        <v>33</v>
      </c>
      <c r="H1641">
        <v>35</v>
      </c>
      <c r="I1641" t="b">
        <v>0</v>
      </c>
      <c r="J1641" t="s">
        <v>33</v>
      </c>
      <c r="K1641" t="s">
        <v>33</v>
      </c>
      <c r="L1641">
        <v>9</v>
      </c>
      <c r="M1641" s="4">
        <v>1</v>
      </c>
      <c r="N1641" t="e">
        <f>(#REF!*Y1641)/(T1641*X1641*O1641)</f>
        <v>#REF!</v>
      </c>
      <c r="O1641">
        <v>2</v>
      </c>
      <c r="P1641" t="s">
        <v>33</v>
      </c>
      <c r="Q1641" s="1">
        <f t="shared" si="795"/>
        <v>195</v>
      </c>
      <c r="R1641" t="s">
        <v>183</v>
      </c>
      <c r="S1641" t="s">
        <v>613</v>
      </c>
      <c r="T1641">
        <v>1</v>
      </c>
      <c r="U1641">
        <v>2.5</v>
      </c>
      <c r="V1641" t="s">
        <v>33</v>
      </c>
      <c r="W1641">
        <v>0.50249999999999995</v>
      </c>
      <c r="X1641">
        <f t="shared" si="793"/>
        <v>0.50249999999999995</v>
      </c>
      <c r="Y1641" t="s">
        <v>33</v>
      </c>
      <c r="Z1641" s="3">
        <f t="shared" si="792"/>
        <v>2.5769230769230765E-3</v>
      </c>
      <c r="AA1641" t="s">
        <v>33</v>
      </c>
      <c r="AB1641">
        <f t="shared" si="798"/>
        <v>195</v>
      </c>
      <c r="AC1641" s="1" t="str">
        <f t="shared" si="799"/>
        <v>NA</v>
      </c>
      <c r="AE1641" s="3">
        <f t="shared" ref="AE1641:AE1652" si="801">IFERROR(((L1641^2)*M1641*O1641*AK1641*10^-6*Q1641*T1641*AI1641), "NA")</f>
        <v>63.18</v>
      </c>
      <c r="AF1641">
        <v>390</v>
      </c>
      <c r="AG1641" s="1" t="str">
        <f t="shared" si="800"/>
        <v>NA</v>
      </c>
      <c r="AH1641" s="1" t="str">
        <f t="shared" si="796"/>
        <v>NA</v>
      </c>
      <c r="AI1641" s="1">
        <v>1</v>
      </c>
      <c r="AJ1641" s="11" t="s">
        <v>31</v>
      </c>
      <c r="AK1641">
        <v>2000</v>
      </c>
      <c r="AL1641" t="s">
        <v>616</v>
      </c>
      <c r="AM1641" s="3" t="s">
        <v>103</v>
      </c>
      <c r="AN1641" t="s">
        <v>130</v>
      </c>
      <c r="AO1641" t="s">
        <v>795</v>
      </c>
      <c r="AP1641">
        <v>7</v>
      </c>
      <c r="AQ1641" t="s">
        <v>33</v>
      </c>
      <c r="AR1641" t="s">
        <v>33</v>
      </c>
      <c r="AS1641">
        <v>9</v>
      </c>
      <c r="AT1641">
        <f t="shared" si="797"/>
        <v>8.4600000000000009</v>
      </c>
      <c r="AU1641" s="6">
        <v>0.54</v>
      </c>
      <c r="AV1641" t="b">
        <v>1</v>
      </c>
      <c r="AW1641" t="s">
        <v>617</v>
      </c>
      <c r="AX1641" t="s">
        <v>33</v>
      </c>
      <c r="AY1641" t="s">
        <v>628</v>
      </c>
      <c r="AZ1641" t="s">
        <v>619</v>
      </c>
      <c r="BA1641" s="18" t="s">
        <v>802</v>
      </c>
      <c r="BB1641" s="3" t="b">
        <v>0</v>
      </c>
      <c r="BC1641" t="s">
        <v>81</v>
      </c>
      <c r="BD1641">
        <v>24</v>
      </c>
      <c r="BE1641" t="s">
        <v>80</v>
      </c>
      <c r="BF1641">
        <v>24</v>
      </c>
      <c r="BG1641" t="s">
        <v>644</v>
      </c>
      <c r="BH1641" t="s">
        <v>31</v>
      </c>
      <c r="BI1641" t="s">
        <v>31</v>
      </c>
      <c r="BJ1641">
        <f t="shared" si="772"/>
        <v>0.54</v>
      </c>
      <c r="BK1641" s="3">
        <f t="shared" si="786"/>
        <v>-0.26760624017703144</v>
      </c>
      <c r="BL1641">
        <v>2</v>
      </c>
      <c r="BM1641" s="3">
        <f t="shared" si="794"/>
        <v>2.0681858617461617</v>
      </c>
      <c r="BN1641" t="s">
        <v>33</v>
      </c>
      <c r="BO1641" s="3">
        <f t="shared" si="787"/>
        <v>116.99999999999999</v>
      </c>
      <c r="BP1641" t="s">
        <v>33</v>
      </c>
      <c r="BQ1641" t="s">
        <v>33</v>
      </c>
      <c r="BR1641" t="s">
        <v>33</v>
      </c>
      <c r="BS1641" t="s">
        <v>33</v>
      </c>
      <c r="BT1641" t="s">
        <v>31</v>
      </c>
      <c r="BU1641" s="15" t="s">
        <v>655</v>
      </c>
      <c r="BV1641">
        <v>2003</v>
      </c>
      <c r="BW1641" s="2" t="s">
        <v>656</v>
      </c>
      <c r="BX1641" t="s">
        <v>78</v>
      </c>
      <c r="BY1641" s="13" t="s">
        <v>677</v>
      </c>
      <c r="CA1641" t="str">
        <f t="shared" si="789"/>
        <v>low acid</v>
      </c>
    </row>
    <row r="1642" spans="1:79">
      <c r="A1642" t="s">
        <v>597</v>
      </c>
      <c r="B1642" t="s">
        <v>565</v>
      </c>
      <c r="C1642" t="s">
        <v>563</v>
      </c>
      <c r="D1642" t="s">
        <v>33</v>
      </c>
      <c r="E1642" t="s">
        <v>77</v>
      </c>
      <c r="F1642" t="s">
        <v>33</v>
      </c>
      <c r="G1642">
        <v>20</v>
      </c>
      <c r="H1642">
        <v>35</v>
      </c>
      <c r="I1642" t="b">
        <v>0</v>
      </c>
      <c r="J1642" t="s">
        <v>33</v>
      </c>
      <c r="K1642" t="s">
        <v>33</v>
      </c>
      <c r="L1642">
        <v>12</v>
      </c>
      <c r="M1642" s="4">
        <v>1</v>
      </c>
      <c r="N1642" t="e">
        <f>(#REF!*Y1642)/(T1642*X1642*O1642)</f>
        <v>#REF!</v>
      </c>
      <c r="O1642">
        <v>2</v>
      </c>
      <c r="P1642" t="s">
        <v>33</v>
      </c>
      <c r="Q1642" s="1">
        <f t="shared" si="795"/>
        <v>29.715000000000003</v>
      </c>
      <c r="R1642" t="s">
        <v>183</v>
      </c>
      <c r="S1642" t="s">
        <v>33</v>
      </c>
      <c r="T1642">
        <v>1</v>
      </c>
      <c r="U1642">
        <v>2.5</v>
      </c>
      <c r="V1642" t="s">
        <v>33</v>
      </c>
      <c r="W1642">
        <v>0.50249999999999995</v>
      </c>
      <c r="X1642">
        <f t="shared" si="793"/>
        <v>0.50249999999999995</v>
      </c>
      <c r="Y1642" t="s">
        <v>33</v>
      </c>
      <c r="Z1642" s="3">
        <f t="shared" si="792"/>
        <v>1.6910651186269558E-2</v>
      </c>
      <c r="AA1642" t="s">
        <v>33</v>
      </c>
      <c r="AB1642">
        <f t="shared" si="798"/>
        <v>29.715000000000003</v>
      </c>
      <c r="AC1642" s="1" t="str">
        <f t="shared" si="799"/>
        <v>NA</v>
      </c>
      <c r="AE1642" s="3">
        <f t="shared" si="801"/>
        <v>17.115840000000002</v>
      </c>
      <c r="AF1642">
        <v>59.43</v>
      </c>
      <c r="AG1642" s="1" t="str">
        <f t="shared" si="800"/>
        <v>NA</v>
      </c>
      <c r="AH1642" s="1" t="str">
        <f t="shared" si="796"/>
        <v>NA</v>
      </c>
      <c r="AI1642" s="1">
        <v>1</v>
      </c>
      <c r="AJ1642" s="11" t="s">
        <v>31</v>
      </c>
      <c r="AK1642">
        <v>2000</v>
      </c>
      <c r="AL1642" t="s">
        <v>784</v>
      </c>
      <c r="AM1642" s="3" t="s">
        <v>103</v>
      </c>
      <c r="AN1642" t="s">
        <v>130</v>
      </c>
      <c r="AO1642" t="s">
        <v>795</v>
      </c>
      <c r="AP1642">
        <v>7</v>
      </c>
      <c r="AQ1642" t="s">
        <v>33</v>
      </c>
      <c r="AR1642" t="s">
        <v>33</v>
      </c>
      <c r="AS1642">
        <v>9</v>
      </c>
      <c r="AT1642">
        <f t="shared" si="797"/>
        <v>8.4600000000000009</v>
      </c>
      <c r="AU1642" s="6">
        <v>0.54</v>
      </c>
      <c r="AV1642" t="b">
        <v>1</v>
      </c>
      <c r="AW1642" t="s">
        <v>617</v>
      </c>
      <c r="AX1642" t="s">
        <v>635</v>
      </c>
      <c r="AY1642" t="s">
        <v>636</v>
      </c>
      <c r="AZ1642" t="s">
        <v>33</v>
      </c>
      <c r="BA1642" s="18" t="s">
        <v>802</v>
      </c>
      <c r="BB1642" s="3" t="b">
        <v>0</v>
      </c>
      <c r="BC1642" t="s">
        <v>81</v>
      </c>
      <c r="BD1642">
        <v>24</v>
      </c>
      <c r="BE1642" t="s">
        <v>80</v>
      </c>
      <c r="BF1642">
        <v>24</v>
      </c>
      <c r="BG1642" t="s">
        <v>644</v>
      </c>
      <c r="BH1642" t="s">
        <v>31</v>
      </c>
      <c r="BI1642" t="s">
        <v>31</v>
      </c>
      <c r="BJ1642">
        <f t="shared" si="772"/>
        <v>0.54</v>
      </c>
      <c r="BK1642" s="3">
        <f t="shared" si="786"/>
        <v>-0.26760624017703144</v>
      </c>
      <c r="BL1642">
        <v>2</v>
      </c>
      <c r="BM1642" s="3">
        <f t="shared" si="794"/>
        <v>1.5010044581944719</v>
      </c>
      <c r="BN1642" t="s">
        <v>33</v>
      </c>
      <c r="BO1642" s="3">
        <f t="shared" si="787"/>
        <v>31.696000000000002</v>
      </c>
      <c r="BP1642" t="s">
        <v>33</v>
      </c>
      <c r="BQ1642" t="s">
        <v>33</v>
      </c>
      <c r="BR1642" t="s">
        <v>33</v>
      </c>
      <c r="BS1642" t="s">
        <v>33</v>
      </c>
      <c r="BT1642" t="s">
        <v>31</v>
      </c>
      <c r="BU1642" t="s">
        <v>664</v>
      </c>
      <c r="BV1642">
        <v>2000</v>
      </c>
      <c r="BW1642" t="s">
        <v>665</v>
      </c>
      <c r="BX1642" t="s">
        <v>78</v>
      </c>
      <c r="BY1642" s="13" t="s">
        <v>685</v>
      </c>
      <c r="CA1642" t="str">
        <f t="shared" si="789"/>
        <v>low acid</v>
      </c>
    </row>
    <row r="1643" spans="1:79">
      <c r="A1643" t="s">
        <v>597</v>
      </c>
      <c r="B1643" t="s">
        <v>565</v>
      </c>
      <c r="C1643" t="s">
        <v>563</v>
      </c>
      <c r="D1643" t="s">
        <v>33</v>
      </c>
      <c r="E1643" t="s">
        <v>77</v>
      </c>
      <c r="F1643" t="s">
        <v>33</v>
      </c>
      <c r="G1643">
        <v>20</v>
      </c>
      <c r="H1643">
        <v>35</v>
      </c>
      <c r="I1643" t="b">
        <v>0</v>
      </c>
      <c r="J1643" t="s">
        <v>33</v>
      </c>
      <c r="K1643" t="s">
        <v>33</v>
      </c>
      <c r="L1643">
        <v>12</v>
      </c>
      <c r="M1643" s="4">
        <v>1</v>
      </c>
      <c r="N1643" t="e">
        <f>(#REF!*Y1643)/(T1643*X1643*O1643)</f>
        <v>#REF!</v>
      </c>
      <c r="O1643">
        <v>2</v>
      </c>
      <c r="P1643" t="s">
        <v>33</v>
      </c>
      <c r="Q1643" s="1">
        <f t="shared" si="795"/>
        <v>497.99000000000007</v>
      </c>
      <c r="R1643" t="s">
        <v>183</v>
      </c>
      <c r="S1643" t="s">
        <v>33</v>
      </c>
      <c r="T1643">
        <v>1</v>
      </c>
      <c r="U1643">
        <v>2.5</v>
      </c>
      <c r="V1643" t="s">
        <v>33</v>
      </c>
      <c r="W1643">
        <v>0.50249999999999995</v>
      </c>
      <c r="X1643">
        <f t="shared" si="793"/>
        <v>0.50249999999999995</v>
      </c>
      <c r="Y1643" t="s">
        <v>33</v>
      </c>
      <c r="Z1643" s="3">
        <f t="shared" si="792"/>
        <v>1.0090564067551555E-3</v>
      </c>
      <c r="AA1643" t="s">
        <v>33</v>
      </c>
      <c r="AB1643">
        <f t="shared" si="798"/>
        <v>497.99000000000007</v>
      </c>
      <c r="AC1643" s="1" t="str">
        <f t="shared" si="799"/>
        <v>NA</v>
      </c>
      <c r="AE1643" s="3">
        <f t="shared" si="801"/>
        <v>286.84224</v>
      </c>
      <c r="AF1643">
        <v>995.98</v>
      </c>
      <c r="AG1643" s="1" t="str">
        <f t="shared" si="800"/>
        <v>NA</v>
      </c>
      <c r="AH1643" s="1" t="str">
        <f t="shared" si="796"/>
        <v>NA</v>
      </c>
      <c r="AI1643" s="1">
        <v>1</v>
      </c>
      <c r="AJ1643" s="11" t="s">
        <v>31</v>
      </c>
      <c r="AK1643">
        <v>2000</v>
      </c>
      <c r="AL1643" t="s">
        <v>784</v>
      </c>
      <c r="AM1643" s="3" t="s">
        <v>103</v>
      </c>
      <c r="AN1643" t="s">
        <v>130</v>
      </c>
      <c r="AO1643" t="s">
        <v>795</v>
      </c>
      <c r="AP1643">
        <v>7</v>
      </c>
      <c r="AQ1643" t="s">
        <v>33</v>
      </c>
      <c r="AR1643" t="s">
        <v>33</v>
      </c>
      <c r="AS1643">
        <v>9</v>
      </c>
      <c r="AT1643">
        <f t="shared" si="797"/>
        <v>8.4600000000000009</v>
      </c>
      <c r="AU1643" s="6">
        <v>0.54</v>
      </c>
      <c r="AV1643" t="b">
        <v>1</v>
      </c>
      <c r="AW1643" t="s">
        <v>617</v>
      </c>
      <c r="AX1643" t="s">
        <v>635</v>
      </c>
      <c r="AY1643" t="s">
        <v>636</v>
      </c>
      <c r="AZ1643" t="s">
        <v>33</v>
      </c>
      <c r="BA1643" s="18" t="s">
        <v>802</v>
      </c>
      <c r="BB1643" s="3" t="b">
        <v>0</v>
      </c>
      <c r="BC1643" t="s">
        <v>81</v>
      </c>
      <c r="BD1643">
        <v>24</v>
      </c>
      <c r="BE1643" t="s">
        <v>80</v>
      </c>
      <c r="BF1643">
        <v>24</v>
      </c>
      <c r="BG1643" t="s">
        <v>644</v>
      </c>
      <c r="BH1643" t="s">
        <v>31</v>
      </c>
      <c r="BI1643" t="s">
        <v>31</v>
      </c>
      <c r="BJ1643">
        <f t="shared" si="772"/>
        <v>0.54</v>
      </c>
      <c r="BK1643" s="3">
        <f t="shared" si="786"/>
        <v>-0.26760624017703144</v>
      </c>
      <c r="BL1643">
        <v>2</v>
      </c>
      <c r="BM1643" s="3">
        <f t="shared" si="794"/>
        <v>2.7252493454996727</v>
      </c>
      <c r="BN1643" t="s">
        <v>33</v>
      </c>
      <c r="BO1643" s="3">
        <f t="shared" si="787"/>
        <v>531.18933333333325</v>
      </c>
      <c r="BP1643" t="s">
        <v>33</v>
      </c>
      <c r="BQ1643" t="s">
        <v>33</v>
      </c>
      <c r="BR1643" t="s">
        <v>33</v>
      </c>
      <c r="BS1643" t="s">
        <v>33</v>
      </c>
      <c r="BT1643" t="s">
        <v>31</v>
      </c>
      <c r="BU1643" t="s">
        <v>664</v>
      </c>
      <c r="BV1643">
        <v>2000</v>
      </c>
      <c r="BW1643" t="s">
        <v>665</v>
      </c>
      <c r="BX1643" t="s">
        <v>78</v>
      </c>
      <c r="BY1643" s="13" t="s">
        <v>685</v>
      </c>
      <c r="CA1643" t="str">
        <f t="shared" si="789"/>
        <v>low acid</v>
      </c>
    </row>
    <row r="1644" spans="1:79">
      <c r="A1644" t="s">
        <v>376</v>
      </c>
      <c r="B1644" t="s">
        <v>566</v>
      </c>
      <c r="C1644" t="s">
        <v>563</v>
      </c>
      <c r="D1644" t="s">
        <v>369</v>
      </c>
      <c r="E1644" t="s">
        <v>77</v>
      </c>
      <c r="F1644" t="s">
        <v>32</v>
      </c>
      <c r="G1644">
        <v>8</v>
      </c>
      <c r="H1644">
        <v>104.6</v>
      </c>
      <c r="I1644" t="b">
        <v>1</v>
      </c>
      <c r="J1644">
        <v>40500</v>
      </c>
      <c r="K1644">
        <v>300</v>
      </c>
      <c r="L1644">
        <v>112.3</v>
      </c>
      <c r="M1644" s="4">
        <v>500</v>
      </c>
      <c r="N1644" s="3" t="str">
        <f>IFERROR(AF1644/((T1644*X1644/Y1644)*O1644*AI1644),"NA")</f>
        <v>NA</v>
      </c>
      <c r="O1644">
        <v>0.1</v>
      </c>
      <c r="P1644">
        <v>5</v>
      </c>
      <c r="Q1644" s="8">
        <f t="shared" si="795"/>
        <v>5</v>
      </c>
      <c r="R1644" t="s">
        <v>278</v>
      </c>
      <c r="S1644" t="s">
        <v>613</v>
      </c>
      <c r="T1644" s="11">
        <v>1</v>
      </c>
      <c r="U1644">
        <v>4</v>
      </c>
      <c r="V1644" t="s">
        <v>33</v>
      </c>
      <c r="W1644">
        <v>0.92</v>
      </c>
      <c r="X1644" s="8">
        <f>230*0.01*0.1*U1644</f>
        <v>0.92000000000000015</v>
      </c>
      <c r="Y1644" s="9">
        <f>11/60</f>
        <v>0.18333333333333332</v>
      </c>
      <c r="Z1644" s="3">
        <f>IFERROR(X1644*M1644*O1644*T1644*AI1644/AH1644, "NA")</f>
        <v>0.18400000000000002</v>
      </c>
      <c r="AA1644" t="s">
        <v>33</v>
      </c>
      <c r="AB1644" s="6">
        <f t="shared" si="798"/>
        <v>2500</v>
      </c>
      <c r="AC1644">
        <f t="shared" si="799"/>
        <v>2500</v>
      </c>
      <c r="AD1644" s="4">
        <f>AB1644*T1644*AI1644</f>
        <v>2500</v>
      </c>
      <c r="AE1644" s="3">
        <f t="shared" si="801"/>
        <v>2206.9757500000001</v>
      </c>
      <c r="AF1644" t="s">
        <v>33</v>
      </c>
      <c r="AG1644">
        <f>IFERROR((M1644*O1644*P1644), "NA")</f>
        <v>250</v>
      </c>
      <c r="AH1644">
        <f>IFERROR((AG1644*T1644*AI1644), "NA")</f>
        <v>250</v>
      </c>
      <c r="AI1644">
        <v>1</v>
      </c>
      <c r="AJ1644" t="s">
        <v>31</v>
      </c>
      <c r="AK1644">
        <v>700</v>
      </c>
      <c r="AL1644" t="s">
        <v>548</v>
      </c>
      <c r="AM1644" t="s">
        <v>103</v>
      </c>
      <c r="AN1644" t="s">
        <v>33</v>
      </c>
      <c r="AO1644" t="str">
        <f t="shared" si="790"/>
        <v>NA</v>
      </c>
      <c r="AP1644" t="s">
        <v>33</v>
      </c>
      <c r="AQ1644" t="s">
        <v>33</v>
      </c>
      <c r="AR1644" t="s">
        <v>33</v>
      </c>
      <c r="AS1644" s="6">
        <f>LOG(9.7*10^10)</f>
        <v>10.986771734266245</v>
      </c>
      <c r="AT1644" s="3">
        <f>IFERROR(AS1644-AU1644,"NA")</f>
        <v>8.5997717342662447</v>
      </c>
      <c r="AU1644" s="6">
        <f>2.527-0.14</f>
        <v>2.387</v>
      </c>
      <c r="AV1644" t="b">
        <v>1</v>
      </c>
      <c r="AW1644" t="s">
        <v>372</v>
      </c>
      <c r="AX1644" t="s">
        <v>373</v>
      </c>
      <c r="AY1644" t="s">
        <v>33</v>
      </c>
      <c r="AZ1644" t="s">
        <v>33</v>
      </c>
      <c r="BA1644" s="18" t="s">
        <v>797</v>
      </c>
      <c r="BB1644" t="b">
        <v>0</v>
      </c>
      <c r="BC1644" t="s">
        <v>374</v>
      </c>
      <c r="BD1644" t="s">
        <v>33</v>
      </c>
      <c r="BE1644" t="s">
        <v>33</v>
      </c>
      <c r="BF1644" s="11">
        <v>24</v>
      </c>
      <c r="BG1644" t="s">
        <v>33</v>
      </c>
      <c r="BH1644" t="s">
        <v>33</v>
      </c>
      <c r="BI1644" t="s">
        <v>31</v>
      </c>
      <c r="BJ1644" s="3">
        <f t="shared" si="772"/>
        <v>2.387</v>
      </c>
      <c r="BK1644" s="3">
        <f t="shared" si="786"/>
        <v>0.37785241900675454</v>
      </c>
      <c r="BL1644">
        <v>2</v>
      </c>
      <c r="BM1644" s="3">
        <f t="shared" si="794"/>
        <v>2.9659451422024556</v>
      </c>
      <c r="BN1644" t="s">
        <v>33</v>
      </c>
      <c r="BO1644" s="3">
        <f t="shared" si="787"/>
        <v>924.58137829912027</v>
      </c>
      <c r="BP1644" t="s">
        <v>33</v>
      </c>
      <c r="BQ1644" t="s">
        <v>33</v>
      </c>
      <c r="BR1644" t="s">
        <v>33</v>
      </c>
      <c r="BS1644" t="s">
        <v>33</v>
      </c>
      <c r="BT1644" t="s">
        <v>31</v>
      </c>
      <c r="BU1644" t="s">
        <v>371</v>
      </c>
      <c r="BV1644">
        <v>2008</v>
      </c>
      <c r="BW1644" t="s">
        <v>380</v>
      </c>
      <c r="BX1644" t="s">
        <v>78</v>
      </c>
      <c r="BY1644" t="s">
        <v>370</v>
      </c>
      <c r="CA1644" t="str">
        <f t="shared" si="789"/>
        <v>NA</v>
      </c>
    </row>
    <row r="1645" spans="1:79">
      <c r="A1645" t="s">
        <v>376</v>
      </c>
      <c r="B1645" t="s">
        <v>566</v>
      </c>
      <c r="C1645" t="s">
        <v>563</v>
      </c>
      <c r="D1645" t="s">
        <v>369</v>
      </c>
      <c r="E1645" t="s">
        <v>77</v>
      </c>
      <c r="F1645" t="s">
        <v>32</v>
      </c>
      <c r="G1645">
        <v>8</v>
      </c>
      <c r="H1645">
        <v>98.5</v>
      </c>
      <c r="I1645" t="b">
        <v>1</v>
      </c>
      <c r="J1645">
        <v>40500</v>
      </c>
      <c r="K1645">
        <v>300</v>
      </c>
      <c r="L1645">
        <v>55.5</v>
      </c>
      <c r="M1645" s="4">
        <v>500</v>
      </c>
      <c r="N1645" s="3" t="str">
        <f>IFERROR(AF1645/((T1645*X1645/Y1645)*O1645*AI1645),"NA")</f>
        <v>NA</v>
      </c>
      <c r="O1645">
        <v>0.1</v>
      </c>
      <c r="P1645">
        <v>5</v>
      </c>
      <c r="Q1645" s="8">
        <f t="shared" si="795"/>
        <v>5</v>
      </c>
      <c r="R1645" t="s">
        <v>278</v>
      </c>
      <c r="S1645" t="s">
        <v>613</v>
      </c>
      <c r="T1645" s="11">
        <v>1</v>
      </c>
      <c r="U1645">
        <v>4</v>
      </c>
      <c r="V1645" t="s">
        <v>33</v>
      </c>
      <c r="W1645">
        <v>0.92</v>
      </c>
      <c r="X1645" s="8">
        <f>230*0.01*0.1*U1645</f>
        <v>0.92000000000000015</v>
      </c>
      <c r="Y1645" s="9">
        <f>11/60</f>
        <v>0.18333333333333332</v>
      </c>
      <c r="Z1645" s="3">
        <f>IFERROR(X1645*M1645*O1645*T1645*AI1645/AH1645, "NA")</f>
        <v>0.18400000000000002</v>
      </c>
      <c r="AA1645" t="s">
        <v>33</v>
      </c>
      <c r="AB1645" s="6">
        <f t="shared" si="798"/>
        <v>2500</v>
      </c>
      <c r="AC1645">
        <f t="shared" si="799"/>
        <v>2500</v>
      </c>
      <c r="AD1645" s="4">
        <f>AB1645*T1645*AI1645</f>
        <v>2500</v>
      </c>
      <c r="AE1645" s="3">
        <f t="shared" si="801"/>
        <v>1848.15</v>
      </c>
      <c r="AF1645" t="s">
        <v>33</v>
      </c>
      <c r="AG1645">
        <f>IFERROR((M1645*O1645*P1645), "NA")</f>
        <v>250</v>
      </c>
      <c r="AH1645">
        <f>IFERROR((AG1645*T1645*AI1645), "NA")</f>
        <v>250</v>
      </c>
      <c r="AI1645">
        <v>1</v>
      </c>
      <c r="AJ1645" t="s">
        <v>31</v>
      </c>
      <c r="AK1645">
        <v>2400</v>
      </c>
      <c r="AL1645" t="s">
        <v>548</v>
      </c>
      <c r="AM1645" t="s">
        <v>103</v>
      </c>
      <c r="AN1645" t="s">
        <v>33</v>
      </c>
      <c r="AO1645" t="str">
        <f t="shared" si="790"/>
        <v>NA</v>
      </c>
      <c r="AP1645" t="s">
        <v>33</v>
      </c>
      <c r="AQ1645" t="s">
        <v>33</v>
      </c>
      <c r="AR1645" t="s">
        <v>33</v>
      </c>
      <c r="AS1645" s="6">
        <f>LOG(9.7*10^10)</f>
        <v>10.986771734266245</v>
      </c>
      <c r="AT1645" s="3">
        <f>IFERROR(AS1645-AU1645,"NA")</f>
        <v>8.8217717342662461</v>
      </c>
      <c r="AU1645" s="6">
        <v>2.165</v>
      </c>
      <c r="AV1645" t="b">
        <v>1</v>
      </c>
      <c r="AW1645" t="s">
        <v>372</v>
      </c>
      <c r="AX1645" t="s">
        <v>373</v>
      </c>
      <c r="AY1645" t="s">
        <v>33</v>
      </c>
      <c r="AZ1645" t="s">
        <v>33</v>
      </c>
      <c r="BA1645" s="18" t="s">
        <v>797</v>
      </c>
      <c r="BB1645" t="b">
        <v>0</v>
      </c>
      <c r="BC1645" t="s">
        <v>374</v>
      </c>
      <c r="BD1645" t="s">
        <v>33</v>
      </c>
      <c r="BE1645" t="s">
        <v>33</v>
      </c>
      <c r="BF1645" s="11">
        <v>24</v>
      </c>
      <c r="BG1645" t="s">
        <v>33</v>
      </c>
      <c r="BH1645" t="s">
        <v>33</v>
      </c>
      <c r="BI1645" t="s">
        <v>31</v>
      </c>
      <c r="BJ1645" s="3">
        <f t="shared" ref="BJ1645:BJ1708" si="802">AU1645</f>
        <v>2.165</v>
      </c>
      <c r="BK1645" s="3">
        <f t="shared" si="786"/>
        <v>0.33545790068938425</v>
      </c>
      <c r="BL1645">
        <v>2</v>
      </c>
      <c r="BM1645" s="3">
        <f t="shared" si="794"/>
        <v>2.9312793159396118</v>
      </c>
      <c r="BN1645" t="s">
        <v>33</v>
      </c>
      <c r="BO1645" s="3">
        <f t="shared" si="787"/>
        <v>853.64896073903003</v>
      </c>
      <c r="BP1645" t="s">
        <v>33</v>
      </c>
      <c r="BQ1645" t="s">
        <v>33</v>
      </c>
      <c r="BR1645" t="s">
        <v>33</v>
      </c>
      <c r="BS1645" t="s">
        <v>33</v>
      </c>
      <c r="BT1645" t="s">
        <v>31</v>
      </c>
      <c r="BU1645" t="s">
        <v>371</v>
      </c>
      <c r="BV1645">
        <v>2008</v>
      </c>
      <c r="BW1645" t="s">
        <v>380</v>
      </c>
      <c r="BX1645" t="s">
        <v>78</v>
      </c>
      <c r="BY1645" t="s">
        <v>370</v>
      </c>
      <c r="CA1645" t="str">
        <f t="shared" si="789"/>
        <v>NA</v>
      </c>
    </row>
    <row r="1646" spans="1:79">
      <c r="A1646" t="s">
        <v>601</v>
      </c>
      <c r="B1646" t="s">
        <v>566</v>
      </c>
      <c r="C1646" t="s">
        <v>563</v>
      </c>
      <c r="D1646" t="s">
        <v>611</v>
      </c>
      <c r="E1646" t="s">
        <v>77</v>
      </c>
      <c r="F1646" t="s">
        <v>32</v>
      </c>
      <c r="G1646" t="s">
        <v>33</v>
      </c>
      <c r="H1646" t="s">
        <v>33</v>
      </c>
      <c r="I1646" t="b">
        <v>0</v>
      </c>
      <c r="J1646" t="s">
        <v>33</v>
      </c>
      <c r="K1646" t="s">
        <v>33</v>
      </c>
      <c r="L1646">
        <v>20</v>
      </c>
      <c r="M1646" s="4">
        <v>15</v>
      </c>
      <c r="N1646" t="e">
        <f>(#REF!*Y1646)/(T1646*X1646*O1646)</f>
        <v>#REF!</v>
      </c>
      <c r="O1646">
        <v>1</v>
      </c>
      <c r="P1646" t="s">
        <v>33</v>
      </c>
      <c r="Q1646" s="1">
        <f t="shared" si="795"/>
        <v>10</v>
      </c>
      <c r="R1646" t="s">
        <v>33</v>
      </c>
      <c r="S1646" t="s">
        <v>33</v>
      </c>
      <c r="T1646">
        <v>1</v>
      </c>
      <c r="U1646">
        <v>2.5</v>
      </c>
      <c r="V1646" t="s">
        <v>33</v>
      </c>
      <c r="W1646">
        <v>1.75</v>
      </c>
      <c r="X1646">
        <f>W1646</f>
        <v>1.75</v>
      </c>
      <c r="Y1646">
        <v>0.19666666999999999</v>
      </c>
      <c r="Z1646" s="3">
        <f>IFERROR(X1646*M1646*O1646*T1646*AI1646/AF1646, "NA")</f>
        <v>0.17499999999999999</v>
      </c>
      <c r="AA1646" t="s">
        <v>33</v>
      </c>
      <c r="AB1646">
        <f t="shared" si="798"/>
        <v>150</v>
      </c>
      <c r="AC1646" s="1" t="str">
        <f t="shared" si="799"/>
        <v>NA</v>
      </c>
      <c r="AE1646" s="3">
        <f t="shared" si="801"/>
        <v>252</v>
      </c>
      <c r="AF1646">
        <v>150</v>
      </c>
      <c r="AG1646" s="1" t="str">
        <f t="shared" ref="AG1646:AH1650" si="803">IFERROR((N1646*P1646*Q1646), "NA")</f>
        <v>NA</v>
      </c>
      <c r="AH1646" s="1" t="str">
        <f t="shared" si="803"/>
        <v>NA</v>
      </c>
      <c r="AI1646" s="1">
        <v>1</v>
      </c>
      <c r="AJ1646" s="11" t="s">
        <v>31</v>
      </c>
      <c r="AK1646">
        <v>4200</v>
      </c>
      <c r="AL1646" t="s">
        <v>238</v>
      </c>
      <c r="AM1646" t="s">
        <v>86</v>
      </c>
      <c r="AN1646" t="s">
        <v>205</v>
      </c>
      <c r="AO1646" t="s">
        <v>789</v>
      </c>
      <c r="AP1646">
        <v>3.7</v>
      </c>
      <c r="AQ1646" t="s">
        <v>33</v>
      </c>
      <c r="AR1646" t="s">
        <v>33</v>
      </c>
      <c r="AS1646">
        <v>11</v>
      </c>
      <c r="AT1646">
        <f>AS1646-AU1646</f>
        <v>8.9</v>
      </c>
      <c r="AU1646" s="6">
        <v>2.1</v>
      </c>
      <c r="AV1646" t="b">
        <v>1</v>
      </c>
      <c r="AW1646" t="s">
        <v>626</v>
      </c>
      <c r="AX1646" t="s">
        <v>627</v>
      </c>
      <c r="AY1646" t="s">
        <v>641</v>
      </c>
      <c r="AZ1646" t="s">
        <v>33</v>
      </c>
      <c r="BA1646" s="18" t="s">
        <v>800</v>
      </c>
      <c r="BB1646" s="3" t="b">
        <v>0</v>
      </c>
      <c r="BC1646" t="s">
        <v>81</v>
      </c>
      <c r="BD1646">
        <v>24</v>
      </c>
      <c r="BE1646" t="s">
        <v>80</v>
      </c>
      <c r="BF1646">
        <v>24</v>
      </c>
      <c r="BG1646" t="s">
        <v>568</v>
      </c>
      <c r="BH1646" t="s">
        <v>31</v>
      </c>
      <c r="BI1646" t="s">
        <v>31</v>
      </c>
      <c r="BJ1646" s="3">
        <f t="shared" si="802"/>
        <v>2.1</v>
      </c>
      <c r="BK1646" s="3">
        <f t="shared" si="786"/>
        <v>0.3222192947339193</v>
      </c>
      <c r="BL1646">
        <v>2</v>
      </c>
      <c r="BM1646" s="3">
        <f t="shared" si="794"/>
        <v>2.0791812460476247</v>
      </c>
      <c r="BN1646" t="s">
        <v>33</v>
      </c>
      <c r="BO1646" s="3">
        <f t="shared" si="787"/>
        <v>120</v>
      </c>
      <c r="BP1646" t="s">
        <v>33</v>
      </c>
      <c r="BQ1646" t="s">
        <v>33</v>
      </c>
      <c r="BR1646" t="s">
        <v>33</v>
      </c>
      <c r="BS1646" t="s">
        <v>33</v>
      </c>
      <c r="BT1646" t="s">
        <v>31</v>
      </c>
      <c r="BU1646" t="s">
        <v>668</v>
      </c>
      <c r="BV1646" s="14">
        <v>2009</v>
      </c>
      <c r="BW1646" t="s">
        <v>669</v>
      </c>
      <c r="BX1646" t="s">
        <v>78</v>
      </c>
      <c r="BY1646" s="13" t="s">
        <v>689</v>
      </c>
      <c r="CA1646" t="str">
        <f t="shared" si="789"/>
        <v>high acid</v>
      </c>
    </row>
    <row r="1647" spans="1:79">
      <c r="A1647" t="s">
        <v>601</v>
      </c>
      <c r="B1647" t="s">
        <v>566</v>
      </c>
      <c r="C1647" t="s">
        <v>563</v>
      </c>
      <c r="D1647" t="s">
        <v>611</v>
      </c>
      <c r="E1647" t="s">
        <v>77</v>
      </c>
      <c r="F1647" t="s">
        <v>32</v>
      </c>
      <c r="G1647" t="s">
        <v>33</v>
      </c>
      <c r="H1647" t="s">
        <v>33</v>
      </c>
      <c r="I1647" t="b">
        <v>0</v>
      </c>
      <c r="J1647" t="s">
        <v>33</v>
      </c>
      <c r="K1647" t="s">
        <v>33</v>
      </c>
      <c r="L1647">
        <v>40</v>
      </c>
      <c r="M1647" s="4">
        <v>15</v>
      </c>
      <c r="N1647" t="e">
        <f>(#REF!*Y1647)/(T1647*X1647*O1647)</f>
        <v>#REF!</v>
      </c>
      <c r="O1647">
        <v>1</v>
      </c>
      <c r="P1647" t="s">
        <v>33</v>
      </c>
      <c r="Q1647" s="1">
        <f t="shared" si="795"/>
        <v>3.333333333333333</v>
      </c>
      <c r="R1647" t="s">
        <v>33</v>
      </c>
      <c r="S1647" t="s">
        <v>33</v>
      </c>
      <c r="T1647">
        <v>1</v>
      </c>
      <c r="U1647">
        <v>2.5</v>
      </c>
      <c r="V1647" t="s">
        <v>33</v>
      </c>
      <c r="W1647">
        <v>1.75</v>
      </c>
      <c r="X1647">
        <f>W1647</f>
        <v>1.75</v>
      </c>
      <c r="Y1647">
        <v>0.52500000000000002</v>
      </c>
      <c r="Z1647" s="3">
        <f>IFERROR(X1647*M1647*O1647*T1647*AI1647/AF1647, "NA")</f>
        <v>0.52500000000000002</v>
      </c>
      <c r="AA1647" t="s">
        <v>33</v>
      </c>
      <c r="AB1647">
        <f t="shared" si="798"/>
        <v>50</v>
      </c>
      <c r="AC1647" s="1" t="str">
        <f t="shared" si="799"/>
        <v>NA</v>
      </c>
      <c r="AE1647" s="3">
        <f t="shared" si="801"/>
        <v>335.99999999999994</v>
      </c>
      <c r="AF1647">
        <v>50</v>
      </c>
      <c r="AG1647" s="1" t="str">
        <f t="shared" si="803"/>
        <v>NA</v>
      </c>
      <c r="AH1647" s="1" t="str">
        <f t="shared" si="803"/>
        <v>NA</v>
      </c>
      <c r="AI1647" s="1">
        <v>1</v>
      </c>
      <c r="AJ1647" s="11" t="s">
        <v>31</v>
      </c>
      <c r="AK1647">
        <v>4200</v>
      </c>
      <c r="AL1647" t="s">
        <v>238</v>
      </c>
      <c r="AM1647" t="s">
        <v>86</v>
      </c>
      <c r="AN1647" t="s">
        <v>205</v>
      </c>
      <c r="AO1647" t="s">
        <v>789</v>
      </c>
      <c r="AP1647">
        <v>3.7</v>
      </c>
      <c r="AQ1647" t="s">
        <v>33</v>
      </c>
      <c r="AR1647" t="s">
        <v>33</v>
      </c>
      <c r="AS1647">
        <v>11</v>
      </c>
      <c r="AT1647">
        <f>AS1647-AU1647</f>
        <v>9.0299999999999994</v>
      </c>
      <c r="AU1647" s="6">
        <v>1.97</v>
      </c>
      <c r="AV1647" t="b">
        <v>1</v>
      </c>
      <c r="AW1647" t="s">
        <v>626</v>
      </c>
      <c r="AX1647" t="s">
        <v>627</v>
      </c>
      <c r="AY1647" t="s">
        <v>641</v>
      </c>
      <c r="AZ1647" t="s">
        <v>33</v>
      </c>
      <c r="BA1647" s="18" t="s">
        <v>800</v>
      </c>
      <c r="BB1647" s="3" t="b">
        <v>0</v>
      </c>
      <c r="BC1647" t="s">
        <v>81</v>
      </c>
      <c r="BD1647">
        <v>24</v>
      </c>
      <c r="BE1647" t="s">
        <v>80</v>
      </c>
      <c r="BF1647">
        <v>24</v>
      </c>
      <c r="BG1647" t="s">
        <v>568</v>
      </c>
      <c r="BH1647" t="s">
        <v>31</v>
      </c>
      <c r="BI1647" t="s">
        <v>31</v>
      </c>
      <c r="BJ1647" s="3">
        <f t="shared" si="802"/>
        <v>1.97</v>
      </c>
      <c r="BK1647" s="3">
        <f t="shared" si="786"/>
        <v>0.2944662261615929</v>
      </c>
      <c r="BL1647">
        <v>2</v>
      </c>
      <c r="BM1647" s="3">
        <f t="shared" si="794"/>
        <v>2.2318730512282512</v>
      </c>
      <c r="BN1647" t="s">
        <v>33</v>
      </c>
      <c r="BO1647" s="3">
        <f t="shared" si="787"/>
        <v>170.55837563451774</v>
      </c>
      <c r="BP1647" t="s">
        <v>33</v>
      </c>
      <c r="BQ1647" t="s">
        <v>33</v>
      </c>
      <c r="BR1647" t="s">
        <v>33</v>
      </c>
      <c r="BS1647" t="s">
        <v>33</v>
      </c>
      <c r="BT1647" t="s">
        <v>31</v>
      </c>
      <c r="BU1647" t="s">
        <v>668</v>
      </c>
      <c r="BV1647" s="14">
        <v>2009</v>
      </c>
      <c r="BW1647" t="s">
        <v>669</v>
      </c>
      <c r="BX1647" t="s">
        <v>78</v>
      </c>
      <c r="BY1647" s="13" t="s">
        <v>689</v>
      </c>
      <c r="CA1647" t="str">
        <f t="shared" si="789"/>
        <v>high acid</v>
      </c>
    </row>
    <row r="1648" spans="1:79">
      <c r="A1648" t="s">
        <v>601</v>
      </c>
      <c r="B1648" t="s">
        <v>566</v>
      </c>
      <c r="C1648" t="s">
        <v>563</v>
      </c>
      <c r="D1648" t="s">
        <v>611</v>
      </c>
      <c r="E1648" t="s">
        <v>77</v>
      </c>
      <c r="F1648" t="s">
        <v>32</v>
      </c>
      <c r="G1648" t="s">
        <v>33</v>
      </c>
      <c r="H1648" t="s">
        <v>33</v>
      </c>
      <c r="I1648" t="b">
        <v>0</v>
      </c>
      <c r="J1648" t="s">
        <v>33</v>
      </c>
      <c r="K1648" t="s">
        <v>33</v>
      </c>
      <c r="L1648">
        <v>30</v>
      </c>
      <c r="M1648" s="4">
        <v>15</v>
      </c>
      <c r="N1648" t="e">
        <f>(#REF!*Y1648)/(T1648*X1648*O1648)</f>
        <v>#REF!</v>
      </c>
      <c r="O1648">
        <v>1</v>
      </c>
      <c r="P1648" t="s">
        <v>33</v>
      </c>
      <c r="Q1648" s="1">
        <f t="shared" si="795"/>
        <v>6.6666666666666661</v>
      </c>
      <c r="R1648" t="s">
        <v>33</v>
      </c>
      <c r="S1648" t="s">
        <v>33</v>
      </c>
      <c r="T1648">
        <v>1</v>
      </c>
      <c r="U1648">
        <v>2.5</v>
      </c>
      <c r="V1648" t="s">
        <v>33</v>
      </c>
      <c r="W1648">
        <v>1.75</v>
      </c>
      <c r="X1648">
        <f>W1648</f>
        <v>1.75</v>
      </c>
      <c r="Y1648">
        <v>0.26333329999999999</v>
      </c>
      <c r="Z1648" s="3">
        <f>IFERROR(X1648*M1648*O1648*T1648*AI1648/AF1648, "NA")</f>
        <v>0.26250000000000001</v>
      </c>
      <c r="AA1648" t="s">
        <v>33</v>
      </c>
      <c r="AB1648">
        <f t="shared" si="798"/>
        <v>100</v>
      </c>
      <c r="AC1648" s="1" t="str">
        <f t="shared" si="799"/>
        <v>NA</v>
      </c>
      <c r="AE1648" s="3">
        <f t="shared" si="801"/>
        <v>377.99999999999994</v>
      </c>
      <c r="AF1648">
        <v>100</v>
      </c>
      <c r="AG1648" s="1" t="str">
        <f t="shared" si="803"/>
        <v>NA</v>
      </c>
      <c r="AH1648" s="1" t="str">
        <f t="shared" si="803"/>
        <v>NA</v>
      </c>
      <c r="AI1648" s="1">
        <v>1</v>
      </c>
      <c r="AJ1648" s="11" t="s">
        <v>31</v>
      </c>
      <c r="AK1648">
        <v>4200</v>
      </c>
      <c r="AL1648" t="s">
        <v>238</v>
      </c>
      <c r="AM1648" t="s">
        <v>86</v>
      </c>
      <c r="AN1648" t="s">
        <v>205</v>
      </c>
      <c r="AO1648" t="s">
        <v>789</v>
      </c>
      <c r="AP1648">
        <v>3.7</v>
      </c>
      <c r="AQ1648" t="s">
        <v>33</v>
      </c>
      <c r="AR1648" t="s">
        <v>33</v>
      </c>
      <c r="AS1648">
        <v>11</v>
      </c>
      <c r="AT1648">
        <f>AS1648-AU1648</f>
        <v>9.3000000000000007</v>
      </c>
      <c r="AU1648" s="6">
        <v>1.7</v>
      </c>
      <c r="AV1648" t="b">
        <v>1</v>
      </c>
      <c r="AW1648" t="s">
        <v>626</v>
      </c>
      <c r="AX1648" t="s">
        <v>627</v>
      </c>
      <c r="AY1648" t="s">
        <v>641</v>
      </c>
      <c r="AZ1648" t="s">
        <v>33</v>
      </c>
      <c r="BA1648" s="18" t="s">
        <v>800</v>
      </c>
      <c r="BB1648" s="3" t="b">
        <v>0</v>
      </c>
      <c r="BC1648" t="s">
        <v>81</v>
      </c>
      <c r="BD1648">
        <v>24</v>
      </c>
      <c r="BE1648" t="s">
        <v>80</v>
      </c>
      <c r="BF1648">
        <v>24</v>
      </c>
      <c r="BG1648" t="s">
        <v>568</v>
      </c>
      <c r="BH1648" t="s">
        <v>31</v>
      </c>
      <c r="BI1648" t="s">
        <v>31</v>
      </c>
      <c r="BJ1648" s="3">
        <f t="shared" si="802"/>
        <v>1.7</v>
      </c>
      <c r="BK1648" s="3">
        <f t="shared" si="786"/>
        <v>0.23044892137827391</v>
      </c>
      <c r="BL1648">
        <v>2</v>
      </c>
      <c r="BM1648" s="3">
        <f t="shared" si="794"/>
        <v>2.3470428784589514</v>
      </c>
      <c r="BN1648" t="s">
        <v>33</v>
      </c>
      <c r="BO1648" s="3">
        <f t="shared" si="787"/>
        <v>222.35294117647055</v>
      </c>
      <c r="BP1648" t="s">
        <v>33</v>
      </c>
      <c r="BQ1648" t="s">
        <v>33</v>
      </c>
      <c r="BR1648" t="s">
        <v>33</v>
      </c>
      <c r="BS1648" t="s">
        <v>33</v>
      </c>
      <c r="BT1648" t="s">
        <v>31</v>
      </c>
      <c r="BU1648" t="s">
        <v>668</v>
      </c>
      <c r="BV1648" s="14">
        <v>2009</v>
      </c>
      <c r="BW1648" t="s">
        <v>669</v>
      </c>
      <c r="BX1648" t="s">
        <v>78</v>
      </c>
      <c r="BY1648" s="13" t="s">
        <v>689</v>
      </c>
      <c r="CA1648" t="str">
        <f t="shared" si="789"/>
        <v>high acid</v>
      </c>
    </row>
    <row r="1649" spans="1:79">
      <c r="A1649" t="s">
        <v>601</v>
      </c>
      <c r="B1649" t="s">
        <v>566</v>
      </c>
      <c r="C1649" t="s">
        <v>563</v>
      </c>
      <c r="D1649" t="s">
        <v>611</v>
      </c>
      <c r="E1649" t="s">
        <v>77</v>
      </c>
      <c r="F1649" t="s">
        <v>32</v>
      </c>
      <c r="G1649" t="s">
        <v>33</v>
      </c>
      <c r="H1649" t="s">
        <v>33</v>
      </c>
      <c r="I1649" t="b">
        <v>0</v>
      </c>
      <c r="J1649" t="s">
        <v>33</v>
      </c>
      <c r="K1649" t="s">
        <v>33</v>
      </c>
      <c r="L1649">
        <v>40</v>
      </c>
      <c r="M1649" s="4">
        <v>15</v>
      </c>
      <c r="N1649" t="e">
        <f>(#REF!*Y1649)/(T1649*X1649*O1649)</f>
        <v>#REF!</v>
      </c>
      <c r="O1649">
        <v>1</v>
      </c>
      <c r="P1649" t="s">
        <v>33</v>
      </c>
      <c r="Q1649" s="1">
        <f t="shared" si="795"/>
        <v>1.6666666666666665</v>
      </c>
      <c r="R1649" t="s">
        <v>33</v>
      </c>
      <c r="S1649" t="s">
        <v>33</v>
      </c>
      <c r="T1649">
        <v>1</v>
      </c>
      <c r="U1649">
        <v>2.5</v>
      </c>
      <c r="V1649" t="s">
        <v>33</v>
      </c>
      <c r="W1649">
        <v>1.75</v>
      </c>
      <c r="X1649">
        <f>W1649</f>
        <v>1.75</v>
      </c>
      <c r="Y1649">
        <v>1.05</v>
      </c>
      <c r="Z1649" s="3">
        <f>IFERROR(X1649*M1649*O1649*T1649*AI1649/AF1649, "NA")</f>
        <v>1.05</v>
      </c>
      <c r="AA1649" t="s">
        <v>33</v>
      </c>
      <c r="AB1649">
        <f t="shared" si="798"/>
        <v>25</v>
      </c>
      <c r="AC1649" s="1" t="str">
        <f t="shared" si="799"/>
        <v>NA</v>
      </c>
      <c r="AE1649" s="3">
        <f t="shared" si="801"/>
        <v>167.99999999999997</v>
      </c>
      <c r="AF1649">
        <v>25</v>
      </c>
      <c r="AG1649" s="1" t="str">
        <f t="shared" si="803"/>
        <v>NA</v>
      </c>
      <c r="AH1649" s="1" t="str">
        <f t="shared" si="803"/>
        <v>NA</v>
      </c>
      <c r="AI1649" s="1">
        <v>1</v>
      </c>
      <c r="AJ1649" s="11" t="s">
        <v>31</v>
      </c>
      <c r="AK1649">
        <v>4200</v>
      </c>
      <c r="AL1649" t="s">
        <v>238</v>
      </c>
      <c r="AM1649" t="s">
        <v>86</v>
      </c>
      <c r="AN1649" t="s">
        <v>205</v>
      </c>
      <c r="AO1649" t="s">
        <v>789</v>
      </c>
      <c r="AP1649">
        <v>3.7</v>
      </c>
      <c r="AQ1649" t="s">
        <v>33</v>
      </c>
      <c r="AR1649" t="s">
        <v>33</v>
      </c>
      <c r="AS1649">
        <v>11</v>
      </c>
      <c r="AT1649">
        <f>AS1649-AU1649</f>
        <v>9.57</v>
      </c>
      <c r="AU1649" s="6">
        <v>1.43</v>
      </c>
      <c r="AV1649" t="b">
        <v>1</v>
      </c>
      <c r="AW1649" t="s">
        <v>626</v>
      </c>
      <c r="AX1649" t="s">
        <v>627</v>
      </c>
      <c r="AY1649" t="s">
        <v>641</v>
      </c>
      <c r="AZ1649" t="s">
        <v>33</v>
      </c>
      <c r="BA1649" s="18" t="s">
        <v>800</v>
      </c>
      <c r="BB1649" s="3" t="b">
        <v>0</v>
      </c>
      <c r="BC1649" t="s">
        <v>81</v>
      </c>
      <c r="BD1649">
        <v>24</v>
      </c>
      <c r="BE1649" t="s">
        <v>80</v>
      </c>
      <c r="BF1649">
        <v>24</v>
      </c>
      <c r="BG1649" t="s">
        <v>568</v>
      </c>
      <c r="BH1649" t="s">
        <v>31</v>
      </c>
      <c r="BI1649" t="s">
        <v>31</v>
      </c>
      <c r="BJ1649" s="3">
        <f t="shared" si="802"/>
        <v>1.43</v>
      </c>
      <c r="BK1649" s="3">
        <f t="shared" si="786"/>
        <v>0.1553360374650618</v>
      </c>
      <c r="BL1649">
        <v>2</v>
      </c>
      <c r="BM1649" s="3">
        <f t="shared" si="794"/>
        <v>2.069973244260801</v>
      </c>
      <c r="BN1649" t="s">
        <v>33</v>
      </c>
      <c r="BO1649" s="3">
        <f t="shared" si="787"/>
        <v>117.48251748251747</v>
      </c>
      <c r="BP1649" t="s">
        <v>33</v>
      </c>
      <c r="BQ1649" t="s">
        <v>33</v>
      </c>
      <c r="BR1649" t="s">
        <v>33</v>
      </c>
      <c r="BS1649" t="s">
        <v>33</v>
      </c>
      <c r="BT1649" t="s">
        <v>31</v>
      </c>
      <c r="BU1649" t="s">
        <v>668</v>
      </c>
      <c r="BV1649" s="14">
        <v>2009</v>
      </c>
      <c r="BW1649" t="s">
        <v>669</v>
      </c>
      <c r="BX1649" t="s">
        <v>78</v>
      </c>
      <c r="BY1649" s="13" t="s">
        <v>689</v>
      </c>
      <c r="CA1649" t="str">
        <f t="shared" si="789"/>
        <v>high acid</v>
      </c>
    </row>
    <row r="1650" spans="1:79">
      <c r="A1650" t="s">
        <v>601</v>
      </c>
      <c r="B1650" t="s">
        <v>566</v>
      </c>
      <c r="C1650" t="s">
        <v>563</v>
      </c>
      <c r="D1650" t="s">
        <v>611</v>
      </c>
      <c r="E1650" t="s">
        <v>77</v>
      </c>
      <c r="F1650" t="s">
        <v>32</v>
      </c>
      <c r="G1650" t="s">
        <v>33</v>
      </c>
      <c r="H1650" t="s">
        <v>33</v>
      </c>
      <c r="I1650" t="b">
        <v>0</v>
      </c>
      <c r="J1650" t="s">
        <v>33</v>
      </c>
      <c r="K1650" t="s">
        <v>33</v>
      </c>
      <c r="L1650">
        <v>30</v>
      </c>
      <c r="M1650" s="4">
        <v>15</v>
      </c>
      <c r="N1650" t="e">
        <f>(#REF!*Y1650)/(T1650*X1650*O1650)</f>
        <v>#REF!</v>
      </c>
      <c r="O1650">
        <v>1</v>
      </c>
      <c r="P1650" t="s">
        <v>33</v>
      </c>
      <c r="Q1650" s="1">
        <f t="shared" si="795"/>
        <v>3.333333333333333</v>
      </c>
      <c r="R1650" t="s">
        <v>33</v>
      </c>
      <c r="S1650" t="s">
        <v>33</v>
      </c>
      <c r="T1650">
        <v>1</v>
      </c>
      <c r="U1650">
        <v>2.5</v>
      </c>
      <c r="V1650" t="s">
        <v>33</v>
      </c>
      <c r="W1650">
        <v>1.75</v>
      </c>
      <c r="X1650">
        <f>W1650</f>
        <v>1.75</v>
      </c>
      <c r="Y1650">
        <v>0.52500000000000002</v>
      </c>
      <c r="Z1650" s="3">
        <f>IFERROR(X1650*M1650*O1650*T1650*AI1650/AF1650, "NA")</f>
        <v>0.52500000000000002</v>
      </c>
      <c r="AA1650" t="s">
        <v>33</v>
      </c>
      <c r="AB1650">
        <f t="shared" si="798"/>
        <v>50</v>
      </c>
      <c r="AC1650" s="1" t="str">
        <f t="shared" si="799"/>
        <v>NA</v>
      </c>
      <c r="AE1650" s="3">
        <f t="shared" si="801"/>
        <v>188.99999999999997</v>
      </c>
      <c r="AF1650">
        <v>50</v>
      </c>
      <c r="AG1650" s="1" t="str">
        <f t="shared" si="803"/>
        <v>NA</v>
      </c>
      <c r="AH1650" s="1" t="str">
        <f t="shared" si="803"/>
        <v>NA</v>
      </c>
      <c r="AI1650" s="1">
        <v>1</v>
      </c>
      <c r="AJ1650" s="11" t="s">
        <v>31</v>
      </c>
      <c r="AK1650">
        <v>4200</v>
      </c>
      <c r="AL1650" t="s">
        <v>238</v>
      </c>
      <c r="AM1650" t="s">
        <v>86</v>
      </c>
      <c r="AN1650" t="s">
        <v>205</v>
      </c>
      <c r="AO1650" t="s">
        <v>789</v>
      </c>
      <c r="AP1650">
        <v>3.7</v>
      </c>
      <c r="AQ1650" t="s">
        <v>33</v>
      </c>
      <c r="AR1650" t="s">
        <v>33</v>
      </c>
      <c r="AS1650">
        <v>11</v>
      </c>
      <c r="AT1650">
        <f>AS1650-AU1650</f>
        <v>10.06</v>
      </c>
      <c r="AU1650" s="6">
        <v>0.94</v>
      </c>
      <c r="AV1650" t="b">
        <v>1</v>
      </c>
      <c r="AW1650" t="s">
        <v>626</v>
      </c>
      <c r="AX1650" t="s">
        <v>627</v>
      </c>
      <c r="AY1650" t="s">
        <v>641</v>
      </c>
      <c r="AZ1650" t="s">
        <v>33</v>
      </c>
      <c r="BA1650" s="18" t="s">
        <v>800</v>
      </c>
      <c r="BB1650" s="3" t="b">
        <v>0</v>
      </c>
      <c r="BC1650" t="s">
        <v>81</v>
      </c>
      <c r="BD1650">
        <v>24</v>
      </c>
      <c r="BE1650" t="s">
        <v>80</v>
      </c>
      <c r="BF1650">
        <v>24</v>
      </c>
      <c r="BG1650" t="s">
        <v>568</v>
      </c>
      <c r="BH1650" t="s">
        <v>31</v>
      </c>
      <c r="BI1650" t="s">
        <v>31</v>
      </c>
      <c r="BJ1650" s="3">
        <f t="shared" si="802"/>
        <v>0.94</v>
      </c>
      <c r="BK1650" s="3">
        <f t="shared" si="786"/>
        <v>-2.6872146400301365E-2</v>
      </c>
      <c r="BL1650">
        <v>2</v>
      </c>
      <c r="BM1650" s="3">
        <f t="shared" si="794"/>
        <v>2.3033339505735455</v>
      </c>
      <c r="BN1650" t="s">
        <v>33</v>
      </c>
      <c r="BO1650" s="3">
        <f t="shared" si="787"/>
        <v>201.06382978723403</v>
      </c>
      <c r="BP1650" t="s">
        <v>33</v>
      </c>
      <c r="BQ1650" t="s">
        <v>33</v>
      </c>
      <c r="BR1650" t="s">
        <v>33</v>
      </c>
      <c r="BS1650" t="s">
        <v>33</v>
      </c>
      <c r="BT1650" t="s">
        <v>31</v>
      </c>
      <c r="BU1650" t="s">
        <v>668</v>
      </c>
      <c r="BV1650" s="14">
        <v>2009</v>
      </c>
      <c r="BW1650" t="s">
        <v>669</v>
      </c>
      <c r="BX1650" t="s">
        <v>78</v>
      </c>
      <c r="BY1650" s="13" t="s">
        <v>689</v>
      </c>
      <c r="CA1650" t="str">
        <f t="shared" si="789"/>
        <v>high acid</v>
      </c>
    </row>
    <row r="1651" spans="1:79">
      <c r="A1651" t="s">
        <v>376</v>
      </c>
      <c r="B1651" t="s">
        <v>566</v>
      </c>
      <c r="C1651" t="s">
        <v>563</v>
      </c>
      <c r="D1651" t="s">
        <v>369</v>
      </c>
      <c r="E1651" t="s">
        <v>77</v>
      </c>
      <c r="F1651" t="s">
        <v>32</v>
      </c>
      <c r="G1651">
        <v>8</v>
      </c>
      <c r="H1651">
        <v>86.2</v>
      </c>
      <c r="I1651" t="b">
        <v>1</v>
      </c>
      <c r="J1651">
        <v>40500</v>
      </c>
      <c r="K1651">
        <v>300</v>
      </c>
      <c r="L1651">
        <v>101</v>
      </c>
      <c r="M1651" s="4">
        <v>500</v>
      </c>
      <c r="N1651" s="3" t="str">
        <f t="shared" ref="N1651:N1682" si="804">IFERROR(AF1651/((T1651*X1651/Y1651)*O1651*AI1651),"NA")</f>
        <v>NA</v>
      </c>
      <c r="O1651">
        <v>0.1</v>
      </c>
      <c r="P1651">
        <v>5</v>
      </c>
      <c r="Q1651" s="8">
        <f t="shared" si="795"/>
        <v>5</v>
      </c>
      <c r="R1651" t="s">
        <v>278</v>
      </c>
      <c r="S1651" t="s">
        <v>613</v>
      </c>
      <c r="T1651" s="11">
        <v>1</v>
      </c>
      <c r="U1651">
        <v>4</v>
      </c>
      <c r="V1651" t="s">
        <v>33</v>
      </c>
      <c r="W1651">
        <v>0.92</v>
      </c>
      <c r="X1651" s="8">
        <f>230*0.01*0.1*U1651</f>
        <v>0.92000000000000015</v>
      </c>
      <c r="Y1651" s="9">
        <f>11/60</f>
        <v>0.18333333333333332</v>
      </c>
      <c r="Z1651" s="3">
        <f>IFERROR(X1651*M1651*O1651*T1651*AI1651/AH1651, "NA")</f>
        <v>0.18400000000000002</v>
      </c>
      <c r="AA1651" t="s">
        <v>33</v>
      </c>
      <c r="AB1651" s="6">
        <f t="shared" si="798"/>
        <v>2500</v>
      </c>
      <c r="AC1651">
        <f t="shared" si="799"/>
        <v>2500</v>
      </c>
      <c r="AD1651" s="4">
        <f t="shared" ref="AD1651:AD1682" si="805">AB1651*T1651*AI1651</f>
        <v>2500</v>
      </c>
      <c r="AE1651" s="3">
        <f t="shared" si="801"/>
        <v>1785.1749999999997</v>
      </c>
      <c r="AF1651" t="s">
        <v>33</v>
      </c>
      <c r="AG1651">
        <f t="shared" ref="AG1651:AG1682" si="806">IFERROR((M1651*O1651*P1651), "NA")</f>
        <v>250</v>
      </c>
      <c r="AH1651">
        <f t="shared" ref="AH1651:AH1682" si="807">IFERROR((AG1651*T1651*AI1651), "NA")</f>
        <v>250</v>
      </c>
      <c r="AI1651">
        <v>1</v>
      </c>
      <c r="AJ1651" t="s">
        <v>31</v>
      </c>
      <c r="AK1651">
        <v>700</v>
      </c>
      <c r="AL1651" t="s">
        <v>548</v>
      </c>
      <c r="AM1651" t="s">
        <v>103</v>
      </c>
      <c r="AN1651" t="s">
        <v>33</v>
      </c>
      <c r="AO1651" t="str">
        <f>AN1651</f>
        <v>NA</v>
      </c>
      <c r="AP1651" t="s">
        <v>33</v>
      </c>
      <c r="AQ1651" t="s">
        <v>33</v>
      </c>
      <c r="AR1651" t="s">
        <v>33</v>
      </c>
      <c r="AS1651" s="6">
        <f>LOG(9.7*10^10)</f>
        <v>10.986771734266245</v>
      </c>
      <c r="AT1651" s="3">
        <f>IFERROR(AS1651-AU1651,"NA")</f>
        <v>10.111771734266245</v>
      </c>
      <c r="AU1651" s="6">
        <v>0.875</v>
      </c>
      <c r="AV1651" t="b">
        <v>1</v>
      </c>
      <c r="AW1651" t="s">
        <v>372</v>
      </c>
      <c r="AX1651" t="s">
        <v>373</v>
      </c>
      <c r="AY1651" t="s">
        <v>33</v>
      </c>
      <c r="AZ1651" t="s">
        <v>33</v>
      </c>
      <c r="BA1651" s="18" t="s">
        <v>797</v>
      </c>
      <c r="BB1651" t="b">
        <v>0</v>
      </c>
      <c r="BC1651" t="s">
        <v>374</v>
      </c>
      <c r="BD1651" t="s">
        <v>33</v>
      </c>
      <c r="BE1651" t="s">
        <v>33</v>
      </c>
      <c r="BF1651" s="11">
        <v>24</v>
      </c>
      <c r="BG1651" t="s">
        <v>33</v>
      </c>
      <c r="BH1651" t="s">
        <v>33</v>
      </c>
      <c r="BI1651" t="s">
        <v>31</v>
      </c>
      <c r="BJ1651" s="3">
        <f t="shared" si="802"/>
        <v>0.875</v>
      </c>
      <c r="BK1651" s="3">
        <f t="shared" si="786"/>
        <v>-5.7991946977686754E-2</v>
      </c>
      <c r="BL1651">
        <v>2</v>
      </c>
      <c r="BM1651" s="3">
        <f t="shared" si="794"/>
        <v>3.3096727432292661</v>
      </c>
      <c r="BN1651" t="s">
        <v>33</v>
      </c>
      <c r="BO1651" s="3">
        <f t="shared" si="787"/>
        <v>2040.1999999999996</v>
      </c>
      <c r="BP1651" t="s">
        <v>33</v>
      </c>
      <c r="BQ1651" t="s">
        <v>33</v>
      </c>
      <c r="BR1651" t="s">
        <v>33</v>
      </c>
      <c r="BS1651" t="s">
        <v>33</v>
      </c>
      <c r="BT1651" t="s">
        <v>31</v>
      </c>
      <c r="BU1651" t="s">
        <v>371</v>
      </c>
      <c r="BV1651">
        <v>2008</v>
      </c>
      <c r="BW1651" t="s">
        <v>380</v>
      </c>
      <c r="BX1651" t="s">
        <v>78</v>
      </c>
      <c r="BY1651" t="s">
        <v>370</v>
      </c>
      <c r="CA1651" t="str">
        <f t="shared" si="789"/>
        <v>NA</v>
      </c>
    </row>
    <row r="1652" spans="1:79">
      <c r="A1652" t="s">
        <v>376</v>
      </c>
      <c r="B1652" t="s">
        <v>566</v>
      </c>
      <c r="C1652" t="s">
        <v>563</v>
      </c>
      <c r="D1652" t="s">
        <v>369</v>
      </c>
      <c r="E1652" t="s">
        <v>77</v>
      </c>
      <c r="F1652" t="s">
        <v>32</v>
      </c>
      <c r="G1652">
        <v>8</v>
      </c>
      <c r="H1652">
        <v>67.5</v>
      </c>
      <c r="I1652" t="b">
        <v>1</v>
      </c>
      <c r="J1652">
        <v>40500</v>
      </c>
      <c r="K1652">
        <v>300</v>
      </c>
      <c r="L1652">
        <v>92.4</v>
      </c>
      <c r="M1652" s="4">
        <v>500</v>
      </c>
      <c r="N1652" s="3" t="str">
        <f t="shared" si="804"/>
        <v>NA</v>
      </c>
      <c r="O1652">
        <v>0.1</v>
      </c>
      <c r="P1652">
        <v>5</v>
      </c>
      <c r="Q1652" s="8">
        <f t="shared" si="795"/>
        <v>5</v>
      </c>
      <c r="R1652" t="s">
        <v>278</v>
      </c>
      <c r="S1652" t="s">
        <v>613</v>
      </c>
      <c r="T1652" s="11">
        <v>1</v>
      </c>
      <c r="U1652">
        <v>4</v>
      </c>
      <c r="V1652" t="s">
        <v>33</v>
      </c>
      <c r="W1652">
        <v>0.92</v>
      </c>
      <c r="X1652" s="8">
        <f>230*0.01*0.1*U1652</f>
        <v>0.92000000000000015</v>
      </c>
      <c r="Y1652" s="9">
        <f>11/60</f>
        <v>0.18333333333333332</v>
      </c>
      <c r="Z1652" s="3">
        <f>IFERROR(X1652*M1652*O1652*T1652*AI1652/AH1652, "NA")</f>
        <v>0.18400000000000002</v>
      </c>
      <c r="AA1652" t="s">
        <v>33</v>
      </c>
      <c r="AB1652" s="6">
        <f t="shared" si="798"/>
        <v>2500</v>
      </c>
      <c r="AC1652">
        <f t="shared" si="799"/>
        <v>2500</v>
      </c>
      <c r="AD1652" s="4">
        <f t="shared" si="805"/>
        <v>2500</v>
      </c>
      <c r="AE1652" s="3">
        <f t="shared" si="801"/>
        <v>1494.1079999999999</v>
      </c>
      <c r="AF1652" t="s">
        <v>33</v>
      </c>
      <c r="AG1652">
        <f t="shared" si="806"/>
        <v>250</v>
      </c>
      <c r="AH1652">
        <f t="shared" si="807"/>
        <v>250</v>
      </c>
      <c r="AI1652">
        <v>1</v>
      </c>
      <c r="AJ1652" t="s">
        <v>31</v>
      </c>
      <c r="AK1652">
        <v>700</v>
      </c>
      <c r="AL1652" t="s">
        <v>548</v>
      </c>
      <c r="AM1652" t="s">
        <v>103</v>
      </c>
      <c r="AN1652" t="s">
        <v>33</v>
      </c>
      <c r="AO1652" t="str">
        <f>AN1652</f>
        <v>NA</v>
      </c>
      <c r="AP1652" t="s">
        <v>33</v>
      </c>
      <c r="AQ1652" t="s">
        <v>33</v>
      </c>
      <c r="AR1652" t="s">
        <v>33</v>
      </c>
      <c r="AS1652" s="6">
        <f>LOG(9.7*10^10)</f>
        <v>10.986771734266245</v>
      </c>
      <c r="AT1652" s="3">
        <f>IFERROR(AS1652-AU1652,"NA")</f>
        <v>10.127771734266245</v>
      </c>
      <c r="AU1652" s="6">
        <v>0.85899999999999999</v>
      </c>
      <c r="AV1652" t="b">
        <v>1</v>
      </c>
      <c r="AW1652" t="s">
        <v>372</v>
      </c>
      <c r="AX1652" t="s">
        <v>373</v>
      </c>
      <c r="AY1652" t="s">
        <v>33</v>
      </c>
      <c r="AZ1652" t="s">
        <v>33</v>
      </c>
      <c r="BA1652" s="18" t="s">
        <v>797</v>
      </c>
      <c r="BB1652" t="b">
        <v>0</v>
      </c>
      <c r="BC1652" t="s">
        <v>374</v>
      </c>
      <c r="BD1652" t="s">
        <v>33</v>
      </c>
      <c r="BE1652" t="s">
        <v>33</v>
      </c>
      <c r="BF1652" s="11">
        <v>24</v>
      </c>
      <c r="BG1652" t="s">
        <v>33</v>
      </c>
      <c r="BH1652" t="s">
        <v>33</v>
      </c>
      <c r="BI1652" t="s">
        <v>31</v>
      </c>
      <c r="BJ1652" s="3">
        <f t="shared" si="802"/>
        <v>0.85899999999999999</v>
      </c>
      <c r="BK1652" s="3">
        <f t="shared" si="786"/>
        <v>-6.6006836168757702E-2</v>
      </c>
      <c r="BL1652">
        <v>2</v>
      </c>
      <c r="BM1652" s="3">
        <f t="shared" si="794"/>
        <v>3.2403888272952655</v>
      </c>
      <c r="BN1652" t="s">
        <v>33</v>
      </c>
      <c r="BO1652" s="3">
        <f t="shared" si="787"/>
        <v>1739.3573923166473</v>
      </c>
      <c r="BP1652" t="s">
        <v>33</v>
      </c>
      <c r="BQ1652" t="s">
        <v>33</v>
      </c>
      <c r="BR1652" t="s">
        <v>33</v>
      </c>
      <c r="BS1652" t="s">
        <v>33</v>
      </c>
      <c r="BT1652" t="s">
        <v>31</v>
      </c>
      <c r="BU1652" t="s">
        <v>371</v>
      </c>
      <c r="BV1652">
        <v>2008</v>
      </c>
      <c r="BW1652" t="s">
        <v>380</v>
      </c>
      <c r="BX1652" t="s">
        <v>78</v>
      </c>
      <c r="BY1652" t="s">
        <v>370</v>
      </c>
      <c r="CA1652" t="str">
        <f t="shared" si="789"/>
        <v>NA</v>
      </c>
    </row>
    <row r="1653" spans="1:79">
      <c r="A1653" t="s">
        <v>744</v>
      </c>
      <c r="B1653" t="s">
        <v>566</v>
      </c>
      <c r="C1653" t="s">
        <v>563</v>
      </c>
      <c r="D1653" t="s">
        <v>740</v>
      </c>
      <c r="E1653" t="s">
        <v>77</v>
      </c>
      <c r="F1653" t="s">
        <v>32</v>
      </c>
      <c r="G1653">
        <v>20</v>
      </c>
      <c r="H1653">
        <v>35</v>
      </c>
      <c r="I1653" t="b">
        <v>1</v>
      </c>
      <c r="J1653" t="s">
        <v>33</v>
      </c>
      <c r="K1653" t="s">
        <v>33</v>
      </c>
      <c r="L1653">
        <v>15</v>
      </c>
      <c r="M1653" s="4">
        <f t="shared" ref="M1653:M1693" si="808">N1653</f>
        <v>1.8935185185185184</v>
      </c>
      <c r="N1653" s="3">
        <f t="shared" si="804"/>
        <v>1.8935185185185184</v>
      </c>
      <c r="O1653">
        <v>10</v>
      </c>
      <c r="P1653">
        <v>0.22</v>
      </c>
      <c r="Q1653" s="8">
        <f t="shared" ref="Q1653:Q1693" si="809">IFERROR(X1653/Y1653, "NA")</f>
        <v>2.16</v>
      </c>
      <c r="R1653" t="s">
        <v>183</v>
      </c>
      <c r="S1653" t="s">
        <v>612</v>
      </c>
      <c r="T1653" s="11">
        <v>1</v>
      </c>
      <c r="U1653">
        <v>4</v>
      </c>
      <c r="V1653" t="s">
        <v>33</v>
      </c>
      <c r="W1653">
        <f t="shared" ref="W1653:W1693" si="810">U1653*0.5*3</f>
        <v>6</v>
      </c>
      <c r="X1653" s="9">
        <f t="shared" ref="X1653:X1684" si="811">W1653</f>
        <v>6</v>
      </c>
      <c r="Y1653" s="6">
        <f t="shared" ref="Y1653:Y1693" si="812">10000/3600</f>
        <v>2.7777777777777777</v>
      </c>
      <c r="Z1653" s="3">
        <f t="shared" ref="Z1653:Z1684" si="813">IFERROR(X1653*M1653*O1653*T1653*AI1653/AF1653, "NA")</f>
        <v>2.7777777777777781</v>
      </c>
      <c r="AA1653" t="s">
        <v>33</v>
      </c>
      <c r="AB1653" s="4">
        <f t="shared" ref="AB1653:AB1693" si="814">IFERROR(((X1653*M1653)/Y1653), "NA")</f>
        <v>4.09</v>
      </c>
      <c r="AC1653" s="4">
        <f t="shared" si="799"/>
        <v>0.41657407407407404</v>
      </c>
      <c r="AD1653" s="4">
        <f t="shared" si="805"/>
        <v>4.09</v>
      </c>
      <c r="AE1653" s="3">
        <f t="shared" ref="AE1653:AE1693" si="815">IFERROR(((L1653^2)*N1653*O1653*AK1653*10^-6*Q1653*T1653*AI1653), "NA")</f>
        <v>16.564499999999999</v>
      </c>
      <c r="AF1653">
        <v>40.9</v>
      </c>
      <c r="AG1653" s="4">
        <f t="shared" si="806"/>
        <v>4.1657407407407403</v>
      </c>
      <c r="AH1653" s="4">
        <f t="shared" si="807"/>
        <v>4.1657407407407403</v>
      </c>
      <c r="AI1653">
        <v>1</v>
      </c>
      <c r="AJ1653" s="11" t="s">
        <v>31</v>
      </c>
      <c r="AK1653">
        <v>1800</v>
      </c>
      <c r="AL1653" t="s">
        <v>746</v>
      </c>
      <c r="AM1653" t="s">
        <v>515</v>
      </c>
      <c r="AN1653" t="s">
        <v>205</v>
      </c>
      <c r="AO1653" t="s">
        <v>788</v>
      </c>
      <c r="AP1653">
        <v>3.34</v>
      </c>
      <c r="AQ1653" t="s">
        <v>33</v>
      </c>
      <c r="AR1653" t="s">
        <v>33</v>
      </c>
      <c r="AS1653" t="s">
        <v>33</v>
      </c>
      <c r="AT1653" t="s">
        <v>33</v>
      </c>
      <c r="AU1653" s="6">
        <v>2.2629999999999999</v>
      </c>
      <c r="AV1653" t="b">
        <v>1</v>
      </c>
      <c r="AW1653" t="s">
        <v>172</v>
      </c>
      <c r="AX1653" t="s">
        <v>173</v>
      </c>
      <c r="AY1653" t="s">
        <v>741</v>
      </c>
      <c r="AZ1653" t="s">
        <v>33</v>
      </c>
      <c r="BA1653" s="18" t="s">
        <v>799</v>
      </c>
      <c r="BB1653" s="3" t="b">
        <v>0</v>
      </c>
      <c r="BC1653" t="s">
        <v>81</v>
      </c>
      <c r="BD1653">
        <v>120</v>
      </c>
      <c r="BE1653" t="s">
        <v>80</v>
      </c>
      <c r="BF1653">
        <v>48</v>
      </c>
      <c r="BG1653" t="s">
        <v>574</v>
      </c>
      <c r="BH1653" t="s">
        <v>31</v>
      </c>
      <c r="BI1653" t="s">
        <v>31</v>
      </c>
      <c r="BJ1653" s="3">
        <f t="shared" si="802"/>
        <v>2.2629999999999999</v>
      </c>
      <c r="BK1653" s="3">
        <f t="shared" si="786"/>
        <v>0.35468455395472859</v>
      </c>
      <c r="BL1653">
        <v>2</v>
      </c>
      <c r="BM1653" s="3">
        <f t="shared" si="794"/>
        <v>0.86449377726728172</v>
      </c>
      <c r="BN1653" t="s">
        <v>33</v>
      </c>
      <c r="BO1653" s="3">
        <f t="shared" si="787"/>
        <v>7.3197083517454704</v>
      </c>
      <c r="BP1653" t="s">
        <v>33</v>
      </c>
      <c r="BQ1653" t="s">
        <v>33</v>
      </c>
      <c r="BR1653" t="s">
        <v>33</v>
      </c>
      <c r="BS1653" t="s">
        <v>33</v>
      </c>
      <c r="BT1653" t="s">
        <v>32</v>
      </c>
      <c r="BU1653" t="s">
        <v>742</v>
      </c>
      <c r="BV1653">
        <v>2023</v>
      </c>
      <c r="BW1653" t="s">
        <v>743</v>
      </c>
      <c r="BX1653" t="s">
        <v>78</v>
      </c>
      <c r="BY1653" t="s">
        <v>711</v>
      </c>
      <c r="CA1653" t="str">
        <f t="shared" si="789"/>
        <v>high acid</v>
      </c>
    </row>
    <row r="1654" spans="1:79">
      <c r="A1654" t="s">
        <v>744</v>
      </c>
      <c r="B1654" t="s">
        <v>566</v>
      </c>
      <c r="C1654" t="s">
        <v>563</v>
      </c>
      <c r="D1654" t="s">
        <v>740</v>
      </c>
      <c r="E1654" t="s">
        <v>77</v>
      </c>
      <c r="F1654" t="s">
        <v>32</v>
      </c>
      <c r="G1654">
        <v>20</v>
      </c>
      <c r="H1654">
        <v>40</v>
      </c>
      <c r="I1654" t="b">
        <v>1</v>
      </c>
      <c r="J1654" t="s">
        <v>33</v>
      </c>
      <c r="K1654" t="s">
        <v>33</v>
      </c>
      <c r="L1654">
        <v>15</v>
      </c>
      <c r="M1654" s="4">
        <f t="shared" si="808"/>
        <v>2.1898148148148144</v>
      </c>
      <c r="N1654" s="3">
        <f t="shared" si="804"/>
        <v>2.1898148148148144</v>
      </c>
      <c r="O1654">
        <v>10</v>
      </c>
      <c r="P1654">
        <v>0.22</v>
      </c>
      <c r="Q1654" s="8">
        <f t="shared" si="809"/>
        <v>2.16</v>
      </c>
      <c r="R1654" t="s">
        <v>183</v>
      </c>
      <c r="S1654" t="s">
        <v>612</v>
      </c>
      <c r="T1654" s="11">
        <v>1</v>
      </c>
      <c r="U1654">
        <v>4</v>
      </c>
      <c r="V1654" t="s">
        <v>33</v>
      </c>
      <c r="W1654">
        <f t="shared" si="810"/>
        <v>6</v>
      </c>
      <c r="X1654" s="9">
        <f t="shared" si="811"/>
        <v>6</v>
      </c>
      <c r="Y1654" s="6">
        <f t="shared" si="812"/>
        <v>2.7777777777777777</v>
      </c>
      <c r="Z1654" s="3">
        <f t="shared" si="813"/>
        <v>2.7777777777777772</v>
      </c>
      <c r="AA1654" t="s">
        <v>33</v>
      </c>
      <c r="AB1654" s="4">
        <f t="shared" si="814"/>
        <v>4.7299999999999986</v>
      </c>
      <c r="AC1654" s="4">
        <f t="shared" si="799"/>
        <v>0.48175925925925916</v>
      </c>
      <c r="AD1654" s="4">
        <f t="shared" si="805"/>
        <v>4.7299999999999986</v>
      </c>
      <c r="AE1654" s="3">
        <f t="shared" si="815"/>
        <v>19.156499999999998</v>
      </c>
      <c r="AF1654">
        <v>47.3</v>
      </c>
      <c r="AG1654" s="4">
        <f t="shared" si="806"/>
        <v>4.8175925925925922</v>
      </c>
      <c r="AH1654" s="4">
        <f t="shared" si="807"/>
        <v>4.8175925925925922</v>
      </c>
      <c r="AI1654">
        <v>1</v>
      </c>
      <c r="AJ1654" s="11" t="s">
        <v>31</v>
      </c>
      <c r="AK1654">
        <v>1800</v>
      </c>
      <c r="AL1654" t="s">
        <v>746</v>
      </c>
      <c r="AM1654" t="s">
        <v>515</v>
      </c>
      <c r="AN1654" t="s">
        <v>205</v>
      </c>
      <c r="AO1654" t="s">
        <v>788</v>
      </c>
      <c r="AP1654">
        <v>3.34</v>
      </c>
      <c r="AQ1654" t="s">
        <v>33</v>
      </c>
      <c r="AR1654" t="s">
        <v>33</v>
      </c>
      <c r="AS1654" t="s">
        <v>33</v>
      </c>
      <c r="AT1654" t="s">
        <v>33</v>
      </c>
      <c r="AU1654" s="6">
        <v>3.2090000000000001</v>
      </c>
      <c r="AV1654" t="b">
        <v>1</v>
      </c>
      <c r="AW1654" t="s">
        <v>172</v>
      </c>
      <c r="AX1654" t="s">
        <v>173</v>
      </c>
      <c r="AY1654" t="s">
        <v>741</v>
      </c>
      <c r="AZ1654" t="s">
        <v>33</v>
      </c>
      <c r="BA1654" s="18" t="s">
        <v>799</v>
      </c>
      <c r="BB1654" s="3" t="b">
        <v>0</v>
      </c>
      <c r="BC1654" t="s">
        <v>81</v>
      </c>
      <c r="BD1654">
        <v>120</v>
      </c>
      <c r="BE1654" t="s">
        <v>80</v>
      </c>
      <c r="BF1654">
        <v>48</v>
      </c>
      <c r="BG1654" t="s">
        <v>574</v>
      </c>
      <c r="BH1654" t="s">
        <v>31</v>
      </c>
      <c r="BI1654" t="s">
        <v>31</v>
      </c>
      <c r="BJ1654" s="3">
        <f t="shared" si="802"/>
        <v>3.2090000000000001</v>
      </c>
      <c r="BK1654" s="3">
        <f t="shared" si="786"/>
        <v>0.50636971709550405</v>
      </c>
      <c r="BL1654">
        <v>2</v>
      </c>
      <c r="BM1654" s="3">
        <f t="shared" si="794"/>
        <v>0.775946446856976</v>
      </c>
      <c r="BN1654" t="s">
        <v>33</v>
      </c>
      <c r="BO1654" s="3">
        <f t="shared" si="787"/>
        <v>5.9696167030227478</v>
      </c>
      <c r="BP1654" t="s">
        <v>33</v>
      </c>
      <c r="BQ1654" t="s">
        <v>33</v>
      </c>
      <c r="BR1654" t="s">
        <v>33</v>
      </c>
      <c r="BS1654" t="s">
        <v>33</v>
      </c>
      <c r="BT1654" t="s">
        <v>32</v>
      </c>
      <c r="BU1654" t="s">
        <v>742</v>
      </c>
      <c r="BV1654">
        <v>2023</v>
      </c>
      <c r="BW1654" t="s">
        <v>743</v>
      </c>
      <c r="BX1654" t="s">
        <v>78</v>
      </c>
      <c r="BY1654" t="s">
        <v>711</v>
      </c>
      <c r="CA1654" t="str">
        <f t="shared" si="789"/>
        <v>high acid</v>
      </c>
    </row>
    <row r="1655" spans="1:79">
      <c r="A1655" t="s">
        <v>744</v>
      </c>
      <c r="B1655" t="s">
        <v>566</v>
      </c>
      <c r="C1655" t="s">
        <v>563</v>
      </c>
      <c r="D1655" t="s">
        <v>740</v>
      </c>
      <c r="E1655" t="s">
        <v>77</v>
      </c>
      <c r="F1655" t="s">
        <v>32</v>
      </c>
      <c r="G1655">
        <v>20</v>
      </c>
      <c r="H1655">
        <v>45</v>
      </c>
      <c r="I1655" t="b">
        <v>1</v>
      </c>
      <c r="J1655" t="s">
        <v>33</v>
      </c>
      <c r="K1655" t="s">
        <v>33</v>
      </c>
      <c r="L1655">
        <v>15</v>
      </c>
      <c r="M1655" s="4">
        <f t="shared" si="808"/>
        <v>2.7824074074074074</v>
      </c>
      <c r="N1655" s="3">
        <f t="shared" si="804"/>
        <v>2.7824074074074074</v>
      </c>
      <c r="O1655">
        <v>10</v>
      </c>
      <c r="P1655">
        <v>0.22</v>
      </c>
      <c r="Q1655" s="8">
        <f t="shared" si="809"/>
        <v>2.16</v>
      </c>
      <c r="R1655" t="s">
        <v>183</v>
      </c>
      <c r="S1655" t="s">
        <v>612</v>
      </c>
      <c r="T1655" s="11">
        <v>1</v>
      </c>
      <c r="U1655">
        <v>4</v>
      </c>
      <c r="V1655" t="s">
        <v>33</v>
      </c>
      <c r="W1655">
        <f t="shared" si="810"/>
        <v>6</v>
      </c>
      <c r="X1655" s="9">
        <f t="shared" si="811"/>
        <v>6</v>
      </c>
      <c r="Y1655" s="6">
        <f t="shared" si="812"/>
        <v>2.7777777777777777</v>
      </c>
      <c r="Z1655" s="3">
        <f t="shared" si="813"/>
        <v>2.7777777777777772</v>
      </c>
      <c r="AA1655" t="s">
        <v>33</v>
      </c>
      <c r="AB1655" s="4">
        <f t="shared" si="814"/>
        <v>6.01</v>
      </c>
      <c r="AC1655" s="4">
        <f t="shared" si="799"/>
        <v>0.61212962962962969</v>
      </c>
      <c r="AD1655" s="4">
        <f t="shared" si="805"/>
        <v>6.01</v>
      </c>
      <c r="AE1655" s="3">
        <f t="shared" si="815"/>
        <v>24.340499999999995</v>
      </c>
      <c r="AF1655">
        <v>60.1</v>
      </c>
      <c r="AG1655" s="4">
        <f t="shared" si="806"/>
        <v>6.1212962962962969</v>
      </c>
      <c r="AH1655" s="4">
        <f t="shared" si="807"/>
        <v>6.1212962962962969</v>
      </c>
      <c r="AI1655">
        <v>1</v>
      </c>
      <c r="AJ1655" s="11" t="s">
        <v>31</v>
      </c>
      <c r="AK1655">
        <v>1800</v>
      </c>
      <c r="AL1655" t="s">
        <v>746</v>
      </c>
      <c r="AM1655" t="s">
        <v>515</v>
      </c>
      <c r="AN1655" t="s">
        <v>205</v>
      </c>
      <c r="AO1655" t="s">
        <v>788</v>
      </c>
      <c r="AP1655">
        <v>3.34</v>
      </c>
      <c r="AQ1655" t="s">
        <v>33</v>
      </c>
      <c r="AR1655" t="s">
        <v>33</v>
      </c>
      <c r="AS1655" t="s">
        <v>33</v>
      </c>
      <c r="AT1655" t="s">
        <v>33</v>
      </c>
      <c r="AU1655" s="6">
        <v>4.1559999999999997</v>
      </c>
      <c r="AV1655" t="b">
        <v>1</v>
      </c>
      <c r="AW1655" t="s">
        <v>172</v>
      </c>
      <c r="AX1655" t="s">
        <v>173</v>
      </c>
      <c r="AY1655" t="s">
        <v>741</v>
      </c>
      <c r="AZ1655" t="s">
        <v>33</v>
      </c>
      <c r="BA1655" s="18" t="s">
        <v>799</v>
      </c>
      <c r="BB1655" s="3" t="b">
        <v>0</v>
      </c>
      <c r="BC1655" t="s">
        <v>81</v>
      </c>
      <c r="BD1655">
        <v>120</v>
      </c>
      <c r="BE1655" t="s">
        <v>80</v>
      </c>
      <c r="BF1655">
        <v>48</v>
      </c>
      <c r="BG1655" t="s">
        <v>574</v>
      </c>
      <c r="BH1655" t="s">
        <v>31</v>
      </c>
      <c r="BI1655" t="s">
        <v>31</v>
      </c>
      <c r="BJ1655" s="3">
        <f t="shared" si="802"/>
        <v>4.1559999999999997</v>
      </c>
      <c r="BK1655" s="3">
        <f t="shared" si="786"/>
        <v>0.61867553888513982</v>
      </c>
      <c r="BL1655">
        <v>2</v>
      </c>
      <c r="BM1655" s="3">
        <f t="shared" si="794"/>
        <v>0.76765395633226818</v>
      </c>
      <c r="BN1655" t="s">
        <v>33</v>
      </c>
      <c r="BO1655" s="3">
        <f t="shared" si="787"/>
        <v>5.8567131857555337</v>
      </c>
      <c r="BP1655" t="s">
        <v>33</v>
      </c>
      <c r="BQ1655" t="s">
        <v>33</v>
      </c>
      <c r="BR1655" t="s">
        <v>33</v>
      </c>
      <c r="BS1655" t="s">
        <v>33</v>
      </c>
      <c r="BT1655" t="s">
        <v>32</v>
      </c>
      <c r="BU1655" t="s">
        <v>742</v>
      </c>
      <c r="BV1655">
        <v>2023</v>
      </c>
      <c r="BW1655" t="s">
        <v>743</v>
      </c>
      <c r="BX1655" t="s">
        <v>78</v>
      </c>
      <c r="BY1655" t="s">
        <v>711</v>
      </c>
      <c r="CA1655" t="str">
        <f t="shared" si="789"/>
        <v>high acid</v>
      </c>
    </row>
    <row r="1656" spans="1:79">
      <c r="A1656" t="s">
        <v>744</v>
      </c>
      <c r="B1656" t="s">
        <v>566</v>
      </c>
      <c r="C1656" t="s">
        <v>563</v>
      </c>
      <c r="D1656" t="s">
        <v>740</v>
      </c>
      <c r="E1656" t="s">
        <v>77</v>
      </c>
      <c r="F1656" t="s">
        <v>32</v>
      </c>
      <c r="G1656">
        <v>20</v>
      </c>
      <c r="H1656">
        <v>50</v>
      </c>
      <c r="I1656" t="b">
        <v>1</v>
      </c>
      <c r="J1656" t="s">
        <v>33</v>
      </c>
      <c r="K1656" t="s">
        <v>33</v>
      </c>
      <c r="L1656">
        <v>15</v>
      </c>
      <c r="M1656" s="4">
        <f t="shared" si="808"/>
        <v>3.1898148148148149</v>
      </c>
      <c r="N1656" s="3">
        <f t="shared" si="804"/>
        <v>3.1898148148148149</v>
      </c>
      <c r="O1656">
        <v>10</v>
      </c>
      <c r="P1656">
        <v>0.22</v>
      </c>
      <c r="Q1656" s="8">
        <f t="shared" si="809"/>
        <v>2.16</v>
      </c>
      <c r="R1656" t="s">
        <v>183</v>
      </c>
      <c r="S1656" t="s">
        <v>612</v>
      </c>
      <c r="T1656" s="11">
        <v>1</v>
      </c>
      <c r="U1656">
        <v>4</v>
      </c>
      <c r="V1656" t="s">
        <v>33</v>
      </c>
      <c r="W1656">
        <f t="shared" si="810"/>
        <v>6</v>
      </c>
      <c r="X1656" s="9">
        <f t="shared" si="811"/>
        <v>6</v>
      </c>
      <c r="Y1656" s="6">
        <f t="shared" si="812"/>
        <v>2.7777777777777777</v>
      </c>
      <c r="Z1656" s="3">
        <f t="shared" si="813"/>
        <v>2.7777777777777777</v>
      </c>
      <c r="AA1656" t="s">
        <v>33</v>
      </c>
      <c r="AB1656" s="4">
        <f t="shared" si="814"/>
        <v>6.8900000000000006</v>
      </c>
      <c r="AC1656" s="4">
        <f t="shared" si="799"/>
        <v>0.7017592592592593</v>
      </c>
      <c r="AD1656" s="4">
        <f t="shared" si="805"/>
        <v>6.8900000000000006</v>
      </c>
      <c r="AE1656" s="3">
        <f t="shared" si="815"/>
        <v>27.904500000000006</v>
      </c>
      <c r="AF1656">
        <v>68.900000000000006</v>
      </c>
      <c r="AG1656" s="4">
        <f t="shared" si="806"/>
        <v>7.0175925925925924</v>
      </c>
      <c r="AH1656" s="4">
        <f t="shared" si="807"/>
        <v>7.0175925925925924</v>
      </c>
      <c r="AI1656">
        <v>1</v>
      </c>
      <c r="AJ1656" s="11" t="s">
        <v>31</v>
      </c>
      <c r="AK1656">
        <v>1800</v>
      </c>
      <c r="AL1656" t="s">
        <v>746</v>
      </c>
      <c r="AM1656" t="s">
        <v>515</v>
      </c>
      <c r="AN1656" t="s">
        <v>205</v>
      </c>
      <c r="AO1656" t="s">
        <v>788</v>
      </c>
      <c r="AP1656">
        <v>3.34</v>
      </c>
      <c r="AQ1656" t="s">
        <v>33</v>
      </c>
      <c r="AR1656" t="s">
        <v>33</v>
      </c>
      <c r="AS1656" t="s">
        <v>33</v>
      </c>
      <c r="AT1656" t="s">
        <v>33</v>
      </c>
      <c r="AU1656" s="6">
        <v>4.76</v>
      </c>
      <c r="AV1656" t="b">
        <v>1</v>
      </c>
      <c r="AW1656" t="s">
        <v>172</v>
      </c>
      <c r="AX1656" t="s">
        <v>173</v>
      </c>
      <c r="AY1656" t="s">
        <v>741</v>
      </c>
      <c r="AZ1656" t="s">
        <v>33</v>
      </c>
      <c r="BA1656" s="18" t="s">
        <v>799</v>
      </c>
      <c r="BB1656" s="3" t="b">
        <v>0</v>
      </c>
      <c r="BC1656" t="s">
        <v>81</v>
      </c>
      <c r="BD1656">
        <v>120</v>
      </c>
      <c r="BE1656" t="s">
        <v>80</v>
      </c>
      <c r="BF1656">
        <v>48</v>
      </c>
      <c r="BG1656" t="s">
        <v>574</v>
      </c>
      <c r="BH1656" t="s">
        <v>31</v>
      </c>
      <c r="BI1656" t="s">
        <v>31</v>
      </c>
      <c r="BJ1656" s="3">
        <f t="shared" si="802"/>
        <v>4.76</v>
      </c>
      <c r="BK1656" s="3">
        <f t="shared" si="786"/>
        <v>0.67760695272049309</v>
      </c>
      <c r="BL1656">
        <v>2</v>
      </c>
      <c r="BM1656" s="3">
        <f t="shared" si="794"/>
        <v>0.76806729240180127</v>
      </c>
      <c r="BN1656" t="s">
        <v>33</v>
      </c>
      <c r="BO1656" s="3">
        <f t="shared" si="787"/>
        <v>5.8622899159663877</v>
      </c>
      <c r="BP1656" t="s">
        <v>33</v>
      </c>
      <c r="BQ1656" t="s">
        <v>33</v>
      </c>
      <c r="BR1656" t="s">
        <v>33</v>
      </c>
      <c r="BS1656" t="s">
        <v>33</v>
      </c>
      <c r="BT1656" t="s">
        <v>32</v>
      </c>
      <c r="BU1656" t="s">
        <v>742</v>
      </c>
      <c r="BV1656">
        <v>2023</v>
      </c>
      <c r="BW1656" t="s">
        <v>743</v>
      </c>
      <c r="BX1656" t="s">
        <v>78</v>
      </c>
      <c r="BY1656" t="s">
        <v>711</v>
      </c>
      <c r="CA1656" t="str">
        <f t="shared" si="789"/>
        <v>high acid</v>
      </c>
    </row>
    <row r="1657" spans="1:79">
      <c r="A1657" t="s">
        <v>744</v>
      </c>
      <c r="B1657" t="s">
        <v>566</v>
      </c>
      <c r="C1657" t="s">
        <v>563</v>
      </c>
      <c r="D1657" t="s">
        <v>740</v>
      </c>
      <c r="E1657" t="s">
        <v>77</v>
      </c>
      <c r="F1657" t="s">
        <v>32</v>
      </c>
      <c r="G1657">
        <v>20</v>
      </c>
      <c r="H1657">
        <v>35</v>
      </c>
      <c r="I1657" t="b">
        <v>1</v>
      </c>
      <c r="J1657" t="s">
        <v>33</v>
      </c>
      <c r="K1657" t="s">
        <v>33</v>
      </c>
      <c r="L1657">
        <v>20</v>
      </c>
      <c r="M1657" s="4">
        <f t="shared" si="808"/>
        <v>3.0092592592592591</v>
      </c>
      <c r="N1657" s="3">
        <f t="shared" si="804"/>
        <v>3.0092592592592591</v>
      </c>
      <c r="O1657">
        <v>10</v>
      </c>
      <c r="P1657">
        <v>0.22</v>
      </c>
      <c r="Q1657" s="8">
        <f t="shared" si="809"/>
        <v>2.16</v>
      </c>
      <c r="R1657" t="s">
        <v>183</v>
      </c>
      <c r="S1657" t="s">
        <v>612</v>
      </c>
      <c r="T1657" s="11">
        <v>1</v>
      </c>
      <c r="U1657">
        <v>4</v>
      </c>
      <c r="V1657" t="s">
        <v>33</v>
      </c>
      <c r="W1657">
        <f t="shared" si="810"/>
        <v>6</v>
      </c>
      <c r="X1657" s="9">
        <f t="shared" si="811"/>
        <v>6</v>
      </c>
      <c r="Y1657" s="6">
        <f t="shared" si="812"/>
        <v>2.7777777777777777</v>
      </c>
      <c r="Z1657" s="3">
        <f t="shared" si="813"/>
        <v>2.7777777777777777</v>
      </c>
      <c r="AA1657" t="s">
        <v>33</v>
      </c>
      <c r="AB1657" s="4">
        <f t="shared" si="814"/>
        <v>6.4999999999999991</v>
      </c>
      <c r="AC1657" s="4">
        <f t="shared" si="799"/>
        <v>0.66203703703703698</v>
      </c>
      <c r="AD1657" s="4">
        <f t="shared" si="805"/>
        <v>6.4999999999999991</v>
      </c>
      <c r="AE1657" s="3">
        <f t="shared" si="815"/>
        <v>46.8</v>
      </c>
      <c r="AF1657">
        <v>65</v>
      </c>
      <c r="AG1657" s="4">
        <f t="shared" si="806"/>
        <v>6.6203703703703702</v>
      </c>
      <c r="AH1657" s="4">
        <f t="shared" si="807"/>
        <v>6.6203703703703702</v>
      </c>
      <c r="AI1657">
        <v>1</v>
      </c>
      <c r="AJ1657" s="11" t="s">
        <v>31</v>
      </c>
      <c r="AK1657">
        <v>1800</v>
      </c>
      <c r="AL1657" t="s">
        <v>746</v>
      </c>
      <c r="AM1657" t="s">
        <v>515</v>
      </c>
      <c r="AN1657" t="s">
        <v>205</v>
      </c>
      <c r="AO1657" t="s">
        <v>788</v>
      </c>
      <c r="AP1657">
        <v>3.34</v>
      </c>
      <c r="AQ1657" t="s">
        <v>33</v>
      </c>
      <c r="AR1657" t="s">
        <v>33</v>
      </c>
      <c r="AS1657" t="s">
        <v>33</v>
      </c>
      <c r="AT1657" t="s">
        <v>33</v>
      </c>
      <c r="AU1657" s="6">
        <v>1.901</v>
      </c>
      <c r="AV1657" t="b">
        <v>1</v>
      </c>
      <c r="AW1657" t="s">
        <v>172</v>
      </c>
      <c r="AX1657" t="s">
        <v>173</v>
      </c>
      <c r="AY1657" t="s">
        <v>741</v>
      </c>
      <c r="AZ1657" t="s">
        <v>33</v>
      </c>
      <c r="BA1657" s="18" t="s">
        <v>799</v>
      </c>
      <c r="BB1657" s="3" t="b">
        <v>0</v>
      </c>
      <c r="BC1657" t="s">
        <v>81</v>
      </c>
      <c r="BD1657">
        <v>120</v>
      </c>
      <c r="BE1657" t="s">
        <v>80</v>
      </c>
      <c r="BF1657">
        <v>48</v>
      </c>
      <c r="BG1657" t="s">
        <v>574</v>
      </c>
      <c r="BH1657" t="s">
        <v>31</v>
      </c>
      <c r="BI1657" t="s">
        <v>31</v>
      </c>
      <c r="BJ1657" s="3">
        <f t="shared" si="802"/>
        <v>1.901</v>
      </c>
      <c r="BK1657" s="3">
        <f t="shared" si="786"/>
        <v>0.27898211686544316</v>
      </c>
      <c r="BL1657">
        <v>2</v>
      </c>
      <c r="BM1657" s="3">
        <f t="shared" si="794"/>
        <v>1.3912637362086808</v>
      </c>
      <c r="BN1657" t="s">
        <v>33</v>
      </c>
      <c r="BO1657" s="3">
        <f t="shared" si="787"/>
        <v>24.618621778011573</v>
      </c>
      <c r="BP1657" t="s">
        <v>33</v>
      </c>
      <c r="BQ1657" t="s">
        <v>33</v>
      </c>
      <c r="BR1657" t="s">
        <v>33</v>
      </c>
      <c r="BS1657" t="s">
        <v>33</v>
      </c>
      <c r="BT1657" t="s">
        <v>32</v>
      </c>
      <c r="BU1657" t="s">
        <v>742</v>
      </c>
      <c r="BV1657">
        <v>2023</v>
      </c>
      <c r="BW1657" t="s">
        <v>743</v>
      </c>
      <c r="BX1657" t="s">
        <v>78</v>
      </c>
      <c r="BY1657" t="s">
        <v>711</v>
      </c>
      <c r="CA1657" t="str">
        <f t="shared" si="789"/>
        <v>high acid</v>
      </c>
    </row>
    <row r="1658" spans="1:79">
      <c r="A1658" t="s">
        <v>744</v>
      </c>
      <c r="B1658" t="s">
        <v>566</v>
      </c>
      <c r="C1658" t="s">
        <v>563</v>
      </c>
      <c r="D1658" t="s">
        <v>740</v>
      </c>
      <c r="E1658" t="s">
        <v>77</v>
      </c>
      <c r="F1658" t="s">
        <v>32</v>
      </c>
      <c r="G1658">
        <v>20</v>
      </c>
      <c r="H1658">
        <v>40</v>
      </c>
      <c r="I1658" t="b">
        <v>1</v>
      </c>
      <c r="J1658" t="s">
        <v>33</v>
      </c>
      <c r="K1658" t="s">
        <v>33</v>
      </c>
      <c r="L1658">
        <v>20</v>
      </c>
      <c r="M1658" s="4">
        <f t="shared" si="808"/>
        <v>3.3981481481481484</v>
      </c>
      <c r="N1658" s="3">
        <f t="shared" si="804"/>
        <v>3.3981481481481484</v>
      </c>
      <c r="O1658">
        <v>10</v>
      </c>
      <c r="P1658">
        <v>0.22</v>
      </c>
      <c r="Q1658" s="8">
        <f t="shared" si="809"/>
        <v>2.16</v>
      </c>
      <c r="R1658" t="s">
        <v>183</v>
      </c>
      <c r="S1658" t="s">
        <v>612</v>
      </c>
      <c r="T1658" s="11">
        <v>1</v>
      </c>
      <c r="U1658">
        <v>4</v>
      </c>
      <c r="V1658" t="s">
        <v>33</v>
      </c>
      <c r="W1658">
        <f t="shared" si="810"/>
        <v>6</v>
      </c>
      <c r="X1658" s="9">
        <f t="shared" si="811"/>
        <v>6</v>
      </c>
      <c r="Y1658" s="6">
        <f t="shared" si="812"/>
        <v>2.7777777777777777</v>
      </c>
      <c r="Z1658" s="3">
        <f t="shared" si="813"/>
        <v>2.7777777777777777</v>
      </c>
      <c r="AA1658" t="s">
        <v>33</v>
      </c>
      <c r="AB1658" s="4">
        <f t="shared" si="814"/>
        <v>7.3400000000000007</v>
      </c>
      <c r="AC1658" s="4">
        <f t="shared" si="799"/>
        <v>0.7475925925925927</v>
      </c>
      <c r="AD1658" s="4">
        <f t="shared" si="805"/>
        <v>7.3400000000000007</v>
      </c>
      <c r="AE1658" s="3">
        <f t="shared" si="815"/>
        <v>52.848000000000006</v>
      </c>
      <c r="AF1658">
        <v>73.400000000000006</v>
      </c>
      <c r="AG1658" s="4">
        <f t="shared" si="806"/>
        <v>7.4759259259259254</v>
      </c>
      <c r="AH1658" s="4">
        <f t="shared" si="807"/>
        <v>7.4759259259259254</v>
      </c>
      <c r="AI1658">
        <v>1</v>
      </c>
      <c r="AJ1658" s="11" t="s">
        <v>31</v>
      </c>
      <c r="AK1658">
        <v>1800</v>
      </c>
      <c r="AL1658" t="s">
        <v>746</v>
      </c>
      <c r="AM1658" t="s">
        <v>515</v>
      </c>
      <c r="AN1658" t="s">
        <v>205</v>
      </c>
      <c r="AO1658" t="s">
        <v>788</v>
      </c>
      <c r="AP1658">
        <v>3.34</v>
      </c>
      <c r="AQ1658" t="s">
        <v>33</v>
      </c>
      <c r="AR1658" t="s">
        <v>33</v>
      </c>
      <c r="AS1658" t="s">
        <v>33</v>
      </c>
      <c r="AT1658" t="s">
        <v>33</v>
      </c>
      <c r="AU1658" s="6">
        <v>2.669</v>
      </c>
      <c r="AV1658" t="b">
        <v>1</v>
      </c>
      <c r="AW1658" t="s">
        <v>172</v>
      </c>
      <c r="AX1658" t="s">
        <v>173</v>
      </c>
      <c r="AY1658" t="s">
        <v>741</v>
      </c>
      <c r="AZ1658" t="s">
        <v>33</v>
      </c>
      <c r="BA1658" s="18" t="s">
        <v>799</v>
      </c>
      <c r="BB1658" s="3" t="b">
        <v>0</v>
      </c>
      <c r="BC1658" t="s">
        <v>81</v>
      </c>
      <c r="BD1658">
        <v>120</v>
      </c>
      <c r="BE1658" t="s">
        <v>80</v>
      </c>
      <c r="BF1658">
        <v>48</v>
      </c>
      <c r="BG1658" t="s">
        <v>574</v>
      </c>
      <c r="BH1658" t="s">
        <v>31</v>
      </c>
      <c r="BI1658" t="s">
        <v>31</v>
      </c>
      <c r="BJ1658" s="3">
        <f t="shared" si="802"/>
        <v>2.669</v>
      </c>
      <c r="BK1658" s="3">
        <f t="shared" si="786"/>
        <v>0.42634857378750768</v>
      </c>
      <c r="BL1658">
        <v>2</v>
      </c>
      <c r="BM1658" s="3">
        <f t="shared" si="794"/>
        <v>1.2966799825598314</v>
      </c>
      <c r="BN1658" t="s">
        <v>33</v>
      </c>
      <c r="BO1658" s="3">
        <f t="shared" si="787"/>
        <v>19.800674409891347</v>
      </c>
      <c r="BP1658" t="s">
        <v>33</v>
      </c>
      <c r="BQ1658" t="s">
        <v>33</v>
      </c>
      <c r="BR1658" t="s">
        <v>33</v>
      </c>
      <c r="BS1658" t="s">
        <v>33</v>
      </c>
      <c r="BT1658" t="s">
        <v>32</v>
      </c>
      <c r="BU1658" t="s">
        <v>742</v>
      </c>
      <c r="BV1658">
        <v>2023</v>
      </c>
      <c r="BW1658" t="s">
        <v>743</v>
      </c>
      <c r="BX1658" t="s">
        <v>78</v>
      </c>
      <c r="BY1658" t="s">
        <v>711</v>
      </c>
      <c r="CA1658" t="str">
        <f t="shared" si="789"/>
        <v>high acid</v>
      </c>
    </row>
    <row r="1659" spans="1:79">
      <c r="A1659" t="s">
        <v>744</v>
      </c>
      <c r="B1659" t="s">
        <v>566</v>
      </c>
      <c r="C1659" t="s">
        <v>563</v>
      </c>
      <c r="D1659" t="s">
        <v>740</v>
      </c>
      <c r="E1659" t="s">
        <v>77</v>
      </c>
      <c r="F1659" t="s">
        <v>32</v>
      </c>
      <c r="G1659">
        <v>20</v>
      </c>
      <c r="H1659">
        <v>45</v>
      </c>
      <c r="I1659" t="b">
        <v>1</v>
      </c>
      <c r="J1659" t="s">
        <v>33</v>
      </c>
      <c r="K1659" t="s">
        <v>33</v>
      </c>
      <c r="L1659">
        <v>20</v>
      </c>
      <c r="M1659" s="4">
        <f t="shared" si="808"/>
        <v>4.2916666666666661</v>
      </c>
      <c r="N1659" s="3">
        <f t="shared" si="804"/>
        <v>4.2916666666666661</v>
      </c>
      <c r="O1659">
        <v>10</v>
      </c>
      <c r="P1659">
        <v>0.22</v>
      </c>
      <c r="Q1659" s="8">
        <f t="shared" si="809"/>
        <v>2.16</v>
      </c>
      <c r="R1659" t="s">
        <v>183</v>
      </c>
      <c r="S1659" t="s">
        <v>612</v>
      </c>
      <c r="T1659" s="11">
        <v>1</v>
      </c>
      <c r="U1659">
        <v>4</v>
      </c>
      <c r="V1659" t="s">
        <v>33</v>
      </c>
      <c r="W1659">
        <f t="shared" si="810"/>
        <v>6</v>
      </c>
      <c r="X1659" s="9">
        <f t="shared" si="811"/>
        <v>6</v>
      </c>
      <c r="Y1659" s="6">
        <f t="shared" si="812"/>
        <v>2.7777777777777777</v>
      </c>
      <c r="Z1659" s="3">
        <f t="shared" si="813"/>
        <v>2.7777777777777772</v>
      </c>
      <c r="AA1659" t="s">
        <v>33</v>
      </c>
      <c r="AB1659" s="4">
        <f t="shared" si="814"/>
        <v>9.27</v>
      </c>
      <c r="AC1659" s="4">
        <f t="shared" si="799"/>
        <v>0.94416666666666649</v>
      </c>
      <c r="AD1659" s="4">
        <f t="shared" si="805"/>
        <v>9.27</v>
      </c>
      <c r="AE1659" s="3">
        <f t="shared" si="815"/>
        <v>66.744</v>
      </c>
      <c r="AF1659">
        <v>92.7</v>
      </c>
      <c r="AG1659" s="4">
        <f t="shared" si="806"/>
        <v>9.4416666666666647</v>
      </c>
      <c r="AH1659" s="4">
        <f t="shared" si="807"/>
        <v>9.4416666666666647</v>
      </c>
      <c r="AI1659">
        <v>1</v>
      </c>
      <c r="AJ1659" s="11" t="s">
        <v>31</v>
      </c>
      <c r="AK1659">
        <v>1800</v>
      </c>
      <c r="AL1659" t="s">
        <v>746</v>
      </c>
      <c r="AM1659" t="s">
        <v>515</v>
      </c>
      <c r="AN1659" t="s">
        <v>205</v>
      </c>
      <c r="AO1659" t="s">
        <v>788</v>
      </c>
      <c r="AP1659">
        <v>3.34</v>
      </c>
      <c r="AQ1659" t="s">
        <v>33</v>
      </c>
      <c r="AR1659" t="s">
        <v>33</v>
      </c>
      <c r="AS1659" t="s">
        <v>33</v>
      </c>
      <c r="AT1659" t="s">
        <v>33</v>
      </c>
      <c r="AU1659" s="6">
        <v>4.1070000000000002</v>
      </c>
      <c r="AV1659" t="b">
        <v>1</v>
      </c>
      <c r="AW1659" t="s">
        <v>172</v>
      </c>
      <c r="AX1659" t="s">
        <v>173</v>
      </c>
      <c r="AY1659" t="s">
        <v>741</v>
      </c>
      <c r="AZ1659" t="s">
        <v>33</v>
      </c>
      <c r="BA1659" s="18" t="s">
        <v>799</v>
      </c>
      <c r="BB1659" s="3" t="b">
        <v>0</v>
      </c>
      <c r="BC1659" t="s">
        <v>81</v>
      </c>
      <c r="BD1659">
        <v>120</v>
      </c>
      <c r="BE1659" t="s">
        <v>80</v>
      </c>
      <c r="BF1659">
        <v>48</v>
      </c>
      <c r="BG1659" t="s">
        <v>574</v>
      </c>
      <c r="BH1659" t="s">
        <v>31</v>
      </c>
      <c r="BI1659" t="s">
        <v>31</v>
      </c>
      <c r="BJ1659" s="3">
        <f t="shared" si="802"/>
        <v>4.1070000000000002</v>
      </c>
      <c r="BK1659" s="3">
        <f t="shared" si="786"/>
        <v>0.61352470285365246</v>
      </c>
      <c r="BL1659">
        <v>2</v>
      </c>
      <c r="BM1659" s="3">
        <f t="shared" si="794"/>
        <v>1.2108875277221132</v>
      </c>
      <c r="BN1659" t="s">
        <v>33</v>
      </c>
      <c r="BO1659" s="3">
        <f t="shared" si="787"/>
        <v>16.25127830533236</v>
      </c>
      <c r="BP1659" t="s">
        <v>33</v>
      </c>
      <c r="BQ1659" t="s">
        <v>33</v>
      </c>
      <c r="BR1659" t="s">
        <v>33</v>
      </c>
      <c r="BS1659" t="s">
        <v>33</v>
      </c>
      <c r="BT1659" t="s">
        <v>32</v>
      </c>
      <c r="BU1659" t="s">
        <v>742</v>
      </c>
      <c r="BV1659">
        <v>2023</v>
      </c>
      <c r="BW1659" t="s">
        <v>743</v>
      </c>
      <c r="BX1659" t="s">
        <v>78</v>
      </c>
      <c r="BY1659" t="s">
        <v>711</v>
      </c>
      <c r="CA1659" t="str">
        <f t="shared" si="789"/>
        <v>high acid</v>
      </c>
    </row>
    <row r="1660" spans="1:79">
      <c r="A1660" t="s">
        <v>744</v>
      </c>
      <c r="B1660" t="s">
        <v>566</v>
      </c>
      <c r="C1660" t="s">
        <v>563</v>
      </c>
      <c r="D1660" t="s">
        <v>740</v>
      </c>
      <c r="E1660" t="s">
        <v>77</v>
      </c>
      <c r="F1660" t="s">
        <v>32</v>
      </c>
      <c r="G1660">
        <v>20</v>
      </c>
      <c r="H1660">
        <v>50</v>
      </c>
      <c r="I1660" t="b">
        <v>1</v>
      </c>
      <c r="J1660" t="s">
        <v>33</v>
      </c>
      <c r="K1660" t="s">
        <v>33</v>
      </c>
      <c r="L1660">
        <v>20</v>
      </c>
      <c r="M1660" s="4">
        <f t="shared" si="808"/>
        <v>4.9768518518518512</v>
      </c>
      <c r="N1660" s="3">
        <f t="shared" si="804"/>
        <v>4.9768518518518512</v>
      </c>
      <c r="O1660">
        <v>10</v>
      </c>
      <c r="P1660">
        <v>0.22</v>
      </c>
      <c r="Q1660" s="8">
        <f t="shared" si="809"/>
        <v>2.16</v>
      </c>
      <c r="R1660" t="s">
        <v>183</v>
      </c>
      <c r="S1660" t="s">
        <v>612</v>
      </c>
      <c r="T1660" s="11">
        <v>1</v>
      </c>
      <c r="U1660">
        <v>4</v>
      </c>
      <c r="V1660" t="s">
        <v>33</v>
      </c>
      <c r="W1660">
        <f t="shared" si="810"/>
        <v>6</v>
      </c>
      <c r="X1660" s="9">
        <f t="shared" si="811"/>
        <v>6</v>
      </c>
      <c r="Y1660" s="6">
        <f t="shared" si="812"/>
        <v>2.7777777777777777</v>
      </c>
      <c r="Z1660" s="3">
        <f t="shared" si="813"/>
        <v>2.7777777777777777</v>
      </c>
      <c r="AA1660" t="s">
        <v>33</v>
      </c>
      <c r="AB1660" s="4">
        <f t="shared" si="814"/>
        <v>10.749999999999998</v>
      </c>
      <c r="AC1660" s="4">
        <f t="shared" si="799"/>
        <v>1.0949074074074072</v>
      </c>
      <c r="AD1660" s="4">
        <f t="shared" si="805"/>
        <v>10.749999999999998</v>
      </c>
      <c r="AE1660" s="3">
        <f t="shared" si="815"/>
        <v>77.399999999999991</v>
      </c>
      <c r="AF1660">
        <v>107.5</v>
      </c>
      <c r="AG1660" s="4">
        <f t="shared" si="806"/>
        <v>10.949074074074073</v>
      </c>
      <c r="AH1660" s="4">
        <f t="shared" si="807"/>
        <v>10.949074074074073</v>
      </c>
      <c r="AI1660">
        <v>1</v>
      </c>
      <c r="AJ1660" s="11" t="s">
        <v>31</v>
      </c>
      <c r="AK1660">
        <v>1800</v>
      </c>
      <c r="AL1660" t="s">
        <v>746</v>
      </c>
      <c r="AM1660" t="s">
        <v>515</v>
      </c>
      <c r="AN1660" t="s">
        <v>205</v>
      </c>
      <c r="AO1660" t="s">
        <v>788</v>
      </c>
      <c r="AP1660">
        <v>3.34</v>
      </c>
      <c r="AQ1660" t="s">
        <v>33</v>
      </c>
      <c r="AR1660" t="s">
        <v>33</v>
      </c>
      <c r="AS1660" t="s">
        <v>33</v>
      </c>
      <c r="AT1660" t="s">
        <v>33</v>
      </c>
      <c r="AU1660" s="6">
        <v>4.9960000000000004</v>
      </c>
      <c r="AV1660" t="b">
        <v>1</v>
      </c>
      <c r="AW1660" t="s">
        <v>172</v>
      </c>
      <c r="AX1660" t="s">
        <v>173</v>
      </c>
      <c r="AY1660" t="s">
        <v>741</v>
      </c>
      <c r="AZ1660" t="s">
        <v>33</v>
      </c>
      <c r="BA1660" s="18" t="s">
        <v>799</v>
      </c>
      <c r="BB1660" s="3" t="b">
        <v>0</v>
      </c>
      <c r="BC1660" t="s">
        <v>81</v>
      </c>
      <c r="BD1660">
        <v>120</v>
      </c>
      <c r="BE1660" t="s">
        <v>80</v>
      </c>
      <c r="BF1660">
        <v>48</v>
      </c>
      <c r="BG1660" t="s">
        <v>574</v>
      </c>
      <c r="BH1660" t="s">
        <v>31</v>
      </c>
      <c r="BI1660" t="s">
        <v>31</v>
      </c>
      <c r="BJ1660" s="3">
        <f t="shared" si="802"/>
        <v>4.9960000000000004</v>
      </c>
      <c r="BK1660" s="3">
        <f t="shared" si="786"/>
        <v>0.69862242970209798</v>
      </c>
      <c r="BL1660">
        <v>2</v>
      </c>
      <c r="BM1660" s="3">
        <f t="shared" ref="BM1660:BM1691" si="816">IFERROR(LOG(BO1660),"NA")</f>
        <v>1.1901185309807947</v>
      </c>
      <c r="BN1660" t="s">
        <v>33</v>
      </c>
      <c r="BO1660" s="3">
        <f t="shared" si="787"/>
        <v>15.492393915132103</v>
      </c>
      <c r="BP1660" t="s">
        <v>33</v>
      </c>
      <c r="BQ1660" t="s">
        <v>33</v>
      </c>
      <c r="BR1660" t="s">
        <v>33</v>
      </c>
      <c r="BS1660" t="s">
        <v>33</v>
      </c>
      <c r="BT1660" t="s">
        <v>32</v>
      </c>
      <c r="BU1660" t="s">
        <v>742</v>
      </c>
      <c r="BV1660">
        <v>2023</v>
      </c>
      <c r="BW1660" t="s">
        <v>743</v>
      </c>
      <c r="BX1660" t="s">
        <v>78</v>
      </c>
      <c r="BY1660" t="s">
        <v>711</v>
      </c>
      <c r="CA1660" t="str">
        <f t="shared" si="789"/>
        <v>high acid</v>
      </c>
    </row>
    <row r="1661" spans="1:79">
      <c r="A1661" t="s">
        <v>744</v>
      </c>
      <c r="B1661" t="s">
        <v>566</v>
      </c>
      <c r="C1661" t="s">
        <v>563</v>
      </c>
      <c r="D1661" t="s">
        <v>740</v>
      </c>
      <c r="E1661" t="s">
        <v>77</v>
      </c>
      <c r="F1661" t="s">
        <v>32</v>
      </c>
      <c r="G1661">
        <v>20</v>
      </c>
      <c r="H1661">
        <v>35</v>
      </c>
      <c r="I1661" t="b">
        <v>1</v>
      </c>
      <c r="J1661" t="s">
        <v>33</v>
      </c>
      <c r="K1661" t="s">
        <v>33</v>
      </c>
      <c r="L1661">
        <v>25</v>
      </c>
      <c r="M1661" s="4">
        <f t="shared" si="808"/>
        <v>5.0972222222222214</v>
      </c>
      <c r="N1661" s="3">
        <f t="shared" si="804"/>
        <v>5.0972222222222214</v>
      </c>
      <c r="O1661">
        <v>10</v>
      </c>
      <c r="P1661">
        <v>0.22</v>
      </c>
      <c r="Q1661" s="8">
        <f t="shared" si="809"/>
        <v>2.16</v>
      </c>
      <c r="R1661" t="s">
        <v>183</v>
      </c>
      <c r="S1661" t="s">
        <v>612</v>
      </c>
      <c r="T1661" s="11">
        <v>1</v>
      </c>
      <c r="U1661">
        <v>4</v>
      </c>
      <c r="V1661" t="s">
        <v>33</v>
      </c>
      <c r="W1661">
        <f t="shared" si="810"/>
        <v>6</v>
      </c>
      <c r="X1661" s="9">
        <f t="shared" si="811"/>
        <v>6</v>
      </c>
      <c r="Y1661" s="6">
        <f t="shared" si="812"/>
        <v>2.7777777777777777</v>
      </c>
      <c r="Z1661" s="3">
        <f t="shared" si="813"/>
        <v>2.7777777777777772</v>
      </c>
      <c r="AA1661" t="s">
        <v>33</v>
      </c>
      <c r="AB1661" s="4">
        <f t="shared" si="814"/>
        <v>11.009999999999998</v>
      </c>
      <c r="AC1661" s="4">
        <f t="shared" si="799"/>
        <v>1.1213888888888888</v>
      </c>
      <c r="AD1661" s="4">
        <f t="shared" si="805"/>
        <v>11.009999999999998</v>
      </c>
      <c r="AE1661" s="3">
        <f t="shared" si="815"/>
        <v>123.8625</v>
      </c>
      <c r="AF1661">
        <v>110.1</v>
      </c>
      <c r="AG1661" s="4">
        <f t="shared" si="806"/>
        <v>11.213888888888887</v>
      </c>
      <c r="AH1661" s="4">
        <f t="shared" si="807"/>
        <v>11.213888888888887</v>
      </c>
      <c r="AI1661">
        <v>1</v>
      </c>
      <c r="AJ1661" s="11" t="s">
        <v>31</v>
      </c>
      <c r="AK1661">
        <v>1800</v>
      </c>
      <c r="AL1661" t="s">
        <v>746</v>
      </c>
      <c r="AM1661" t="s">
        <v>515</v>
      </c>
      <c r="AN1661" t="s">
        <v>205</v>
      </c>
      <c r="AO1661" t="s">
        <v>788</v>
      </c>
      <c r="AP1661">
        <v>3.34</v>
      </c>
      <c r="AQ1661" t="s">
        <v>33</v>
      </c>
      <c r="AR1661" t="s">
        <v>33</v>
      </c>
      <c r="AS1661" t="s">
        <v>33</v>
      </c>
      <c r="AT1661" t="s">
        <v>33</v>
      </c>
      <c r="AU1661" s="6">
        <v>1.853</v>
      </c>
      <c r="AV1661" t="b">
        <v>1</v>
      </c>
      <c r="AW1661" t="s">
        <v>172</v>
      </c>
      <c r="AX1661" t="s">
        <v>173</v>
      </c>
      <c r="AY1661" t="s">
        <v>741</v>
      </c>
      <c r="AZ1661" t="s">
        <v>33</v>
      </c>
      <c r="BA1661" s="18" t="s">
        <v>799</v>
      </c>
      <c r="BB1661" s="3" t="b">
        <v>0</v>
      </c>
      <c r="BC1661" t="s">
        <v>81</v>
      </c>
      <c r="BD1661">
        <v>120</v>
      </c>
      <c r="BE1661" t="s">
        <v>80</v>
      </c>
      <c r="BF1661">
        <v>48</v>
      </c>
      <c r="BG1661" t="s">
        <v>574</v>
      </c>
      <c r="BH1661" t="s">
        <v>31</v>
      </c>
      <c r="BI1661" t="s">
        <v>31</v>
      </c>
      <c r="BJ1661" s="3">
        <f t="shared" si="802"/>
        <v>1.853</v>
      </c>
      <c r="BK1661" s="3">
        <f t="shared" si="786"/>
        <v>0.26787541931889758</v>
      </c>
      <c r="BL1661">
        <v>2</v>
      </c>
      <c r="BM1661" s="3">
        <f t="shared" si="816"/>
        <v>1.8250644221002355</v>
      </c>
      <c r="BN1661" t="s">
        <v>33</v>
      </c>
      <c r="BO1661" s="3">
        <f t="shared" si="787"/>
        <v>66.844306529951425</v>
      </c>
      <c r="BP1661" t="s">
        <v>33</v>
      </c>
      <c r="BQ1661" t="s">
        <v>33</v>
      </c>
      <c r="BR1661" t="s">
        <v>33</v>
      </c>
      <c r="BS1661" t="s">
        <v>33</v>
      </c>
      <c r="BT1661" t="s">
        <v>32</v>
      </c>
      <c r="BU1661" t="s">
        <v>742</v>
      </c>
      <c r="BV1661">
        <v>2023</v>
      </c>
      <c r="BW1661" t="s">
        <v>743</v>
      </c>
      <c r="BX1661" t="s">
        <v>78</v>
      </c>
      <c r="BY1661" t="s">
        <v>711</v>
      </c>
      <c r="CA1661" t="str">
        <f t="shared" si="789"/>
        <v>high acid</v>
      </c>
    </row>
    <row r="1662" spans="1:79">
      <c r="A1662" t="s">
        <v>744</v>
      </c>
      <c r="B1662" t="s">
        <v>566</v>
      </c>
      <c r="C1662" t="s">
        <v>563</v>
      </c>
      <c r="D1662" t="s">
        <v>740</v>
      </c>
      <c r="E1662" t="s">
        <v>77</v>
      </c>
      <c r="F1662" t="s">
        <v>32</v>
      </c>
      <c r="G1662">
        <v>20</v>
      </c>
      <c r="H1662">
        <v>40</v>
      </c>
      <c r="I1662" t="b">
        <v>1</v>
      </c>
      <c r="J1662" t="s">
        <v>33</v>
      </c>
      <c r="K1662" t="s">
        <v>33</v>
      </c>
      <c r="L1662">
        <v>25</v>
      </c>
      <c r="M1662" s="4">
        <f t="shared" si="808"/>
        <v>5.8935185185185182</v>
      </c>
      <c r="N1662" s="3">
        <f t="shared" si="804"/>
        <v>5.8935185185185182</v>
      </c>
      <c r="O1662">
        <v>10</v>
      </c>
      <c r="P1662">
        <v>0.22</v>
      </c>
      <c r="Q1662" s="8">
        <f t="shared" si="809"/>
        <v>2.16</v>
      </c>
      <c r="R1662" t="s">
        <v>183</v>
      </c>
      <c r="S1662" t="s">
        <v>612</v>
      </c>
      <c r="T1662" s="11">
        <v>1</v>
      </c>
      <c r="U1662">
        <v>4</v>
      </c>
      <c r="V1662" t="s">
        <v>33</v>
      </c>
      <c r="W1662">
        <f t="shared" si="810"/>
        <v>6</v>
      </c>
      <c r="X1662" s="9">
        <f t="shared" si="811"/>
        <v>6</v>
      </c>
      <c r="Y1662" s="6">
        <f t="shared" si="812"/>
        <v>2.7777777777777777</v>
      </c>
      <c r="Z1662" s="3">
        <f t="shared" si="813"/>
        <v>2.7777777777777777</v>
      </c>
      <c r="AA1662" t="s">
        <v>33</v>
      </c>
      <c r="AB1662" s="4">
        <f t="shared" si="814"/>
        <v>12.729999999999999</v>
      </c>
      <c r="AC1662" s="4">
        <f t="shared" si="799"/>
        <v>1.2965740740740741</v>
      </c>
      <c r="AD1662" s="4">
        <f t="shared" si="805"/>
        <v>12.729999999999999</v>
      </c>
      <c r="AE1662" s="3">
        <f t="shared" si="815"/>
        <v>143.21250000000001</v>
      </c>
      <c r="AF1662">
        <v>127.3</v>
      </c>
      <c r="AG1662" s="4">
        <f t="shared" si="806"/>
        <v>12.96574074074074</v>
      </c>
      <c r="AH1662" s="4">
        <f t="shared" si="807"/>
        <v>12.96574074074074</v>
      </c>
      <c r="AI1662">
        <v>1</v>
      </c>
      <c r="AJ1662" s="11" t="s">
        <v>31</v>
      </c>
      <c r="AK1662">
        <v>1800</v>
      </c>
      <c r="AL1662" t="s">
        <v>746</v>
      </c>
      <c r="AM1662" t="s">
        <v>515</v>
      </c>
      <c r="AN1662" t="s">
        <v>205</v>
      </c>
      <c r="AO1662" t="s">
        <v>788</v>
      </c>
      <c r="AP1662">
        <v>3.34</v>
      </c>
      <c r="AQ1662" t="s">
        <v>33</v>
      </c>
      <c r="AR1662" t="s">
        <v>33</v>
      </c>
      <c r="AS1662" t="s">
        <v>33</v>
      </c>
      <c r="AT1662" t="s">
        <v>33</v>
      </c>
      <c r="AU1662" s="6">
        <v>2.835</v>
      </c>
      <c r="AV1662" t="b">
        <v>1</v>
      </c>
      <c r="AW1662" t="s">
        <v>172</v>
      </c>
      <c r="AX1662" t="s">
        <v>173</v>
      </c>
      <c r="AY1662" t="s">
        <v>741</v>
      </c>
      <c r="AZ1662" t="s">
        <v>33</v>
      </c>
      <c r="BA1662" s="18" t="s">
        <v>799</v>
      </c>
      <c r="BB1662" s="3" t="b">
        <v>0</v>
      </c>
      <c r="BC1662" t="s">
        <v>81</v>
      </c>
      <c r="BD1662">
        <v>120</v>
      </c>
      <c r="BE1662" t="s">
        <v>80</v>
      </c>
      <c r="BF1662">
        <v>48</v>
      </c>
      <c r="BG1662" t="s">
        <v>574</v>
      </c>
      <c r="BH1662" t="s">
        <v>31</v>
      </c>
      <c r="BI1662" t="s">
        <v>31</v>
      </c>
      <c r="BJ1662" s="3">
        <f t="shared" si="802"/>
        <v>2.835</v>
      </c>
      <c r="BK1662" s="3">
        <f t="shared" si="786"/>
        <v>0.45255306322892536</v>
      </c>
      <c r="BL1662">
        <v>2</v>
      </c>
      <c r="BM1662" s="3">
        <f t="shared" si="816"/>
        <v>1.7034278628721113</v>
      </c>
      <c r="BN1662" t="s">
        <v>33</v>
      </c>
      <c r="BO1662" s="3">
        <f t="shared" si="787"/>
        <v>50.515873015873019</v>
      </c>
      <c r="BP1662" t="s">
        <v>33</v>
      </c>
      <c r="BQ1662" t="s">
        <v>33</v>
      </c>
      <c r="BR1662" t="s">
        <v>33</v>
      </c>
      <c r="BS1662" t="s">
        <v>33</v>
      </c>
      <c r="BT1662" t="s">
        <v>32</v>
      </c>
      <c r="BU1662" t="s">
        <v>742</v>
      </c>
      <c r="BV1662">
        <v>2023</v>
      </c>
      <c r="BW1662" t="s">
        <v>743</v>
      </c>
      <c r="BX1662" t="s">
        <v>78</v>
      </c>
      <c r="BY1662" t="s">
        <v>711</v>
      </c>
      <c r="CA1662" t="str">
        <f t="shared" si="789"/>
        <v>high acid</v>
      </c>
    </row>
    <row r="1663" spans="1:79">
      <c r="A1663" t="s">
        <v>744</v>
      </c>
      <c r="B1663" t="s">
        <v>566</v>
      </c>
      <c r="C1663" t="s">
        <v>563</v>
      </c>
      <c r="D1663" t="s">
        <v>740</v>
      </c>
      <c r="E1663" t="s">
        <v>77</v>
      </c>
      <c r="F1663" t="s">
        <v>32</v>
      </c>
      <c r="G1663">
        <v>20</v>
      </c>
      <c r="H1663">
        <v>45</v>
      </c>
      <c r="I1663" t="b">
        <v>1</v>
      </c>
      <c r="J1663" t="s">
        <v>33</v>
      </c>
      <c r="K1663" t="s">
        <v>33</v>
      </c>
      <c r="L1663">
        <v>25</v>
      </c>
      <c r="M1663" s="4">
        <f t="shared" si="808"/>
        <v>7.5046296296296289</v>
      </c>
      <c r="N1663" s="3">
        <f t="shared" si="804"/>
        <v>7.5046296296296289</v>
      </c>
      <c r="O1663">
        <v>10</v>
      </c>
      <c r="P1663">
        <v>0.22</v>
      </c>
      <c r="Q1663" s="8">
        <f t="shared" si="809"/>
        <v>2.16</v>
      </c>
      <c r="R1663" t="s">
        <v>183</v>
      </c>
      <c r="S1663" t="s">
        <v>612</v>
      </c>
      <c r="T1663" s="11">
        <v>1</v>
      </c>
      <c r="U1663">
        <v>4</v>
      </c>
      <c r="V1663" t="s">
        <v>33</v>
      </c>
      <c r="W1663">
        <f t="shared" si="810"/>
        <v>6</v>
      </c>
      <c r="X1663" s="9">
        <f t="shared" si="811"/>
        <v>6</v>
      </c>
      <c r="Y1663" s="6">
        <f t="shared" si="812"/>
        <v>2.7777777777777777</v>
      </c>
      <c r="Z1663" s="3">
        <f t="shared" si="813"/>
        <v>2.7777777777777777</v>
      </c>
      <c r="AA1663" t="s">
        <v>33</v>
      </c>
      <c r="AB1663" s="4">
        <f t="shared" si="814"/>
        <v>16.209999999999997</v>
      </c>
      <c r="AC1663" s="4">
        <f t="shared" si="799"/>
        <v>1.6510185185185184</v>
      </c>
      <c r="AD1663" s="4">
        <f t="shared" si="805"/>
        <v>16.209999999999997</v>
      </c>
      <c r="AE1663" s="3">
        <f t="shared" si="815"/>
        <v>182.36250000000001</v>
      </c>
      <c r="AF1663">
        <v>162.1</v>
      </c>
      <c r="AG1663" s="4">
        <f t="shared" si="806"/>
        <v>16.510185185185183</v>
      </c>
      <c r="AH1663" s="4">
        <f t="shared" si="807"/>
        <v>16.510185185185183</v>
      </c>
      <c r="AI1663">
        <v>1</v>
      </c>
      <c r="AJ1663" s="11" t="s">
        <v>31</v>
      </c>
      <c r="AK1663">
        <v>1800</v>
      </c>
      <c r="AL1663" t="s">
        <v>746</v>
      </c>
      <c r="AM1663" t="s">
        <v>515</v>
      </c>
      <c r="AN1663" t="s">
        <v>205</v>
      </c>
      <c r="AO1663" t="s">
        <v>788</v>
      </c>
      <c r="AP1663">
        <v>3.34</v>
      </c>
      <c r="AQ1663" t="s">
        <v>33</v>
      </c>
      <c r="AR1663" t="s">
        <v>33</v>
      </c>
      <c r="AS1663" t="s">
        <v>33</v>
      </c>
      <c r="AT1663" t="s">
        <v>33</v>
      </c>
      <c r="AU1663" s="6">
        <v>3.9449999999999998</v>
      </c>
      <c r="AV1663" t="b">
        <v>1</v>
      </c>
      <c r="AW1663" t="s">
        <v>172</v>
      </c>
      <c r="AX1663" t="s">
        <v>173</v>
      </c>
      <c r="AY1663" t="s">
        <v>741</v>
      </c>
      <c r="AZ1663" t="s">
        <v>33</v>
      </c>
      <c r="BA1663" s="18" t="s">
        <v>799</v>
      </c>
      <c r="BB1663" s="3" t="b">
        <v>0</v>
      </c>
      <c r="BC1663" t="s">
        <v>81</v>
      </c>
      <c r="BD1663">
        <v>120</v>
      </c>
      <c r="BE1663" t="s">
        <v>80</v>
      </c>
      <c r="BF1663">
        <v>48</v>
      </c>
      <c r="BG1663" t="s">
        <v>574</v>
      </c>
      <c r="BH1663" t="s">
        <v>31</v>
      </c>
      <c r="BI1663" t="s">
        <v>31</v>
      </c>
      <c r="BJ1663" s="3">
        <f t="shared" si="802"/>
        <v>3.9449999999999998</v>
      </c>
      <c r="BK1663" s="3">
        <f t="shared" si="786"/>
        <v>0.59604700754543904</v>
      </c>
      <c r="BL1663">
        <v>2</v>
      </c>
      <c r="BM1663" s="3">
        <f t="shared" si="816"/>
        <v>1.6648885297504572</v>
      </c>
      <c r="BN1663" t="s">
        <v>33</v>
      </c>
      <c r="BO1663" s="3">
        <f t="shared" si="787"/>
        <v>46.226235741444874</v>
      </c>
      <c r="BP1663" t="s">
        <v>33</v>
      </c>
      <c r="BQ1663" t="s">
        <v>33</v>
      </c>
      <c r="BR1663" t="s">
        <v>33</v>
      </c>
      <c r="BS1663" t="s">
        <v>33</v>
      </c>
      <c r="BT1663" t="s">
        <v>32</v>
      </c>
      <c r="BU1663" t="s">
        <v>742</v>
      </c>
      <c r="BV1663">
        <v>2023</v>
      </c>
      <c r="BW1663" t="s">
        <v>743</v>
      </c>
      <c r="BX1663" t="s">
        <v>78</v>
      </c>
      <c r="BY1663" t="s">
        <v>711</v>
      </c>
      <c r="CA1663" t="str">
        <f t="shared" si="789"/>
        <v>high acid</v>
      </c>
    </row>
    <row r="1664" spans="1:79">
      <c r="A1664" t="s">
        <v>744</v>
      </c>
      <c r="B1664" t="s">
        <v>566</v>
      </c>
      <c r="C1664" t="s">
        <v>563</v>
      </c>
      <c r="D1664" t="s">
        <v>740</v>
      </c>
      <c r="E1664" t="s">
        <v>77</v>
      </c>
      <c r="F1664" t="s">
        <v>32</v>
      </c>
      <c r="G1664">
        <v>20</v>
      </c>
      <c r="H1664">
        <v>50</v>
      </c>
      <c r="I1664" t="b">
        <v>1</v>
      </c>
      <c r="J1664" t="s">
        <v>33</v>
      </c>
      <c r="K1664" t="s">
        <v>33</v>
      </c>
      <c r="L1664">
        <v>25</v>
      </c>
      <c r="M1664" s="4">
        <f t="shared" si="808"/>
        <v>8.9953703703703702</v>
      </c>
      <c r="N1664" s="3">
        <f t="shared" si="804"/>
        <v>8.9953703703703702</v>
      </c>
      <c r="O1664">
        <v>10</v>
      </c>
      <c r="P1664">
        <v>0.22</v>
      </c>
      <c r="Q1664" s="8">
        <f t="shared" si="809"/>
        <v>2.16</v>
      </c>
      <c r="R1664" t="s">
        <v>183</v>
      </c>
      <c r="S1664" t="s">
        <v>612</v>
      </c>
      <c r="T1664" s="11">
        <v>1</v>
      </c>
      <c r="U1664">
        <v>4</v>
      </c>
      <c r="V1664" t="s">
        <v>33</v>
      </c>
      <c r="W1664">
        <f t="shared" si="810"/>
        <v>6</v>
      </c>
      <c r="X1664" s="9">
        <f t="shared" si="811"/>
        <v>6</v>
      </c>
      <c r="Y1664" s="6">
        <f t="shared" si="812"/>
        <v>2.7777777777777777</v>
      </c>
      <c r="Z1664" s="3">
        <f t="shared" si="813"/>
        <v>2.7777777777777772</v>
      </c>
      <c r="AA1664" t="s">
        <v>33</v>
      </c>
      <c r="AB1664" s="4">
        <f t="shared" si="814"/>
        <v>19.43</v>
      </c>
      <c r="AC1664" s="4">
        <f t="shared" si="799"/>
        <v>1.9789814814814815</v>
      </c>
      <c r="AD1664" s="4">
        <f t="shared" si="805"/>
        <v>19.43</v>
      </c>
      <c r="AE1664" s="3">
        <f t="shared" si="815"/>
        <v>218.58750000000003</v>
      </c>
      <c r="AF1664">
        <v>194.3</v>
      </c>
      <c r="AG1664" s="4">
        <f t="shared" si="806"/>
        <v>19.789814814814815</v>
      </c>
      <c r="AH1664" s="4">
        <f t="shared" si="807"/>
        <v>19.789814814814815</v>
      </c>
      <c r="AI1664">
        <v>1</v>
      </c>
      <c r="AJ1664" s="11" t="s">
        <v>31</v>
      </c>
      <c r="AK1664">
        <v>1800</v>
      </c>
      <c r="AL1664" t="s">
        <v>746</v>
      </c>
      <c r="AM1664" t="s">
        <v>515</v>
      </c>
      <c r="AN1664" t="s">
        <v>205</v>
      </c>
      <c r="AO1664" t="s">
        <v>788</v>
      </c>
      <c r="AP1664">
        <v>3.34</v>
      </c>
      <c r="AQ1664" t="s">
        <v>33</v>
      </c>
      <c r="AR1664" t="s">
        <v>33</v>
      </c>
      <c r="AS1664" t="s">
        <v>33</v>
      </c>
      <c r="AT1664" t="s">
        <v>33</v>
      </c>
      <c r="AU1664" s="6">
        <v>4.9560000000000004</v>
      </c>
      <c r="AV1664" t="b">
        <v>1</v>
      </c>
      <c r="AW1664" t="s">
        <v>172</v>
      </c>
      <c r="AX1664" t="s">
        <v>173</v>
      </c>
      <c r="AY1664" t="s">
        <v>741</v>
      </c>
      <c r="AZ1664" t="s">
        <v>33</v>
      </c>
      <c r="BA1664" s="18" t="s">
        <v>799</v>
      </c>
      <c r="BB1664" s="3" t="b">
        <v>0</v>
      </c>
      <c r="BC1664" t="s">
        <v>81</v>
      </c>
      <c r="BD1664">
        <v>120</v>
      </c>
      <c r="BE1664" t="s">
        <v>80</v>
      </c>
      <c r="BF1664">
        <v>48</v>
      </c>
      <c r="BG1664" t="s">
        <v>574</v>
      </c>
      <c r="BH1664" t="s">
        <v>31</v>
      </c>
      <c r="BI1664" t="s">
        <v>31</v>
      </c>
      <c r="BJ1664" s="3">
        <f t="shared" si="802"/>
        <v>4.9560000000000004</v>
      </c>
      <c r="BK1664" s="3">
        <f t="shared" ref="BK1664:BK1726" si="817">LOG10(BJ1664)</f>
        <v>0.69513129770402593</v>
      </c>
      <c r="BL1664">
        <v>2</v>
      </c>
      <c r="BM1664" s="3">
        <f t="shared" si="816"/>
        <v>1.6444940253431379</v>
      </c>
      <c r="BN1664" t="s">
        <v>33</v>
      </c>
      <c r="BO1664" s="3">
        <f t="shared" si="787"/>
        <v>44.105629539951579</v>
      </c>
      <c r="BP1664" t="s">
        <v>33</v>
      </c>
      <c r="BQ1664" t="s">
        <v>33</v>
      </c>
      <c r="BR1664" t="s">
        <v>33</v>
      </c>
      <c r="BS1664" t="s">
        <v>33</v>
      </c>
      <c r="BT1664" t="s">
        <v>32</v>
      </c>
      <c r="BU1664" t="s">
        <v>742</v>
      </c>
      <c r="BV1664">
        <v>2023</v>
      </c>
      <c r="BW1664" t="s">
        <v>743</v>
      </c>
      <c r="BX1664" t="s">
        <v>78</v>
      </c>
      <c r="BY1664" t="s">
        <v>711</v>
      </c>
      <c r="CA1664" t="str">
        <f t="shared" si="789"/>
        <v>high acid</v>
      </c>
    </row>
    <row r="1665" spans="1:79">
      <c r="A1665" t="s">
        <v>745</v>
      </c>
      <c r="B1665" t="s">
        <v>566</v>
      </c>
      <c r="C1665" t="s">
        <v>563</v>
      </c>
      <c r="D1665" t="s">
        <v>740</v>
      </c>
      <c r="E1665" t="s">
        <v>77</v>
      </c>
      <c r="F1665" t="s">
        <v>32</v>
      </c>
      <c r="G1665">
        <v>20</v>
      </c>
      <c r="H1665">
        <v>30</v>
      </c>
      <c r="I1665" t="b">
        <v>1</v>
      </c>
      <c r="J1665" t="s">
        <v>33</v>
      </c>
      <c r="K1665" t="s">
        <v>33</v>
      </c>
      <c r="L1665">
        <v>15</v>
      </c>
      <c r="M1665" s="4">
        <f t="shared" si="808"/>
        <v>2.9537037037037033</v>
      </c>
      <c r="N1665" s="3">
        <f t="shared" si="804"/>
        <v>2.9537037037037033</v>
      </c>
      <c r="O1665">
        <v>10</v>
      </c>
      <c r="P1665">
        <v>0.22</v>
      </c>
      <c r="Q1665" s="8">
        <f t="shared" si="809"/>
        <v>2.16</v>
      </c>
      <c r="R1665" t="s">
        <v>183</v>
      </c>
      <c r="S1665" t="s">
        <v>612</v>
      </c>
      <c r="T1665" s="11">
        <v>1</v>
      </c>
      <c r="U1665">
        <v>4</v>
      </c>
      <c r="V1665" t="s">
        <v>33</v>
      </c>
      <c r="W1665">
        <f t="shared" si="810"/>
        <v>6</v>
      </c>
      <c r="X1665" s="9">
        <f t="shared" si="811"/>
        <v>6</v>
      </c>
      <c r="Y1665" s="6">
        <f t="shared" si="812"/>
        <v>2.7777777777777777</v>
      </c>
      <c r="Z1665" s="3">
        <f t="shared" si="813"/>
        <v>2.7777777777777781</v>
      </c>
      <c r="AA1665" t="s">
        <v>33</v>
      </c>
      <c r="AB1665" s="4">
        <f t="shared" si="814"/>
        <v>6.38</v>
      </c>
      <c r="AC1665" s="4">
        <f t="shared" si="799"/>
        <v>0.64981481481481473</v>
      </c>
      <c r="AD1665" s="4">
        <f t="shared" si="805"/>
        <v>6.38</v>
      </c>
      <c r="AE1665" s="3">
        <f t="shared" si="815"/>
        <v>27.274499999999993</v>
      </c>
      <c r="AF1665">
        <v>63.8</v>
      </c>
      <c r="AG1665" s="4">
        <f t="shared" si="806"/>
        <v>6.4981481481481467</v>
      </c>
      <c r="AH1665" s="4">
        <f t="shared" si="807"/>
        <v>6.4981481481481467</v>
      </c>
      <c r="AI1665">
        <v>1</v>
      </c>
      <c r="AJ1665" s="11" t="s">
        <v>31</v>
      </c>
      <c r="AK1665">
        <v>1900</v>
      </c>
      <c r="AL1665" t="s">
        <v>747</v>
      </c>
      <c r="AM1665" t="s">
        <v>515</v>
      </c>
      <c r="AN1665" t="s">
        <v>205</v>
      </c>
      <c r="AO1665" t="s">
        <v>788</v>
      </c>
      <c r="AP1665">
        <v>3.8</v>
      </c>
      <c r="AQ1665" t="s">
        <v>33</v>
      </c>
      <c r="AR1665" t="s">
        <v>33</v>
      </c>
      <c r="AS1665" t="s">
        <v>33</v>
      </c>
      <c r="AT1665" t="s">
        <v>33</v>
      </c>
      <c r="AU1665" s="6">
        <v>0.57499999999999996</v>
      </c>
      <c r="AV1665" t="b">
        <v>1</v>
      </c>
      <c r="AW1665" t="s">
        <v>172</v>
      </c>
      <c r="AX1665" t="s">
        <v>173</v>
      </c>
      <c r="AY1665" t="s">
        <v>741</v>
      </c>
      <c r="AZ1665" t="s">
        <v>33</v>
      </c>
      <c r="BA1665" s="18" t="s">
        <v>799</v>
      </c>
      <c r="BB1665" s="3" t="b">
        <v>0</v>
      </c>
      <c r="BC1665" t="s">
        <v>81</v>
      </c>
      <c r="BD1665" t="s">
        <v>33</v>
      </c>
      <c r="BE1665" t="s">
        <v>80</v>
      </c>
      <c r="BF1665">
        <v>48</v>
      </c>
      <c r="BG1665" t="s">
        <v>574</v>
      </c>
      <c r="BH1665" t="s">
        <v>31</v>
      </c>
      <c r="BI1665" t="s">
        <v>31</v>
      </c>
      <c r="BJ1665" s="3">
        <f t="shared" si="802"/>
        <v>0.57499999999999996</v>
      </c>
      <c r="BK1665" s="3">
        <f t="shared" si="817"/>
        <v>-0.24033215531036956</v>
      </c>
      <c r="BL1665">
        <v>2</v>
      </c>
      <c r="BM1665" s="3">
        <f t="shared" si="816"/>
        <v>1.6760889530957233</v>
      </c>
      <c r="BN1665" t="s">
        <v>33</v>
      </c>
      <c r="BO1665" s="3">
        <f t="shared" si="787"/>
        <v>47.433913043478249</v>
      </c>
      <c r="BP1665" t="s">
        <v>33</v>
      </c>
      <c r="BQ1665" t="s">
        <v>33</v>
      </c>
      <c r="BR1665" t="s">
        <v>33</v>
      </c>
      <c r="BS1665" t="s">
        <v>33</v>
      </c>
      <c r="BT1665" t="s">
        <v>32</v>
      </c>
      <c r="BU1665" t="s">
        <v>742</v>
      </c>
      <c r="BV1665">
        <v>2023</v>
      </c>
      <c r="BW1665" t="s">
        <v>748</v>
      </c>
      <c r="BX1665" t="s">
        <v>78</v>
      </c>
      <c r="BY1665" t="s">
        <v>711</v>
      </c>
      <c r="CA1665" t="str">
        <f t="shared" si="789"/>
        <v>high acid</v>
      </c>
    </row>
    <row r="1666" spans="1:79">
      <c r="A1666" t="s">
        <v>745</v>
      </c>
      <c r="B1666" t="s">
        <v>566</v>
      </c>
      <c r="C1666" t="s">
        <v>563</v>
      </c>
      <c r="D1666" t="s">
        <v>740</v>
      </c>
      <c r="E1666" t="s">
        <v>77</v>
      </c>
      <c r="F1666" t="s">
        <v>32</v>
      </c>
      <c r="G1666">
        <v>20</v>
      </c>
      <c r="H1666">
        <v>34</v>
      </c>
      <c r="I1666" t="b">
        <v>1</v>
      </c>
      <c r="J1666" t="s">
        <v>33</v>
      </c>
      <c r="K1666" t="s">
        <v>33</v>
      </c>
      <c r="L1666">
        <v>15</v>
      </c>
      <c r="M1666" s="4">
        <f t="shared" si="808"/>
        <v>3.9027777777777772</v>
      </c>
      <c r="N1666" s="3">
        <f t="shared" si="804"/>
        <v>3.9027777777777772</v>
      </c>
      <c r="O1666">
        <v>10</v>
      </c>
      <c r="P1666">
        <v>0.22</v>
      </c>
      <c r="Q1666" s="8">
        <f t="shared" si="809"/>
        <v>2.16</v>
      </c>
      <c r="R1666" t="s">
        <v>183</v>
      </c>
      <c r="S1666" t="s">
        <v>612</v>
      </c>
      <c r="T1666" s="11">
        <v>1</v>
      </c>
      <c r="U1666">
        <v>4</v>
      </c>
      <c r="V1666" t="s">
        <v>33</v>
      </c>
      <c r="W1666">
        <f t="shared" si="810"/>
        <v>6</v>
      </c>
      <c r="X1666" s="9">
        <f t="shared" si="811"/>
        <v>6</v>
      </c>
      <c r="Y1666" s="6">
        <f t="shared" si="812"/>
        <v>2.7777777777777777</v>
      </c>
      <c r="Z1666" s="3">
        <f t="shared" si="813"/>
        <v>2.7777777777777772</v>
      </c>
      <c r="AA1666" t="s">
        <v>33</v>
      </c>
      <c r="AB1666" s="4">
        <f t="shared" si="814"/>
        <v>8.43</v>
      </c>
      <c r="AC1666" s="4">
        <f t="shared" si="799"/>
        <v>0.85861111111111099</v>
      </c>
      <c r="AD1666" s="4">
        <f t="shared" si="805"/>
        <v>8.43</v>
      </c>
      <c r="AE1666" s="3">
        <f t="shared" si="815"/>
        <v>36.038249999999991</v>
      </c>
      <c r="AF1666">
        <v>84.3</v>
      </c>
      <c r="AG1666" s="4">
        <f t="shared" si="806"/>
        <v>8.5861111111111104</v>
      </c>
      <c r="AH1666" s="4">
        <f t="shared" si="807"/>
        <v>8.5861111111111104</v>
      </c>
      <c r="AI1666">
        <v>1</v>
      </c>
      <c r="AJ1666" s="11" t="s">
        <v>31</v>
      </c>
      <c r="AK1666">
        <v>1900</v>
      </c>
      <c r="AL1666" t="s">
        <v>747</v>
      </c>
      <c r="AM1666" t="s">
        <v>515</v>
      </c>
      <c r="AN1666" t="s">
        <v>205</v>
      </c>
      <c r="AO1666" t="s">
        <v>788</v>
      </c>
      <c r="AP1666">
        <v>3.8</v>
      </c>
      <c r="AQ1666" t="s">
        <v>33</v>
      </c>
      <c r="AR1666" t="s">
        <v>33</v>
      </c>
      <c r="AS1666" t="s">
        <v>33</v>
      </c>
      <c r="AT1666" t="s">
        <v>33</v>
      </c>
      <c r="AU1666" s="6">
        <v>0.78900000000000003</v>
      </c>
      <c r="AV1666" t="b">
        <v>1</v>
      </c>
      <c r="AW1666" t="s">
        <v>172</v>
      </c>
      <c r="AX1666" t="s">
        <v>173</v>
      </c>
      <c r="AY1666" t="s">
        <v>741</v>
      </c>
      <c r="AZ1666" t="s">
        <v>33</v>
      </c>
      <c r="BA1666" s="18" t="s">
        <v>799</v>
      </c>
      <c r="BB1666" s="3" t="b">
        <v>0</v>
      </c>
      <c r="BC1666" t="s">
        <v>81</v>
      </c>
      <c r="BD1666" t="s">
        <v>33</v>
      </c>
      <c r="BE1666" t="s">
        <v>80</v>
      </c>
      <c r="BF1666">
        <v>48</v>
      </c>
      <c r="BG1666" t="s">
        <v>574</v>
      </c>
      <c r="BH1666" t="s">
        <v>31</v>
      </c>
      <c r="BI1666" t="s">
        <v>31</v>
      </c>
      <c r="BJ1666" s="3">
        <f t="shared" si="802"/>
        <v>0.78900000000000003</v>
      </c>
      <c r="BK1666" s="3">
        <f t="shared" si="817"/>
        <v>-0.10292299679057967</v>
      </c>
      <c r="BL1666">
        <v>2</v>
      </c>
      <c r="BM1666" s="3">
        <f t="shared" si="816"/>
        <v>1.6596866904795133</v>
      </c>
      <c r="BN1666" t="s">
        <v>33</v>
      </c>
      <c r="BO1666" s="3">
        <f t="shared" ref="BO1666:BO1726" si="818">IFERROR((AE1666/BJ1666),"NA")</f>
        <v>45.675855513307972</v>
      </c>
      <c r="BP1666" t="s">
        <v>33</v>
      </c>
      <c r="BQ1666" t="s">
        <v>33</v>
      </c>
      <c r="BR1666" t="s">
        <v>33</v>
      </c>
      <c r="BS1666" t="s">
        <v>33</v>
      </c>
      <c r="BT1666" t="s">
        <v>32</v>
      </c>
      <c r="BU1666" t="s">
        <v>742</v>
      </c>
      <c r="BV1666">
        <v>2023</v>
      </c>
      <c r="BW1666" t="s">
        <v>748</v>
      </c>
      <c r="BX1666" t="s">
        <v>78</v>
      </c>
      <c r="BY1666" t="s">
        <v>711</v>
      </c>
      <c r="CA1666" t="str">
        <f t="shared" si="789"/>
        <v>high acid</v>
      </c>
    </row>
    <row r="1667" spans="1:79">
      <c r="A1667" t="s">
        <v>745</v>
      </c>
      <c r="B1667" t="s">
        <v>566</v>
      </c>
      <c r="C1667" t="s">
        <v>563</v>
      </c>
      <c r="D1667" t="s">
        <v>740</v>
      </c>
      <c r="E1667" t="s">
        <v>77</v>
      </c>
      <c r="F1667" t="s">
        <v>32</v>
      </c>
      <c r="G1667">
        <v>20</v>
      </c>
      <c r="H1667">
        <v>40</v>
      </c>
      <c r="I1667" t="b">
        <v>1</v>
      </c>
      <c r="J1667" t="s">
        <v>33</v>
      </c>
      <c r="K1667" t="s">
        <v>33</v>
      </c>
      <c r="L1667">
        <v>15</v>
      </c>
      <c r="M1667" s="4">
        <f t="shared" si="808"/>
        <v>5.5092592592592586</v>
      </c>
      <c r="N1667" s="3">
        <f t="shared" si="804"/>
        <v>5.5092592592592586</v>
      </c>
      <c r="O1667">
        <v>10</v>
      </c>
      <c r="P1667">
        <v>0.22</v>
      </c>
      <c r="Q1667" s="8">
        <f t="shared" si="809"/>
        <v>2.16</v>
      </c>
      <c r="R1667" t="s">
        <v>183</v>
      </c>
      <c r="S1667" t="s">
        <v>612</v>
      </c>
      <c r="T1667" s="11">
        <v>1</v>
      </c>
      <c r="U1667">
        <v>4</v>
      </c>
      <c r="V1667" t="s">
        <v>33</v>
      </c>
      <c r="W1667">
        <f t="shared" si="810"/>
        <v>6</v>
      </c>
      <c r="X1667" s="9">
        <f t="shared" si="811"/>
        <v>6</v>
      </c>
      <c r="Y1667" s="6">
        <f t="shared" si="812"/>
        <v>2.7777777777777777</v>
      </c>
      <c r="Z1667" s="3">
        <f t="shared" si="813"/>
        <v>2.7777777777777772</v>
      </c>
      <c r="AA1667" t="s">
        <v>33</v>
      </c>
      <c r="AB1667" s="4">
        <f t="shared" si="814"/>
        <v>11.899999999999999</v>
      </c>
      <c r="AC1667" s="4">
        <f t="shared" si="799"/>
        <v>1.2120370370370368</v>
      </c>
      <c r="AD1667" s="4">
        <f t="shared" si="805"/>
        <v>11.899999999999999</v>
      </c>
      <c r="AE1667" s="3">
        <f t="shared" si="815"/>
        <v>50.872500000000002</v>
      </c>
      <c r="AF1667">
        <v>119</v>
      </c>
      <c r="AG1667" s="4">
        <f t="shared" si="806"/>
        <v>12.12037037037037</v>
      </c>
      <c r="AH1667" s="4">
        <f t="shared" si="807"/>
        <v>12.12037037037037</v>
      </c>
      <c r="AI1667">
        <v>1</v>
      </c>
      <c r="AJ1667" s="11" t="s">
        <v>31</v>
      </c>
      <c r="AK1667">
        <v>1900</v>
      </c>
      <c r="AL1667" t="s">
        <v>747</v>
      </c>
      <c r="AM1667" t="s">
        <v>515</v>
      </c>
      <c r="AN1667" t="s">
        <v>205</v>
      </c>
      <c r="AO1667" t="s">
        <v>788</v>
      </c>
      <c r="AP1667">
        <v>3.8</v>
      </c>
      <c r="AQ1667" t="s">
        <v>33</v>
      </c>
      <c r="AR1667" t="s">
        <v>33</v>
      </c>
      <c r="AS1667" t="s">
        <v>33</v>
      </c>
      <c r="AT1667" t="s">
        <v>33</v>
      </c>
      <c r="AU1667" s="6">
        <v>1.3859999999999999</v>
      </c>
      <c r="AV1667" t="b">
        <v>1</v>
      </c>
      <c r="AW1667" t="s">
        <v>172</v>
      </c>
      <c r="AX1667" t="s">
        <v>173</v>
      </c>
      <c r="AY1667" t="s">
        <v>741</v>
      </c>
      <c r="AZ1667" t="s">
        <v>33</v>
      </c>
      <c r="BA1667" s="18" t="s">
        <v>799</v>
      </c>
      <c r="BB1667" s="3" t="b">
        <v>0</v>
      </c>
      <c r="BC1667" t="s">
        <v>81</v>
      </c>
      <c r="BD1667" t="s">
        <v>33</v>
      </c>
      <c r="BE1667" t="s">
        <v>80</v>
      </c>
      <c r="BF1667">
        <v>48</v>
      </c>
      <c r="BG1667" t="s">
        <v>574</v>
      </c>
      <c r="BH1667" t="s">
        <v>31</v>
      </c>
      <c r="BI1667" t="s">
        <v>31</v>
      </c>
      <c r="BJ1667" s="3">
        <f t="shared" si="802"/>
        <v>1.3859999999999999</v>
      </c>
      <c r="BK1667" s="3">
        <f t="shared" si="817"/>
        <v>0.14176323027578791</v>
      </c>
      <c r="BL1667">
        <v>2</v>
      </c>
      <c r="BM1667" s="3">
        <f t="shared" si="816"/>
        <v>1.5647198501809343</v>
      </c>
      <c r="BN1667" t="s">
        <v>33</v>
      </c>
      <c r="BO1667" s="3">
        <f t="shared" si="818"/>
        <v>36.70454545454546</v>
      </c>
      <c r="BP1667" t="s">
        <v>33</v>
      </c>
      <c r="BQ1667" t="s">
        <v>33</v>
      </c>
      <c r="BR1667" t="s">
        <v>33</v>
      </c>
      <c r="BS1667" t="s">
        <v>33</v>
      </c>
      <c r="BT1667" t="s">
        <v>32</v>
      </c>
      <c r="BU1667" t="s">
        <v>742</v>
      </c>
      <c r="BV1667">
        <v>2023</v>
      </c>
      <c r="BW1667" t="s">
        <v>748</v>
      </c>
      <c r="BX1667" t="s">
        <v>78</v>
      </c>
      <c r="BY1667" t="s">
        <v>711</v>
      </c>
      <c r="CA1667" t="str">
        <f t="shared" ref="CA1667:CA1726" si="819">IF(OR(AN1667="low acidic liquid medium", AN1667="low acidic food product"), "low acid",
    IF(OR(AN1667="high acidic food product", AN1667="high acidic liquid medium"), "high acid", "NA"))</f>
        <v>high acid</v>
      </c>
    </row>
    <row r="1668" spans="1:79">
      <c r="A1668" t="s">
        <v>745</v>
      </c>
      <c r="B1668" t="s">
        <v>566</v>
      </c>
      <c r="C1668" t="s">
        <v>563</v>
      </c>
      <c r="D1668" t="s">
        <v>740</v>
      </c>
      <c r="E1668" t="s">
        <v>77</v>
      </c>
      <c r="F1668" t="s">
        <v>32</v>
      </c>
      <c r="G1668">
        <v>20</v>
      </c>
      <c r="H1668">
        <v>46</v>
      </c>
      <c r="I1668" t="b">
        <v>1</v>
      </c>
      <c r="J1668" t="s">
        <v>33</v>
      </c>
      <c r="K1668" t="s">
        <v>33</v>
      </c>
      <c r="L1668">
        <v>15</v>
      </c>
      <c r="M1668" s="4">
        <f t="shared" si="808"/>
        <v>6.5046296296296289</v>
      </c>
      <c r="N1668" s="3">
        <f t="shared" si="804"/>
        <v>6.5046296296296289</v>
      </c>
      <c r="O1668">
        <v>10</v>
      </c>
      <c r="P1668">
        <v>0.22</v>
      </c>
      <c r="Q1668" s="8">
        <f t="shared" si="809"/>
        <v>2.16</v>
      </c>
      <c r="R1668" t="s">
        <v>183</v>
      </c>
      <c r="S1668" t="s">
        <v>612</v>
      </c>
      <c r="T1668" s="11">
        <v>1</v>
      </c>
      <c r="U1668">
        <v>4</v>
      </c>
      <c r="V1668" t="s">
        <v>33</v>
      </c>
      <c r="W1668">
        <f t="shared" si="810"/>
        <v>6</v>
      </c>
      <c r="X1668" s="9">
        <f t="shared" si="811"/>
        <v>6</v>
      </c>
      <c r="Y1668" s="6">
        <f t="shared" si="812"/>
        <v>2.7777777777777777</v>
      </c>
      <c r="Z1668" s="3">
        <f t="shared" si="813"/>
        <v>2.7777777777777772</v>
      </c>
      <c r="AA1668" t="s">
        <v>33</v>
      </c>
      <c r="AB1668" s="4">
        <f t="shared" si="814"/>
        <v>14.049999999999999</v>
      </c>
      <c r="AC1668" s="4">
        <f t="shared" si="799"/>
        <v>1.4310185185185185</v>
      </c>
      <c r="AD1668" s="4">
        <f t="shared" si="805"/>
        <v>14.049999999999999</v>
      </c>
      <c r="AE1668" s="3">
        <f t="shared" si="815"/>
        <v>60.063749999999992</v>
      </c>
      <c r="AF1668">
        <v>140.5</v>
      </c>
      <c r="AG1668" s="4">
        <f t="shared" si="806"/>
        <v>14.310185185185183</v>
      </c>
      <c r="AH1668" s="4">
        <f t="shared" si="807"/>
        <v>14.310185185185183</v>
      </c>
      <c r="AI1668">
        <v>1</v>
      </c>
      <c r="AJ1668" s="11" t="s">
        <v>31</v>
      </c>
      <c r="AK1668">
        <v>1900</v>
      </c>
      <c r="AL1668" t="s">
        <v>747</v>
      </c>
      <c r="AM1668" t="s">
        <v>515</v>
      </c>
      <c r="AN1668" t="s">
        <v>205</v>
      </c>
      <c r="AO1668" t="s">
        <v>788</v>
      </c>
      <c r="AP1668">
        <v>3.8</v>
      </c>
      <c r="AQ1668" t="s">
        <v>33</v>
      </c>
      <c r="AR1668" t="s">
        <v>33</v>
      </c>
      <c r="AS1668" t="s">
        <v>33</v>
      </c>
      <c r="AT1668" t="s">
        <v>33</v>
      </c>
      <c r="AU1668" s="6">
        <v>2.0739999999999998</v>
      </c>
      <c r="AV1668" t="b">
        <v>1</v>
      </c>
      <c r="AW1668" t="s">
        <v>172</v>
      </c>
      <c r="AX1668" t="s">
        <v>173</v>
      </c>
      <c r="AY1668" t="s">
        <v>741</v>
      </c>
      <c r="AZ1668" t="s">
        <v>33</v>
      </c>
      <c r="BA1668" s="18" t="s">
        <v>799</v>
      </c>
      <c r="BB1668" s="3" t="b">
        <v>0</v>
      </c>
      <c r="BC1668" t="s">
        <v>81</v>
      </c>
      <c r="BD1668" t="s">
        <v>33</v>
      </c>
      <c r="BE1668" t="s">
        <v>80</v>
      </c>
      <c r="BF1668">
        <v>48</v>
      </c>
      <c r="BG1668" t="s">
        <v>574</v>
      </c>
      <c r="BH1668" t="s">
        <v>31</v>
      </c>
      <c r="BI1668" t="s">
        <v>31</v>
      </c>
      <c r="BJ1668" s="3">
        <f t="shared" si="802"/>
        <v>2.0739999999999998</v>
      </c>
      <c r="BK1668" s="3">
        <f t="shared" si="817"/>
        <v>0.31680875205302211</v>
      </c>
      <c r="BL1668">
        <v>2</v>
      </c>
      <c r="BM1668" s="3">
        <f t="shared" si="816"/>
        <v>1.4618036912522681</v>
      </c>
      <c r="BN1668" t="s">
        <v>33</v>
      </c>
      <c r="BO1668" s="3">
        <f t="shared" si="818"/>
        <v>28.960342333654772</v>
      </c>
      <c r="BP1668" t="s">
        <v>33</v>
      </c>
      <c r="BQ1668" t="s">
        <v>33</v>
      </c>
      <c r="BR1668" t="s">
        <v>33</v>
      </c>
      <c r="BS1668" t="s">
        <v>33</v>
      </c>
      <c r="BT1668" t="s">
        <v>32</v>
      </c>
      <c r="BU1668" t="s">
        <v>742</v>
      </c>
      <c r="BV1668">
        <v>2023</v>
      </c>
      <c r="BW1668" t="s">
        <v>748</v>
      </c>
      <c r="BX1668" t="s">
        <v>78</v>
      </c>
      <c r="BY1668" t="s">
        <v>711</v>
      </c>
      <c r="CA1668" t="str">
        <f t="shared" si="819"/>
        <v>high acid</v>
      </c>
    </row>
    <row r="1669" spans="1:79">
      <c r="A1669" t="s">
        <v>745</v>
      </c>
      <c r="B1669" t="s">
        <v>566</v>
      </c>
      <c r="C1669" t="s">
        <v>563</v>
      </c>
      <c r="D1669" t="s">
        <v>740</v>
      </c>
      <c r="E1669" t="s">
        <v>77</v>
      </c>
      <c r="F1669" t="s">
        <v>32</v>
      </c>
      <c r="G1669">
        <v>20</v>
      </c>
      <c r="H1669">
        <v>51</v>
      </c>
      <c r="I1669" t="b">
        <v>1</v>
      </c>
      <c r="J1669" t="s">
        <v>33</v>
      </c>
      <c r="K1669" t="s">
        <v>33</v>
      </c>
      <c r="L1669">
        <v>15</v>
      </c>
      <c r="M1669" s="4">
        <f t="shared" si="808"/>
        <v>7.791666666666667</v>
      </c>
      <c r="N1669" s="3">
        <f t="shared" si="804"/>
        <v>7.791666666666667</v>
      </c>
      <c r="O1669">
        <v>10</v>
      </c>
      <c r="P1669">
        <v>0.22</v>
      </c>
      <c r="Q1669" s="8">
        <f t="shared" si="809"/>
        <v>2.16</v>
      </c>
      <c r="R1669" t="s">
        <v>183</v>
      </c>
      <c r="S1669" t="s">
        <v>612</v>
      </c>
      <c r="T1669" s="11">
        <v>1</v>
      </c>
      <c r="U1669">
        <v>4</v>
      </c>
      <c r="V1669" t="s">
        <v>33</v>
      </c>
      <c r="W1669">
        <f t="shared" si="810"/>
        <v>6</v>
      </c>
      <c r="X1669" s="9">
        <f t="shared" si="811"/>
        <v>6</v>
      </c>
      <c r="Y1669" s="6">
        <f t="shared" si="812"/>
        <v>2.7777777777777777</v>
      </c>
      <c r="Z1669" s="3">
        <f t="shared" si="813"/>
        <v>2.7777777777777777</v>
      </c>
      <c r="AA1669" t="s">
        <v>33</v>
      </c>
      <c r="AB1669" s="4">
        <f t="shared" si="814"/>
        <v>16.830000000000002</v>
      </c>
      <c r="AC1669" s="4">
        <f t="shared" si="799"/>
        <v>1.7141666666666668</v>
      </c>
      <c r="AD1669" s="4">
        <f t="shared" si="805"/>
        <v>16.830000000000002</v>
      </c>
      <c r="AE1669" s="3">
        <f t="shared" si="815"/>
        <v>71.948250000000002</v>
      </c>
      <c r="AF1669">
        <v>168.3</v>
      </c>
      <c r="AG1669" s="4">
        <f t="shared" si="806"/>
        <v>17.141666666666669</v>
      </c>
      <c r="AH1669" s="4">
        <f t="shared" si="807"/>
        <v>17.141666666666669</v>
      </c>
      <c r="AI1669">
        <v>1</v>
      </c>
      <c r="AJ1669" s="11" t="s">
        <v>31</v>
      </c>
      <c r="AK1669">
        <v>1900</v>
      </c>
      <c r="AL1669" t="s">
        <v>747</v>
      </c>
      <c r="AM1669" t="s">
        <v>515</v>
      </c>
      <c r="AN1669" t="s">
        <v>205</v>
      </c>
      <c r="AO1669" t="s">
        <v>788</v>
      </c>
      <c r="AP1669">
        <v>3.8</v>
      </c>
      <c r="AQ1669" t="s">
        <v>33</v>
      </c>
      <c r="AR1669" t="s">
        <v>33</v>
      </c>
      <c r="AS1669" t="s">
        <v>33</v>
      </c>
      <c r="AT1669" t="s">
        <v>33</v>
      </c>
      <c r="AU1669" s="6">
        <v>4.2569999999999997</v>
      </c>
      <c r="AV1669" t="b">
        <v>1</v>
      </c>
      <c r="AW1669" t="s">
        <v>172</v>
      </c>
      <c r="AX1669" t="s">
        <v>173</v>
      </c>
      <c r="AY1669" t="s">
        <v>741</v>
      </c>
      <c r="AZ1669" t="s">
        <v>33</v>
      </c>
      <c r="BA1669" s="18" t="s">
        <v>799</v>
      </c>
      <c r="BB1669" s="3" t="b">
        <v>0</v>
      </c>
      <c r="BC1669" t="s">
        <v>81</v>
      </c>
      <c r="BD1669" t="s">
        <v>33</v>
      </c>
      <c r="BE1669" t="s">
        <v>80</v>
      </c>
      <c r="BF1669">
        <v>48</v>
      </c>
      <c r="BG1669" t="s">
        <v>574</v>
      </c>
      <c r="BH1669" t="s">
        <v>31</v>
      </c>
      <c r="BI1669" t="s">
        <v>31</v>
      </c>
      <c r="BJ1669" s="3">
        <f t="shared" si="802"/>
        <v>4.2569999999999997</v>
      </c>
      <c r="BK1669" s="3">
        <f t="shared" si="817"/>
        <v>0.62910365017713643</v>
      </c>
      <c r="BL1669">
        <v>2</v>
      </c>
      <c r="BM1669" s="3">
        <f t="shared" si="816"/>
        <v>1.2279165848628788</v>
      </c>
      <c r="BN1669" t="s">
        <v>33</v>
      </c>
      <c r="BO1669" s="3">
        <f t="shared" si="818"/>
        <v>16.901162790697676</v>
      </c>
      <c r="BP1669" t="s">
        <v>33</v>
      </c>
      <c r="BQ1669" t="s">
        <v>33</v>
      </c>
      <c r="BR1669" t="s">
        <v>33</v>
      </c>
      <c r="BS1669" t="s">
        <v>33</v>
      </c>
      <c r="BT1669" t="s">
        <v>32</v>
      </c>
      <c r="BU1669" t="s">
        <v>742</v>
      </c>
      <c r="BV1669">
        <v>2023</v>
      </c>
      <c r="BW1669" t="s">
        <v>748</v>
      </c>
      <c r="BX1669" t="s">
        <v>78</v>
      </c>
      <c r="BY1669" t="s">
        <v>711</v>
      </c>
      <c r="CA1669" t="str">
        <f t="shared" si="819"/>
        <v>high acid</v>
      </c>
    </row>
    <row r="1670" spans="1:79">
      <c r="A1670" t="s">
        <v>745</v>
      </c>
      <c r="B1670" t="s">
        <v>566</v>
      </c>
      <c r="C1670" t="s">
        <v>563</v>
      </c>
      <c r="D1670" t="s">
        <v>740</v>
      </c>
      <c r="E1670" t="s">
        <v>77</v>
      </c>
      <c r="F1670" t="s">
        <v>32</v>
      </c>
      <c r="G1670">
        <v>20</v>
      </c>
      <c r="H1670">
        <v>30</v>
      </c>
      <c r="I1670" t="b">
        <v>1</v>
      </c>
      <c r="J1670" t="s">
        <v>33</v>
      </c>
      <c r="K1670" t="s">
        <v>33</v>
      </c>
      <c r="L1670">
        <v>20</v>
      </c>
      <c r="M1670" s="4">
        <f t="shared" si="808"/>
        <v>1.6157407407407405</v>
      </c>
      <c r="N1670" s="3">
        <f t="shared" si="804"/>
        <v>1.6157407407407405</v>
      </c>
      <c r="O1670">
        <v>10</v>
      </c>
      <c r="P1670">
        <v>0.22</v>
      </c>
      <c r="Q1670" s="8">
        <f t="shared" si="809"/>
        <v>2.16</v>
      </c>
      <c r="R1670" t="s">
        <v>183</v>
      </c>
      <c r="S1670" t="s">
        <v>612</v>
      </c>
      <c r="T1670" s="11">
        <v>1</v>
      </c>
      <c r="U1670">
        <v>4</v>
      </c>
      <c r="V1670" t="s">
        <v>33</v>
      </c>
      <c r="W1670">
        <f t="shared" si="810"/>
        <v>6</v>
      </c>
      <c r="X1670" s="9">
        <f t="shared" si="811"/>
        <v>6</v>
      </c>
      <c r="Y1670" s="6">
        <f t="shared" si="812"/>
        <v>2.7777777777777777</v>
      </c>
      <c r="Z1670" s="3">
        <f t="shared" si="813"/>
        <v>2.7777777777777772</v>
      </c>
      <c r="AA1670" t="s">
        <v>33</v>
      </c>
      <c r="AB1670" s="4">
        <f t="shared" si="814"/>
        <v>3.4899999999999998</v>
      </c>
      <c r="AC1670" s="4">
        <f t="shared" ref="AC1670:AC1693" si="820">IFERROR(M1670*P1670,"NA")</f>
        <v>0.35546296296296293</v>
      </c>
      <c r="AD1670" s="4">
        <f t="shared" si="805"/>
        <v>3.4899999999999998</v>
      </c>
      <c r="AE1670" s="3">
        <f t="shared" si="815"/>
        <v>26.523999999999994</v>
      </c>
      <c r="AF1670">
        <v>34.9</v>
      </c>
      <c r="AG1670" s="4">
        <f t="shared" si="806"/>
        <v>3.5546296296296291</v>
      </c>
      <c r="AH1670" s="4">
        <f t="shared" si="807"/>
        <v>3.5546296296296291</v>
      </c>
      <c r="AI1670">
        <v>1</v>
      </c>
      <c r="AJ1670" s="11" t="s">
        <v>31</v>
      </c>
      <c r="AK1670">
        <v>1900</v>
      </c>
      <c r="AL1670" t="s">
        <v>747</v>
      </c>
      <c r="AM1670" t="s">
        <v>515</v>
      </c>
      <c r="AN1670" t="s">
        <v>205</v>
      </c>
      <c r="AO1670" t="s">
        <v>788</v>
      </c>
      <c r="AP1670">
        <v>3.8</v>
      </c>
      <c r="AQ1670" t="s">
        <v>33</v>
      </c>
      <c r="AR1670" t="s">
        <v>33</v>
      </c>
      <c r="AS1670" t="s">
        <v>33</v>
      </c>
      <c r="AT1670" t="s">
        <v>33</v>
      </c>
      <c r="AU1670" s="6">
        <v>0.52500000000000002</v>
      </c>
      <c r="AV1670" t="b">
        <v>1</v>
      </c>
      <c r="AW1670" t="s">
        <v>172</v>
      </c>
      <c r="AX1670" t="s">
        <v>173</v>
      </c>
      <c r="AY1670" t="s">
        <v>741</v>
      </c>
      <c r="AZ1670" t="s">
        <v>33</v>
      </c>
      <c r="BA1670" s="18" t="s">
        <v>799</v>
      </c>
      <c r="BB1670" s="3" t="b">
        <v>0</v>
      </c>
      <c r="BC1670" t="s">
        <v>81</v>
      </c>
      <c r="BD1670" t="s">
        <v>33</v>
      </c>
      <c r="BE1670" t="s">
        <v>80</v>
      </c>
      <c r="BF1670">
        <v>48</v>
      </c>
      <c r="BG1670" t="s">
        <v>574</v>
      </c>
      <c r="BH1670" t="s">
        <v>31</v>
      </c>
      <c r="BI1670" t="s">
        <v>31</v>
      </c>
      <c r="BJ1670" s="3">
        <f t="shared" si="802"/>
        <v>0.52500000000000002</v>
      </c>
      <c r="BK1670" s="3">
        <f t="shared" si="817"/>
        <v>-0.27984069659404309</v>
      </c>
      <c r="BL1670">
        <v>2</v>
      </c>
      <c r="BM1670" s="3">
        <f t="shared" si="816"/>
        <v>1.7034797158340143</v>
      </c>
      <c r="BN1670" t="s">
        <v>33</v>
      </c>
      <c r="BO1670" s="3">
        <f t="shared" si="818"/>
        <v>50.52190476190475</v>
      </c>
      <c r="BP1670" t="s">
        <v>33</v>
      </c>
      <c r="BQ1670" t="s">
        <v>33</v>
      </c>
      <c r="BR1670" t="s">
        <v>33</v>
      </c>
      <c r="BS1670" t="s">
        <v>33</v>
      </c>
      <c r="BT1670" t="s">
        <v>32</v>
      </c>
      <c r="BU1670" t="s">
        <v>742</v>
      </c>
      <c r="BV1670">
        <v>2023</v>
      </c>
      <c r="BW1670" t="s">
        <v>748</v>
      </c>
      <c r="BX1670" t="s">
        <v>78</v>
      </c>
      <c r="BY1670" t="s">
        <v>711</v>
      </c>
      <c r="CA1670" t="str">
        <f t="shared" si="819"/>
        <v>high acid</v>
      </c>
    </row>
    <row r="1671" spans="1:79">
      <c r="A1671" t="s">
        <v>745</v>
      </c>
      <c r="B1671" t="s">
        <v>566</v>
      </c>
      <c r="C1671" t="s">
        <v>563</v>
      </c>
      <c r="D1671" t="s">
        <v>740</v>
      </c>
      <c r="E1671" t="s">
        <v>77</v>
      </c>
      <c r="F1671" t="s">
        <v>32</v>
      </c>
      <c r="G1671">
        <v>20</v>
      </c>
      <c r="H1671">
        <v>34</v>
      </c>
      <c r="I1671" t="b">
        <v>1</v>
      </c>
      <c r="J1671" t="s">
        <v>33</v>
      </c>
      <c r="K1671" t="s">
        <v>33</v>
      </c>
      <c r="L1671">
        <v>20</v>
      </c>
      <c r="M1671" s="4">
        <f t="shared" si="808"/>
        <v>2.2083333333333335</v>
      </c>
      <c r="N1671" s="3">
        <f t="shared" si="804"/>
        <v>2.2083333333333335</v>
      </c>
      <c r="O1671">
        <v>10</v>
      </c>
      <c r="P1671">
        <v>0.22</v>
      </c>
      <c r="Q1671" s="8">
        <f t="shared" si="809"/>
        <v>2.16</v>
      </c>
      <c r="R1671" t="s">
        <v>183</v>
      </c>
      <c r="S1671" t="s">
        <v>612</v>
      </c>
      <c r="T1671" s="11">
        <v>1</v>
      </c>
      <c r="U1671">
        <v>4</v>
      </c>
      <c r="V1671" t="s">
        <v>33</v>
      </c>
      <c r="W1671">
        <f t="shared" si="810"/>
        <v>6</v>
      </c>
      <c r="X1671" s="9">
        <f t="shared" si="811"/>
        <v>6</v>
      </c>
      <c r="Y1671" s="6">
        <f t="shared" si="812"/>
        <v>2.7777777777777777</v>
      </c>
      <c r="Z1671" s="3">
        <f t="shared" si="813"/>
        <v>2.7777777777777777</v>
      </c>
      <c r="AA1671" t="s">
        <v>33</v>
      </c>
      <c r="AB1671" s="4">
        <f t="shared" si="814"/>
        <v>4.7700000000000005</v>
      </c>
      <c r="AC1671" s="4">
        <f t="shared" si="820"/>
        <v>0.48583333333333339</v>
      </c>
      <c r="AD1671" s="4">
        <f t="shared" si="805"/>
        <v>4.7700000000000005</v>
      </c>
      <c r="AE1671" s="3">
        <f t="shared" si="815"/>
        <v>36.252000000000002</v>
      </c>
      <c r="AF1671">
        <v>47.7</v>
      </c>
      <c r="AG1671" s="4">
        <f t="shared" si="806"/>
        <v>4.8583333333333343</v>
      </c>
      <c r="AH1671" s="4">
        <f t="shared" si="807"/>
        <v>4.8583333333333343</v>
      </c>
      <c r="AI1671">
        <v>1</v>
      </c>
      <c r="AJ1671" s="11" t="s">
        <v>31</v>
      </c>
      <c r="AK1671">
        <v>1900</v>
      </c>
      <c r="AL1671" t="s">
        <v>747</v>
      </c>
      <c r="AM1671" t="s">
        <v>515</v>
      </c>
      <c r="AN1671" t="s">
        <v>205</v>
      </c>
      <c r="AO1671" t="s">
        <v>788</v>
      </c>
      <c r="AP1671">
        <v>3.8</v>
      </c>
      <c r="AQ1671" t="s">
        <v>33</v>
      </c>
      <c r="AR1671" t="s">
        <v>33</v>
      </c>
      <c r="AS1671" t="s">
        <v>33</v>
      </c>
      <c r="AT1671" t="s">
        <v>33</v>
      </c>
      <c r="AU1671" s="6">
        <v>0.878</v>
      </c>
      <c r="AV1671" t="b">
        <v>1</v>
      </c>
      <c r="AW1671" t="s">
        <v>172</v>
      </c>
      <c r="AX1671" t="s">
        <v>173</v>
      </c>
      <c r="AY1671" t="s">
        <v>741</v>
      </c>
      <c r="AZ1671" t="s">
        <v>33</v>
      </c>
      <c r="BA1671" s="18" t="s">
        <v>799</v>
      </c>
      <c r="BB1671" s="3" t="b">
        <v>0</v>
      </c>
      <c r="BC1671" t="s">
        <v>81</v>
      </c>
      <c r="BD1671" t="s">
        <v>33</v>
      </c>
      <c r="BE1671" t="s">
        <v>80</v>
      </c>
      <c r="BF1671">
        <v>48</v>
      </c>
      <c r="BG1671" t="s">
        <v>574</v>
      </c>
      <c r="BH1671" t="s">
        <v>31</v>
      </c>
      <c r="BI1671" t="s">
        <v>31</v>
      </c>
      <c r="BJ1671" s="3">
        <f t="shared" si="802"/>
        <v>0.878</v>
      </c>
      <c r="BK1671" s="3">
        <f t="shared" si="817"/>
        <v>-5.6505484093897433E-2</v>
      </c>
      <c r="BL1671">
        <v>2</v>
      </c>
      <c r="BM1671" s="3">
        <f t="shared" si="816"/>
        <v>1.6158374554148027</v>
      </c>
      <c r="BN1671" t="s">
        <v>33</v>
      </c>
      <c r="BO1671" s="3">
        <f t="shared" si="818"/>
        <v>41.289293849658314</v>
      </c>
      <c r="BP1671" t="s">
        <v>33</v>
      </c>
      <c r="BQ1671" t="s">
        <v>33</v>
      </c>
      <c r="BR1671" t="s">
        <v>33</v>
      </c>
      <c r="BS1671" t="s">
        <v>33</v>
      </c>
      <c r="BT1671" t="s">
        <v>32</v>
      </c>
      <c r="BU1671" t="s">
        <v>742</v>
      </c>
      <c r="BV1671">
        <v>2023</v>
      </c>
      <c r="BW1671" t="s">
        <v>748</v>
      </c>
      <c r="BX1671" t="s">
        <v>78</v>
      </c>
      <c r="BY1671" t="s">
        <v>711</v>
      </c>
      <c r="CA1671" t="str">
        <f t="shared" si="819"/>
        <v>high acid</v>
      </c>
    </row>
    <row r="1672" spans="1:79">
      <c r="A1672" t="s">
        <v>745</v>
      </c>
      <c r="B1672" t="s">
        <v>566</v>
      </c>
      <c r="C1672" t="s">
        <v>563</v>
      </c>
      <c r="D1672" t="s">
        <v>740</v>
      </c>
      <c r="E1672" t="s">
        <v>77</v>
      </c>
      <c r="F1672" t="s">
        <v>32</v>
      </c>
      <c r="G1672">
        <v>20</v>
      </c>
      <c r="H1672">
        <v>40.200000000000003</v>
      </c>
      <c r="I1672" t="b">
        <v>1</v>
      </c>
      <c r="J1672" t="s">
        <v>33</v>
      </c>
      <c r="K1672" t="s">
        <v>33</v>
      </c>
      <c r="L1672">
        <v>20</v>
      </c>
      <c r="M1672" s="4">
        <f t="shared" si="808"/>
        <v>3.208333333333333</v>
      </c>
      <c r="N1672" s="3">
        <f t="shared" si="804"/>
        <v>3.208333333333333</v>
      </c>
      <c r="O1672">
        <v>10</v>
      </c>
      <c r="P1672">
        <v>0.22</v>
      </c>
      <c r="Q1672" s="8">
        <f t="shared" si="809"/>
        <v>2.16</v>
      </c>
      <c r="R1672" t="s">
        <v>183</v>
      </c>
      <c r="S1672" t="s">
        <v>612</v>
      </c>
      <c r="T1672" s="11">
        <v>1</v>
      </c>
      <c r="U1672">
        <v>4</v>
      </c>
      <c r="V1672" t="s">
        <v>33</v>
      </c>
      <c r="W1672">
        <f t="shared" si="810"/>
        <v>6</v>
      </c>
      <c r="X1672" s="9">
        <f t="shared" si="811"/>
        <v>6</v>
      </c>
      <c r="Y1672" s="6">
        <f t="shared" si="812"/>
        <v>2.7777777777777777</v>
      </c>
      <c r="Z1672" s="3">
        <f t="shared" si="813"/>
        <v>2.7777777777777777</v>
      </c>
      <c r="AA1672" t="s">
        <v>33</v>
      </c>
      <c r="AB1672" s="4">
        <f t="shared" si="814"/>
        <v>6.9300000000000006</v>
      </c>
      <c r="AC1672" s="4">
        <f t="shared" si="820"/>
        <v>0.70583333333333331</v>
      </c>
      <c r="AD1672" s="4">
        <f t="shared" si="805"/>
        <v>6.9300000000000006</v>
      </c>
      <c r="AE1672" s="3">
        <f t="shared" si="815"/>
        <v>52.667999999999992</v>
      </c>
      <c r="AF1672">
        <v>69.3</v>
      </c>
      <c r="AG1672" s="4">
        <f t="shared" si="806"/>
        <v>7.0583333333333327</v>
      </c>
      <c r="AH1672" s="4">
        <f t="shared" si="807"/>
        <v>7.0583333333333327</v>
      </c>
      <c r="AI1672">
        <v>1</v>
      </c>
      <c r="AJ1672" s="11" t="s">
        <v>31</v>
      </c>
      <c r="AK1672">
        <v>1900</v>
      </c>
      <c r="AL1672" t="s">
        <v>747</v>
      </c>
      <c r="AM1672" t="s">
        <v>515</v>
      </c>
      <c r="AN1672" t="s">
        <v>205</v>
      </c>
      <c r="AO1672" t="s">
        <v>788</v>
      </c>
      <c r="AP1672">
        <v>3.8</v>
      </c>
      <c r="AQ1672" t="s">
        <v>33</v>
      </c>
      <c r="AR1672" t="s">
        <v>33</v>
      </c>
      <c r="AS1672" t="s">
        <v>33</v>
      </c>
      <c r="AT1672" t="s">
        <v>33</v>
      </c>
      <c r="AU1672" s="6">
        <v>1.323</v>
      </c>
      <c r="AV1672" t="b">
        <v>1</v>
      </c>
      <c r="AW1672" t="s">
        <v>172</v>
      </c>
      <c r="AX1672" t="s">
        <v>173</v>
      </c>
      <c r="AY1672" t="s">
        <v>741</v>
      </c>
      <c r="AZ1672" t="s">
        <v>33</v>
      </c>
      <c r="BA1672" s="18" t="s">
        <v>799</v>
      </c>
      <c r="BB1672" s="3" t="b">
        <v>0</v>
      </c>
      <c r="BC1672" t="s">
        <v>81</v>
      </c>
      <c r="BD1672" t="s">
        <v>33</v>
      </c>
      <c r="BE1672" t="s">
        <v>80</v>
      </c>
      <c r="BF1672">
        <v>48</v>
      </c>
      <c r="BG1672" t="s">
        <v>574</v>
      </c>
      <c r="BH1672" t="s">
        <v>31</v>
      </c>
      <c r="BI1672" t="s">
        <v>31</v>
      </c>
      <c r="BJ1672" s="3">
        <f t="shared" si="802"/>
        <v>1.323</v>
      </c>
      <c r="BK1672" s="3">
        <f t="shared" si="817"/>
        <v>0.12155984418750096</v>
      </c>
      <c r="BL1672">
        <v>2</v>
      </c>
      <c r="BM1672" s="3">
        <f t="shared" si="816"/>
        <v>1.599986982705097</v>
      </c>
      <c r="BN1672" t="s">
        <v>33</v>
      </c>
      <c r="BO1672" s="3">
        <f t="shared" si="818"/>
        <v>39.809523809523803</v>
      </c>
      <c r="BP1672" t="s">
        <v>33</v>
      </c>
      <c r="BQ1672" t="s">
        <v>33</v>
      </c>
      <c r="BR1672" t="s">
        <v>33</v>
      </c>
      <c r="BS1672" t="s">
        <v>33</v>
      </c>
      <c r="BT1672" t="s">
        <v>32</v>
      </c>
      <c r="BU1672" t="s">
        <v>742</v>
      </c>
      <c r="BV1672">
        <v>2023</v>
      </c>
      <c r="BW1672" t="s">
        <v>748</v>
      </c>
      <c r="BX1672" t="s">
        <v>78</v>
      </c>
      <c r="BY1672" t="s">
        <v>711</v>
      </c>
      <c r="CA1672" t="str">
        <f t="shared" si="819"/>
        <v>high acid</v>
      </c>
    </row>
    <row r="1673" spans="1:79">
      <c r="A1673" t="s">
        <v>745</v>
      </c>
      <c r="B1673" t="s">
        <v>566</v>
      </c>
      <c r="C1673" t="s">
        <v>563</v>
      </c>
      <c r="D1673" t="s">
        <v>740</v>
      </c>
      <c r="E1673" t="s">
        <v>77</v>
      </c>
      <c r="F1673" t="s">
        <v>32</v>
      </c>
      <c r="G1673">
        <v>20</v>
      </c>
      <c r="H1673">
        <v>45</v>
      </c>
      <c r="I1673" t="b">
        <v>1</v>
      </c>
      <c r="J1673" t="s">
        <v>33</v>
      </c>
      <c r="K1673" t="s">
        <v>33</v>
      </c>
      <c r="L1673">
        <v>20</v>
      </c>
      <c r="M1673" s="4">
        <f t="shared" si="808"/>
        <v>3.699074074074074</v>
      </c>
      <c r="N1673" s="3">
        <f t="shared" si="804"/>
        <v>3.699074074074074</v>
      </c>
      <c r="O1673">
        <v>10</v>
      </c>
      <c r="P1673">
        <v>0.22</v>
      </c>
      <c r="Q1673" s="8">
        <f t="shared" si="809"/>
        <v>2.16</v>
      </c>
      <c r="R1673" t="s">
        <v>183</v>
      </c>
      <c r="S1673" t="s">
        <v>612</v>
      </c>
      <c r="T1673" s="11">
        <v>1</v>
      </c>
      <c r="U1673">
        <v>4</v>
      </c>
      <c r="V1673" t="s">
        <v>33</v>
      </c>
      <c r="W1673">
        <f t="shared" si="810"/>
        <v>6</v>
      </c>
      <c r="X1673" s="9">
        <f t="shared" si="811"/>
        <v>6</v>
      </c>
      <c r="Y1673" s="6">
        <f t="shared" si="812"/>
        <v>2.7777777777777777</v>
      </c>
      <c r="Z1673" s="3">
        <f t="shared" si="813"/>
        <v>2.7777777777777772</v>
      </c>
      <c r="AA1673" t="s">
        <v>33</v>
      </c>
      <c r="AB1673" s="4">
        <f t="shared" si="814"/>
        <v>7.9899999999999993</v>
      </c>
      <c r="AC1673" s="4">
        <f t="shared" si="820"/>
        <v>0.81379629629629624</v>
      </c>
      <c r="AD1673" s="4">
        <f t="shared" si="805"/>
        <v>7.9899999999999993</v>
      </c>
      <c r="AE1673" s="3">
        <f t="shared" si="815"/>
        <v>60.723999999999997</v>
      </c>
      <c r="AF1673">
        <v>79.900000000000006</v>
      </c>
      <c r="AG1673" s="4">
        <f t="shared" si="806"/>
        <v>8.1379629629629626</v>
      </c>
      <c r="AH1673" s="4">
        <f t="shared" si="807"/>
        <v>8.1379629629629626</v>
      </c>
      <c r="AI1673">
        <v>1</v>
      </c>
      <c r="AJ1673" s="11" t="s">
        <v>31</v>
      </c>
      <c r="AK1673">
        <v>1900</v>
      </c>
      <c r="AL1673" t="s">
        <v>747</v>
      </c>
      <c r="AM1673" t="s">
        <v>515</v>
      </c>
      <c r="AN1673" t="s">
        <v>205</v>
      </c>
      <c r="AO1673" t="s">
        <v>788</v>
      </c>
      <c r="AP1673">
        <v>3.8</v>
      </c>
      <c r="AQ1673" t="s">
        <v>33</v>
      </c>
      <c r="AR1673" t="s">
        <v>33</v>
      </c>
      <c r="AS1673" t="s">
        <v>33</v>
      </c>
      <c r="AT1673" t="s">
        <v>33</v>
      </c>
      <c r="AU1673" s="6">
        <v>2.1070000000000002</v>
      </c>
      <c r="AV1673" t="b">
        <v>1</v>
      </c>
      <c r="AW1673" t="s">
        <v>172</v>
      </c>
      <c r="AX1673" t="s">
        <v>173</v>
      </c>
      <c r="AY1673" t="s">
        <v>741</v>
      </c>
      <c r="AZ1673" t="s">
        <v>33</v>
      </c>
      <c r="BA1673" s="18" t="s">
        <v>799</v>
      </c>
      <c r="BB1673" s="3" t="b">
        <v>0</v>
      </c>
      <c r="BC1673" t="s">
        <v>81</v>
      </c>
      <c r="BD1673" t="s">
        <v>33</v>
      </c>
      <c r="BE1673" t="s">
        <v>80</v>
      </c>
      <c r="BF1673">
        <v>48</v>
      </c>
      <c r="BG1673" t="s">
        <v>574</v>
      </c>
      <c r="BH1673" t="s">
        <v>31</v>
      </c>
      <c r="BI1673" t="s">
        <v>31</v>
      </c>
      <c r="BJ1673" s="3">
        <f t="shared" si="802"/>
        <v>2.1070000000000002</v>
      </c>
      <c r="BK1673" s="3">
        <f t="shared" si="817"/>
        <v>0.32366453560810021</v>
      </c>
      <c r="BL1673">
        <v>2</v>
      </c>
      <c r="BM1673" s="3">
        <f t="shared" si="816"/>
        <v>1.4596958359866825</v>
      </c>
      <c r="BN1673" t="s">
        <v>33</v>
      </c>
      <c r="BO1673" s="3">
        <f t="shared" si="818"/>
        <v>28.820123398196483</v>
      </c>
      <c r="BP1673" t="s">
        <v>33</v>
      </c>
      <c r="BQ1673" t="s">
        <v>33</v>
      </c>
      <c r="BR1673" t="s">
        <v>33</v>
      </c>
      <c r="BS1673" t="s">
        <v>33</v>
      </c>
      <c r="BT1673" t="s">
        <v>32</v>
      </c>
      <c r="BU1673" t="s">
        <v>742</v>
      </c>
      <c r="BV1673">
        <v>2023</v>
      </c>
      <c r="BW1673" t="s">
        <v>748</v>
      </c>
      <c r="BX1673" t="s">
        <v>78</v>
      </c>
      <c r="BY1673" t="s">
        <v>711</v>
      </c>
      <c r="CA1673" t="str">
        <f t="shared" si="819"/>
        <v>high acid</v>
      </c>
    </row>
    <row r="1674" spans="1:79">
      <c r="A1674" t="s">
        <v>745</v>
      </c>
      <c r="B1674" t="s">
        <v>566</v>
      </c>
      <c r="C1674" t="s">
        <v>563</v>
      </c>
      <c r="D1674" t="s">
        <v>740</v>
      </c>
      <c r="E1674" t="s">
        <v>77</v>
      </c>
      <c r="F1674" t="s">
        <v>32</v>
      </c>
      <c r="G1674">
        <v>20</v>
      </c>
      <c r="H1674">
        <v>52</v>
      </c>
      <c r="I1674" t="b">
        <v>1</v>
      </c>
      <c r="J1674" t="s">
        <v>33</v>
      </c>
      <c r="K1674" t="s">
        <v>33</v>
      </c>
      <c r="L1674">
        <v>20</v>
      </c>
      <c r="M1674" s="4">
        <f t="shared" si="808"/>
        <v>4.4027777777777768</v>
      </c>
      <c r="N1674" s="3">
        <f t="shared" si="804"/>
        <v>4.4027777777777768</v>
      </c>
      <c r="O1674">
        <v>10</v>
      </c>
      <c r="P1674">
        <v>0.22</v>
      </c>
      <c r="Q1674" s="8">
        <f t="shared" si="809"/>
        <v>2.16</v>
      </c>
      <c r="R1674" t="s">
        <v>183</v>
      </c>
      <c r="S1674" t="s">
        <v>612</v>
      </c>
      <c r="T1674" s="11">
        <v>1</v>
      </c>
      <c r="U1674">
        <v>4</v>
      </c>
      <c r="V1674" t="s">
        <v>33</v>
      </c>
      <c r="W1674">
        <f t="shared" si="810"/>
        <v>6</v>
      </c>
      <c r="X1674" s="9">
        <f t="shared" si="811"/>
        <v>6</v>
      </c>
      <c r="Y1674" s="6">
        <f t="shared" si="812"/>
        <v>2.7777777777777777</v>
      </c>
      <c r="Z1674" s="3">
        <f t="shared" si="813"/>
        <v>2.7777777777777777</v>
      </c>
      <c r="AA1674" t="s">
        <v>33</v>
      </c>
      <c r="AB1674" s="4">
        <f t="shared" si="814"/>
        <v>9.509999999999998</v>
      </c>
      <c r="AC1674" s="4">
        <f t="shared" si="820"/>
        <v>0.96861111111111087</v>
      </c>
      <c r="AD1674" s="4">
        <f t="shared" si="805"/>
        <v>9.509999999999998</v>
      </c>
      <c r="AE1674" s="3">
        <f t="shared" si="815"/>
        <v>72.275999999999982</v>
      </c>
      <c r="AF1674">
        <v>95.1</v>
      </c>
      <c r="AG1674" s="4">
        <f t="shared" si="806"/>
        <v>9.68611111111111</v>
      </c>
      <c r="AH1674" s="4">
        <f t="shared" si="807"/>
        <v>9.68611111111111</v>
      </c>
      <c r="AI1674">
        <v>1</v>
      </c>
      <c r="AJ1674" s="11" t="s">
        <v>31</v>
      </c>
      <c r="AK1674">
        <v>1900</v>
      </c>
      <c r="AL1674" t="s">
        <v>747</v>
      </c>
      <c r="AM1674" t="s">
        <v>515</v>
      </c>
      <c r="AN1674" t="s">
        <v>205</v>
      </c>
      <c r="AO1674" t="s">
        <v>788</v>
      </c>
      <c r="AP1674">
        <v>3.8</v>
      </c>
      <c r="AQ1674" t="s">
        <v>33</v>
      </c>
      <c r="AR1674" t="s">
        <v>33</v>
      </c>
      <c r="AS1674" t="s">
        <v>33</v>
      </c>
      <c r="AT1674" t="s">
        <v>33</v>
      </c>
      <c r="AU1674" s="6">
        <v>3.9550000000000001</v>
      </c>
      <c r="AV1674" t="b">
        <v>1</v>
      </c>
      <c r="AW1674" t="s">
        <v>172</v>
      </c>
      <c r="AX1674" t="s">
        <v>173</v>
      </c>
      <c r="AY1674" t="s">
        <v>741</v>
      </c>
      <c r="AZ1674" t="s">
        <v>33</v>
      </c>
      <c r="BA1674" s="18" t="s">
        <v>799</v>
      </c>
      <c r="BB1674" s="3" t="b">
        <v>0</v>
      </c>
      <c r="BC1674" t="s">
        <v>81</v>
      </c>
      <c r="BD1674" t="s">
        <v>33</v>
      </c>
      <c r="BE1674" t="s">
        <v>80</v>
      </c>
      <c r="BF1674">
        <v>48</v>
      </c>
      <c r="BG1674" t="s">
        <v>574</v>
      </c>
      <c r="BH1674" t="s">
        <v>31</v>
      </c>
      <c r="BI1674" t="s">
        <v>31</v>
      </c>
      <c r="BJ1674" s="3">
        <f t="shared" si="802"/>
        <v>3.9550000000000001</v>
      </c>
      <c r="BK1674" s="3">
        <f t="shared" si="817"/>
        <v>0.59714648783369539</v>
      </c>
      <c r="BL1674">
        <v>2</v>
      </c>
      <c r="BM1674" s="3">
        <f t="shared" si="816"/>
        <v>1.2618476213845098</v>
      </c>
      <c r="BN1674" t="s">
        <v>33</v>
      </c>
      <c r="BO1674" s="3">
        <f t="shared" si="818"/>
        <v>18.274589127686468</v>
      </c>
      <c r="BP1674" t="s">
        <v>33</v>
      </c>
      <c r="BQ1674" t="s">
        <v>33</v>
      </c>
      <c r="BR1674" t="s">
        <v>33</v>
      </c>
      <c r="BS1674" t="s">
        <v>33</v>
      </c>
      <c r="BT1674" t="s">
        <v>32</v>
      </c>
      <c r="BU1674" t="s">
        <v>742</v>
      </c>
      <c r="BV1674">
        <v>2023</v>
      </c>
      <c r="BW1674" t="s">
        <v>748</v>
      </c>
      <c r="BX1674" t="s">
        <v>78</v>
      </c>
      <c r="BY1674" t="s">
        <v>711</v>
      </c>
      <c r="CA1674" t="str">
        <f t="shared" si="819"/>
        <v>high acid</v>
      </c>
    </row>
    <row r="1675" spans="1:79">
      <c r="A1675" t="s">
        <v>745</v>
      </c>
      <c r="B1675" t="s">
        <v>566</v>
      </c>
      <c r="C1675" t="s">
        <v>563</v>
      </c>
      <c r="D1675" t="s">
        <v>740</v>
      </c>
      <c r="E1675" t="s">
        <v>77</v>
      </c>
      <c r="F1675" t="s">
        <v>32</v>
      </c>
      <c r="G1675">
        <v>20</v>
      </c>
      <c r="H1675">
        <v>35</v>
      </c>
      <c r="I1675" t="b">
        <v>1</v>
      </c>
      <c r="J1675" t="s">
        <v>33</v>
      </c>
      <c r="K1675" t="s">
        <v>33</v>
      </c>
      <c r="L1675">
        <v>25</v>
      </c>
      <c r="M1675" s="4">
        <f t="shared" si="808"/>
        <v>1.5138888888888888</v>
      </c>
      <c r="N1675" s="3">
        <f t="shared" si="804"/>
        <v>1.5138888888888888</v>
      </c>
      <c r="O1675">
        <v>10</v>
      </c>
      <c r="P1675">
        <v>0.22</v>
      </c>
      <c r="Q1675" s="8">
        <f t="shared" si="809"/>
        <v>2.16</v>
      </c>
      <c r="R1675" t="s">
        <v>183</v>
      </c>
      <c r="S1675" t="s">
        <v>612</v>
      </c>
      <c r="T1675" s="11">
        <v>1</v>
      </c>
      <c r="U1675">
        <v>4</v>
      </c>
      <c r="V1675" t="s">
        <v>33</v>
      </c>
      <c r="W1675">
        <f t="shared" si="810"/>
        <v>6</v>
      </c>
      <c r="X1675" s="9">
        <f t="shared" si="811"/>
        <v>6</v>
      </c>
      <c r="Y1675" s="6">
        <f t="shared" si="812"/>
        <v>2.7777777777777777</v>
      </c>
      <c r="Z1675" s="3">
        <f t="shared" si="813"/>
        <v>2.7777777777777768</v>
      </c>
      <c r="AA1675" t="s">
        <v>33</v>
      </c>
      <c r="AB1675" s="4">
        <f t="shared" si="814"/>
        <v>3.2699999999999996</v>
      </c>
      <c r="AC1675" s="4">
        <f t="shared" si="820"/>
        <v>0.33305555555555555</v>
      </c>
      <c r="AD1675" s="4">
        <f t="shared" si="805"/>
        <v>3.2699999999999996</v>
      </c>
      <c r="AE1675" s="3">
        <f t="shared" si="815"/>
        <v>38.83124999999999</v>
      </c>
      <c r="AF1675">
        <v>32.700000000000003</v>
      </c>
      <c r="AG1675" s="4">
        <f t="shared" si="806"/>
        <v>3.3305555555555557</v>
      </c>
      <c r="AH1675" s="4">
        <f t="shared" si="807"/>
        <v>3.3305555555555557</v>
      </c>
      <c r="AI1675">
        <v>1</v>
      </c>
      <c r="AJ1675" s="11" t="s">
        <v>31</v>
      </c>
      <c r="AK1675">
        <v>1900</v>
      </c>
      <c r="AL1675" t="s">
        <v>747</v>
      </c>
      <c r="AM1675" t="s">
        <v>515</v>
      </c>
      <c r="AN1675" t="s">
        <v>205</v>
      </c>
      <c r="AO1675" t="s">
        <v>788</v>
      </c>
      <c r="AP1675">
        <v>3.8</v>
      </c>
      <c r="AQ1675" t="s">
        <v>33</v>
      </c>
      <c r="AR1675" t="s">
        <v>33</v>
      </c>
      <c r="AS1675" t="s">
        <v>33</v>
      </c>
      <c r="AT1675" t="s">
        <v>33</v>
      </c>
      <c r="AU1675" s="6">
        <v>1.0529999999999999</v>
      </c>
      <c r="AV1675" t="b">
        <v>1</v>
      </c>
      <c r="AW1675" t="s">
        <v>172</v>
      </c>
      <c r="AX1675" t="s">
        <v>173</v>
      </c>
      <c r="AY1675" t="s">
        <v>741</v>
      </c>
      <c r="AZ1675" t="s">
        <v>33</v>
      </c>
      <c r="BA1675" s="18" t="s">
        <v>799</v>
      </c>
      <c r="BB1675" s="3" t="b">
        <v>0</v>
      </c>
      <c r="BC1675" t="s">
        <v>81</v>
      </c>
      <c r="BD1675" t="s">
        <v>33</v>
      </c>
      <c r="BE1675" t="s">
        <v>80</v>
      </c>
      <c r="BF1675">
        <v>48</v>
      </c>
      <c r="BG1675" t="s">
        <v>574</v>
      </c>
      <c r="BH1675" t="s">
        <v>31</v>
      </c>
      <c r="BI1675" t="s">
        <v>31</v>
      </c>
      <c r="BJ1675" s="3">
        <f t="shared" si="802"/>
        <v>1.0529999999999999</v>
      </c>
      <c r="BK1675" s="3">
        <f t="shared" si="817"/>
        <v>2.2428371185486493E-2</v>
      </c>
      <c r="BL1675">
        <v>2</v>
      </c>
      <c r="BM1675" s="3">
        <f t="shared" si="816"/>
        <v>1.5667529997717038</v>
      </c>
      <c r="BN1675" t="s">
        <v>33</v>
      </c>
      <c r="BO1675" s="3">
        <f t="shared" si="818"/>
        <v>36.876780626780622</v>
      </c>
      <c r="BP1675" t="s">
        <v>33</v>
      </c>
      <c r="BQ1675" t="s">
        <v>33</v>
      </c>
      <c r="BR1675" t="s">
        <v>33</v>
      </c>
      <c r="BS1675" t="s">
        <v>33</v>
      </c>
      <c r="BT1675" t="s">
        <v>32</v>
      </c>
      <c r="BU1675" t="s">
        <v>742</v>
      </c>
      <c r="BV1675">
        <v>2023</v>
      </c>
      <c r="BW1675" t="s">
        <v>748</v>
      </c>
      <c r="BX1675" t="s">
        <v>78</v>
      </c>
      <c r="BY1675" t="s">
        <v>711</v>
      </c>
      <c r="CA1675" t="str">
        <f t="shared" si="819"/>
        <v>high acid</v>
      </c>
    </row>
    <row r="1676" spans="1:79">
      <c r="A1676" t="s">
        <v>745</v>
      </c>
      <c r="B1676" t="s">
        <v>566</v>
      </c>
      <c r="C1676" t="s">
        <v>563</v>
      </c>
      <c r="D1676" t="s">
        <v>740</v>
      </c>
      <c r="E1676" t="s">
        <v>77</v>
      </c>
      <c r="F1676" t="s">
        <v>32</v>
      </c>
      <c r="G1676">
        <v>20</v>
      </c>
      <c r="H1676">
        <v>40</v>
      </c>
      <c r="I1676" t="b">
        <v>1</v>
      </c>
      <c r="J1676" t="s">
        <v>33</v>
      </c>
      <c r="K1676" t="s">
        <v>33</v>
      </c>
      <c r="L1676">
        <v>25</v>
      </c>
      <c r="M1676" s="4">
        <f t="shared" si="808"/>
        <v>1.9166666666666665</v>
      </c>
      <c r="N1676" s="3">
        <f t="shared" si="804"/>
        <v>1.9166666666666665</v>
      </c>
      <c r="O1676">
        <v>10</v>
      </c>
      <c r="P1676">
        <v>0.22</v>
      </c>
      <c r="Q1676" s="8">
        <f t="shared" si="809"/>
        <v>2.16</v>
      </c>
      <c r="R1676" t="s">
        <v>183</v>
      </c>
      <c r="S1676" t="s">
        <v>612</v>
      </c>
      <c r="T1676" s="11">
        <v>1</v>
      </c>
      <c r="U1676">
        <v>4</v>
      </c>
      <c r="V1676" t="s">
        <v>33</v>
      </c>
      <c r="W1676">
        <f t="shared" si="810"/>
        <v>6</v>
      </c>
      <c r="X1676" s="9">
        <f t="shared" si="811"/>
        <v>6</v>
      </c>
      <c r="Y1676" s="6">
        <f t="shared" si="812"/>
        <v>2.7777777777777777</v>
      </c>
      <c r="Z1676" s="3">
        <f t="shared" si="813"/>
        <v>2.7777777777777777</v>
      </c>
      <c r="AA1676" t="s">
        <v>33</v>
      </c>
      <c r="AB1676" s="4">
        <f t="shared" si="814"/>
        <v>4.1400000000000006</v>
      </c>
      <c r="AC1676" s="4">
        <f t="shared" si="820"/>
        <v>0.42166666666666663</v>
      </c>
      <c r="AD1676" s="4">
        <f t="shared" si="805"/>
        <v>4.1400000000000006</v>
      </c>
      <c r="AE1676" s="3">
        <f t="shared" si="815"/>
        <v>49.162499999999987</v>
      </c>
      <c r="AF1676">
        <v>41.4</v>
      </c>
      <c r="AG1676" s="4">
        <f t="shared" si="806"/>
        <v>4.2166666666666659</v>
      </c>
      <c r="AH1676" s="4">
        <f t="shared" si="807"/>
        <v>4.2166666666666659</v>
      </c>
      <c r="AI1676">
        <v>1</v>
      </c>
      <c r="AJ1676" s="11" t="s">
        <v>31</v>
      </c>
      <c r="AK1676">
        <v>1900</v>
      </c>
      <c r="AL1676" t="s">
        <v>747</v>
      </c>
      <c r="AM1676" t="s">
        <v>515</v>
      </c>
      <c r="AN1676" t="s">
        <v>205</v>
      </c>
      <c r="AO1676" t="s">
        <v>788</v>
      </c>
      <c r="AP1676">
        <v>3.8</v>
      </c>
      <c r="AQ1676" t="s">
        <v>33</v>
      </c>
      <c r="AR1676" t="s">
        <v>33</v>
      </c>
      <c r="AS1676" t="s">
        <v>33</v>
      </c>
      <c r="AT1676" t="s">
        <v>33</v>
      </c>
      <c r="AU1676" s="6">
        <v>1.552</v>
      </c>
      <c r="AV1676" t="b">
        <v>1</v>
      </c>
      <c r="AW1676" t="s">
        <v>172</v>
      </c>
      <c r="AX1676" t="s">
        <v>173</v>
      </c>
      <c r="AY1676" t="s">
        <v>741</v>
      </c>
      <c r="AZ1676" t="s">
        <v>33</v>
      </c>
      <c r="BA1676" s="18" t="s">
        <v>799</v>
      </c>
      <c r="BB1676" s="3" t="b">
        <v>0</v>
      </c>
      <c r="BC1676" t="s">
        <v>81</v>
      </c>
      <c r="BD1676" t="s">
        <v>33</v>
      </c>
      <c r="BE1676" t="s">
        <v>80</v>
      </c>
      <c r="BF1676">
        <v>48</v>
      </c>
      <c r="BG1676" t="s">
        <v>574</v>
      </c>
      <c r="BH1676" t="s">
        <v>31</v>
      </c>
      <c r="BI1676" t="s">
        <v>31</v>
      </c>
      <c r="BJ1676" s="3">
        <f t="shared" si="802"/>
        <v>1.552</v>
      </c>
      <c r="BK1676" s="3">
        <f t="shared" si="817"/>
        <v>0.19089171692216964</v>
      </c>
      <c r="BL1676">
        <v>2</v>
      </c>
      <c r="BM1676" s="3">
        <f t="shared" si="816"/>
        <v>1.5007422424956334</v>
      </c>
      <c r="BN1676" t="s">
        <v>33</v>
      </c>
      <c r="BO1676" s="3">
        <f t="shared" si="818"/>
        <v>31.67686855670102</v>
      </c>
      <c r="BP1676" t="s">
        <v>33</v>
      </c>
      <c r="BQ1676" t="s">
        <v>33</v>
      </c>
      <c r="BR1676" t="s">
        <v>33</v>
      </c>
      <c r="BS1676" t="s">
        <v>33</v>
      </c>
      <c r="BT1676" t="s">
        <v>32</v>
      </c>
      <c r="BU1676" t="s">
        <v>742</v>
      </c>
      <c r="BV1676">
        <v>2023</v>
      </c>
      <c r="BW1676" t="s">
        <v>748</v>
      </c>
      <c r="BX1676" t="s">
        <v>78</v>
      </c>
      <c r="BY1676" t="s">
        <v>711</v>
      </c>
      <c r="CA1676" t="str">
        <f t="shared" si="819"/>
        <v>high acid</v>
      </c>
    </row>
    <row r="1677" spans="1:79">
      <c r="A1677" t="s">
        <v>745</v>
      </c>
      <c r="B1677" t="s">
        <v>566</v>
      </c>
      <c r="C1677" t="s">
        <v>563</v>
      </c>
      <c r="D1677" t="s">
        <v>740</v>
      </c>
      <c r="E1677" t="s">
        <v>77</v>
      </c>
      <c r="F1677" t="s">
        <v>32</v>
      </c>
      <c r="G1677">
        <v>20</v>
      </c>
      <c r="H1677">
        <v>48</v>
      </c>
      <c r="I1677" t="b">
        <v>1</v>
      </c>
      <c r="J1677" t="s">
        <v>33</v>
      </c>
      <c r="K1677" t="s">
        <v>33</v>
      </c>
      <c r="L1677">
        <v>25</v>
      </c>
      <c r="M1677" s="4">
        <f t="shared" si="808"/>
        <v>2.4074074074074074</v>
      </c>
      <c r="N1677" s="3">
        <f t="shared" si="804"/>
        <v>2.4074074074074074</v>
      </c>
      <c r="O1677">
        <v>10</v>
      </c>
      <c r="P1677">
        <v>0.22</v>
      </c>
      <c r="Q1677" s="8">
        <f t="shared" si="809"/>
        <v>2.16</v>
      </c>
      <c r="R1677" t="s">
        <v>183</v>
      </c>
      <c r="S1677" t="s">
        <v>612</v>
      </c>
      <c r="T1677" s="11">
        <v>1</v>
      </c>
      <c r="U1677">
        <v>4</v>
      </c>
      <c r="V1677" t="s">
        <v>33</v>
      </c>
      <c r="W1677">
        <f t="shared" si="810"/>
        <v>6</v>
      </c>
      <c r="X1677" s="9">
        <f t="shared" si="811"/>
        <v>6</v>
      </c>
      <c r="Y1677" s="6">
        <f t="shared" si="812"/>
        <v>2.7777777777777777</v>
      </c>
      <c r="Z1677" s="3">
        <f t="shared" si="813"/>
        <v>2.7777777777777781</v>
      </c>
      <c r="AA1677" t="s">
        <v>33</v>
      </c>
      <c r="AB1677" s="4">
        <f t="shared" si="814"/>
        <v>5.2</v>
      </c>
      <c r="AC1677" s="4">
        <f t="shared" si="820"/>
        <v>0.52962962962962967</v>
      </c>
      <c r="AD1677" s="4">
        <f t="shared" si="805"/>
        <v>5.2</v>
      </c>
      <c r="AE1677" s="3">
        <f t="shared" si="815"/>
        <v>61.75</v>
      </c>
      <c r="AF1677">
        <v>52</v>
      </c>
      <c r="AG1677" s="4">
        <f t="shared" si="806"/>
        <v>5.2962962962962967</v>
      </c>
      <c r="AH1677" s="4">
        <f t="shared" si="807"/>
        <v>5.2962962962962967</v>
      </c>
      <c r="AI1677">
        <v>1</v>
      </c>
      <c r="AJ1677" s="11" t="s">
        <v>31</v>
      </c>
      <c r="AK1677">
        <v>1900</v>
      </c>
      <c r="AL1677" t="s">
        <v>747</v>
      </c>
      <c r="AM1677" t="s">
        <v>515</v>
      </c>
      <c r="AN1677" t="s">
        <v>205</v>
      </c>
      <c r="AO1677" t="s">
        <v>788</v>
      </c>
      <c r="AP1677">
        <v>3.8</v>
      </c>
      <c r="AQ1677" t="s">
        <v>33</v>
      </c>
      <c r="AR1677" t="s">
        <v>33</v>
      </c>
      <c r="AS1677" t="s">
        <v>33</v>
      </c>
      <c r="AT1677" t="s">
        <v>33</v>
      </c>
      <c r="AU1677" s="6">
        <v>1.978</v>
      </c>
      <c r="AV1677" t="b">
        <v>1</v>
      </c>
      <c r="AW1677" t="s">
        <v>172</v>
      </c>
      <c r="AX1677" t="s">
        <v>173</v>
      </c>
      <c r="AY1677" t="s">
        <v>741</v>
      </c>
      <c r="AZ1677" t="s">
        <v>33</v>
      </c>
      <c r="BA1677" s="18" t="s">
        <v>799</v>
      </c>
      <c r="BB1677" s="3" t="b">
        <v>0</v>
      </c>
      <c r="BC1677" t="s">
        <v>81</v>
      </c>
      <c r="BD1677" t="s">
        <v>33</v>
      </c>
      <c r="BE1677" t="s">
        <v>80</v>
      </c>
      <c r="BF1677">
        <v>48</v>
      </c>
      <c r="BG1677" t="s">
        <v>574</v>
      </c>
      <c r="BH1677" t="s">
        <v>31</v>
      </c>
      <c r="BI1677" t="s">
        <v>31</v>
      </c>
      <c r="BJ1677" s="3">
        <f t="shared" si="802"/>
        <v>1.978</v>
      </c>
      <c r="BK1677" s="3">
        <f t="shared" si="817"/>
        <v>0.29622628726116057</v>
      </c>
      <c r="BL1677">
        <v>2</v>
      </c>
      <c r="BM1677" s="3">
        <f t="shared" si="816"/>
        <v>1.4944106746705428</v>
      </c>
      <c r="BN1677" t="s">
        <v>33</v>
      </c>
      <c r="BO1677" s="3">
        <f t="shared" si="818"/>
        <v>31.218402426693629</v>
      </c>
      <c r="BP1677" t="s">
        <v>33</v>
      </c>
      <c r="BQ1677" t="s">
        <v>33</v>
      </c>
      <c r="BR1677" t="s">
        <v>33</v>
      </c>
      <c r="BS1677" t="s">
        <v>33</v>
      </c>
      <c r="BT1677" t="s">
        <v>32</v>
      </c>
      <c r="BU1677" t="s">
        <v>742</v>
      </c>
      <c r="BV1677">
        <v>2023</v>
      </c>
      <c r="BW1677" t="s">
        <v>748</v>
      </c>
      <c r="BX1677" t="s">
        <v>78</v>
      </c>
      <c r="BY1677" t="s">
        <v>711</v>
      </c>
      <c r="CA1677" t="str">
        <f t="shared" si="819"/>
        <v>high acid</v>
      </c>
    </row>
    <row r="1678" spans="1:79">
      <c r="A1678" t="s">
        <v>745</v>
      </c>
      <c r="B1678" t="s">
        <v>566</v>
      </c>
      <c r="C1678" t="s">
        <v>563</v>
      </c>
      <c r="D1678" t="s">
        <v>740</v>
      </c>
      <c r="E1678" t="s">
        <v>77</v>
      </c>
      <c r="F1678" t="s">
        <v>32</v>
      </c>
      <c r="G1678">
        <v>20</v>
      </c>
      <c r="H1678">
        <v>51</v>
      </c>
      <c r="I1678" t="b">
        <v>1</v>
      </c>
      <c r="J1678" t="s">
        <v>33</v>
      </c>
      <c r="K1678" t="s">
        <v>33</v>
      </c>
      <c r="L1678">
        <v>25</v>
      </c>
      <c r="M1678" s="4">
        <f t="shared" si="808"/>
        <v>2.7962962962962958</v>
      </c>
      <c r="N1678" s="3">
        <f t="shared" si="804"/>
        <v>2.7962962962962958</v>
      </c>
      <c r="O1678">
        <v>10</v>
      </c>
      <c r="P1678">
        <v>0.22</v>
      </c>
      <c r="Q1678" s="8">
        <f t="shared" si="809"/>
        <v>2.16</v>
      </c>
      <c r="R1678" t="s">
        <v>183</v>
      </c>
      <c r="S1678" t="s">
        <v>612</v>
      </c>
      <c r="T1678" s="11">
        <v>1</v>
      </c>
      <c r="U1678">
        <v>4</v>
      </c>
      <c r="V1678" t="s">
        <v>33</v>
      </c>
      <c r="W1678">
        <f t="shared" si="810"/>
        <v>6</v>
      </c>
      <c r="X1678" s="9">
        <f t="shared" si="811"/>
        <v>6</v>
      </c>
      <c r="Y1678" s="6">
        <f t="shared" si="812"/>
        <v>2.7777777777777777</v>
      </c>
      <c r="Z1678" s="3">
        <f t="shared" si="813"/>
        <v>2.7777777777777772</v>
      </c>
      <c r="AA1678" t="s">
        <v>33</v>
      </c>
      <c r="AB1678" s="4">
        <f t="shared" si="814"/>
        <v>6.0399999999999991</v>
      </c>
      <c r="AC1678" s="4">
        <f t="shared" si="820"/>
        <v>0.61518518518518506</v>
      </c>
      <c r="AD1678" s="4">
        <f t="shared" si="805"/>
        <v>6.0399999999999991</v>
      </c>
      <c r="AE1678" s="3">
        <f t="shared" si="815"/>
        <v>71.724999999999994</v>
      </c>
      <c r="AF1678">
        <v>60.4</v>
      </c>
      <c r="AG1678" s="4">
        <f t="shared" si="806"/>
        <v>6.151851851851851</v>
      </c>
      <c r="AH1678" s="4">
        <f t="shared" si="807"/>
        <v>6.151851851851851</v>
      </c>
      <c r="AI1678">
        <v>1</v>
      </c>
      <c r="AJ1678" s="11" t="s">
        <v>31</v>
      </c>
      <c r="AK1678">
        <v>1900</v>
      </c>
      <c r="AL1678" t="s">
        <v>747</v>
      </c>
      <c r="AM1678" t="s">
        <v>515</v>
      </c>
      <c r="AN1678" t="s">
        <v>205</v>
      </c>
      <c r="AO1678" t="s">
        <v>788</v>
      </c>
      <c r="AP1678">
        <v>3.8</v>
      </c>
      <c r="AQ1678" t="s">
        <v>33</v>
      </c>
      <c r="AR1678" t="s">
        <v>33</v>
      </c>
      <c r="AS1678" t="s">
        <v>33</v>
      </c>
      <c r="AT1678" t="s">
        <v>33</v>
      </c>
      <c r="AU1678" s="6">
        <v>3.7639999999999998</v>
      </c>
      <c r="AV1678" t="b">
        <v>1</v>
      </c>
      <c r="AW1678" t="s">
        <v>172</v>
      </c>
      <c r="AX1678" t="s">
        <v>173</v>
      </c>
      <c r="AY1678" t="s">
        <v>741</v>
      </c>
      <c r="AZ1678" t="s">
        <v>33</v>
      </c>
      <c r="BA1678" s="18" t="s">
        <v>799</v>
      </c>
      <c r="BB1678" s="3" t="b">
        <v>0</v>
      </c>
      <c r="BC1678" t="s">
        <v>81</v>
      </c>
      <c r="BD1678" t="s">
        <v>33</v>
      </c>
      <c r="BE1678" t="s">
        <v>80</v>
      </c>
      <c r="BF1678">
        <v>48</v>
      </c>
      <c r="BG1678" t="s">
        <v>574</v>
      </c>
      <c r="BH1678" t="s">
        <v>31</v>
      </c>
      <c r="BI1678" t="s">
        <v>31</v>
      </c>
      <c r="BJ1678" s="3">
        <f t="shared" si="802"/>
        <v>3.7639999999999998</v>
      </c>
      <c r="BK1678" s="3">
        <f t="shared" si="817"/>
        <v>0.57564961475521925</v>
      </c>
      <c r="BL1678">
        <v>2</v>
      </c>
      <c r="BM1678" s="3">
        <f t="shared" si="816"/>
        <v>1.2800209421628166</v>
      </c>
      <c r="BN1678" t="s">
        <v>33</v>
      </c>
      <c r="BO1678" s="3">
        <f t="shared" si="818"/>
        <v>19.055526036131774</v>
      </c>
      <c r="BP1678" t="s">
        <v>33</v>
      </c>
      <c r="BQ1678" t="s">
        <v>33</v>
      </c>
      <c r="BR1678" t="s">
        <v>33</v>
      </c>
      <c r="BS1678" t="s">
        <v>33</v>
      </c>
      <c r="BT1678" t="s">
        <v>32</v>
      </c>
      <c r="BU1678" t="s">
        <v>742</v>
      </c>
      <c r="BV1678">
        <v>2023</v>
      </c>
      <c r="BW1678" t="s">
        <v>748</v>
      </c>
      <c r="BX1678" t="s">
        <v>78</v>
      </c>
      <c r="BY1678" t="s">
        <v>711</v>
      </c>
      <c r="CA1678" t="str">
        <f t="shared" si="819"/>
        <v>high acid</v>
      </c>
    </row>
    <row r="1679" spans="1:79" ht="15" customHeight="1">
      <c r="A1679" t="s">
        <v>749</v>
      </c>
      <c r="B1679" t="s">
        <v>566</v>
      </c>
      <c r="C1679" t="s">
        <v>563</v>
      </c>
      <c r="D1679" t="s">
        <v>740</v>
      </c>
      <c r="E1679" t="s">
        <v>77</v>
      </c>
      <c r="F1679" t="s">
        <v>32</v>
      </c>
      <c r="G1679">
        <v>20</v>
      </c>
      <c r="H1679">
        <v>29.6</v>
      </c>
      <c r="I1679" t="b">
        <v>1</v>
      </c>
      <c r="J1679" t="s">
        <v>33</v>
      </c>
      <c r="K1679" t="s">
        <v>33</v>
      </c>
      <c r="L1679">
        <v>15</v>
      </c>
      <c r="M1679" s="4">
        <f t="shared" si="808"/>
        <v>3.1944444444444442</v>
      </c>
      <c r="N1679" s="3">
        <f t="shared" si="804"/>
        <v>3.1944444444444442</v>
      </c>
      <c r="O1679">
        <v>10</v>
      </c>
      <c r="P1679">
        <v>0.22</v>
      </c>
      <c r="Q1679" s="8">
        <f t="shared" si="809"/>
        <v>2.16</v>
      </c>
      <c r="R1679" t="s">
        <v>183</v>
      </c>
      <c r="S1679" t="s">
        <v>612</v>
      </c>
      <c r="T1679" s="11">
        <v>1</v>
      </c>
      <c r="U1679">
        <v>4</v>
      </c>
      <c r="V1679" t="s">
        <v>33</v>
      </c>
      <c r="W1679">
        <f t="shared" si="810"/>
        <v>6</v>
      </c>
      <c r="X1679" s="9">
        <f t="shared" si="811"/>
        <v>6</v>
      </c>
      <c r="Y1679" s="6">
        <f t="shared" si="812"/>
        <v>2.7777777777777777</v>
      </c>
      <c r="Z1679" s="3">
        <f t="shared" si="813"/>
        <v>2.7777777777777772</v>
      </c>
      <c r="AA1679" t="s">
        <v>33</v>
      </c>
      <c r="AB1679" s="4">
        <f t="shared" si="814"/>
        <v>6.8999999999999995</v>
      </c>
      <c r="AC1679" s="4">
        <f t="shared" si="820"/>
        <v>0.70277777777777772</v>
      </c>
      <c r="AD1679" s="4">
        <f t="shared" si="805"/>
        <v>6.8999999999999995</v>
      </c>
      <c r="AE1679" s="3">
        <f t="shared" si="815"/>
        <v>31.05</v>
      </c>
      <c r="AF1679">
        <v>69</v>
      </c>
      <c r="AG1679" s="4">
        <f t="shared" si="806"/>
        <v>7.0277777777777777</v>
      </c>
      <c r="AH1679" s="4">
        <f t="shared" si="807"/>
        <v>7.0277777777777777</v>
      </c>
      <c r="AI1679">
        <v>1</v>
      </c>
      <c r="AJ1679" s="11" t="s">
        <v>31</v>
      </c>
      <c r="AK1679">
        <v>2000</v>
      </c>
      <c r="AL1679" t="s">
        <v>747</v>
      </c>
      <c r="AM1679" t="s">
        <v>515</v>
      </c>
      <c r="AN1679" t="s">
        <v>205</v>
      </c>
      <c r="AO1679" t="s">
        <v>788</v>
      </c>
      <c r="AP1679">
        <v>3.54</v>
      </c>
      <c r="AQ1679" t="s">
        <v>33</v>
      </c>
      <c r="AR1679" t="s">
        <v>33</v>
      </c>
      <c r="AS1679" t="s">
        <v>33</v>
      </c>
      <c r="AT1679" t="s">
        <v>33</v>
      </c>
      <c r="AU1679" s="6">
        <v>0.78100000000000003</v>
      </c>
      <c r="AV1679" t="b">
        <v>1</v>
      </c>
      <c r="AW1679" t="s">
        <v>477</v>
      </c>
      <c r="AX1679" t="s">
        <v>471</v>
      </c>
      <c r="AY1679" t="s">
        <v>750</v>
      </c>
      <c r="AZ1679" t="s">
        <v>33</v>
      </c>
      <c r="BA1679" s="18" t="s">
        <v>579</v>
      </c>
      <c r="BB1679" s="3" t="b">
        <v>1</v>
      </c>
      <c r="BC1679" t="s">
        <v>81</v>
      </c>
      <c r="BD1679" t="s">
        <v>33</v>
      </c>
      <c r="BE1679" t="s">
        <v>80</v>
      </c>
      <c r="BF1679">
        <v>48</v>
      </c>
      <c r="BG1679" t="s">
        <v>395</v>
      </c>
      <c r="BH1679" t="s">
        <v>32</v>
      </c>
      <c r="BI1679" t="s">
        <v>31</v>
      </c>
      <c r="BJ1679" s="3">
        <f t="shared" si="802"/>
        <v>0.78100000000000003</v>
      </c>
      <c r="BK1679" s="3">
        <f t="shared" si="817"/>
        <v>-0.10734896612269966</v>
      </c>
      <c r="BL1679">
        <v>2</v>
      </c>
      <c r="BM1679" s="3">
        <f t="shared" si="816"/>
        <v>1.5994105706352986</v>
      </c>
      <c r="BN1679" t="s">
        <v>33</v>
      </c>
      <c r="BO1679" s="3">
        <f t="shared" si="818"/>
        <v>39.756722151088347</v>
      </c>
      <c r="BP1679" t="s">
        <v>33</v>
      </c>
      <c r="BQ1679" t="s">
        <v>33</v>
      </c>
      <c r="BR1679" t="s">
        <v>33</v>
      </c>
      <c r="BS1679" t="s">
        <v>33</v>
      </c>
      <c r="BT1679" t="s">
        <v>32</v>
      </c>
      <c r="BU1679" t="s">
        <v>742</v>
      </c>
      <c r="BV1679">
        <v>2023</v>
      </c>
      <c r="BW1679" t="s">
        <v>748</v>
      </c>
      <c r="BX1679" t="s">
        <v>78</v>
      </c>
      <c r="BY1679" t="s">
        <v>711</v>
      </c>
      <c r="CA1679" t="str">
        <f t="shared" si="819"/>
        <v>high acid</v>
      </c>
    </row>
    <row r="1680" spans="1:79">
      <c r="A1680" t="s">
        <v>749</v>
      </c>
      <c r="B1680" t="s">
        <v>566</v>
      </c>
      <c r="C1680" t="s">
        <v>563</v>
      </c>
      <c r="D1680" t="s">
        <v>740</v>
      </c>
      <c r="E1680" t="s">
        <v>77</v>
      </c>
      <c r="F1680" t="s">
        <v>32</v>
      </c>
      <c r="G1680">
        <v>20</v>
      </c>
      <c r="H1680">
        <v>34.799999999999997</v>
      </c>
      <c r="I1680" t="b">
        <v>1</v>
      </c>
      <c r="J1680" t="s">
        <v>33</v>
      </c>
      <c r="K1680" t="s">
        <v>33</v>
      </c>
      <c r="L1680">
        <v>15</v>
      </c>
      <c r="M1680" s="4">
        <f t="shared" si="808"/>
        <v>4.6944444444444446</v>
      </c>
      <c r="N1680" s="3">
        <f t="shared" si="804"/>
        <v>4.6944444444444446</v>
      </c>
      <c r="O1680">
        <v>10</v>
      </c>
      <c r="P1680">
        <v>0.22</v>
      </c>
      <c r="Q1680" s="8">
        <f t="shared" si="809"/>
        <v>2.16</v>
      </c>
      <c r="R1680" t="s">
        <v>183</v>
      </c>
      <c r="S1680" t="s">
        <v>612</v>
      </c>
      <c r="T1680" s="11">
        <v>1</v>
      </c>
      <c r="U1680">
        <v>4</v>
      </c>
      <c r="V1680" t="s">
        <v>33</v>
      </c>
      <c r="W1680">
        <f t="shared" si="810"/>
        <v>6</v>
      </c>
      <c r="X1680" s="9">
        <f t="shared" si="811"/>
        <v>6</v>
      </c>
      <c r="Y1680" s="6">
        <f t="shared" si="812"/>
        <v>2.7777777777777777</v>
      </c>
      <c r="Z1680" s="3">
        <f t="shared" si="813"/>
        <v>2.7777777777777777</v>
      </c>
      <c r="AA1680" t="s">
        <v>33</v>
      </c>
      <c r="AB1680" s="4">
        <f t="shared" si="814"/>
        <v>10.14</v>
      </c>
      <c r="AC1680" s="4">
        <f t="shared" si="820"/>
        <v>1.0327777777777778</v>
      </c>
      <c r="AD1680" s="4">
        <f t="shared" si="805"/>
        <v>10.14</v>
      </c>
      <c r="AE1680" s="3">
        <f t="shared" si="815"/>
        <v>45.63</v>
      </c>
      <c r="AF1680">
        <v>101.4</v>
      </c>
      <c r="AG1680" s="4">
        <f t="shared" si="806"/>
        <v>10.327777777777778</v>
      </c>
      <c r="AH1680" s="4">
        <f t="shared" si="807"/>
        <v>10.327777777777778</v>
      </c>
      <c r="AI1680">
        <v>1</v>
      </c>
      <c r="AJ1680" s="11" t="s">
        <v>31</v>
      </c>
      <c r="AK1680">
        <v>2000</v>
      </c>
      <c r="AL1680" t="s">
        <v>747</v>
      </c>
      <c r="AM1680" t="s">
        <v>515</v>
      </c>
      <c r="AN1680" t="s">
        <v>205</v>
      </c>
      <c r="AO1680" t="s">
        <v>788</v>
      </c>
      <c r="AP1680">
        <v>3.54</v>
      </c>
      <c r="AQ1680" t="s">
        <v>33</v>
      </c>
      <c r="AR1680" t="s">
        <v>33</v>
      </c>
      <c r="AS1680" t="s">
        <v>33</v>
      </c>
      <c r="AT1680" t="s">
        <v>33</v>
      </c>
      <c r="AU1680" s="6">
        <v>1.0489999999999999</v>
      </c>
      <c r="AV1680" t="b">
        <v>1</v>
      </c>
      <c r="AW1680" t="s">
        <v>477</v>
      </c>
      <c r="AX1680" t="s">
        <v>471</v>
      </c>
      <c r="AY1680" t="s">
        <v>750</v>
      </c>
      <c r="AZ1680" t="s">
        <v>33</v>
      </c>
      <c r="BA1680" s="18" t="s">
        <v>579</v>
      </c>
      <c r="BB1680" s="3" t="b">
        <v>1</v>
      </c>
      <c r="BC1680" t="s">
        <v>81</v>
      </c>
      <c r="BD1680" t="s">
        <v>33</v>
      </c>
      <c r="BE1680" t="s">
        <v>80</v>
      </c>
      <c r="BF1680">
        <v>48</v>
      </c>
      <c r="BG1680" t="s">
        <v>395</v>
      </c>
      <c r="BH1680" t="s">
        <v>32</v>
      </c>
      <c r="BI1680" t="s">
        <v>31</v>
      </c>
      <c r="BJ1680" s="3">
        <f t="shared" si="802"/>
        <v>1.0489999999999999</v>
      </c>
      <c r="BK1680" s="3">
        <f t="shared" si="817"/>
        <v>2.0775488193557831E-2</v>
      </c>
      <c r="BL1680">
        <v>2</v>
      </c>
      <c r="BM1680" s="3">
        <f t="shared" si="816"/>
        <v>1.638474980579103</v>
      </c>
      <c r="BN1680" t="s">
        <v>33</v>
      </c>
      <c r="BO1680" s="3">
        <f t="shared" si="818"/>
        <v>43.498570066730224</v>
      </c>
      <c r="BP1680" t="s">
        <v>33</v>
      </c>
      <c r="BQ1680" t="s">
        <v>33</v>
      </c>
      <c r="BR1680" t="s">
        <v>33</v>
      </c>
      <c r="BS1680" t="s">
        <v>33</v>
      </c>
      <c r="BT1680" t="s">
        <v>32</v>
      </c>
      <c r="BU1680" t="s">
        <v>742</v>
      </c>
      <c r="BV1680">
        <v>2023</v>
      </c>
      <c r="BW1680" t="s">
        <v>748</v>
      </c>
      <c r="BX1680" t="s">
        <v>78</v>
      </c>
      <c r="BY1680" t="s">
        <v>711</v>
      </c>
      <c r="CA1680" t="str">
        <f t="shared" si="819"/>
        <v>high acid</v>
      </c>
    </row>
    <row r="1681" spans="1:79">
      <c r="A1681" t="s">
        <v>749</v>
      </c>
      <c r="B1681" t="s">
        <v>566</v>
      </c>
      <c r="C1681" t="s">
        <v>563</v>
      </c>
      <c r="D1681" t="s">
        <v>740</v>
      </c>
      <c r="E1681" t="s">
        <v>77</v>
      </c>
      <c r="F1681" t="s">
        <v>32</v>
      </c>
      <c r="G1681">
        <v>20</v>
      </c>
      <c r="H1681">
        <v>39.799999999999997</v>
      </c>
      <c r="I1681" t="b">
        <v>1</v>
      </c>
      <c r="J1681" t="s">
        <v>33</v>
      </c>
      <c r="K1681" t="s">
        <v>33</v>
      </c>
      <c r="L1681">
        <v>15</v>
      </c>
      <c r="M1681" s="4">
        <f t="shared" si="808"/>
        <v>6.0972222222222214</v>
      </c>
      <c r="N1681" s="3">
        <f t="shared" si="804"/>
        <v>6.0972222222222214</v>
      </c>
      <c r="O1681">
        <v>10</v>
      </c>
      <c r="P1681">
        <v>0.22</v>
      </c>
      <c r="Q1681" s="8">
        <f t="shared" si="809"/>
        <v>2.16</v>
      </c>
      <c r="R1681" t="s">
        <v>183</v>
      </c>
      <c r="S1681" t="s">
        <v>612</v>
      </c>
      <c r="T1681" s="11">
        <v>1</v>
      </c>
      <c r="U1681">
        <v>4</v>
      </c>
      <c r="V1681" t="s">
        <v>33</v>
      </c>
      <c r="W1681">
        <f t="shared" si="810"/>
        <v>6</v>
      </c>
      <c r="X1681" s="9">
        <f t="shared" si="811"/>
        <v>6</v>
      </c>
      <c r="Y1681" s="6">
        <f t="shared" si="812"/>
        <v>2.7777777777777777</v>
      </c>
      <c r="Z1681" s="3">
        <f t="shared" si="813"/>
        <v>2.7777777777777772</v>
      </c>
      <c r="AA1681" t="s">
        <v>33</v>
      </c>
      <c r="AB1681" s="4">
        <f t="shared" si="814"/>
        <v>13.169999999999998</v>
      </c>
      <c r="AC1681" s="4">
        <f t="shared" si="820"/>
        <v>1.3413888888888887</v>
      </c>
      <c r="AD1681" s="4">
        <f t="shared" si="805"/>
        <v>13.169999999999998</v>
      </c>
      <c r="AE1681" s="3">
        <f t="shared" si="815"/>
        <v>59.264999999999993</v>
      </c>
      <c r="AF1681">
        <v>131.69999999999999</v>
      </c>
      <c r="AG1681" s="4">
        <f t="shared" si="806"/>
        <v>13.413888888888888</v>
      </c>
      <c r="AH1681" s="4">
        <f t="shared" si="807"/>
        <v>13.413888888888888</v>
      </c>
      <c r="AI1681">
        <v>1</v>
      </c>
      <c r="AJ1681" s="11" t="s">
        <v>31</v>
      </c>
      <c r="AK1681">
        <v>2000</v>
      </c>
      <c r="AL1681" t="s">
        <v>747</v>
      </c>
      <c r="AM1681" t="s">
        <v>515</v>
      </c>
      <c r="AN1681" t="s">
        <v>205</v>
      </c>
      <c r="AO1681" t="s">
        <v>788</v>
      </c>
      <c r="AP1681">
        <v>3.54</v>
      </c>
      <c r="AQ1681" t="s">
        <v>33</v>
      </c>
      <c r="AR1681" t="s">
        <v>33</v>
      </c>
      <c r="AS1681" t="s">
        <v>33</v>
      </c>
      <c r="AT1681" t="s">
        <v>33</v>
      </c>
      <c r="AU1681" s="6">
        <v>1.3580000000000001</v>
      </c>
      <c r="AV1681" t="b">
        <v>1</v>
      </c>
      <c r="AW1681" t="s">
        <v>477</v>
      </c>
      <c r="AX1681" t="s">
        <v>471</v>
      </c>
      <c r="AY1681" t="s">
        <v>750</v>
      </c>
      <c r="AZ1681" t="s">
        <v>33</v>
      </c>
      <c r="BA1681" s="18" t="s">
        <v>579</v>
      </c>
      <c r="BB1681" s="3" t="b">
        <v>1</v>
      </c>
      <c r="BC1681" t="s">
        <v>81</v>
      </c>
      <c r="BD1681" t="s">
        <v>33</v>
      </c>
      <c r="BE1681" t="s">
        <v>80</v>
      </c>
      <c r="BF1681">
        <v>48</v>
      </c>
      <c r="BG1681" t="s">
        <v>395</v>
      </c>
      <c r="BH1681" t="s">
        <v>32</v>
      </c>
      <c r="BI1681" t="s">
        <v>31</v>
      </c>
      <c r="BJ1681" s="3">
        <f t="shared" si="802"/>
        <v>1.3580000000000001</v>
      </c>
      <c r="BK1681" s="3">
        <f t="shared" si="817"/>
        <v>0.13289976994448291</v>
      </c>
      <c r="BL1681">
        <v>2</v>
      </c>
      <c r="BM1681" s="3">
        <f t="shared" si="816"/>
        <v>1.6398985187926445</v>
      </c>
      <c r="BN1681" t="s">
        <v>33</v>
      </c>
      <c r="BO1681" s="3">
        <f t="shared" si="818"/>
        <v>43.641384388807062</v>
      </c>
      <c r="BP1681" t="s">
        <v>33</v>
      </c>
      <c r="BQ1681" t="s">
        <v>33</v>
      </c>
      <c r="BR1681" t="s">
        <v>33</v>
      </c>
      <c r="BS1681" t="s">
        <v>33</v>
      </c>
      <c r="BT1681" t="s">
        <v>32</v>
      </c>
      <c r="BU1681" t="s">
        <v>742</v>
      </c>
      <c r="BV1681">
        <v>2023</v>
      </c>
      <c r="BW1681" t="s">
        <v>748</v>
      </c>
      <c r="BX1681" t="s">
        <v>78</v>
      </c>
      <c r="BY1681" t="s">
        <v>711</v>
      </c>
      <c r="CA1681" t="str">
        <f t="shared" si="819"/>
        <v>high acid</v>
      </c>
    </row>
    <row r="1682" spans="1:79">
      <c r="A1682" t="s">
        <v>749</v>
      </c>
      <c r="B1682" t="s">
        <v>566</v>
      </c>
      <c r="C1682" t="s">
        <v>563</v>
      </c>
      <c r="D1682" t="s">
        <v>740</v>
      </c>
      <c r="E1682" t="s">
        <v>77</v>
      </c>
      <c r="F1682" t="s">
        <v>32</v>
      </c>
      <c r="G1682">
        <v>20</v>
      </c>
      <c r="H1682">
        <v>44.6</v>
      </c>
      <c r="I1682" t="b">
        <v>1</v>
      </c>
      <c r="J1682" t="s">
        <v>33</v>
      </c>
      <c r="K1682" t="s">
        <v>33</v>
      </c>
      <c r="L1682">
        <v>15</v>
      </c>
      <c r="M1682" s="4">
        <f t="shared" si="808"/>
        <v>6.9907407407407405</v>
      </c>
      <c r="N1682" s="3">
        <f t="shared" si="804"/>
        <v>6.9907407407407405</v>
      </c>
      <c r="O1682">
        <v>10</v>
      </c>
      <c r="P1682">
        <v>0.22</v>
      </c>
      <c r="Q1682" s="8">
        <f t="shared" si="809"/>
        <v>2.16</v>
      </c>
      <c r="R1682" t="s">
        <v>183</v>
      </c>
      <c r="S1682" t="s">
        <v>612</v>
      </c>
      <c r="T1682" s="11">
        <v>1</v>
      </c>
      <c r="U1682">
        <v>4</v>
      </c>
      <c r="V1682" t="s">
        <v>33</v>
      </c>
      <c r="W1682">
        <f t="shared" si="810"/>
        <v>6</v>
      </c>
      <c r="X1682" s="9">
        <f t="shared" si="811"/>
        <v>6</v>
      </c>
      <c r="Y1682" s="6">
        <f t="shared" si="812"/>
        <v>2.7777777777777777</v>
      </c>
      <c r="Z1682" s="3">
        <f t="shared" si="813"/>
        <v>2.7777777777777777</v>
      </c>
      <c r="AA1682" t="s">
        <v>33</v>
      </c>
      <c r="AB1682" s="4">
        <f t="shared" si="814"/>
        <v>15.1</v>
      </c>
      <c r="AC1682" s="4">
        <f t="shared" si="820"/>
        <v>1.537962962962963</v>
      </c>
      <c r="AD1682" s="4">
        <f t="shared" si="805"/>
        <v>15.1</v>
      </c>
      <c r="AE1682" s="3">
        <f t="shared" si="815"/>
        <v>67.949999999999989</v>
      </c>
      <c r="AF1682">
        <v>151</v>
      </c>
      <c r="AG1682" s="4">
        <f t="shared" si="806"/>
        <v>15.37962962962963</v>
      </c>
      <c r="AH1682" s="4">
        <f t="shared" si="807"/>
        <v>15.37962962962963</v>
      </c>
      <c r="AI1682">
        <v>1</v>
      </c>
      <c r="AJ1682" s="11" t="s">
        <v>31</v>
      </c>
      <c r="AK1682">
        <v>2000</v>
      </c>
      <c r="AL1682" t="s">
        <v>747</v>
      </c>
      <c r="AM1682" t="s">
        <v>515</v>
      </c>
      <c r="AN1682" t="s">
        <v>205</v>
      </c>
      <c r="AO1682" t="s">
        <v>788</v>
      </c>
      <c r="AP1682">
        <v>3.54</v>
      </c>
      <c r="AQ1682" t="s">
        <v>33</v>
      </c>
      <c r="AR1682" t="s">
        <v>33</v>
      </c>
      <c r="AS1682" t="s">
        <v>33</v>
      </c>
      <c r="AT1682" t="s">
        <v>33</v>
      </c>
      <c r="AU1682" s="6">
        <v>1.6</v>
      </c>
      <c r="AV1682" t="b">
        <v>1</v>
      </c>
      <c r="AW1682" t="s">
        <v>477</v>
      </c>
      <c r="AX1682" t="s">
        <v>471</v>
      </c>
      <c r="AY1682" t="s">
        <v>750</v>
      </c>
      <c r="AZ1682" t="s">
        <v>33</v>
      </c>
      <c r="BA1682" s="18" t="s">
        <v>579</v>
      </c>
      <c r="BB1682" s="3" t="b">
        <v>1</v>
      </c>
      <c r="BC1682" t="s">
        <v>81</v>
      </c>
      <c r="BD1682" t="s">
        <v>33</v>
      </c>
      <c r="BE1682" t="s">
        <v>80</v>
      </c>
      <c r="BF1682">
        <v>48</v>
      </c>
      <c r="BG1682" t="s">
        <v>395</v>
      </c>
      <c r="BH1682" t="s">
        <v>32</v>
      </c>
      <c r="BI1682" t="s">
        <v>31</v>
      </c>
      <c r="BJ1682" s="3">
        <f t="shared" si="802"/>
        <v>1.6</v>
      </c>
      <c r="BK1682" s="3">
        <f t="shared" si="817"/>
        <v>0.20411998265592479</v>
      </c>
      <c r="BL1682">
        <v>2</v>
      </c>
      <c r="BM1682" s="3">
        <f t="shared" si="816"/>
        <v>1.6280694784125882</v>
      </c>
      <c r="BN1682" t="s">
        <v>33</v>
      </c>
      <c r="BO1682" s="3">
        <f t="shared" si="818"/>
        <v>42.468749999999993</v>
      </c>
      <c r="BP1682" t="s">
        <v>33</v>
      </c>
      <c r="BQ1682" t="s">
        <v>33</v>
      </c>
      <c r="BR1682" t="s">
        <v>33</v>
      </c>
      <c r="BS1682" t="s">
        <v>33</v>
      </c>
      <c r="BT1682" t="s">
        <v>32</v>
      </c>
      <c r="BU1682" t="s">
        <v>742</v>
      </c>
      <c r="BV1682">
        <v>2023</v>
      </c>
      <c r="BW1682" t="s">
        <v>748</v>
      </c>
      <c r="BX1682" t="s">
        <v>78</v>
      </c>
      <c r="BY1682" t="s">
        <v>711</v>
      </c>
      <c r="CA1682" t="str">
        <f t="shared" si="819"/>
        <v>high acid</v>
      </c>
    </row>
    <row r="1683" spans="1:79">
      <c r="A1683" t="s">
        <v>749</v>
      </c>
      <c r="B1683" t="s">
        <v>566</v>
      </c>
      <c r="C1683" t="s">
        <v>563</v>
      </c>
      <c r="D1683" t="s">
        <v>740</v>
      </c>
      <c r="E1683" t="s">
        <v>77</v>
      </c>
      <c r="F1683" t="s">
        <v>32</v>
      </c>
      <c r="G1683">
        <v>20</v>
      </c>
      <c r="H1683">
        <v>49</v>
      </c>
      <c r="I1683" t="b">
        <v>1</v>
      </c>
      <c r="J1683" t="s">
        <v>33</v>
      </c>
      <c r="K1683" t="s">
        <v>33</v>
      </c>
      <c r="L1683">
        <v>15</v>
      </c>
      <c r="M1683" s="4">
        <f t="shared" si="808"/>
        <v>7.9907407407407396</v>
      </c>
      <c r="N1683" s="3">
        <f t="shared" ref="N1683:N1714" si="821">IFERROR(AF1683/((T1683*X1683/Y1683)*O1683*AI1683),"NA")</f>
        <v>7.9907407407407396</v>
      </c>
      <c r="O1683">
        <v>10</v>
      </c>
      <c r="P1683">
        <v>0.22</v>
      </c>
      <c r="Q1683" s="8">
        <f t="shared" si="809"/>
        <v>2.16</v>
      </c>
      <c r="R1683" t="s">
        <v>183</v>
      </c>
      <c r="S1683" t="s">
        <v>612</v>
      </c>
      <c r="T1683" s="11">
        <v>1</v>
      </c>
      <c r="U1683">
        <v>4</v>
      </c>
      <c r="V1683" t="s">
        <v>33</v>
      </c>
      <c r="W1683">
        <f t="shared" si="810"/>
        <v>6</v>
      </c>
      <c r="X1683" s="9">
        <f t="shared" si="811"/>
        <v>6</v>
      </c>
      <c r="Y1683" s="6">
        <f t="shared" si="812"/>
        <v>2.7777777777777777</v>
      </c>
      <c r="Z1683" s="3">
        <f t="shared" si="813"/>
        <v>2.7777777777777772</v>
      </c>
      <c r="AA1683" t="s">
        <v>33</v>
      </c>
      <c r="AB1683" s="4">
        <f t="shared" si="814"/>
        <v>17.259999999999998</v>
      </c>
      <c r="AC1683" s="4">
        <f t="shared" si="820"/>
        <v>1.7579629629629627</v>
      </c>
      <c r="AD1683" s="4">
        <f t="shared" ref="AD1683:AD1703" si="822">AB1683*T1683*AI1683</f>
        <v>17.259999999999998</v>
      </c>
      <c r="AE1683" s="3">
        <f t="shared" si="815"/>
        <v>77.67</v>
      </c>
      <c r="AF1683">
        <v>172.6</v>
      </c>
      <c r="AG1683" s="4">
        <f t="shared" ref="AG1683:AG1714" si="823">IFERROR((M1683*O1683*P1683), "NA")</f>
        <v>17.579629629629625</v>
      </c>
      <c r="AH1683" s="4">
        <f t="shared" ref="AH1683:AH1714" si="824">IFERROR((AG1683*T1683*AI1683), "NA")</f>
        <v>17.579629629629625</v>
      </c>
      <c r="AI1683">
        <v>1</v>
      </c>
      <c r="AJ1683" s="11" t="s">
        <v>31</v>
      </c>
      <c r="AK1683">
        <v>2000</v>
      </c>
      <c r="AL1683" t="s">
        <v>747</v>
      </c>
      <c r="AM1683" t="s">
        <v>515</v>
      </c>
      <c r="AN1683" t="s">
        <v>205</v>
      </c>
      <c r="AO1683" t="s">
        <v>788</v>
      </c>
      <c r="AP1683">
        <v>3.54</v>
      </c>
      <c r="AQ1683" t="s">
        <v>33</v>
      </c>
      <c r="AR1683" t="s">
        <v>33</v>
      </c>
      <c r="AS1683" t="s">
        <v>33</v>
      </c>
      <c r="AT1683" t="s">
        <v>33</v>
      </c>
      <c r="AU1683" s="6">
        <v>2.161</v>
      </c>
      <c r="AV1683" t="b">
        <v>1</v>
      </c>
      <c r="AW1683" t="s">
        <v>477</v>
      </c>
      <c r="AX1683" t="s">
        <v>471</v>
      </c>
      <c r="AY1683" t="s">
        <v>750</v>
      </c>
      <c r="AZ1683" t="s">
        <v>33</v>
      </c>
      <c r="BA1683" s="18" t="s">
        <v>579</v>
      </c>
      <c r="BB1683" s="3" t="b">
        <v>1</v>
      </c>
      <c r="BC1683" t="s">
        <v>81</v>
      </c>
      <c r="BD1683" t="s">
        <v>33</v>
      </c>
      <c r="BE1683" t="s">
        <v>80</v>
      </c>
      <c r="BF1683">
        <v>48</v>
      </c>
      <c r="BG1683" t="s">
        <v>395</v>
      </c>
      <c r="BH1683" t="s">
        <v>32</v>
      </c>
      <c r="BI1683" t="s">
        <v>31</v>
      </c>
      <c r="BJ1683" s="3">
        <f t="shared" si="802"/>
        <v>2.161</v>
      </c>
      <c r="BK1683" s="3">
        <f t="shared" si="817"/>
        <v>0.33465476688324136</v>
      </c>
      <c r="BL1683">
        <v>2</v>
      </c>
      <c r="BM1683" s="3">
        <f t="shared" si="816"/>
        <v>1.5555985382712931</v>
      </c>
      <c r="BN1683" t="s">
        <v>33</v>
      </c>
      <c r="BO1683" s="3">
        <f t="shared" si="818"/>
        <v>35.941693660342438</v>
      </c>
      <c r="BP1683" t="s">
        <v>33</v>
      </c>
      <c r="BQ1683" t="s">
        <v>33</v>
      </c>
      <c r="BR1683" t="s">
        <v>33</v>
      </c>
      <c r="BS1683" t="s">
        <v>33</v>
      </c>
      <c r="BT1683" t="s">
        <v>32</v>
      </c>
      <c r="BU1683" t="s">
        <v>742</v>
      </c>
      <c r="BV1683">
        <v>2023</v>
      </c>
      <c r="BW1683" t="s">
        <v>748</v>
      </c>
      <c r="BX1683" t="s">
        <v>78</v>
      </c>
      <c r="BY1683" t="s">
        <v>711</v>
      </c>
      <c r="CA1683" t="str">
        <f t="shared" si="819"/>
        <v>high acid</v>
      </c>
    </row>
    <row r="1684" spans="1:79">
      <c r="A1684" t="s">
        <v>749</v>
      </c>
      <c r="B1684" t="s">
        <v>566</v>
      </c>
      <c r="C1684" t="s">
        <v>563</v>
      </c>
      <c r="D1684" t="s">
        <v>740</v>
      </c>
      <c r="E1684" t="s">
        <v>77</v>
      </c>
      <c r="F1684" t="s">
        <v>32</v>
      </c>
      <c r="G1684">
        <v>20</v>
      </c>
      <c r="H1684">
        <v>29.9</v>
      </c>
      <c r="I1684" t="b">
        <v>1</v>
      </c>
      <c r="J1684" t="s">
        <v>33</v>
      </c>
      <c r="K1684" t="s">
        <v>33</v>
      </c>
      <c r="L1684">
        <v>20</v>
      </c>
      <c r="M1684" s="4">
        <f t="shared" si="808"/>
        <v>1.9027777777777777</v>
      </c>
      <c r="N1684" s="3">
        <f t="shared" si="821"/>
        <v>1.9027777777777777</v>
      </c>
      <c r="O1684">
        <v>10</v>
      </c>
      <c r="P1684">
        <v>0.22</v>
      </c>
      <c r="Q1684" s="8">
        <f t="shared" si="809"/>
        <v>2.16</v>
      </c>
      <c r="R1684" t="s">
        <v>183</v>
      </c>
      <c r="S1684" t="s">
        <v>612</v>
      </c>
      <c r="T1684" s="11">
        <v>1</v>
      </c>
      <c r="U1684">
        <v>4</v>
      </c>
      <c r="V1684" t="s">
        <v>33</v>
      </c>
      <c r="W1684">
        <f t="shared" si="810"/>
        <v>6</v>
      </c>
      <c r="X1684" s="9">
        <f t="shared" si="811"/>
        <v>6</v>
      </c>
      <c r="Y1684" s="6">
        <f t="shared" si="812"/>
        <v>2.7777777777777777</v>
      </c>
      <c r="Z1684" s="3">
        <f t="shared" si="813"/>
        <v>2.7777777777777772</v>
      </c>
      <c r="AA1684" t="s">
        <v>33</v>
      </c>
      <c r="AB1684" s="4">
        <f t="shared" si="814"/>
        <v>4.1100000000000003</v>
      </c>
      <c r="AC1684" s="4">
        <f t="shared" si="820"/>
        <v>0.4186111111111111</v>
      </c>
      <c r="AD1684" s="4">
        <f t="shared" si="822"/>
        <v>4.1100000000000003</v>
      </c>
      <c r="AE1684" s="3">
        <f t="shared" si="815"/>
        <v>32.880000000000003</v>
      </c>
      <c r="AF1684">
        <v>41.1</v>
      </c>
      <c r="AG1684" s="4">
        <f t="shared" si="823"/>
        <v>4.1861111111111109</v>
      </c>
      <c r="AH1684" s="4">
        <f t="shared" si="824"/>
        <v>4.1861111111111109</v>
      </c>
      <c r="AI1684">
        <v>1</v>
      </c>
      <c r="AJ1684" s="11" t="s">
        <v>31</v>
      </c>
      <c r="AK1684">
        <v>2000</v>
      </c>
      <c r="AL1684" t="s">
        <v>747</v>
      </c>
      <c r="AM1684" t="s">
        <v>515</v>
      </c>
      <c r="AN1684" t="s">
        <v>205</v>
      </c>
      <c r="AO1684" t="s">
        <v>788</v>
      </c>
      <c r="AP1684">
        <v>3.54</v>
      </c>
      <c r="AQ1684" t="s">
        <v>33</v>
      </c>
      <c r="AR1684" t="s">
        <v>33</v>
      </c>
      <c r="AS1684" t="s">
        <v>33</v>
      </c>
      <c r="AT1684" t="s">
        <v>33</v>
      </c>
      <c r="AU1684" s="6">
        <v>1.0369999999999999</v>
      </c>
      <c r="AV1684" t="b">
        <v>1</v>
      </c>
      <c r="AW1684" t="s">
        <v>477</v>
      </c>
      <c r="AX1684" t="s">
        <v>471</v>
      </c>
      <c r="AY1684" t="s">
        <v>750</v>
      </c>
      <c r="AZ1684" t="s">
        <v>33</v>
      </c>
      <c r="BA1684" s="18" t="s">
        <v>579</v>
      </c>
      <c r="BB1684" s="3" t="b">
        <v>1</v>
      </c>
      <c r="BC1684" t="s">
        <v>81</v>
      </c>
      <c r="BD1684" t="s">
        <v>33</v>
      </c>
      <c r="BE1684" t="s">
        <v>80</v>
      </c>
      <c r="BF1684">
        <v>48</v>
      </c>
      <c r="BG1684" t="s">
        <v>395</v>
      </c>
      <c r="BH1684" t="s">
        <v>32</v>
      </c>
      <c r="BI1684" t="s">
        <v>31</v>
      </c>
      <c r="BJ1684" s="3">
        <f t="shared" si="802"/>
        <v>1.0369999999999999</v>
      </c>
      <c r="BK1684" s="3">
        <f t="shared" si="817"/>
        <v>1.5778756389040929E-2</v>
      </c>
      <c r="BL1684">
        <v>2</v>
      </c>
      <c r="BM1684" s="3">
        <f t="shared" si="816"/>
        <v>1.5011530524789718</v>
      </c>
      <c r="BN1684" t="s">
        <v>33</v>
      </c>
      <c r="BO1684" s="3">
        <f t="shared" si="818"/>
        <v>31.706846673095473</v>
      </c>
      <c r="BP1684" t="s">
        <v>33</v>
      </c>
      <c r="BQ1684" t="s">
        <v>33</v>
      </c>
      <c r="BR1684" t="s">
        <v>33</v>
      </c>
      <c r="BS1684" t="s">
        <v>33</v>
      </c>
      <c r="BT1684" t="s">
        <v>32</v>
      </c>
      <c r="BU1684" t="s">
        <v>742</v>
      </c>
      <c r="BV1684">
        <v>2023</v>
      </c>
      <c r="BW1684" t="s">
        <v>748</v>
      </c>
      <c r="BX1684" t="s">
        <v>78</v>
      </c>
      <c r="BY1684" t="s">
        <v>711</v>
      </c>
      <c r="CA1684" t="str">
        <f t="shared" si="819"/>
        <v>high acid</v>
      </c>
    </row>
    <row r="1685" spans="1:79">
      <c r="A1685" t="s">
        <v>749</v>
      </c>
      <c r="B1685" t="s">
        <v>566</v>
      </c>
      <c r="C1685" t="s">
        <v>563</v>
      </c>
      <c r="D1685" t="s">
        <v>740</v>
      </c>
      <c r="E1685" t="s">
        <v>77</v>
      </c>
      <c r="F1685" t="s">
        <v>32</v>
      </c>
      <c r="G1685">
        <v>20</v>
      </c>
      <c r="H1685">
        <v>34.5</v>
      </c>
      <c r="I1685" t="b">
        <v>1</v>
      </c>
      <c r="J1685" t="s">
        <v>33</v>
      </c>
      <c r="K1685" t="s">
        <v>33</v>
      </c>
      <c r="L1685">
        <v>20</v>
      </c>
      <c r="M1685" s="4">
        <f t="shared" si="808"/>
        <v>2.4907407407407405</v>
      </c>
      <c r="N1685" s="3">
        <f t="shared" si="821"/>
        <v>2.4907407407407405</v>
      </c>
      <c r="O1685">
        <v>10</v>
      </c>
      <c r="P1685">
        <v>0.22</v>
      </c>
      <c r="Q1685" s="8">
        <f t="shared" si="809"/>
        <v>2.16</v>
      </c>
      <c r="R1685" t="s">
        <v>183</v>
      </c>
      <c r="S1685" t="s">
        <v>612</v>
      </c>
      <c r="T1685" s="11">
        <v>1</v>
      </c>
      <c r="U1685">
        <v>4</v>
      </c>
      <c r="V1685" t="s">
        <v>33</v>
      </c>
      <c r="W1685">
        <f t="shared" si="810"/>
        <v>6</v>
      </c>
      <c r="X1685" s="9">
        <f t="shared" ref="X1685:X1701" si="825">W1685</f>
        <v>6</v>
      </c>
      <c r="Y1685" s="6">
        <f t="shared" si="812"/>
        <v>2.7777777777777777</v>
      </c>
      <c r="Z1685" s="3">
        <f t="shared" ref="Z1685:Z1715" si="826">IFERROR(X1685*M1685*O1685*T1685*AI1685/AF1685, "NA")</f>
        <v>2.7777777777777777</v>
      </c>
      <c r="AA1685" t="s">
        <v>33</v>
      </c>
      <c r="AB1685" s="4">
        <f t="shared" si="814"/>
        <v>5.38</v>
      </c>
      <c r="AC1685" s="4">
        <f t="shared" si="820"/>
        <v>0.54796296296296287</v>
      </c>
      <c r="AD1685" s="4">
        <f t="shared" si="822"/>
        <v>5.38</v>
      </c>
      <c r="AE1685" s="3">
        <f t="shared" si="815"/>
        <v>43.039999999999992</v>
      </c>
      <c r="AF1685">
        <v>53.8</v>
      </c>
      <c r="AG1685" s="4">
        <f t="shared" si="823"/>
        <v>5.4796296296296294</v>
      </c>
      <c r="AH1685" s="4">
        <f t="shared" si="824"/>
        <v>5.4796296296296294</v>
      </c>
      <c r="AI1685">
        <v>1</v>
      </c>
      <c r="AJ1685" s="11" t="s">
        <v>31</v>
      </c>
      <c r="AK1685">
        <v>2000</v>
      </c>
      <c r="AL1685" t="s">
        <v>747</v>
      </c>
      <c r="AM1685" t="s">
        <v>515</v>
      </c>
      <c r="AN1685" t="s">
        <v>205</v>
      </c>
      <c r="AO1685" t="s">
        <v>788</v>
      </c>
      <c r="AP1685">
        <v>3.54</v>
      </c>
      <c r="AQ1685" t="s">
        <v>33</v>
      </c>
      <c r="AR1685" t="s">
        <v>33</v>
      </c>
      <c r="AS1685" t="s">
        <v>33</v>
      </c>
      <c r="AT1685" t="s">
        <v>33</v>
      </c>
      <c r="AU1685" s="6">
        <v>1.8560000000000001</v>
      </c>
      <c r="AV1685" t="b">
        <v>1</v>
      </c>
      <c r="AW1685" t="s">
        <v>477</v>
      </c>
      <c r="AX1685" t="s">
        <v>471</v>
      </c>
      <c r="AY1685" t="s">
        <v>750</v>
      </c>
      <c r="AZ1685" t="s">
        <v>33</v>
      </c>
      <c r="BA1685" s="18" t="s">
        <v>579</v>
      </c>
      <c r="BB1685" s="3" t="b">
        <v>1</v>
      </c>
      <c r="BC1685" t="s">
        <v>81</v>
      </c>
      <c r="BD1685" t="s">
        <v>33</v>
      </c>
      <c r="BE1685" t="s">
        <v>80</v>
      </c>
      <c r="BF1685">
        <v>48</v>
      </c>
      <c r="BG1685" t="s">
        <v>395</v>
      </c>
      <c r="BH1685" t="s">
        <v>32</v>
      </c>
      <c r="BI1685" t="s">
        <v>31</v>
      </c>
      <c r="BJ1685" s="3">
        <f t="shared" si="802"/>
        <v>1.8560000000000001</v>
      </c>
      <c r="BK1685" s="3">
        <f t="shared" si="817"/>
        <v>0.26857797188284327</v>
      </c>
      <c r="BL1685">
        <v>2</v>
      </c>
      <c r="BM1685" s="3">
        <f t="shared" si="816"/>
        <v>1.3652942907754895</v>
      </c>
      <c r="BN1685" t="s">
        <v>33</v>
      </c>
      <c r="BO1685" s="3">
        <f t="shared" si="818"/>
        <v>23.189655172413786</v>
      </c>
      <c r="BP1685" t="s">
        <v>33</v>
      </c>
      <c r="BQ1685" t="s">
        <v>33</v>
      </c>
      <c r="BR1685" t="s">
        <v>33</v>
      </c>
      <c r="BS1685" t="s">
        <v>33</v>
      </c>
      <c r="BT1685" t="s">
        <v>32</v>
      </c>
      <c r="BU1685" t="s">
        <v>742</v>
      </c>
      <c r="BV1685">
        <v>2023</v>
      </c>
      <c r="BW1685" t="s">
        <v>748</v>
      </c>
      <c r="BX1685" t="s">
        <v>78</v>
      </c>
      <c r="BY1685" t="s">
        <v>711</v>
      </c>
      <c r="CA1685" t="str">
        <f t="shared" si="819"/>
        <v>high acid</v>
      </c>
    </row>
    <row r="1686" spans="1:79">
      <c r="A1686" t="s">
        <v>749</v>
      </c>
      <c r="B1686" t="s">
        <v>566</v>
      </c>
      <c r="C1686" t="s">
        <v>563</v>
      </c>
      <c r="D1686" t="s">
        <v>740</v>
      </c>
      <c r="E1686" t="s">
        <v>77</v>
      </c>
      <c r="F1686" t="s">
        <v>32</v>
      </c>
      <c r="G1686">
        <v>20</v>
      </c>
      <c r="H1686">
        <v>41.3</v>
      </c>
      <c r="I1686" t="b">
        <v>1</v>
      </c>
      <c r="J1686" t="s">
        <v>33</v>
      </c>
      <c r="K1686" t="s">
        <v>33</v>
      </c>
      <c r="L1686">
        <v>20</v>
      </c>
      <c r="M1686" s="4">
        <f t="shared" si="808"/>
        <v>3.4953703703703702</v>
      </c>
      <c r="N1686" s="3">
        <f t="shared" si="821"/>
        <v>3.4953703703703702</v>
      </c>
      <c r="O1686">
        <v>10</v>
      </c>
      <c r="P1686">
        <v>0.22</v>
      </c>
      <c r="Q1686" s="8">
        <f t="shared" si="809"/>
        <v>2.16</v>
      </c>
      <c r="R1686" t="s">
        <v>183</v>
      </c>
      <c r="S1686" t="s">
        <v>612</v>
      </c>
      <c r="T1686" s="11">
        <v>1</v>
      </c>
      <c r="U1686">
        <v>4</v>
      </c>
      <c r="V1686" t="s">
        <v>33</v>
      </c>
      <c r="W1686">
        <f t="shared" si="810"/>
        <v>6</v>
      </c>
      <c r="X1686" s="9">
        <f t="shared" si="825"/>
        <v>6</v>
      </c>
      <c r="Y1686" s="6">
        <f t="shared" si="812"/>
        <v>2.7777777777777777</v>
      </c>
      <c r="Z1686" s="3">
        <f t="shared" si="826"/>
        <v>2.7777777777777777</v>
      </c>
      <c r="AA1686" t="s">
        <v>33</v>
      </c>
      <c r="AB1686" s="4">
        <f t="shared" si="814"/>
        <v>7.55</v>
      </c>
      <c r="AC1686" s="4">
        <f t="shared" si="820"/>
        <v>0.76898148148148149</v>
      </c>
      <c r="AD1686" s="4">
        <f t="shared" si="822"/>
        <v>7.55</v>
      </c>
      <c r="AE1686" s="3">
        <f t="shared" si="815"/>
        <v>60.399999999999991</v>
      </c>
      <c r="AF1686">
        <v>75.5</v>
      </c>
      <c r="AG1686" s="4">
        <f t="shared" si="823"/>
        <v>7.6898148148148149</v>
      </c>
      <c r="AH1686" s="4">
        <f t="shared" si="824"/>
        <v>7.6898148148148149</v>
      </c>
      <c r="AI1686">
        <v>1</v>
      </c>
      <c r="AJ1686" s="11" t="s">
        <v>31</v>
      </c>
      <c r="AK1686">
        <v>2000</v>
      </c>
      <c r="AL1686" t="s">
        <v>747</v>
      </c>
      <c r="AM1686" t="s">
        <v>515</v>
      </c>
      <c r="AN1686" t="s">
        <v>205</v>
      </c>
      <c r="AO1686" t="s">
        <v>788</v>
      </c>
      <c r="AP1686">
        <v>3.54</v>
      </c>
      <c r="AQ1686" t="s">
        <v>33</v>
      </c>
      <c r="AR1686" t="s">
        <v>33</v>
      </c>
      <c r="AS1686" t="s">
        <v>33</v>
      </c>
      <c r="AT1686" t="s">
        <v>33</v>
      </c>
      <c r="AU1686" s="6">
        <v>2.399</v>
      </c>
      <c r="AV1686" t="b">
        <v>1</v>
      </c>
      <c r="AW1686" t="s">
        <v>477</v>
      </c>
      <c r="AX1686" t="s">
        <v>471</v>
      </c>
      <c r="AY1686" t="s">
        <v>750</v>
      </c>
      <c r="AZ1686" t="s">
        <v>33</v>
      </c>
      <c r="BA1686" s="18" t="s">
        <v>579</v>
      </c>
      <c r="BB1686" s="3" t="b">
        <v>1</v>
      </c>
      <c r="BC1686" t="s">
        <v>81</v>
      </c>
      <c r="BD1686" t="s">
        <v>33</v>
      </c>
      <c r="BE1686" t="s">
        <v>80</v>
      </c>
      <c r="BF1686">
        <v>48</v>
      </c>
      <c r="BG1686" t="s">
        <v>395</v>
      </c>
      <c r="BH1686" t="s">
        <v>32</v>
      </c>
      <c r="BI1686" t="s">
        <v>31</v>
      </c>
      <c r="BJ1686" s="3">
        <f t="shared" si="802"/>
        <v>2.399</v>
      </c>
      <c r="BK1686" s="3">
        <f t="shared" si="817"/>
        <v>0.38003024796783064</v>
      </c>
      <c r="BL1686">
        <v>2</v>
      </c>
      <c r="BM1686" s="3">
        <f t="shared" si="816"/>
        <v>1.4010066906533012</v>
      </c>
      <c r="BN1686" t="s">
        <v>33</v>
      </c>
      <c r="BO1686" s="3">
        <f t="shared" si="818"/>
        <v>25.177157148812</v>
      </c>
      <c r="BP1686" t="s">
        <v>33</v>
      </c>
      <c r="BQ1686" t="s">
        <v>33</v>
      </c>
      <c r="BR1686" t="s">
        <v>33</v>
      </c>
      <c r="BS1686" t="s">
        <v>33</v>
      </c>
      <c r="BT1686" t="s">
        <v>32</v>
      </c>
      <c r="BU1686" t="s">
        <v>742</v>
      </c>
      <c r="BV1686">
        <v>2023</v>
      </c>
      <c r="BW1686" t="s">
        <v>748</v>
      </c>
      <c r="BX1686" t="s">
        <v>78</v>
      </c>
      <c r="BY1686" t="s">
        <v>711</v>
      </c>
      <c r="CA1686" t="str">
        <f t="shared" si="819"/>
        <v>high acid</v>
      </c>
    </row>
    <row r="1687" spans="1:79">
      <c r="A1687" t="s">
        <v>749</v>
      </c>
      <c r="B1687" t="s">
        <v>566</v>
      </c>
      <c r="C1687" t="s">
        <v>563</v>
      </c>
      <c r="D1687" t="s">
        <v>740</v>
      </c>
      <c r="E1687" t="s">
        <v>77</v>
      </c>
      <c r="F1687" t="s">
        <v>32</v>
      </c>
      <c r="G1687">
        <v>20</v>
      </c>
      <c r="H1687">
        <v>44.6</v>
      </c>
      <c r="I1687" t="b">
        <v>1</v>
      </c>
      <c r="J1687" t="s">
        <v>33</v>
      </c>
      <c r="K1687" t="s">
        <v>33</v>
      </c>
      <c r="L1687">
        <v>20</v>
      </c>
      <c r="M1687" s="4">
        <f t="shared" si="808"/>
        <v>3.6944444444444442</v>
      </c>
      <c r="N1687" s="3">
        <f t="shared" si="821"/>
        <v>3.6944444444444442</v>
      </c>
      <c r="O1687">
        <v>10</v>
      </c>
      <c r="P1687">
        <v>0.22</v>
      </c>
      <c r="Q1687" s="8">
        <f t="shared" si="809"/>
        <v>2.16</v>
      </c>
      <c r="R1687" t="s">
        <v>183</v>
      </c>
      <c r="S1687" t="s">
        <v>612</v>
      </c>
      <c r="T1687" s="11">
        <v>1</v>
      </c>
      <c r="U1687">
        <v>4</v>
      </c>
      <c r="V1687" t="s">
        <v>33</v>
      </c>
      <c r="W1687">
        <f t="shared" si="810"/>
        <v>6</v>
      </c>
      <c r="X1687" s="9">
        <f t="shared" si="825"/>
        <v>6</v>
      </c>
      <c r="Y1687" s="6">
        <f t="shared" si="812"/>
        <v>2.7777777777777777</v>
      </c>
      <c r="Z1687" s="3">
        <f t="shared" si="826"/>
        <v>2.7777777777777772</v>
      </c>
      <c r="AA1687" t="s">
        <v>33</v>
      </c>
      <c r="AB1687" s="4">
        <f t="shared" si="814"/>
        <v>7.9799999999999995</v>
      </c>
      <c r="AC1687" s="4">
        <f t="shared" si="820"/>
        <v>0.81277777777777771</v>
      </c>
      <c r="AD1687" s="4">
        <f t="shared" si="822"/>
        <v>7.9799999999999995</v>
      </c>
      <c r="AE1687" s="3">
        <f t="shared" si="815"/>
        <v>63.839999999999989</v>
      </c>
      <c r="AF1687">
        <v>79.8</v>
      </c>
      <c r="AG1687" s="4">
        <f t="shared" si="823"/>
        <v>8.1277777777777782</v>
      </c>
      <c r="AH1687" s="4">
        <f t="shared" si="824"/>
        <v>8.1277777777777782</v>
      </c>
      <c r="AI1687">
        <v>1</v>
      </c>
      <c r="AJ1687" s="11" t="s">
        <v>31</v>
      </c>
      <c r="AK1687">
        <v>2000</v>
      </c>
      <c r="AL1687" t="s">
        <v>747</v>
      </c>
      <c r="AM1687" t="s">
        <v>515</v>
      </c>
      <c r="AN1687" t="s">
        <v>205</v>
      </c>
      <c r="AO1687" t="s">
        <v>788</v>
      </c>
      <c r="AP1687">
        <v>3.54</v>
      </c>
      <c r="AQ1687" t="s">
        <v>33</v>
      </c>
      <c r="AR1687" t="s">
        <v>33</v>
      </c>
      <c r="AS1687" t="s">
        <v>33</v>
      </c>
      <c r="AT1687" t="s">
        <v>33</v>
      </c>
      <c r="AU1687" s="6">
        <v>2.88</v>
      </c>
      <c r="AV1687" t="b">
        <v>1</v>
      </c>
      <c r="AW1687" t="s">
        <v>477</v>
      </c>
      <c r="AX1687" t="s">
        <v>471</v>
      </c>
      <c r="AY1687" t="s">
        <v>750</v>
      </c>
      <c r="AZ1687" t="s">
        <v>33</v>
      </c>
      <c r="BA1687" s="18" t="s">
        <v>579</v>
      </c>
      <c r="BB1687" s="3" t="b">
        <v>1</v>
      </c>
      <c r="BC1687" t="s">
        <v>81</v>
      </c>
      <c r="BD1687" t="s">
        <v>33</v>
      </c>
      <c r="BE1687" t="s">
        <v>80</v>
      </c>
      <c r="BF1687">
        <v>48</v>
      </c>
      <c r="BG1687" t="s">
        <v>395</v>
      </c>
      <c r="BH1687" t="s">
        <v>32</v>
      </c>
      <c r="BI1687" t="s">
        <v>31</v>
      </c>
      <c r="BJ1687" s="3">
        <f t="shared" si="802"/>
        <v>2.88</v>
      </c>
      <c r="BK1687" s="3">
        <f t="shared" si="817"/>
        <v>0.45939248775923086</v>
      </c>
      <c r="BL1687">
        <v>2</v>
      </c>
      <c r="BM1687" s="3">
        <f t="shared" si="816"/>
        <v>1.3457003905834422</v>
      </c>
      <c r="BN1687" t="s">
        <v>33</v>
      </c>
      <c r="BO1687" s="3">
        <f t="shared" si="818"/>
        <v>22.166666666666664</v>
      </c>
      <c r="BP1687" t="s">
        <v>33</v>
      </c>
      <c r="BQ1687" t="s">
        <v>33</v>
      </c>
      <c r="BR1687" t="s">
        <v>33</v>
      </c>
      <c r="BS1687" t="s">
        <v>33</v>
      </c>
      <c r="BT1687" t="s">
        <v>32</v>
      </c>
      <c r="BU1687" t="s">
        <v>742</v>
      </c>
      <c r="BV1687">
        <v>2023</v>
      </c>
      <c r="BW1687" t="s">
        <v>748</v>
      </c>
      <c r="BX1687" t="s">
        <v>78</v>
      </c>
      <c r="BY1687" t="s">
        <v>711</v>
      </c>
      <c r="CA1687" t="str">
        <f t="shared" si="819"/>
        <v>high acid</v>
      </c>
    </row>
    <row r="1688" spans="1:79">
      <c r="A1688" t="s">
        <v>749</v>
      </c>
      <c r="B1688" t="s">
        <v>566</v>
      </c>
      <c r="C1688" t="s">
        <v>563</v>
      </c>
      <c r="D1688" t="s">
        <v>740</v>
      </c>
      <c r="E1688" t="s">
        <v>77</v>
      </c>
      <c r="F1688" t="s">
        <v>32</v>
      </c>
      <c r="G1688">
        <v>20</v>
      </c>
      <c r="H1688">
        <v>48.7</v>
      </c>
      <c r="I1688" t="b">
        <v>1</v>
      </c>
      <c r="J1688" t="s">
        <v>33</v>
      </c>
      <c r="K1688" t="s">
        <v>33</v>
      </c>
      <c r="L1688">
        <v>20</v>
      </c>
      <c r="M1688" s="4">
        <f t="shared" si="808"/>
        <v>4.3981481481481479</v>
      </c>
      <c r="N1688" s="3">
        <f t="shared" si="821"/>
        <v>4.3981481481481479</v>
      </c>
      <c r="O1688">
        <v>10</v>
      </c>
      <c r="P1688">
        <v>0.22</v>
      </c>
      <c r="Q1688" s="8">
        <f t="shared" si="809"/>
        <v>2.16</v>
      </c>
      <c r="R1688" t="s">
        <v>183</v>
      </c>
      <c r="S1688" t="s">
        <v>612</v>
      </c>
      <c r="T1688" s="11">
        <v>1</v>
      </c>
      <c r="U1688">
        <v>4</v>
      </c>
      <c r="V1688" t="s">
        <v>33</v>
      </c>
      <c r="W1688">
        <f t="shared" si="810"/>
        <v>6</v>
      </c>
      <c r="X1688" s="9">
        <f t="shared" si="825"/>
        <v>6</v>
      </c>
      <c r="Y1688" s="6">
        <f t="shared" si="812"/>
        <v>2.7777777777777777</v>
      </c>
      <c r="Z1688" s="3">
        <f t="shared" si="826"/>
        <v>2.7777777777777772</v>
      </c>
      <c r="AA1688" t="s">
        <v>33</v>
      </c>
      <c r="AB1688" s="4">
        <f t="shared" si="814"/>
        <v>9.5</v>
      </c>
      <c r="AC1688" s="4">
        <f t="shared" si="820"/>
        <v>0.96759259259259256</v>
      </c>
      <c r="AD1688" s="4">
        <f t="shared" si="822"/>
        <v>9.5</v>
      </c>
      <c r="AE1688" s="3">
        <f t="shared" si="815"/>
        <v>75.999999999999986</v>
      </c>
      <c r="AF1688">
        <v>95</v>
      </c>
      <c r="AG1688" s="4">
        <f t="shared" si="823"/>
        <v>9.6759259259259256</v>
      </c>
      <c r="AH1688" s="4">
        <f t="shared" si="824"/>
        <v>9.6759259259259256</v>
      </c>
      <c r="AI1688">
        <v>1</v>
      </c>
      <c r="AJ1688" s="11" t="s">
        <v>31</v>
      </c>
      <c r="AK1688">
        <v>2000</v>
      </c>
      <c r="AL1688" t="s">
        <v>747</v>
      </c>
      <c r="AM1688" t="s">
        <v>515</v>
      </c>
      <c r="AN1688" t="s">
        <v>205</v>
      </c>
      <c r="AO1688" t="s">
        <v>788</v>
      </c>
      <c r="AP1688">
        <v>3.54</v>
      </c>
      <c r="AQ1688" t="s">
        <v>33</v>
      </c>
      <c r="AR1688" t="s">
        <v>33</v>
      </c>
      <c r="AS1688" t="s">
        <v>33</v>
      </c>
      <c r="AT1688" t="s">
        <v>33</v>
      </c>
      <c r="AU1688" s="6">
        <v>3.452</v>
      </c>
      <c r="AV1688" t="b">
        <v>1</v>
      </c>
      <c r="AW1688" t="s">
        <v>477</v>
      </c>
      <c r="AX1688" t="s">
        <v>471</v>
      </c>
      <c r="AY1688" t="s">
        <v>750</v>
      </c>
      <c r="AZ1688" t="s">
        <v>33</v>
      </c>
      <c r="BA1688" s="18" t="s">
        <v>579</v>
      </c>
      <c r="BB1688" s="3" t="b">
        <v>1</v>
      </c>
      <c r="BC1688" t="s">
        <v>81</v>
      </c>
      <c r="BD1688" t="s">
        <v>33</v>
      </c>
      <c r="BE1688" t="s">
        <v>80</v>
      </c>
      <c r="BF1688">
        <v>48</v>
      </c>
      <c r="BG1688" t="s">
        <v>395</v>
      </c>
      <c r="BH1688" t="s">
        <v>32</v>
      </c>
      <c r="BI1688" t="s">
        <v>31</v>
      </c>
      <c r="BJ1688" s="3">
        <f t="shared" si="802"/>
        <v>3.452</v>
      </c>
      <c r="BK1688" s="3">
        <f t="shared" si="817"/>
        <v>0.53807078704317202</v>
      </c>
      <c r="BL1688">
        <v>2</v>
      </c>
      <c r="BM1688" s="3">
        <f t="shared" si="816"/>
        <v>1.3427428052376194</v>
      </c>
      <c r="BN1688" t="s">
        <v>33</v>
      </c>
      <c r="BO1688" s="3">
        <f t="shared" si="818"/>
        <v>22.016222479721897</v>
      </c>
      <c r="BP1688" t="s">
        <v>33</v>
      </c>
      <c r="BQ1688" t="s">
        <v>33</v>
      </c>
      <c r="BR1688" t="s">
        <v>33</v>
      </c>
      <c r="BS1688" t="s">
        <v>33</v>
      </c>
      <c r="BT1688" t="s">
        <v>32</v>
      </c>
      <c r="BU1688" t="s">
        <v>742</v>
      </c>
      <c r="BV1688">
        <v>2023</v>
      </c>
      <c r="BW1688" t="s">
        <v>748</v>
      </c>
      <c r="BX1688" t="s">
        <v>78</v>
      </c>
      <c r="BY1688" t="s">
        <v>711</v>
      </c>
      <c r="CA1688" t="str">
        <f t="shared" si="819"/>
        <v>high acid</v>
      </c>
    </row>
    <row r="1689" spans="1:79">
      <c r="A1689" t="s">
        <v>749</v>
      </c>
      <c r="B1689" t="s">
        <v>566</v>
      </c>
      <c r="C1689" t="s">
        <v>563</v>
      </c>
      <c r="D1689" t="s">
        <v>740</v>
      </c>
      <c r="E1689" t="s">
        <v>77</v>
      </c>
      <c r="F1689" t="s">
        <v>32</v>
      </c>
      <c r="G1689">
        <v>20</v>
      </c>
      <c r="H1689">
        <v>30.4</v>
      </c>
      <c r="I1689" t="b">
        <v>1</v>
      </c>
      <c r="J1689" t="s">
        <v>33</v>
      </c>
      <c r="K1689" t="s">
        <v>33</v>
      </c>
      <c r="L1689">
        <v>25</v>
      </c>
      <c r="M1689" s="4">
        <f t="shared" si="808"/>
        <v>1.2037037037037037</v>
      </c>
      <c r="N1689" s="3">
        <f t="shared" si="821"/>
        <v>1.2037037037037037</v>
      </c>
      <c r="O1689">
        <v>10</v>
      </c>
      <c r="P1689">
        <v>0.22</v>
      </c>
      <c r="Q1689" s="8">
        <f t="shared" si="809"/>
        <v>2.16</v>
      </c>
      <c r="R1689" t="s">
        <v>183</v>
      </c>
      <c r="S1689" t="s">
        <v>612</v>
      </c>
      <c r="T1689" s="11">
        <v>1</v>
      </c>
      <c r="U1689">
        <v>4</v>
      </c>
      <c r="V1689" t="s">
        <v>33</v>
      </c>
      <c r="W1689">
        <f t="shared" si="810"/>
        <v>6</v>
      </c>
      <c r="X1689" s="9">
        <f t="shared" si="825"/>
        <v>6</v>
      </c>
      <c r="Y1689" s="6">
        <f t="shared" si="812"/>
        <v>2.7777777777777777</v>
      </c>
      <c r="Z1689" s="3">
        <f t="shared" si="826"/>
        <v>2.7777777777777781</v>
      </c>
      <c r="AA1689" t="s">
        <v>33</v>
      </c>
      <c r="AB1689" s="4">
        <f t="shared" si="814"/>
        <v>2.6</v>
      </c>
      <c r="AC1689" s="4">
        <f t="shared" si="820"/>
        <v>0.26481481481481484</v>
      </c>
      <c r="AD1689" s="4">
        <f t="shared" si="822"/>
        <v>2.6</v>
      </c>
      <c r="AE1689" s="3">
        <f t="shared" si="815"/>
        <v>32.5</v>
      </c>
      <c r="AF1689">
        <v>26</v>
      </c>
      <c r="AG1689" s="4">
        <f t="shared" si="823"/>
        <v>2.6481481481481484</v>
      </c>
      <c r="AH1689" s="4">
        <f t="shared" si="824"/>
        <v>2.6481481481481484</v>
      </c>
      <c r="AI1689">
        <v>1</v>
      </c>
      <c r="AJ1689" s="11" t="s">
        <v>31</v>
      </c>
      <c r="AK1689">
        <v>2000</v>
      </c>
      <c r="AL1689" t="s">
        <v>747</v>
      </c>
      <c r="AM1689" t="s">
        <v>515</v>
      </c>
      <c r="AN1689" t="s">
        <v>205</v>
      </c>
      <c r="AO1689" t="s">
        <v>788</v>
      </c>
      <c r="AP1689">
        <v>3.54</v>
      </c>
      <c r="AQ1689" t="s">
        <v>33</v>
      </c>
      <c r="AR1689" t="s">
        <v>33</v>
      </c>
      <c r="AS1689" t="s">
        <v>33</v>
      </c>
      <c r="AT1689" t="s">
        <v>33</v>
      </c>
      <c r="AU1689" s="6">
        <v>1.4750000000000001</v>
      </c>
      <c r="AV1689" t="b">
        <v>1</v>
      </c>
      <c r="AW1689" t="s">
        <v>477</v>
      </c>
      <c r="AX1689" t="s">
        <v>471</v>
      </c>
      <c r="AY1689" t="s">
        <v>750</v>
      </c>
      <c r="AZ1689" t="s">
        <v>33</v>
      </c>
      <c r="BA1689" s="18" t="s">
        <v>579</v>
      </c>
      <c r="BB1689" s="3" t="b">
        <v>1</v>
      </c>
      <c r="BC1689" t="s">
        <v>81</v>
      </c>
      <c r="BD1689" t="s">
        <v>33</v>
      </c>
      <c r="BE1689" t="s">
        <v>80</v>
      </c>
      <c r="BF1689">
        <v>48</v>
      </c>
      <c r="BG1689" t="s">
        <v>395</v>
      </c>
      <c r="BH1689" t="s">
        <v>32</v>
      </c>
      <c r="BI1689" t="s">
        <v>31</v>
      </c>
      <c r="BJ1689" s="3">
        <f t="shared" si="802"/>
        <v>1.4750000000000001</v>
      </c>
      <c r="BK1689" s="3">
        <f t="shared" si="817"/>
        <v>0.16879202031418183</v>
      </c>
      <c r="BL1689">
        <v>2</v>
      </c>
      <c r="BM1689" s="3">
        <f t="shared" si="816"/>
        <v>1.3430913406646925</v>
      </c>
      <c r="BN1689" t="s">
        <v>33</v>
      </c>
      <c r="BO1689" s="3">
        <f t="shared" si="818"/>
        <v>22.033898305084744</v>
      </c>
      <c r="BP1689" t="s">
        <v>33</v>
      </c>
      <c r="BQ1689" t="s">
        <v>33</v>
      </c>
      <c r="BR1689" t="s">
        <v>33</v>
      </c>
      <c r="BS1689" t="s">
        <v>33</v>
      </c>
      <c r="BT1689" t="s">
        <v>32</v>
      </c>
      <c r="BU1689" t="s">
        <v>742</v>
      </c>
      <c r="BV1689">
        <v>2023</v>
      </c>
      <c r="BW1689" t="s">
        <v>748</v>
      </c>
      <c r="BX1689" t="s">
        <v>78</v>
      </c>
      <c r="BY1689" t="s">
        <v>711</v>
      </c>
      <c r="CA1689" t="str">
        <f t="shared" si="819"/>
        <v>high acid</v>
      </c>
    </row>
    <row r="1690" spans="1:79">
      <c r="A1690" t="s">
        <v>749</v>
      </c>
      <c r="B1690" t="s">
        <v>566</v>
      </c>
      <c r="C1690" t="s">
        <v>563</v>
      </c>
      <c r="D1690" t="s">
        <v>740</v>
      </c>
      <c r="E1690" t="s">
        <v>77</v>
      </c>
      <c r="F1690" t="s">
        <v>32</v>
      </c>
      <c r="G1690">
        <v>20</v>
      </c>
      <c r="H1690">
        <v>34.799999999999997</v>
      </c>
      <c r="I1690" t="b">
        <v>1</v>
      </c>
      <c r="J1690" t="s">
        <v>33</v>
      </c>
      <c r="K1690" t="s">
        <v>33</v>
      </c>
      <c r="L1690">
        <v>25</v>
      </c>
      <c r="M1690" s="4">
        <f t="shared" si="808"/>
        <v>1.5925925925925923</v>
      </c>
      <c r="N1690" s="3">
        <f t="shared" si="821"/>
        <v>1.5925925925925923</v>
      </c>
      <c r="O1690">
        <v>10</v>
      </c>
      <c r="P1690">
        <v>0.22</v>
      </c>
      <c r="Q1690" s="8">
        <f t="shared" si="809"/>
        <v>2.16</v>
      </c>
      <c r="R1690" t="s">
        <v>183</v>
      </c>
      <c r="S1690" t="s">
        <v>612</v>
      </c>
      <c r="T1690" s="11">
        <v>1</v>
      </c>
      <c r="U1690">
        <v>4</v>
      </c>
      <c r="V1690" t="s">
        <v>33</v>
      </c>
      <c r="W1690">
        <f t="shared" si="810"/>
        <v>6</v>
      </c>
      <c r="X1690" s="9">
        <f t="shared" si="825"/>
        <v>6</v>
      </c>
      <c r="Y1690" s="6">
        <f t="shared" si="812"/>
        <v>2.7777777777777777</v>
      </c>
      <c r="Z1690" s="3">
        <f t="shared" si="826"/>
        <v>2.7777777777777777</v>
      </c>
      <c r="AA1690" t="s">
        <v>33</v>
      </c>
      <c r="AB1690" s="4">
        <f t="shared" si="814"/>
        <v>3.4399999999999995</v>
      </c>
      <c r="AC1690" s="4">
        <f t="shared" si="820"/>
        <v>0.35037037037037033</v>
      </c>
      <c r="AD1690" s="4">
        <f t="shared" si="822"/>
        <v>3.4399999999999995</v>
      </c>
      <c r="AE1690" s="3">
        <f t="shared" si="815"/>
        <v>43</v>
      </c>
      <c r="AF1690">
        <v>34.4</v>
      </c>
      <c r="AG1690" s="4">
        <f t="shared" si="823"/>
        <v>3.5037037037037031</v>
      </c>
      <c r="AH1690" s="4">
        <f t="shared" si="824"/>
        <v>3.5037037037037031</v>
      </c>
      <c r="AI1690">
        <v>1</v>
      </c>
      <c r="AJ1690" s="11" t="s">
        <v>31</v>
      </c>
      <c r="AK1690">
        <v>2000</v>
      </c>
      <c r="AL1690" t="s">
        <v>747</v>
      </c>
      <c r="AM1690" t="s">
        <v>515</v>
      </c>
      <c r="AN1690" t="s">
        <v>205</v>
      </c>
      <c r="AO1690" t="s">
        <v>788</v>
      </c>
      <c r="AP1690">
        <v>3.54</v>
      </c>
      <c r="AQ1690" t="s">
        <v>33</v>
      </c>
      <c r="AR1690" t="s">
        <v>33</v>
      </c>
      <c r="AS1690" t="s">
        <v>33</v>
      </c>
      <c r="AT1690" t="s">
        <v>33</v>
      </c>
      <c r="AU1690" s="6">
        <v>2.335</v>
      </c>
      <c r="AV1690" t="b">
        <v>1</v>
      </c>
      <c r="AW1690" t="s">
        <v>477</v>
      </c>
      <c r="AX1690" t="s">
        <v>471</v>
      </c>
      <c r="AY1690" t="s">
        <v>750</v>
      </c>
      <c r="AZ1690" t="s">
        <v>33</v>
      </c>
      <c r="BA1690" s="18" t="s">
        <v>579</v>
      </c>
      <c r="BB1690" s="3" t="b">
        <v>1</v>
      </c>
      <c r="BC1690" t="s">
        <v>81</v>
      </c>
      <c r="BD1690" t="s">
        <v>33</v>
      </c>
      <c r="BE1690" t="s">
        <v>80</v>
      </c>
      <c r="BF1690">
        <v>48</v>
      </c>
      <c r="BG1690" t="s">
        <v>395</v>
      </c>
      <c r="BH1690" t="s">
        <v>32</v>
      </c>
      <c r="BI1690" t="s">
        <v>31</v>
      </c>
      <c r="BJ1690" s="3">
        <f t="shared" si="802"/>
        <v>2.335</v>
      </c>
      <c r="BK1690" s="3">
        <f t="shared" si="817"/>
        <v>0.36828688490213096</v>
      </c>
      <c r="BL1690">
        <v>2</v>
      </c>
      <c r="BM1690" s="3">
        <f t="shared" si="816"/>
        <v>1.2651815706774556</v>
      </c>
      <c r="BN1690" t="s">
        <v>33</v>
      </c>
      <c r="BO1690" s="3">
        <f t="shared" si="818"/>
        <v>18.41541755888651</v>
      </c>
      <c r="BP1690" t="s">
        <v>33</v>
      </c>
      <c r="BQ1690" t="s">
        <v>33</v>
      </c>
      <c r="BR1690" t="s">
        <v>33</v>
      </c>
      <c r="BS1690" t="s">
        <v>33</v>
      </c>
      <c r="BT1690" t="s">
        <v>32</v>
      </c>
      <c r="BU1690" t="s">
        <v>742</v>
      </c>
      <c r="BV1690">
        <v>2023</v>
      </c>
      <c r="BW1690" t="s">
        <v>748</v>
      </c>
      <c r="BX1690" t="s">
        <v>78</v>
      </c>
      <c r="BY1690" t="s">
        <v>711</v>
      </c>
      <c r="CA1690" t="str">
        <f t="shared" si="819"/>
        <v>high acid</v>
      </c>
    </row>
    <row r="1691" spans="1:79">
      <c r="A1691" t="s">
        <v>749</v>
      </c>
      <c r="B1691" t="s">
        <v>566</v>
      </c>
      <c r="C1691" t="s">
        <v>563</v>
      </c>
      <c r="D1691" t="s">
        <v>740</v>
      </c>
      <c r="E1691" t="s">
        <v>77</v>
      </c>
      <c r="F1691" t="s">
        <v>32</v>
      </c>
      <c r="G1691">
        <v>20</v>
      </c>
      <c r="H1691">
        <v>39.5</v>
      </c>
      <c r="I1691" t="b">
        <v>1</v>
      </c>
      <c r="J1691" t="s">
        <v>33</v>
      </c>
      <c r="K1691" t="s">
        <v>33</v>
      </c>
      <c r="L1691">
        <v>25</v>
      </c>
      <c r="M1691" s="4">
        <f t="shared" si="808"/>
        <v>2.1018518518518516</v>
      </c>
      <c r="N1691" s="3">
        <f t="shared" si="821"/>
        <v>2.1018518518518516</v>
      </c>
      <c r="O1691">
        <v>10</v>
      </c>
      <c r="P1691">
        <v>0.22</v>
      </c>
      <c r="Q1691" s="8">
        <f t="shared" si="809"/>
        <v>2.16</v>
      </c>
      <c r="R1691" t="s">
        <v>183</v>
      </c>
      <c r="S1691" t="s">
        <v>612</v>
      </c>
      <c r="T1691" s="11">
        <v>1</v>
      </c>
      <c r="U1691">
        <v>4</v>
      </c>
      <c r="V1691" t="s">
        <v>33</v>
      </c>
      <c r="W1691">
        <f t="shared" si="810"/>
        <v>6</v>
      </c>
      <c r="X1691" s="9">
        <f t="shared" si="825"/>
        <v>6</v>
      </c>
      <c r="Y1691" s="6">
        <f t="shared" si="812"/>
        <v>2.7777777777777777</v>
      </c>
      <c r="Z1691" s="3">
        <f t="shared" si="826"/>
        <v>2.7777777777777781</v>
      </c>
      <c r="AA1691" t="s">
        <v>33</v>
      </c>
      <c r="AB1691" s="4">
        <f t="shared" si="814"/>
        <v>4.54</v>
      </c>
      <c r="AC1691" s="4">
        <f t="shared" si="820"/>
        <v>0.46240740740740738</v>
      </c>
      <c r="AD1691" s="4">
        <f t="shared" si="822"/>
        <v>4.54</v>
      </c>
      <c r="AE1691" s="3">
        <f t="shared" si="815"/>
        <v>56.749999999999993</v>
      </c>
      <c r="AF1691">
        <v>45.4</v>
      </c>
      <c r="AG1691" s="4">
        <f t="shared" si="823"/>
        <v>4.6240740740740733</v>
      </c>
      <c r="AH1691" s="4">
        <f t="shared" si="824"/>
        <v>4.6240740740740733</v>
      </c>
      <c r="AI1691">
        <v>1</v>
      </c>
      <c r="AJ1691" s="11" t="s">
        <v>31</v>
      </c>
      <c r="AK1691">
        <v>2000</v>
      </c>
      <c r="AL1691" t="s">
        <v>747</v>
      </c>
      <c r="AM1691" t="s">
        <v>515</v>
      </c>
      <c r="AN1691" t="s">
        <v>205</v>
      </c>
      <c r="AO1691" t="s">
        <v>788</v>
      </c>
      <c r="AP1691">
        <v>3.54</v>
      </c>
      <c r="AQ1691" t="s">
        <v>33</v>
      </c>
      <c r="AR1691" t="s">
        <v>33</v>
      </c>
      <c r="AS1691" t="s">
        <v>33</v>
      </c>
      <c r="AT1691" t="s">
        <v>33</v>
      </c>
      <c r="AU1691" s="6">
        <v>3.2130000000000001</v>
      </c>
      <c r="AV1691" t="b">
        <v>1</v>
      </c>
      <c r="AW1691" t="s">
        <v>477</v>
      </c>
      <c r="AX1691" t="s">
        <v>471</v>
      </c>
      <c r="AY1691" t="s">
        <v>750</v>
      </c>
      <c r="AZ1691" t="s">
        <v>33</v>
      </c>
      <c r="BA1691" s="18" t="s">
        <v>579</v>
      </c>
      <c r="BB1691" s="3" t="b">
        <v>1</v>
      </c>
      <c r="BC1691" t="s">
        <v>81</v>
      </c>
      <c r="BD1691" t="s">
        <v>33</v>
      </c>
      <c r="BE1691" t="s">
        <v>80</v>
      </c>
      <c r="BF1691">
        <v>48</v>
      </c>
      <c r="BG1691" t="s">
        <v>395</v>
      </c>
      <c r="BH1691" t="s">
        <v>32</v>
      </c>
      <c r="BI1691" t="s">
        <v>31</v>
      </c>
      <c r="BJ1691" s="3">
        <f t="shared" si="802"/>
        <v>3.2130000000000001</v>
      </c>
      <c r="BK1691" s="3">
        <f t="shared" si="817"/>
        <v>0.50691072555151806</v>
      </c>
      <c r="BL1691">
        <v>2</v>
      </c>
      <c r="BM1691" s="3">
        <f t="shared" si="816"/>
        <v>1.2470551403136423</v>
      </c>
      <c r="BN1691" t="s">
        <v>33</v>
      </c>
      <c r="BO1691" s="3">
        <f t="shared" si="818"/>
        <v>17.662620603797073</v>
      </c>
      <c r="BP1691" t="s">
        <v>33</v>
      </c>
      <c r="BQ1691" t="s">
        <v>33</v>
      </c>
      <c r="BR1691" t="s">
        <v>33</v>
      </c>
      <c r="BS1691" t="s">
        <v>33</v>
      </c>
      <c r="BT1691" t="s">
        <v>32</v>
      </c>
      <c r="BU1691" t="s">
        <v>742</v>
      </c>
      <c r="BV1691">
        <v>2023</v>
      </c>
      <c r="BW1691" t="s">
        <v>748</v>
      </c>
      <c r="BX1691" t="s">
        <v>78</v>
      </c>
      <c r="BY1691" t="s">
        <v>711</v>
      </c>
      <c r="CA1691" t="str">
        <f t="shared" si="819"/>
        <v>high acid</v>
      </c>
    </row>
    <row r="1692" spans="1:79">
      <c r="A1692" t="s">
        <v>749</v>
      </c>
      <c r="B1692" t="s">
        <v>566</v>
      </c>
      <c r="C1692" t="s">
        <v>563</v>
      </c>
      <c r="D1692" t="s">
        <v>740</v>
      </c>
      <c r="E1692" t="s">
        <v>77</v>
      </c>
      <c r="F1692" t="s">
        <v>32</v>
      </c>
      <c r="G1692">
        <v>20</v>
      </c>
      <c r="H1692">
        <v>45.5</v>
      </c>
      <c r="I1692" t="b">
        <v>1</v>
      </c>
      <c r="J1692" t="s">
        <v>33</v>
      </c>
      <c r="K1692" t="s">
        <v>33</v>
      </c>
      <c r="L1692">
        <v>25</v>
      </c>
      <c r="M1692" s="4">
        <f t="shared" si="808"/>
        <v>2.6018518518518516</v>
      </c>
      <c r="N1692" s="3">
        <f t="shared" si="821"/>
        <v>2.6018518518518516</v>
      </c>
      <c r="O1692">
        <v>10</v>
      </c>
      <c r="P1692">
        <v>0.22</v>
      </c>
      <c r="Q1692" s="8">
        <f t="shared" si="809"/>
        <v>2.16</v>
      </c>
      <c r="R1692" t="s">
        <v>183</v>
      </c>
      <c r="S1692" t="s">
        <v>612</v>
      </c>
      <c r="T1692" s="11">
        <v>1</v>
      </c>
      <c r="U1692">
        <v>4</v>
      </c>
      <c r="V1692" t="s">
        <v>33</v>
      </c>
      <c r="W1692">
        <f t="shared" si="810"/>
        <v>6</v>
      </c>
      <c r="X1692" s="9">
        <f t="shared" si="825"/>
        <v>6</v>
      </c>
      <c r="Y1692" s="6">
        <f t="shared" si="812"/>
        <v>2.7777777777777777</v>
      </c>
      <c r="Z1692" s="3">
        <f t="shared" si="826"/>
        <v>2.7777777777777777</v>
      </c>
      <c r="AA1692" t="s">
        <v>33</v>
      </c>
      <c r="AB1692" s="4">
        <f t="shared" si="814"/>
        <v>5.62</v>
      </c>
      <c r="AC1692" s="4">
        <f t="shared" si="820"/>
        <v>0.57240740740740736</v>
      </c>
      <c r="AD1692" s="4">
        <f t="shared" si="822"/>
        <v>5.62</v>
      </c>
      <c r="AE1692" s="3">
        <f t="shared" si="815"/>
        <v>70.249999999999986</v>
      </c>
      <c r="AF1692">
        <v>56.2</v>
      </c>
      <c r="AG1692" s="4">
        <f t="shared" si="823"/>
        <v>5.7240740740740739</v>
      </c>
      <c r="AH1692" s="4">
        <f t="shared" si="824"/>
        <v>5.7240740740740739</v>
      </c>
      <c r="AI1692">
        <v>1</v>
      </c>
      <c r="AJ1692" s="11" t="s">
        <v>31</v>
      </c>
      <c r="AK1692">
        <v>2000</v>
      </c>
      <c r="AL1692" t="s">
        <v>747</v>
      </c>
      <c r="AM1692" t="s">
        <v>515</v>
      </c>
      <c r="AN1692" t="s">
        <v>205</v>
      </c>
      <c r="AO1692" t="s">
        <v>788</v>
      </c>
      <c r="AP1692">
        <v>3.54</v>
      </c>
      <c r="AQ1692" t="s">
        <v>33</v>
      </c>
      <c r="AR1692" t="s">
        <v>33</v>
      </c>
      <c r="AS1692" t="s">
        <v>33</v>
      </c>
      <c r="AT1692" t="s">
        <v>33</v>
      </c>
      <c r="AU1692" s="6">
        <v>3.827</v>
      </c>
      <c r="AV1692" t="b">
        <v>1</v>
      </c>
      <c r="AW1692" t="s">
        <v>477</v>
      </c>
      <c r="AX1692" t="s">
        <v>471</v>
      </c>
      <c r="AY1692" t="s">
        <v>750</v>
      </c>
      <c r="AZ1692" t="s">
        <v>33</v>
      </c>
      <c r="BA1692" s="18" t="s">
        <v>579</v>
      </c>
      <c r="BB1692" s="3" t="b">
        <v>1</v>
      </c>
      <c r="BC1692" t="s">
        <v>81</v>
      </c>
      <c r="BD1692" t="s">
        <v>33</v>
      </c>
      <c r="BE1692" t="s">
        <v>80</v>
      </c>
      <c r="BF1692">
        <v>48</v>
      </c>
      <c r="BG1692" t="s">
        <v>395</v>
      </c>
      <c r="BH1692" t="s">
        <v>32</v>
      </c>
      <c r="BI1692" t="s">
        <v>31</v>
      </c>
      <c r="BJ1692" s="3">
        <f t="shared" si="802"/>
        <v>3.827</v>
      </c>
      <c r="BK1692" s="3">
        <f t="shared" si="817"/>
        <v>0.58285846222449933</v>
      </c>
      <c r="BL1692">
        <v>2</v>
      </c>
      <c r="BM1692" s="3">
        <f t="shared" ref="BM1692:BM1726" si="827">IFERROR(LOG(BO1692),"NA")</f>
        <v>1.2637878663526181</v>
      </c>
      <c r="BN1692" t="s">
        <v>33</v>
      </c>
      <c r="BO1692" s="3">
        <f t="shared" si="818"/>
        <v>18.356414946433233</v>
      </c>
      <c r="BP1692" t="s">
        <v>33</v>
      </c>
      <c r="BQ1692" t="s">
        <v>33</v>
      </c>
      <c r="BR1692" t="s">
        <v>33</v>
      </c>
      <c r="BS1692" t="s">
        <v>33</v>
      </c>
      <c r="BT1692" t="s">
        <v>32</v>
      </c>
      <c r="BU1692" t="s">
        <v>742</v>
      </c>
      <c r="BV1692">
        <v>2023</v>
      </c>
      <c r="BW1692" t="s">
        <v>748</v>
      </c>
      <c r="BX1692" t="s">
        <v>78</v>
      </c>
      <c r="BY1692" t="s">
        <v>711</v>
      </c>
      <c r="CA1692" t="str">
        <f t="shared" si="819"/>
        <v>high acid</v>
      </c>
    </row>
    <row r="1693" spans="1:79">
      <c r="A1693" t="s">
        <v>749</v>
      </c>
      <c r="B1693" t="s">
        <v>566</v>
      </c>
      <c r="C1693" t="s">
        <v>563</v>
      </c>
      <c r="D1693" t="s">
        <v>740</v>
      </c>
      <c r="E1693" t="s">
        <v>77</v>
      </c>
      <c r="F1693" t="s">
        <v>32</v>
      </c>
      <c r="G1693">
        <v>20</v>
      </c>
      <c r="H1693">
        <v>49.6</v>
      </c>
      <c r="I1693" t="b">
        <v>1</v>
      </c>
      <c r="J1693" t="s">
        <v>33</v>
      </c>
      <c r="K1693" t="s">
        <v>33</v>
      </c>
      <c r="L1693">
        <v>25</v>
      </c>
      <c r="M1693" s="4">
        <f t="shared" si="808"/>
        <v>2.8055555555555554</v>
      </c>
      <c r="N1693" s="3">
        <f t="shared" si="821"/>
        <v>2.8055555555555554</v>
      </c>
      <c r="O1693">
        <v>10</v>
      </c>
      <c r="P1693">
        <v>0.22</v>
      </c>
      <c r="Q1693" s="8">
        <f t="shared" si="809"/>
        <v>2.16</v>
      </c>
      <c r="R1693" t="s">
        <v>183</v>
      </c>
      <c r="S1693" t="s">
        <v>612</v>
      </c>
      <c r="T1693" s="11">
        <v>1</v>
      </c>
      <c r="U1693">
        <v>4</v>
      </c>
      <c r="V1693" t="s">
        <v>33</v>
      </c>
      <c r="W1693">
        <f t="shared" si="810"/>
        <v>6</v>
      </c>
      <c r="X1693" s="9">
        <f t="shared" si="825"/>
        <v>6</v>
      </c>
      <c r="Y1693" s="6">
        <f t="shared" si="812"/>
        <v>2.7777777777777777</v>
      </c>
      <c r="Z1693" s="3">
        <f t="shared" si="826"/>
        <v>2.7777777777777772</v>
      </c>
      <c r="AA1693" t="s">
        <v>33</v>
      </c>
      <c r="AB1693" s="4">
        <f t="shared" si="814"/>
        <v>6.06</v>
      </c>
      <c r="AC1693" s="4">
        <f t="shared" si="820"/>
        <v>0.61722222222222223</v>
      </c>
      <c r="AD1693" s="4">
        <f t="shared" si="822"/>
        <v>6.06</v>
      </c>
      <c r="AE1693" s="3">
        <f t="shared" si="815"/>
        <v>75.75</v>
      </c>
      <c r="AF1693">
        <v>60.6</v>
      </c>
      <c r="AG1693" s="4">
        <f t="shared" si="823"/>
        <v>6.1722222222222216</v>
      </c>
      <c r="AH1693" s="4">
        <f t="shared" si="824"/>
        <v>6.1722222222222216</v>
      </c>
      <c r="AI1693">
        <v>1</v>
      </c>
      <c r="AJ1693" s="11" t="s">
        <v>31</v>
      </c>
      <c r="AK1693">
        <v>2000</v>
      </c>
      <c r="AL1693" t="s">
        <v>747</v>
      </c>
      <c r="AM1693" t="s">
        <v>515</v>
      </c>
      <c r="AN1693" t="s">
        <v>205</v>
      </c>
      <c r="AO1693" t="s">
        <v>788</v>
      </c>
      <c r="AP1693">
        <v>3.54</v>
      </c>
      <c r="AQ1693" t="s">
        <v>33</v>
      </c>
      <c r="AR1693" t="s">
        <v>33</v>
      </c>
      <c r="AS1693" t="s">
        <v>33</v>
      </c>
      <c r="AT1693" t="s">
        <v>33</v>
      </c>
      <c r="AU1693" s="6">
        <v>4.6210000000000004</v>
      </c>
      <c r="AV1693" t="b">
        <v>1</v>
      </c>
      <c r="AW1693" t="s">
        <v>477</v>
      </c>
      <c r="AX1693" t="s">
        <v>471</v>
      </c>
      <c r="AY1693" t="s">
        <v>750</v>
      </c>
      <c r="AZ1693" t="s">
        <v>33</v>
      </c>
      <c r="BA1693" s="18" t="s">
        <v>579</v>
      </c>
      <c r="BB1693" s="3" t="b">
        <v>1</v>
      </c>
      <c r="BC1693" t="s">
        <v>81</v>
      </c>
      <c r="BD1693" t="s">
        <v>33</v>
      </c>
      <c r="BE1693" t="s">
        <v>80</v>
      </c>
      <c r="BF1693">
        <v>48</v>
      </c>
      <c r="BG1693" t="s">
        <v>395</v>
      </c>
      <c r="BH1693" t="s">
        <v>32</v>
      </c>
      <c r="BI1693" t="s">
        <v>31</v>
      </c>
      <c r="BJ1693" s="3">
        <f t="shared" si="802"/>
        <v>4.6210000000000004</v>
      </c>
      <c r="BK1693" s="3">
        <f t="shared" si="817"/>
        <v>0.66473596851870498</v>
      </c>
      <c r="BL1693">
        <v>2</v>
      </c>
      <c r="BM1693" s="3">
        <f t="shared" si="827"/>
        <v>1.2146466686556376</v>
      </c>
      <c r="BN1693" t="s">
        <v>33</v>
      </c>
      <c r="BO1693" s="3">
        <f t="shared" si="818"/>
        <v>16.39255572386929</v>
      </c>
      <c r="BP1693" t="s">
        <v>33</v>
      </c>
      <c r="BQ1693" t="s">
        <v>33</v>
      </c>
      <c r="BR1693" t="s">
        <v>33</v>
      </c>
      <c r="BS1693" t="s">
        <v>33</v>
      </c>
      <c r="BT1693" t="s">
        <v>32</v>
      </c>
      <c r="BU1693" t="s">
        <v>742</v>
      </c>
      <c r="BV1693">
        <v>2023</v>
      </c>
      <c r="BW1693" t="s">
        <v>748</v>
      </c>
      <c r="BX1693" t="s">
        <v>78</v>
      </c>
      <c r="BY1693" t="s">
        <v>711</v>
      </c>
      <c r="CA1693" t="str">
        <f t="shared" si="819"/>
        <v>high acid</v>
      </c>
    </row>
    <row r="1694" spans="1:79">
      <c r="A1694" t="s">
        <v>171</v>
      </c>
      <c r="B1694" t="s">
        <v>567</v>
      </c>
      <c r="C1694" t="s">
        <v>564</v>
      </c>
      <c r="D1694" t="s">
        <v>33</v>
      </c>
      <c r="E1694" t="s">
        <v>77</v>
      </c>
      <c r="F1694" t="s">
        <v>32</v>
      </c>
      <c r="G1694">
        <v>17</v>
      </c>
      <c r="H1694">
        <v>37</v>
      </c>
      <c r="I1694" t="b">
        <v>1</v>
      </c>
      <c r="J1694" t="s">
        <v>33</v>
      </c>
      <c r="K1694" t="s">
        <v>33</v>
      </c>
      <c r="L1694">
        <v>41</v>
      </c>
      <c r="M1694" s="4">
        <v>3</v>
      </c>
      <c r="N1694" s="6">
        <f t="shared" si="821"/>
        <v>17.482517482517483</v>
      </c>
      <c r="O1694">
        <v>2.5</v>
      </c>
      <c r="P1694" t="s">
        <v>33</v>
      </c>
      <c r="Q1694">
        <f t="shared" ref="Q1694:Q1726" si="828">IFERROR(X1694/Z1694, "NA")</f>
        <v>20</v>
      </c>
      <c r="R1694" t="s">
        <v>183</v>
      </c>
      <c r="S1694" t="s">
        <v>612</v>
      </c>
      <c r="T1694" s="11">
        <v>1</v>
      </c>
      <c r="U1694">
        <v>6</v>
      </c>
      <c r="V1694" s="4" t="s">
        <v>33</v>
      </c>
      <c r="W1694">
        <v>28.6</v>
      </c>
      <c r="X1694" s="8">
        <f t="shared" si="825"/>
        <v>28.6</v>
      </c>
      <c r="Y1694" s="8">
        <f t="shared" ref="Y1694:Y1701" si="829">500/60</f>
        <v>8.3333333333333339</v>
      </c>
      <c r="Z1694" s="9">
        <f t="shared" si="826"/>
        <v>1.4300000000000002</v>
      </c>
      <c r="AA1694" t="s">
        <v>33</v>
      </c>
      <c r="AB1694" s="6">
        <f t="shared" ref="AB1694:AB1715" si="830">IFERROR(((X1694*M1694)/Z1694), "NA")</f>
        <v>60</v>
      </c>
      <c r="AC1694" t="str">
        <f>IFERROR(M1694*#REF!,"NA")</f>
        <v>NA</v>
      </c>
      <c r="AD1694" s="4">
        <f t="shared" si="822"/>
        <v>60</v>
      </c>
      <c r="AE1694" s="3">
        <f t="shared" ref="AE1694:AE1715" si="831">IFERROR(((L1694^2)*M1694*O1694*AK1694*10^-6*Q1694*T1694*AI1694), "NA")</f>
        <v>1210.32</v>
      </c>
      <c r="AF1694">
        <f>O1694*60</f>
        <v>150</v>
      </c>
      <c r="AG1694" t="str">
        <f t="shared" si="823"/>
        <v>NA</v>
      </c>
      <c r="AH1694" t="str">
        <f t="shared" si="824"/>
        <v>NA</v>
      </c>
      <c r="AI1694">
        <v>1</v>
      </c>
      <c r="AJ1694" t="s">
        <v>31</v>
      </c>
      <c r="AK1694">
        <v>4800</v>
      </c>
      <c r="AL1694" t="s">
        <v>168</v>
      </c>
      <c r="AM1694" t="s">
        <v>157</v>
      </c>
      <c r="AN1694" t="s">
        <v>186</v>
      </c>
      <c r="AO1694" t="s">
        <v>792</v>
      </c>
      <c r="AP1694">
        <v>6.8</v>
      </c>
      <c r="AQ1694" t="s">
        <v>33</v>
      </c>
      <c r="AR1694" t="s">
        <v>33</v>
      </c>
      <c r="AS1694" t="s">
        <v>33</v>
      </c>
      <c r="AT1694" s="3" t="str">
        <f t="shared" ref="AT1694:AT1726" si="832">IFERROR(AS1694-AU1694,"NA")</f>
        <v>NA</v>
      </c>
      <c r="AU1694" s="6">
        <v>3.9</v>
      </c>
      <c r="AV1694" t="b">
        <v>1</v>
      </c>
      <c r="AW1694" t="s">
        <v>92</v>
      </c>
      <c r="AX1694" t="s">
        <v>119</v>
      </c>
      <c r="AY1694" t="s">
        <v>519</v>
      </c>
      <c r="AZ1694" t="s">
        <v>33</v>
      </c>
      <c r="BA1694" s="18" t="s">
        <v>801</v>
      </c>
      <c r="BB1694" t="b">
        <v>0</v>
      </c>
      <c r="BC1694" t="s">
        <v>81</v>
      </c>
      <c r="BD1694">
        <v>18</v>
      </c>
      <c r="BE1694" t="s">
        <v>80</v>
      </c>
      <c r="BF1694" s="11">
        <v>24</v>
      </c>
      <c r="BG1694" t="s">
        <v>568</v>
      </c>
      <c r="BH1694" t="s">
        <v>31</v>
      </c>
      <c r="BI1694" t="s">
        <v>31</v>
      </c>
      <c r="BJ1694" s="3">
        <f t="shared" si="802"/>
        <v>3.9</v>
      </c>
      <c r="BK1694" s="3">
        <f t="shared" si="817"/>
        <v>0.59106460702649921</v>
      </c>
      <c r="BL1694">
        <v>2</v>
      </c>
      <c r="BM1694" s="3">
        <f t="shared" si="827"/>
        <v>2.4918356028442403</v>
      </c>
      <c r="BN1694" t="s">
        <v>33</v>
      </c>
      <c r="BO1694" s="3">
        <f t="shared" si="818"/>
        <v>310.3384615384615</v>
      </c>
      <c r="BP1694" t="s">
        <v>33</v>
      </c>
      <c r="BQ1694" t="s">
        <v>33</v>
      </c>
      <c r="BR1694" t="s">
        <v>33</v>
      </c>
      <c r="BS1694" t="s">
        <v>33</v>
      </c>
      <c r="BT1694" t="s">
        <v>31</v>
      </c>
      <c r="BU1694" t="s">
        <v>166</v>
      </c>
      <c r="BV1694">
        <v>2000</v>
      </c>
      <c r="BW1694" s="5" t="s">
        <v>165</v>
      </c>
      <c r="BX1694" t="s">
        <v>78</v>
      </c>
      <c r="BY1694" t="s">
        <v>523</v>
      </c>
      <c r="BZ1694" t="s">
        <v>170</v>
      </c>
      <c r="CA1694" t="str">
        <f t="shared" si="819"/>
        <v>low acid</v>
      </c>
    </row>
    <row r="1695" spans="1:79">
      <c r="A1695" t="s">
        <v>167</v>
      </c>
      <c r="B1695" t="s">
        <v>567</v>
      </c>
      <c r="C1695" t="s">
        <v>564</v>
      </c>
      <c r="D1695" t="s">
        <v>33</v>
      </c>
      <c r="E1695" t="s">
        <v>77</v>
      </c>
      <c r="F1695" t="s">
        <v>32</v>
      </c>
      <c r="G1695">
        <v>17</v>
      </c>
      <c r="H1695">
        <v>37</v>
      </c>
      <c r="I1695" t="b">
        <v>1</v>
      </c>
      <c r="J1695" t="s">
        <v>33</v>
      </c>
      <c r="K1695" t="s">
        <v>33</v>
      </c>
      <c r="L1695">
        <v>41</v>
      </c>
      <c r="M1695" s="4">
        <v>3</v>
      </c>
      <c r="N1695" s="3">
        <f t="shared" si="821"/>
        <v>17.482517482517483</v>
      </c>
      <c r="O1695">
        <v>2.5</v>
      </c>
      <c r="P1695" t="s">
        <v>33</v>
      </c>
      <c r="Q1695">
        <f t="shared" si="828"/>
        <v>20</v>
      </c>
      <c r="R1695" t="s">
        <v>183</v>
      </c>
      <c r="S1695" t="s">
        <v>612</v>
      </c>
      <c r="T1695" s="11">
        <v>1</v>
      </c>
      <c r="U1695">
        <v>6</v>
      </c>
      <c r="V1695" s="4" t="s">
        <v>33</v>
      </c>
      <c r="W1695">
        <v>28.6</v>
      </c>
      <c r="X1695" s="8">
        <f t="shared" si="825"/>
        <v>28.6</v>
      </c>
      <c r="Y1695" s="6">
        <f t="shared" si="829"/>
        <v>8.3333333333333339</v>
      </c>
      <c r="Z1695" s="3">
        <f t="shared" si="826"/>
        <v>1.4300000000000002</v>
      </c>
      <c r="AA1695" t="s">
        <v>33</v>
      </c>
      <c r="AB1695" s="6">
        <f t="shared" si="830"/>
        <v>60</v>
      </c>
      <c r="AC1695" t="str">
        <f>IFERROR(M1695*P1695,"NA")</f>
        <v>NA</v>
      </c>
      <c r="AD1695" s="4">
        <f t="shared" si="822"/>
        <v>60</v>
      </c>
      <c r="AE1695" s="3">
        <f t="shared" si="831"/>
        <v>1210.32</v>
      </c>
      <c r="AF1695">
        <f>O1695*60</f>
        <v>150</v>
      </c>
      <c r="AG1695" t="str">
        <f t="shared" si="823"/>
        <v>NA</v>
      </c>
      <c r="AH1695" t="str">
        <f t="shared" si="824"/>
        <v>NA</v>
      </c>
      <c r="AI1695">
        <v>1</v>
      </c>
      <c r="AJ1695" t="s">
        <v>31</v>
      </c>
      <c r="AK1695">
        <v>4800</v>
      </c>
      <c r="AL1695" t="s">
        <v>168</v>
      </c>
      <c r="AM1695" t="s">
        <v>157</v>
      </c>
      <c r="AN1695" t="s">
        <v>186</v>
      </c>
      <c r="AO1695" t="s">
        <v>792</v>
      </c>
      <c r="AP1695">
        <v>6.8</v>
      </c>
      <c r="AQ1695" t="s">
        <v>33</v>
      </c>
      <c r="AR1695" t="s">
        <v>33</v>
      </c>
      <c r="AS1695" t="s">
        <v>33</v>
      </c>
      <c r="AT1695" s="3" t="str">
        <f t="shared" si="832"/>
        <v>NA</v>
      </c>
      <c r="AU1695" s="6">
        <v>4</v>
      </c>
      <c r="AV1695" t="b">
        <v>1</v>
      </c>
      <c r="AW1695" t="s">
        <v>29</v>
      </c>
      <c r="AX1695" t="s">
        <v>30</v>
      </c>
      <c r="AY1695" t="s">
        <v>517</v>
      </c>
      <c r="AZ1695" t="s">
        <v>33</v>
      </c>
      <c r="BA1695" s="18" t="s">
        <v>798</v>
      </c>
      <c r="BB1695" t="b">
        <v>0</v>
      </c>
      <c r="BC1695" t="s">
        <v>81</v>
      </c>
      <c r="BD1695">
        <v>18</v>
      </c>
      <c r="BE1695" t="s">
        <v>80</v>
      </c>
      <c r="BF1695" s="11">
        <v>24</v>
      </c>
      <c r="BG1695" t="s">
        <v>568</v>
      </c>
      <c r="BH1695" t="s">
        <v>31</v>
      </c>
      <c r="BI1695" t="s">
        <v>31</v>
      </c>
      <c r="BJ1695" s="3">
        <f t="shared" si="802"/>
        <v>4</v>
      </c>
      <c r="BK1695" s="3">
        <f t="shared" si="817"/>
        <v>0.6020599913279624</v>
      </c>
      <c r="BL1695">
        <v>2</v>
      </c>
      <c r="BM1695" s="3">
        <f t="shared" si="827"/>
        <v>2.4808402185427769</v>
      </c>
      <c r="BN1695" t="s">
        <v>33</v>
      </c>
      <c r="BO1695" s="3">
        <f t="shared" si="818"/>
        <v>302.58</v>
      </c>
      <c r="BP1695" t="s">
        <v>33</v>
      </c>
      <c r="BQ1695" t="s">
        <v>33</v>
      </c>
      <c r="BR1695" t="s">
        <v>33</v>
      </c>
      <c r="BS1695" t="s">
        <v>33</v>
      </c>
      <c r="BT1695" t="s">
        <v>31</v>
      </c>
      <c r="BU1695" t="s">
        <v>166</v>
      </c>
      <c r="BV1695">
        <v>2000</v>
      </c>
      <c r="BW1695" s="1" t="s">
        <v>165</v>
      </c>
      <c r="BX1695" t="s">
        <v>78</v>
      </c>
      <c r="BY1695" t="s">
        <v>523</v>
      </c>
      <c r="BZ1695" t="s">
        <v>175</v>
      </c>
      <c r="CA1695" t="str">
        <f t="shared" si="819"/>
        <v>low acid</v>
      </c>
    </row>
    <row r="1696" spans="1:79">
      <c r="A1696" t="s">
        <v>171</v>
      </c>
      <c r="B1696" t="s">
        <v>567</v>
      </c>
      <c r="C1696" t="s">
        <v>564</v>
      </c>
      <c r="D1696" t="s">
        <v>33</v>
      </c>
      <c r="E1696" t="s">
        <v>77</v>
      </c>
      <c r="F1696" t="s">
        <v>32</v>
      </c>
      <c r="G1696">
        <v>17</v>
      </c>
      <c r="H1696">
        <v>37</v>
      </c>
      <c r="I1696" t="b">
        <v>1</v>
      </c>
      <c r="J1696" t="s">
        <v>33</v>
      </c>
      <c r="K1696" t="s">
        <v>33</v>
      </c>
      <c r="L1696">
        <v>41</v>
      </c>
      <c r="M1696" s="4">
        <v>3</v>
      </c>
      <c r="N1696" s="6">
        <f t="shared" si="821"/>
        <v>10.198135198135198</v>
      </c>
      <c r="O1696">
        <v>2.5</v>
      </c>
      <c r="P1696" t="s">
        <v>33</v>
      </c>
      <c r="Q1696">
        <f t="shared" si="828"/>
        <v>11.666666666666664</v>
      </c>
      <c r="R1696" t="s">
        <v>183</v>
      </c>
      <c r="S1696" t="s">
        <v>612</v>
      </c>
      <c r="T1696" s="11">
        <v>1</v>
      </c>
      <c r="U1696">
        <v>6</v>
      </c>
      <c r="V1696" s="4" t="s">
        <v>33</v>
      </c>
      <c r="W1696">
        <v>28.6</v>
      </c>
      <c r="X1696" s="8">
        <f t="shared" si="825"/>
        <v>28.6</v>
      </c>
      <c r="Y1696" s="8">
        <f t="shared" si="829"/>
        <v>8.3333333333333339</v>
      </c>
      <c r="Z1696" s="9">
        <f t="shared" si="826"/>
        <v>2.451428571428572</v>
      </c>
      <c r="AA1696" t="s">
        <v>33</v>
      </c>
      <c r="AB1696" s="6">
        <f t="shared" si="830"/>
        <v>35</v>
      </c>
      <c r="AC1696" t="str">
        <f>IFERROR(M1696*#REF!,"NA")</f>
        <v>NA</v>
      </c>
      <c r="AD1696" s="4">
        <f t="shared" si="822"/>
        <v>35</v>
      </c>
      <c r="AE1696" s="3">
        <f t="shared" si="831"/>
        <v>706.01999999999987</v>
      </c>
      <c r="AF1696">
        <f>O1696*35</f>
        <v>87.5</v>
      </c>
      <c r="AG1696" t="str">
        <f t="shared" si="823"/>
        <v>NA</v>
      </c>
      <c r="AH1696" t="str">
        <f t="shared" si="824"/>
        <v>NA</v>
      </c>
      <c r="AI1696">
        <v>1</v>
      </c>
      <c r="AJ1696" t="s">
        <v>31</v>
      </c>
      <c r="AK1696">
        <v>4800</v>
      </c>
      <c r="AL1696" t="s">
        <v>168</v>
      </c>
      <c r="AM1696" t="s">
        <v>157</v>
      </c>
      <c r="AN1696" t="s">
        <v>186</v>
      </c>
      <c r="AO1696" t="s">
        <v>792</v>
      </c>
      <c r="AP1696">
        <v>6.8</v>
      </c>
      <c r="AQ1696" t="s">
        <v>33</v>
      </c>
      <c r="AR1696" t="s">
        <v>33</v>
      </c>
      <c r="AS1696" t="s">
        <v>33</v>
      </c>
      <c r="AT1696" s="3" t="str">
        <f t="shared" si="832"/>
        <v>NA</v>
      </c>
      <c r="AU1696" s="6">
        <v>2.2999999999999998</v>
      </c>
      <c r="AV1696" t="b">
        <v>1</v>
      </c>
      <c r="AW1696" t="s">
        <v>92</v>
      </c>
      <c r="AX1696" t="s">
        <v>119</v>
      </c>
      <c r="AY1696" t="s">
        <v>519</v>
      </c>
      <c r="AZ1696" t="s">
        <v>33</v>
      </c>
      <c r="BA1696" s="18" t="s">
        <v>801</v>
      </c>
      <c r="BB1696" t="b">
        <v>0</v>
      </c>
      <c r="BC1696" t="s">
        <v>81</v>
      </c>
      <c r="BD1696">
        <v>18</v>
      </c>
      <c r="BE1696" t="s">
        <v>80</v>
      </c>
      <c r="BF1696" s="11">
        <v>24</v>
      </c>
      <c r="BG1696" t="s">
        <v>568</v>
      </c>
      <c r="BH1696" t="s">
        <v>31</v>
      </c>
      <c r="BI1696" t="s">
        <v>31</v>
      </c>
      <c r="BJ1696" s="3">
        <f t="shared" si="802"/>
        <v>2.2999999999999998</v>
      </c>
      <c r="BK1696" s="3">
        <f t="shared" si="817"/>
        <v>0.36172783601759284</v>
      </c>
      <c r="BL1696">
        <v>2</v>
      </c>
      <c r="BM1696" s="3">
        <f t="shared" si="827"/>
        <v>2.4870891678197786</v>
      </c>
      <c r="BN1696" t="s">
        <v>33</v>
      </c>
      <c r="BO1696" s="3">
        <f t="shared" si="818"/>
        <v>306.96521739130429</v>
      </c>
      <c r="BP1696" t="s">
        <v>33</v>
      </c>
      <c r="BQ1696" t="s">
        <v>33</v>
      </c>
      <c r="BR1696" t="s">
        <v>33</v>
      </c>
      <c r="BS1696" t="s">
        <v>33</v>
      </c>
      <c r="BT1696" t="s">
        <v>31</v>
      </c>
      <c r="BU1696" t="s">
        <v>166</v>
      </c>
      <c r="BV1696">
        <v>2000</v>
      </c>
      <c r="BW1696" s="5" t="s">
        <v>165</v>
      </c>
      <c r="BX1696" t="s">
        <v>78</v>
      </c>
      <c r="BY1696" t="s">
        <v>523</v>
      </c>
      <c r="BZ1696" t="s">
        <v>170</v>
      </c>
      <c r="CA1696" t="str">
        <f t="shared" si="819"/>
        <v>low acid</v>
      </c>
    </row>
    <row r="1697" spans="1:79">
      <c r="A1697" t="s">
        <v>167</v>
      </c>
      <c r="B1697" t="s">
        <v>567</v>
      </c>
      <c r="C1697" t="s">
        <v>564</v>
      </c>
      <c r="D1697" t="s">
        <v>33</v>
      </c>
      <c r="E1697" t="s">
        <v>77</v>
      </c>
      <c r="F1697" t="s">
        <v>32</v>
      </c>
      <c r="G1697">
        <v>17</v>
      </c>
      <c r="H1697">
        <v>37</v>
      </c>
      <c r="I1697" t="b">
        <v>1</v>
      </c>
      <c r="J1697" t="s">
        <v>33</v>
      </c>
      <c r="K1697" t="s">
        <v>33</v>
      </c>
      <c r="L1697">
        <v>41</v>
      </c>
      <c r="M1697" s="4">
        <v>3</v>
      </c>
      <c r="N1697" s="3">
        <f t="shared" si="821"/>
        <v>10.198135198135198</v>
      </c>
      <c r="O1697">
        <v>2.5</v>
      </c>
      <c r="P1697" t="s">
        <v>33</v>
      </c>
      <c r="Q1697">
        <f t="shared" si="828"/>
        <v>11.666666666666664</v>
      </c>
      <c r="R1697" t="s">
        <v>183</v>
      </c>
      <c r="S1697" t="s">
        <v>612</v>
      </c>
      <c r="T1697" s="11">
        <v>1</v>
      </c>
      <c r="U1697">
        <v>6</v>
      </c>
      <c r="V1697" s="4" t="s">
        <v>33</v>
      </c>
      <c r="W1697">
        <v>28.6</v>
      </c>
      <c r="X1697" s="8">
        <f t="shared" si="825"/>
        <v>28.6</v>
      </c>
      <c r="Y1697" s="6">
        <f t="shared" si="829"/>
        <v>8.3333333333333339</v>
      </c>
      <c r="Z1697" s="3">
        <f t="shared" si="826"/>
        <v>2.451428571428572</v>
      </c>
      <c r="AA1697" t="s">
        <v>33</v>
      </c>
      <c r="AB1697" s="6">
        <f t="shared" si="830"/>
        <v>35</v>
      </c>
      <c r="AC1697" t="str">
        <f>IFERROR(M1697*P1697,"NA")</f>
        <v>NA</v>
      </c>
      <c r="AD1697" s="4">
        <f t="shared" si="822"/>
        <v>35</v>
      </c>
      <c r="AE1697" s="3">
        <f t="shared" si="831"/>
        <v>706.01999999999987</v>
      </c>
      <c r="AF1697">
        <f>O1697*35</f>
        <v>87.5</v>
      </c>
      <c r="AG1697" t="str">
        <f t="shared" si="823"/>
        <v>NA</v>
      </c>
      <c r="AH1697" t="str">
        <f t="shared" si="824"/>
        <v>NA</v>
      </c>
      <c r="AI1697">
        <v>1</v>
      </c>
      <c r="AJ1697" t="s">
        <v>31</v>
      </c>
      <c r="AK1697">
        <v>4800</v>
      </c>
      <c r="AL1697" t="s">
        <v>168</v>
      </c>
      <c r="AM1697" t="s">
        <v>157</v>
      </c>
      <c r="AN1697" t="s">
        <v>186</v>
      </c>
      <c r="AO1697" t="s">
        <v>792</v>
      </c>
      <c r="AP1697">
        <v>6.8</v>
      </c>
      <c r="AQ1697" t="s">
        <v>33</v>
      </c>
      <c r="AR1697" t="s">
        <v>33</v>
      </c>
      <c r="AS1697" t="s">
        <v>33</v>
      </c>
      <c r="AT1697" s="3" t="str">
        <f t="shared" si="832"/>
        <v>NA</v>
      </c>
      <c r="AU1697" s="6">
        <v>3.4</v>
      </c>
      <c r="AV1697" t="b">
        <v>1</v>
      </c>
      <c r="AW1697" t="s">
        <v>29</v>
      </c>
      <c r="AX1697" t="s">
        <v>30</v>
      </c>
      <c r="AY1697" t="s">
        <v>517</v>
      </c>
      <c r="AZ1697" t="s">
        <v>33</v>
      </c>
      <c r="BA1697" s="18" t="s">
        <v>798</v>
      </c>
      <c r="BB1697" t="b">
        <v>0</v>
      </c>
      <c r="BC1697" t="s">
        <v>81</v>
      </c>
      <c r="BD1697">
        <v>18</v>
      </c>
      <c r="BE1697" t="s">
        <v>80</v>
      </c>
      <c r="BF1697" s="11">
        <v>24</v>
      </c>
      <c r="BG1697" t="s">
        <v>568</v>
      </c>
      <c r="BH1697" t="s">
        <v>31</v>
      </c>
      <c r="BI1697" t="s">
        <v>31</v>
      </c>
      <c r="BJ1697" s="3">
        <f t="shared" si="802"/>
        <v>3.4</v>
      </c>
      <c r="BK1697" s="3">
        <f t="shared" si="817"/>
        <v>0.53147891704225514</v>
      </c>
      <c r="BL1697">
        <v>2</v>
      </c>
      <c r="BM1697" s="3">
        <f t="shared" si="827"/>
        <v>2.3173380867951163</v>
      </c>
      <c r="BN1697" t="s">
        <v>33</v>
      </c>
      <c r="BO1697" s="3">
        <f t="shared" si="818"/>
        <v>207.65294117647056</v>
      </c>
      <c r="BP1697" t="s">
        <v>33</v>
      </c>
      <c r="BQ1697" t="s">
        <v>33</v>
      </c>
      <c r="BR1697" t="s">
        <v>33</v>
      </c>
      <c r="BS1697" t="s">
        <v>33</v>
      </c>
      <c r="BT1697" t="s">
        <v>31</v>
      </c>
      <c r="BU1697" t="s">
        <v>166</v>
      </c>
      <c r="BV1697">
        <v>2000</v>
      </c>
      <c r="BW1697" s="1" t="s">
        <v>165</v>
      </c>
      <c r="BX1697" t="s">
        <v>78</v>
      </c>
      <c r="BY1697" t="s">
        <v>523</v>
      </c>
      <c r="BZ1697" t="s">
        <v>175</v>
      </c>
      <c r="CA1697" t="str">
        <f t="shared" si="819"/>
        <v>low acid</v>
      </c>
    </row>
    <row r="1698" spans="1:79">
      <c r="A1698" t="s">
        <v>171</v>
      </c>
      <c r="B1698" t="s">
        <v>567</v>
      </c>
      <c r="C1698" t="s">
        <v>564</v>
      </c>
      <c r="D1698" t="s">
        <v>33</v>
      </c>
      <c r="E1698" t="s">
        <v>77</v>
      </c>
      <c r="F1698" t="s">
        <v>32</v>
      </c>
      <c r="G1698">
        <v>17</v>
      </c>
      <c r="H1698">
        <v>37</v>
      </c>
      <c r="I1698" t="b">
        <v>1</v>
      </c>
      <c r="J1698" t="s">
        <v>33</v>
      </c>
      <c r="K1698" t="s">
        <v>33</v>
      </c>
      <c r="L1698">
        <v>41</v>
      </c>
      <c r="M1698" s="4">
        <v>3</v>
      </c>
      <c r="N1698" s="6">
        <f t="shared" si="821"/>
        <v>5.8275058275058278</v>
      </c>
      <c r="O1698">
        <v>2.5</v>
      </c>
      <c r="P1698" t="s">
        <v>33</v>
      </c>
      <c r="Q1698">
        <f t="shared" si="828"/>
        <v>6.6666666666666652</v>
      </c>
      <c r="R1698" t="s">
        <v>183</v>
      </c>
      <c r="S1698" t="s">
        <v>612</v>
      </c>
      <c r="T1698" s="11">
        <v>1</v>
      </c>
      <c r="U1698">
        <v>6</v>
      </c>
      <c r="V1698" s="4" t="s">
        <v>33</v>
      </c>
      <c r="W1698">
        <v>28.6</v>
      </c>
      <c r="X1698" s="8">
        <f t="shared" si="825"/>
        <v>28.6</v>
      </c>
      <c r="Y1698" s="8">
        <f t="shared" si="829"/>
        <v>8.3333333333333339</v>
      </c>
      <c r="Z1698" s="9">
        <f t="shared" si="826"/>
        <v>4.2900000000000009</v>
      </c>
      <c r="AA1698" t="s">
        <v>33</v>
      </c>
      <c r="AB1698" s="6">
        <f t="shared" si="830"/>
        <v>20</v>
      </c>
      <c r="AC1698" t="str">
        <f>IFERROR(M1698*#REF!,"NA")</f>
        <v>NA</v>
      </c>
      <c r="AD1698" s="4">
        <f t="shared" si="822"/>
        <v>20</v>
      </c>
      <c r="AE1698" s="3">
        <f t="shared" si="831"/>
        <v>403.43999999999988</v>
      </c>
      <c r="AF1698">
        <f>O1698*20</f>
        <v>50</v>
      </c>
      <c r="AG1698" t="str">
        <f t="shared" si="823"/>
        <v>NA</v>
      </c>
      <c r="AH1698" t="str">
        <f t="shared" si="824"/>
        <v>NA</v>
      </c>
      <c r="AI1698">
        <v>1</v>
      </c>
      <c r="AJ1698" t="s">
        <v>31</v>
      </c>
      <c r="AK1698">
        <v>4800</v>
      </c>
      <c r="AL1698" t="s">
        <v>168</v>
      </c>
      <c r="AM1698" t="s">
        <v>157</v>
      </c>
      <c r="AN1698" t="s">
        <v>186</v>
      </c>
      <c r="AO1698" t="s">
        <v>792</v>
      </c>
      <c r="AP1698">
        <v>6.8</v>
      </c>
      <c r="AQ1698" t="s">
        <v>33</v>
      </c>
      <c r="AR1698" t="s">
        <v>33</v>
      </c>
      <c r="AS1698" t="s">
        <v>33</v>
      </c>
      <c r="AT1698" s="3" t="str">
        <f t="shared" si="832"/>
        <v>NA</v>
      </c>
      <c r="AU1698" s="6">
        <v>1.5</v>
      </c>
      <c r="AV1698" t="b">
        <v>1</v>
      </c>
      <c r="AW1698" t="s">
        <v>92</v>
      </c>
      <c r="AX1698" t="s">
        <v>119</v>
      </c>
      <c r="AY1698" t="s">
        <v>519</v>
      </c>
      <c r="AZ1698" t="s">
        <v>33</v>
      </c>
      <c r="BA1698" s="18" t="s">
        <v>801</v>
      </c>
      <c r="BB1698" t="b">
        <v>0</v>
      </c>
      <c r="BC1698" t="s">
        <v>81</v>
      </c>
      <c r="BD1698">
        <v>18</v>
      </c>
      <c r="BE1698" t="s">
        <v>80</v>
      </c>
      <c r="BF1698" s="11">
        <v>24</v>
      </c>
      <c r="BG1698" t="s">
        <v>568</v>
      </c>
      <c r="BH1698" t="s">
        <v>31</v>
      </c>
      <c r="BI1698" t="s">
        <v>31</v>
      </c>
      <c r="BJ1698" s="3">
        <f t="shared" si="802"/>
        <v>1.5</v>
      </c>
      <c r="BK1698" s="3">
        <f t="shared" si="817"/>
        <v>0.17609125905568124</v>
      </c>
      <c r="BL1698">
        <v>2</v>
      </c>
      <c r="BM1698" s="3">
        <f t="shared" si="827"/>
        <v>2.4296876960953955</v>
      </c>
      <c r="BN1698" t="s">
        <v>33</v>
      </c>
      <c r="BO1698" s="3">
        <f t="shared" si="818"/>
        <v>268.95999999999992</v>
      </c>
      <c r="BP1698" t="s">
        <v>33</v>
      </c>
      <c r="BQ1698" t="s">
        <v>33</v>
      </c>
      <c r="BR1698" t="s">
        <v>33</v>
      </c>
      <c r="BS1698" t="s">
        <v>33</v>
      </c>
      <c r="BT1698" t="s">
        <v>31</v>
      </c>
      <c r="BU1698" t="s">
        <v>166</v>
      </c>
      <c r="BV1698">
        <v>2000</v>
      </c>
      <c r="BW1698" s="5" t="s">
        <v>165</v>
      </c>
      <c r="BX1698" t="s">
        <v>78</v>
      </c>
      <c r="BY1698" t="s">
        <v>523</v>
      </c>
      <c r="BZ1698" t="s">
        <v>170</v>
      </c>
      <c r="CA1698" t="str">
        <f t="shared" si="819"/>
        <v>low acid</v>
      </c>
    </row>
    <row r="1699" spans="1:79">
      <c r="A1699" t="s">
        <v>167</v>
      </c>
      <c r="B1699" t="s">
        <v>567</v>
      </c>
      <c r="C1699" t="s">
        <v>564</v>
      </c>
      <c r="D1699" t="s">
        <v>33</v>
      </c>
      <c r="E1699" t="s">
        <v>77</v>
      </c>
      <c r="F1699" t="s">
        <v>32</v>
      </c>
      <c r="G1699">
        <v>17</v>
      </c>
      <c r="H1699">
        <v>37</v>
      </c>
      <c r="I1699" t="b">
        <v>1</v>
      </c>
      <c r="J1699" t="s">
        <v>33</v>
      </c>
      <c r="K1699" t="s">
        <v>33</v>
      </c>
      <c r="L1699">
        <v>41</v>
      </c>
      <c r="M1699" s="4">
        <v>3</v>
      </c>
      <c r="N1699" s="3">
        <f t="shared" si="821"/>
        <v>5.8275058275058278</v>
      </c>
      <c r="O1699">
        <v>2.5</v>
      </c>
      <c r="P1699" t="s">
        <v>33</v>
      </c>
      <c r="Q1699">
        <f t="shared" si="828"/>
        <v>6.6666666666666652</v>
      </c>
      <c r="R1699" t="s">
        <v>183</v>
      </c>
      <c r="S1699" t="s">
        <v>612</v>
      </c>
      <c r="T1699" s="11">
        <v>1</v>
      </c>
      <c r="U1699">
        <v>6</v>
      </c>
      <c r="V1699" s="4" t="s">
        <v>33</v>
      </c>
      <c r="W1699">
        <v>28.6</v>
      </c>
      <c r="X1699" s="8">
        <f t="shared" si="825"/>
        <v>28.6</v>
      </c>
      <c r="Y1699" s="6">
        <f t="shared" si="829"/>
        <v>8.3333333333333339</v>
      </c>
      <c r="Z1699" s="3">
        <f t="shared" si="826"/>
        <v>4.2900000000000009</v>
      </c>
      <c r="AA1699" t="s">
        <v>33</v>
      </c>
      <c r="AB1699" s="6">
        <f t="shared" si="830"/>
        <v>20</v>
      </c>
      <c r="AC1699" t="str">
        <f>IFERROR(M1699*P1699,"NA")</f>
        <v>NA</v>
      </c>
      <c r="AD1699" s="4">
        <f t="shared" si="822"/>
        <v>20</v>
      </c>
      <c r="AE1699" s="3">
        <f t="shared" si="831"/>
        <v>403.43999999999988</v>
      </c>
      <c r="AF1699">
        <f>O1699*20</f>
        <v>50</v>
      </c>
      <c r="AG1699" t="str">
        <f t="shared" si="823"/>
        <v>NA</v>
      </c>
      <c r="AH1699" t="str">
        <f t="shared" si="824"/>
        <v>NA</v>
      </c>
      <c r="AI1699">
        <v>1</v>
      </c>
      <c r="AJ1699" t="s">
        <v>31</v>
      </c>
      <c r="AK1699">
        <v>4800</v>
      </c>
      <c r="AL1699" t="s">
        <v>168</v>
      </c>
      <c r="AM1699" t="s">
        <v>157</v>
      </c>
      <c r="AN1699" t="s">
        <v>186</v>
      </c>
      <c r="AO1699" t="s">
        <v>792</v>
      </c>
      <c r="AP1699">
        <v>6.8</v>
      </c>
      <c r="AQ1699" t="s">
        <v>33</v>
      </c>
      <c r="AR1699" t="s">
        <v>33</v>
      </c>
      <c r="AS1699" t="s">
        <v>33</v>
      </c>
      <c r="AT1699" s="3" t="str">
        <f t="shared" si="832"/>
        <v>NA</v>
      </c>
      <c r="AU1699" s="6">
        <v>2.9</v>
      </c>
      <c r="AV1699" t="b">
        <v>1</v>
      </c>
      <c r="AW1699" t="s">
        <v>29</v>
      </c>
      <c r="AX1699" t="s">
        <v>30</v>
      </c>
      <c r="AY1699" t="s">
        <v>517</v>
      </c>
      <c r="AZ1699" t="s">
        <v>33</v>
      </c>
      <c r="BA1699" s="18" t="s">
        <v>798</v>
      </c>
      <c r="BB1699" t="b">
        <v>0</v>
      </c>
      <c r="BC1699" t="s">
        <v>81</v>
      </c>
      <c r="BD1699">
        <v>18</v>
      </c>
      <c r="BE1699" t="s">
        <v>80</v>
      </c>
      <c r="BF1699" s="11">
        <v>24</v>
      </c>
      <c r="BG1699" t="s">
        <v>568</v>
      </c>
      <c r="BH1699" t="s">
        <v>31</v>
      </c>
      <c r="BI1699" t="s">
        <v>31</v>
      </c>
      <c r="BJ1699" s="3">
        <f t="shared" si="802"/>
        <v>2.9</v>
      </c>
      <c r="BK1699" s="3">
        <f t="shared" si="817"/>
        <v>0.46239799789895608</v>
      </c>
      <c r="BL1699">
        <v>2</v>
      </c>
      <c r="BM1699" s="3">
        <f t="shared" si="827"/>
        <v>2.1433809572521207</v>
      </c>
      <c r="BN1699" t="s">
        <v>33</v>
      </c>
      <c r="BO1699" s="3">
        <f t="shared" si="818"/>
        <v>139.11724137931031</v>
      </c>
      <c r="BP1699" t="s">
        <v>33</v>
      </c>
      <c r="BQ1699" t="s">
        <v>33</v>
      </c>
      <c r="BR1699" t="s">
        <v>33</v>
      </c>
      <c r="BS1699" t="s">
        <v>33</v>
      </c>
      <c r="BT1699" t="s">
        <v>31</v>
      </c>
      <c r="BU1699" t="s">
        <v>166</v>
      </c>
      <c r="BV1699">
        <v>2000</v>
      </c>
      <c r="BW1699" s="1" t="s">
        <v>165</v>
      </c>
      <c r="BX1699" t="s">
        <v>78</v>
      </c>
      <c r="BY1699" t="s">
        <v>523</v>
      </c>
      <c r="BZ1699" t="s">
        <v>175</v>
      </c>
      <c r="CA1699" t="str">
        <f t="shared" si="819"/>
        <v>low acid</v>
      </c>
    </row>
    <row r="1700" spans="1:79">
      <c r="A1700" t="s">
        <v>171</v>
      </c>
      <c r="B1700" t="s">
        <v>567</v>
      </c>
      <c r="C1700" t="s">
        <v>564</v>
      </c>
      <c r="D1700" t="s">
        <v>33</v>
      </c>
      <c r="E1700" t="s">
        <v>77</v>
      </c>
      <c r="F1700" t="s">
        <v>32</v>
      </c>
      <c r="G1700">
        <v>17</v>
      </c>
      <c r="H1700">
        <v>37</v>
      </c>
      <c r="I1700" t="b">
        <v>1</v>
      </c>
      <c r="J1700" t="s">
        <v>33</v>
      </c>
      <c r="K1700" t="s">
        <v>33</v>
      </c>
      <c r="L1700">
        <v>41</v>
      </c>
      <c r="M1700" s="4">
        <v>3</v>
      </c>
      <c r="N1700" s="6">
        <f t="shared" si="821"/>
        <v>2.9137529137529139</v>
      </c>
      <c r="O1700">
        <v>2.5</v>
      </c>
      <c r="P1700" t="s">
        <v>33</v>
      </c>
      <c r="Q1700">
        <f t="shared" si="828"/>
        <v>3.3333333333333326</v>
      </c>
      <c r="R1700" t="s">
        <v>183</v>
      </c>
      <c r="S1700" t="s">
        <v>612</v>
      </c>
      <c r="T1700" s="11">
        <v>1</v>
      </c>
      <c r="U1700">
        <v>6</v>
      </c>
      <c r="V1700" s="4" t="s">
        <v>33</v>
      </c>
      <c r="W1700">
        <v>28.6</v>
      </c>
      <c r="X1700" s="8">
        <f t="shared" si="825"/>
        <v>28.6</v>
      </c>
      <c r="Y1700" s="8">
        <f t="shared" si="829"/>
        <v>8.3333333333333339</v>
      </c>
      <c r="Z1700" s="9">
        <f t="shared" si="826"/>
        <v>8.5800000000000018</v>
      </c>
      <c r="AA1700" t="s">
        <v>33</v>
      </c>
      <c r="AB1700" s="6">
        <f t="shared" si="830"/>
        <v>10</v>
      </c>
      <c r="AC1700" t="str">
        <f>IFERROR(M1700*#REF!,"NA")</f>
        <v>NA</v>
      </c>
      <c r="AD1700" s="4">
        <f t="shared" si="822"/>
        <v>10</v>
      </c>
      <c r="AE1700" s="3">
        <f t="shared" si="831"/>
        <v>201.71999999999994</v>
      </c>
      <c r="AF1700">
        <f>O1700*10</f>
        <v>25</v>
      </c>
      <c r="AG1700" t="str">
        <f t="shared" si="823"/>
        <v>NA</v>
      </c>
      <c r="AH1700" t="str">
        <f t="shared" si="824"/>
        <v>NA</v>
      </c>
      <c r="AI1700">
        <v>1</v>
      </c>
      <c r="AJ1700" t="s">
        <v>31</v>
      </c>
      <c r="AK1700">
        <v>4800</v>
      </c>
      <c r="AL1700" t="s">
        <v>168</v>
      </c>
      <c r="AM1700" t="s">
        <v>157</v>
      </c>
      <c r="AN1700" t="s">
        <v>186</v>
      </c>
      <c r="AO1700" t="s">
        <v>792</v>
      </c>
      <c r="AP1700">
        <v>6.8</v>
      </c>
      <c r="AQ1700" t="s">
        <v>33</v>
      </c>
      <c r="AR1700" t="s">
        <v>33</v>
      </c>
      <c r="AS1700" t="s">
        <v>33</v>
      </c>
      <c r="AT1700" s="3" t="str">
        <f t="shared" si="832"/>
        <v>NA</v>
      </c>
      <c r="AU1700" s="6">
        <v>0.7</v>
      </c>
      <c r="AV1700" t="b">
        <v>1</v>
      </c>
      <c r="AW1700" t="s">
        <v>92</v>
      </c>
      <c r="AX1700" t="s">
        <v>119</v>
      </c>
      <c r="AY1700" t="s">
        <v>519</v>
      </c>
      <c r="AZ1700" t="s">
        <v>33</v>
      </c>
      <c r="BA1700" s="18" t="s">
        <v>801</v>
      </c>
      <c r="BB1700" t="b">
        <v>0</v>
      </c>
      <c r="BC1700" t="s">
        <v>81</v>
      </c>
      <c r="BD1700">
        <v>18</v>
      </c>
      <c r="BE1700" t="s">
        <v>80</v>
      </c>
      <c r="BF1700" s="11">
        <v>24</v>
      </c>
      <c r="BG1700" t="s">
        <v>568</v>
      </c>
      <c r="BH1700" t="s">
        <v>31</v>
      </c>
      <c r="BI1700" t="s">
        <v>31</v>
      </c>
      <c r="BJ1700" s="3">
        <f t="shared" si="802"/>
        <v>0.7</v>
      </c>
      <c r="BK1700" s="3">
        <f t="shared" si="817"/>
        <v>-0.15490195998574319</v>
      </c>
      <c r="BL1700">
        <v>2</v>
      </c>
      <c r="BM1700" s="3">
        <f t="shared" si="827"/>
        <v>2.4596509194728391</v>
      </c>
      <c r="BN1700" t="s">
        <v>33</v>
      </c>
      <c r="BO1700" s="3">
        <f t="shared" si="818"/>
        <v>288.17142857142852</v>
      </c>
      <c r="BP1700" t="s">
        <v>33</v>
      </c>
      <c r="BQ1700" t="s">
        <v>33</v>
      </c>
      <c r="BR1700" t="s">
        <v>33</v>
      </c>
      <c r="BS1700" t="s">
        <v>33</v>
      </c>
      <c r="BT1700" t="s">
        <v>31</v>
      </c>
      <c r="BU1700" t="s">
        <v>166</v>
      </c>
      <c r="BV1700">
        <v>2000</v>
      </c>
      <c r="BW1700" s="5" t="s">
        <v>165</v>
      </c>
      <c r="BX1700" t="s">
        <v>78</v>
      </c>
      <c r="BY1700" t="s">
        <v>523</v>
      </c>
      <c r="BZ1700" t="s">
        <v>170</v>
      </c>
      <c r="CA1700" t="str">
        <f t="shared" si="819"/>
        <v>low acid</v>
      </c>
    </row>
    <row r="1701" spans="1:79">
      <c r="A1701" t="s">
        <v>167</v>
      </c>
      <c r="B1701" t="s">
        <v>567</v>
      </c>
      <c r="C1701" t="s">
        <v>564</v>
      </c>
      <c r="D1701" t="s">
        <v>33</v>
      </c>
      <c r="E1701" t="s">
        <v>77</v>
      </c>
      <c r="F1701" t="s">
        <v>32</v>
      </c>
      <c r="G1701">
        <v>17</v>
      </c>
      <c r="H1701">
        <v>37</v>
      </c>
      <c r="I1701" t="b">
        <v>1</v>
      </c>
      <c r="J1701" t="s">
        <v>33</v>
      </c>
      <c r="K1701" t="s">
        <v>33</v>
      </c>
      <c r="L1701">
        <v>41</v>
      </c>
      <c r="M1701" s="4">
        <v>3</v>
      </c>
      <c r="N1701" s="3">
        <f t="shared" si="821"/>
        <v>2.9137529137529139</v>
      </c>
      <c r="O1701">
        <v>2.5</v>
      </c>
      <c r="P1701" t="s">
        <v>33</v>
      </c>
      <c r="Q1701">
        <f t="shared" si="828"/>
        <v>3.3333333333333326</v>
      </c>
      <c r="R1701" t="s">
        <v>183</v>
      </c>
      <c r="S1701" t="s">
        <v>612</v>
      </c>
      <c r="T1701" s="11">
        <v>1</v>
      </c>
      <c r="U1701">
        <v>6</v>
      </c>
      <c r="V1701" s="4" t="s">
        <v>33</v>
      </c>
      <c r="W1701">
        <v>28.6</v>
      </c>
      <c r="X1701" s="8">
        <f t="shared" si="825"/>
        <v>28.6</v>
      </c>
      <c r="Y1701" s="6">
        <f t="shared" si="829"/>
        <v>8.3333333333333339</v>
      </c>
      <c r="Z1701" s="3">
        <f t="shared" si="826"/>
        <v>8.5800000000000018</v>
      </c>
      <c r="AA1701" t="s">
        <v>33</v>
      </c>
      <c r="AB1701" s="6">
        <f t="shared" si="830"/>
        <v>10</v>
      </c>
      <c r="AC1701" t="str">
        <f t="shared" ref="AC1701:AC1707" si="833">IFERROR(M1701*P1701,"NA")</f>
        <v>NA</v>
      </c>
      <c r="AD1701" s="4">
        <f t="shared" si="822"/>
        <v>10</v>
      </c>
      <c r="AE1701" s="3">
        <f t="shared" si="831"/>
        <v>201.71999999999994</v>
      </c>
      <c r="AF1701">
        <f>O1701*10</f>
        <v>25</v>
      </c>
      <c r="AG1701" t="str">
        <f t="shared" si="823"/>
        <v>NA</v>
      </c>
      <c r="AH1701" t="str">
        <f t="shared" si="824"/>
        <v>NA</v>
      </c>
      <c r="AI1701">
        <v>1</v>
      </c>
      <c r="AJ1701" t="s">
        <v>31</v>
      </c>
      <c r="AK1701">
        <v>4800</v>
      </c>
      <c r="AL1701" t="s">
        <v>168</v>
      </c>
      <c r="AM1701" t="s">
        <v>157</v>
      </c>
      <c r="AN1701" t="s">
        <v>186</v>
      </c>
      <c r="AO1701" t="s">
        <v>792</v>
      </c>
      <c r="AP1701">
        <v>6.8</v>
      </c>
      <c r="AQ1701" t="s">
        <v>33</v>
      </c>
      <c r="AR1701" t="s">
        <v>33</v>
      </c>
      <c r="AS1701" t="s">
        <v>33</v>
      </c>
      <c r="AT1701" s="3" t="str">
        <f t="shared" si="832"/>
        <v>NA</v>
      </c>
      <c r="AU1701" s="6">
        <v>2.2999999999999998</v>
      </c>
      <c r="AV1701" t="b">
        <v>1</v>
      </c>
      <c r="AW1701" t="s">
        <v>29</v>
      </c>
      <c r="AX1701" t="s">
        <v>30</v>
      </c>
      <c r="AY1701" t="s">
        <v>517</v>
      </c>
      <c r="AZ1701" t="s">
        <v>33</v>
      </c>
      <c r="BA1701" s="18" t="s">
        <v>798</v>
      </c>
      <c r="BB1701" t="b">
        <v>0</v>
      </c>
      <c r="BC1701" t="s">
        <v>81</v>
      </c>
      <c r="BD1701">
        <v>18</v>
      </c>
      <c r="BE1701" t="s">
        <v>80</v>
      </c>
      <c r="BF1701" s="11">
        <v>24</v>
      </c>
      <c r="BG1701" t="s">
        <v>568</v>
      </c>
      <c r="BH1701" t="s">
        <v>31</v>
      </c>
      <c r="BI1701" t="s">
        <v>31</v>
      </c>
      <c r="BJ1701" s="3">
        <f t="shared" si="802"/>
        <v>2.2999999999999998</v>
      </c>
      <c r="BK1701" s="3">
        <f t="shared" si="817"/>
        <v>0.36172783601759284</v>
      </c>
      <c r="BL1701">
        <v>2</v>
      </c>
      <c r="BM1701" s="3">
        <f t="shared" si="827"/>
        <v>1.943021123469503</v>
      </c>
      <c r="BN1701" t="s">
        <v>33</v>
      </c>
      <c r="BO1701" s="3">
        <f t="shared" si="818"/>
        <v>87.704347826086945</v>
      </c>
      <c r="BP1701" t="s">
        <v>33</v>
      </c>
      <c r="BQ1701" t="s">
        <v>33</v>
      </c>
      <c r="BR1701" t="s">
        <v>33</v>
      </c>
      <c r="BS1701" t="s">
        <v>33</v>
      </c>
      <c r="BT1701" t="s">
        <v>31</v>
      </c>
      <c r="BU1701" t="s">
        <v>166</v>
      </c>
      <c r="BV1701">
        <v>2000</v>
      </c>
      <c r="BW1701" s="1" t="s">
        <v>165</v>
      </c>
      <c r="BX1701" t="s">
        <v>78</v>
      </c>
      <c r="BY1701" t="s">
        <v>523</v>
      </c>
      <c r="BZ1701" t="s">
        <v>175</v>
      </c>
      <c r="CA1701" t="str">
        <f t="shared" si="819"/>
        <v>low acid</v>
      </c>
    </row>
    <row r="1702" spans="1:79">
      <c r="A1702" t="s">
        <v>384</v>
      </c>
      <c r="B1702" t="s">
        <v>565</v>
      </c>
      <c r="C1702" t="s">
        <v>563</v>
      </c>
      <c r="D1702" t="s">
        <v>378</v>
      </c>
      <c r="E1702" t="s">
        <v>77</v>
      </c>
      <c r="F1702" t="s">
        <v>32</v>
      </c>
      <c r="G1702">
        <v>30</v>
      </c>
      <c r="H1702">
        <v>48</v>
      </c>
      <c r="I1702" t="b">
        <v>1</v>
      </c>
      <c r="J1702">
        <v>6688</v>
      </c>
      <c r="K1702">
        <v>22.5</v>
      </c>
      <c r="L1702">
        <v>25</v>
      </c>
      <c r="M1702" s="4">
        <v>250</v>
      </c>
      <c r="N1702" s="3">
        <f t="shared" si="821"/>
        <v>251.11113243387931</v>
      </c>
      <c r="O1702">
        <v>4</v>
      </c>
      <c r="P1702" t="s">
        <v>33</v>
      </c>
      <c r="Q1702" s="8">
        <f t="shared" si="828"/>
        <v>1.4200000000000001E-2</v>
      </c>
      <c r="R1702" t="s">
        <v>183</v>
      </c>
      <c r="S1702" t="s">
        <v>612</v>
      </c>
      <c r="T1702" s="11">
        <v>6</v>
      </c>
      <c r="U1702">
        <v>2.7</v>
      </c>
      <c r="V1702">
        <v>2</v>
      </c>
      <c r="W1702">
        <v>8.5000000000000006E-3</v>
      </c>
      <c r="X1702" s="8">
        <f t="shared" ref="X1702:X1707" si="834">IFERROR(((PI())*(((V1702*10^-1)/2)^2)*(U1702*10^-1)), "NA")</f>
        <v>8.4823001646924419E-3</v>
      </c>
      <c r="Y1702">
        <f t="shared" ref="Y1702:Y1707" si="835">36/60</f>
        <v>0.6</v>
      </c>
      <c r="Z1702" s="3">
        <f t="shared" si="826"/>
        <v>0.59734508202059444</v>
      </c>
      <c r="AA1702">
        <f t="shared" ref="AA1702:AA1707" si="836">21.3/6</f>
        <v>3.5500000000000003</v>
      </c>
      <c r="AB1702" s="6">
        <f t="shared" si="830"/>
        <v>3.5500000000000003</v>
      </c>
      <c r="AC1702" t="str">
        <f t="shared" si="833"/>
        <v>NA</v>
      </c>
      <c r="AD1702" s="4">
        <f t="shared" si="822"/>
        <v>21.3</v>
      </c>
      <c r="AE1702" s="3">
        <f t="shared" si="831"/>
        <v>213</v>
      </c>
      <c r="AF1702">
        <f t="shared" ref="AF1702:AF1707" si="837">AA1702*O1702*T1702*AI1702</f>
        <v>85.2</v>
      </c>
      <c r="AG1702" t="str">
        <f t="shared" si="823"/>
        <v>NA</v>
      </c>
      <c r="AH1702" t="str">
        <f t="shared" si="824"/>
        <v>NA</v>
      </c>
      <c r="AI1702" s="1">
        <v>1</v>
      </c>
      <c r="AJ1702" t="s">
        <v>31</v>
      </c>
      <c r="AK1702">
        <v>4000</v>
      </c>
      <c r="AL1702" t="s">
        <v>545</v>
      </c>
      <c r="AM1702" t="s">
        <v>103</v>
      </c>
      <c r="AN1702" t="s">
        <v>130</v>
      </c>
      <c r="AO1702" t="s">
        <v>795</v>
      </c>
      <c r="AP1702">
        <v>7</v>
      </c>
      <c r="AQ1702" t="s">
        <v>33</v>
      </c>
      <c r="AR1702" t="s">
        <v>33</v>
      </c>
      <c r="AS1702" s="6" t="s">
        <v>33</v>
      </c>
      <c r="AT1702" s="3" t="str">
        <f t="shared" si="832"/>
        <v>NA</v>
      </c>
      <c r="AU1702" s="6">
        <v>6.3</v>
      </c>
      <c r="AV1702" t="b">
        <v>1</v>
      </c>
      <c r="AW1702" t="s">
        <v>172</v>
      </c>
      <c r="AX1702" t="s">
        <v>173</v>
      </c>
      <c r="AY1702" t="s">
        <v>236</v>
      </c>
      <c r="AZ1702" t="s">
        <v>33</v>
      </c>
      <c r="BA1702" s="18" t="s">
        <v>799</v>
      </c>
      <c r="BB1702" t="b">
        <v>0</v>
      </c>
      <c r="BC1702" t="s">
        <v>81</v>
      </c>
      <c r="BD1702">
        <v>24</v>
      </c>
      <c r="BE1702" t="s">
        <v>80</v>
      </c>
      <c r="BF1702" s="11">
        <v>48</v>
      </c>
      <c r="BG1702" t="s">
        <v>522</v>
      </c>
      <c r="BH1702" t="s">
        <v>31</v>
      </c>
      <c r="BI1702" t="s">
        <v>32</v>
      </c>
      <c r="BJ1702" s="3">
        <f t="shared" si="802"/>
        <v>6.3</v>
      </c>
      <c r="BK1702" s="3">
        <f t="shared" si="817"/>
        <v>0.79934054945358168</v>
      </c>
      <c r="BL1702">
        <v>2</v>
      </c>
      <c r="BM1702" s="3">
        <f t="shared" si="827"/>
        <v>1.5290390539851559</v>
      </c>
      <c r="BN1702" t="s">
        <v>33</v>
      </c>
      <c r="BO1702" s="3">
        <f t="shared" si="818"/>
        <v>33.80952380952381</v>
      </c>
      <c r="BP1702" t="s">
        <v>33</v>
      </c>
      <c r="BQ1702" t="s">
        <v>33</v>
      </c>
      <c r="BR1702" t="s">
        <v>33</v>
      </c>
      <c r="BS1702" t="s">
        <v>33</v>
      </c>
      <c r="BT1702" t="s">
        <v>31</v>
      </c>
      <c r="BU1702" t="s">
        <v>227</v>
      </c>
      <c r="BV1702">
        <v>2004</v>
      </c>
      <c r="BW1702" t="s">
        <v>381</v>
      </c>
      <c r="BX1702" t="s">
        <v>78</v>
      </c>
      <c r="BY1702" t="s">
        <v>33</v>
      </c>
      <c r="BZ1702" t="s">
        <v>385</v>
      </c>
      <c r="CA1702" t="str">
        <f t="shared" si="819"/>
        <v>low acid</v>
      </c>
    </row>
    <row r="1703" spans="1:79">
      <c r="A1703" t="s">
        <v>384</v>
      </c>
      <c r="B1703" t="s">
        <v>565</v>
      </c>
      <c r="C1703" t="s">
        <v>563</v>
      </c>
      <c r="D1703" t="s">
        <v>378</v>
      </c>
      <c r="E1703" t="s">
        <v>77</v>
      </c>
      <c r="F1703" t="s">
        <v>32</v>
      </c>
      <c r="G1703">
        <v>30</v>
      </c>
      <c r="H1703">
        <v>55</v>
      </c>
      <c r="I1703" t="b">
        <v>1</v>
      </c>
      <c r="J1703">
        <v>8000</v>
      </c>
      <c r="K1703">
        <v>28.8</v>
      </c>
      <c r="L1703">
        <v>30</v>
      </c>
      <c r="M1703" s="4">
        <v>250</v>
      </c>
      <c r="N1703" s="3">
        <f t="shared" si="821"/>
        <v>251.11113243387931</v>
      </c>
      <c r="O1703">
        <v>4</v>
      </c>
      <c r="P1703" t="s">
        <v>33</v>
      </c>
      <c r="Q1703" s="8">
        <f t="shared" si="828"/>
        <v>1.4200000000000001E-2</v>
      </c>
      <c r="R1703" t="s">
        <v>183</v>
      </c>
      <c r="S1703" t="s">
        <v>612</v>
      </c>
      <c r="T1703" s="11">
        <v>6</v>
      </c>
      <c r="U1703">
        <v>2.7</v>
      </c>
      <c r="V1703">
        <v>2</v>
      </c>
      <c r="W1703">
        <v>8.5000000000000006E-3</v>
      </c>
      <c r="X1703" s="8">
        <f t="shared" si="834"/>
        <v>8.4823001646924419E-3</v>
      </c>
      <c r="Y1703">
        <f t="shared" si="835"/>
        <v>0.6</v>
      </c>
      <c r="Z1703" s="3">
        <f t="shared" si="826"/>
        <v>0.59734508202059444</v>
      </c>
      <c r="AA1703">
        <f t="shared" si="836"/>
        <v>3.5500000000000003</v>
      </c>
      <c r="AB1703" s="6">
        <f t="shared" si="830"/>
        <v>3.5500000000000003</v>
      </c>
      <c r="AC1703" t="str">
        <f t="shared" si="833"/>
        <v>NA</v>
      </c>
      <c r="AD1703" s="4">
        <f t="shared" si="822"/>
        <v>21.3</v>
      </c>
      <c r="AE1703" s="3">
        <f t="shared" si="831"/>
        <v>306.72000000000003</v>
      </c>
      <c r="AF1703">
        <f t="shared" si="837"/>
        <v>85.2</v>
      </c>
      <c r="AG1703" t="str">
        <f t="shared" si="823"/>
        <v>NA</v>
      </c>
      <c r="AH1703" t="str">
        <f t="shared" si="824"/>
        <v>NA</v>
      </c>
      <c r="AI1703" s="1">
        <v>1</v>
      </c>
      <c r="AJ1703" t="s">
        <v>31</v>
      </c>
      <c r="AK1703">
        <v>4000</v>
      </c>
      <c r="AL1703" t="s">
        <v>545</v>
      </c>
      <c r="AM1703" t="s">
        <v>103</v>
      </c>
      <c r="AN1703" t="s">
        <v>130</v>
      </c>
      <c r="AO1703" t="s">
        <v>795</v>
      </c>
      <c r="AP1703">
        <v>7</v>
      </c>
      <c r="AQ1703" t="s">
        <v>33</v>
      </c>
      <c r="AR1703" t="s">
        <v>33</v>
      </c>
      <c r="AS1703" s="6" t="s">
        <v>33</v>
      </c>
      <c r="AT1703" s="3" t="str">
        <f t="shared" si="832"/>
        <v>NA</v>
      </c>
      <c r="AU1703" s="6">
        <v>6.7729999999999997</v>
      </c>
      <c r="AV1703" t="b">
        <v>1</v>
      </c>
      <c r="AW1703" t="s">
        <v>172</v>
      </c>
      <c r="AX1703" t="s">
        <v>173</v>
      </c>
      <c r="AY1703" t="s">
        <v>236</v>
      </c>
      <c r="AZ1703" t="s">
        <v>33</v>
      </c>
      <c r="BA1703" s="18" t="s">
        <v>799</v>
      </c>
      <c r="BB1703" t="b">
        <v>0</v>
      </c>
      <c r="BC1703" t="s">
        <v>81</v>
      </c>
      <c r="BD1703">
        <v>24</v>
      </c>
      <c r="BE1703" t="s">
        <v>80</v>
      </c>
      <c r="BF1703" s="11">
        <v>48</v>
      </c>
      <c r="BG1703" t="s">
        <v>522</v>
      </c>
      <c r="BH1703" t="s">
        <v>31</v>
      </c>
      <c r="BI1703" t="s">
        <v>32</v>
      </c>
      <c r="BJ1703" s="3">
        <f t="shared" si="802"/>
        <v>6.7729999999999997</v>
      </c>
      <c r="BK1703" s="3">
        <f t="shared" si="817"/>
        <v>0.83078107560636127</v>
      </c>
      <c r="BL1703">
        <v>2</v>
      </c>
      <c r="BM1703" s="3">
        <f t="shared" si="827"/>
        <v>1.6559610199276262</v>
      </c>
      <c r="BN1703" t="s">
        <v>33</v>
      </c>
      <c r="BO1703" s="3">
        <f t="shared" si="818"/>
        <v>45.285693193562679</v>
      </c>
      <c r="BP1703" t="s">
        <v>33</v>
      </c>
      <c r="BQ1703" t="s">
        <v>33</v>
      </c>
      <c r="BR1703" t="s">
        <v>33</v>
      </c>
      <c r="BS1703" t="s">
        <v>33</v>
      </c>
      <c r="BT1703" t="s">
        <v>31</v>
      </c>
      <c r="BU1703" t="s">
        <v>227</v>
      </c>
      <c r="BV1703">
        <v>2004</v>
      </c>
      <c r="BW1703" t="s">
        <v>381</v>
      </c>
      <c r="BX1703" t="s">
        <v>78</v>
      </c>
      <c r="BY1703" t="s">
        <v>33</v>
      </c>
      <c r="BZ1703" t="s">
        <v>385</v>
      </c>
      <c r="CA1703" t="str">
        <f t="shared" si="819"/>
        <v>low acid</v>
      </c>
    </row>
    <row r="1704" spans="1:79">
      <c r="A1704" t="s">
        <v>384</v>
      </c>
      <c r="B1704" t="s">
        <v>565</v>
      </c>
      <c r="C1704" t="s">
        <v>563</v>
      </c>
      <c r="D1704" t="s">
        <v>378</v>
      </c>
      <c r="E1704" t="s">
        <v>77</v>
      </c>
      <c r="F1704" t="s">
        <v>32</v>
      </c>
      <c r="G1704">
        <v>30</v>
      </c>
      <c r="H1704">
        <v>38</v>
      </c>
      <c r="I1704" t="b">
        <v>1</v>
      </c>
      <c r="J1704">
        <v>8063</v>
      </c>
      <c r="K1704">
        <v>23.8</v>
      </c>
      <c r="L1704">
        <v>30</v>
      </c>
      <c r="M1704" s="4">
        <v>250</v>
      </c>
      <c r="N1704" s="3">
        <f t="shared" si="821"/>
        <v>251.11113243387931</v>
      </c>
      <c r="O1704">
        <v>2</v>
      </c>
      <c r="P1704" t="s">
        <v>33</v>
      </c>
      <c r="Q1704" s="8">
        <f t="shared" si="828"/>
        <v>1.4200000000000001E-2</v>
      </c>
      <c r="R1704" t="s">
        <v>183</v>
      </c>
      <c r="S1704" t="s">
        <v>612</v>
      </c>
      <c r="T1704" s="11">
        <v>6</v>
      </c>
      <c r="U1704">
        <v>2.7</v>
      </c>
      <c r="V1704">
        <v>2</v>
      </c>
      <c r="W1704">
        <v>8.5000000000000006E-3</v>
      </c>
      <c r="X1704" s="8">
        <f t="shared" si="834"/>
        <v>8.4823001646924419E-3</v>
      </c>
      <c r="Y1704">
        <f t="shared" si="835"/>
        <v>0.6</v>
      </c>
      <c r="Z1704" s="3">
        <f t="shared" si="826"/>
        <v>0.59734508202059444</v>
      </c>
      <c r="AA1704">
        <f t="shared" si="836"/>
        <v>3.5500000000000003</v>
      </c>
      <c r="AB1704" s="6">
        <f t="shared" si="830"/>
        <v>3.5500000000000003</v>
      </c>
      <c r="AC1704" t="str">
        <f t="shared" si="833"/>
        <v>NA</v>
      </c>
      <c r="AD1704" s="4">
        <f>IFERROR(AB1704*T1704*AI1704, "NA")</f>
        <v>21.3</v>
      </c>
      <c r="AE1704" s="3">
        <f t="shared" si="831"/>
        <v>153.36000000000001</v>
      </c>
      <c r="AF1704">
        <f t="shared" si="837"/>
        <v>42.6</v>
      </c>
      <c r="AG1704" t="str">
        <f t="shared" si="823"/>
        <v>NA</v>
      </c>
      <c r="AH1704" t="str">
        <f t="shared" si="824"/>
        <v>NA</v>
      </c>
      <c r="AI1704" s="1">
        <v>1</v>
      </c>
      <c r="AJ1704" t="s">
        <v>31</v>
      </c>
      <c r="AK1704">
        <v>4000</v>
      </c>
      <c r="AL1704" t="s">
        <v>545</v>
      </c>
      <c r="AM1704" t="s">
        <v>103</v>
      </c>
      <c r="AN1704" t="s">
        <v>130</v>
      </c>
      <c r="AO1704" t="s">
        <v>795</v>
      </c>
      <c r="AP1704">
        <v>7</v>
      </c>
      <c r="AQ1704" t="s">
        <v>33</v>
      </c>
      <c r="AR1704" t="s">
        <v>33</v>
      </c>
      <c r="AS1704" s="6" t="s">
        <v>33</v>
      </c>
      <c r="AT1704" s="3" t="str">
        <f t="shared" si="832"/>
        <v>NA</v>
      </c>
      <c r="AU1704" s="6">
        <v>4.1500000000000004</v>
      </c>
      <c r="AV1704" t="b">
        <v>1</v>
      </c>
      <c r="AW1704" t="s">
        <v>172</v>
      </c>
      <c r="AX1704" t="s">
        <v>173</v>
      </c>
      <c r="AY1704" t="s">
        <v>236</v>
      </c>
      <c r="AZ1704" t="s">
        <v>33</v>
      </c>
      <c r="BA1704" s="18" t="s">
        <v>799</v>
      </c>
      <c r="BB1704" t="b">
        <v>0</v>
      </c>
      <c r="BC1704" t="s">
        <v>81</v>
      </c>
      <c r="BD1704">
        <v>24</v>
      </c>
      <c r="BE1704" t="s">
        <v>80</v>
      </c>
      <c r="BF1704" s="11">
        <v>48</v>
      </c>
      <c r="BG1704" t="s">
        <v>522</v>
      </c>
      <c r="BH1704" t="s">
        <v>31</v>
      </c>
      <c r="BI1704" t="s">
        <v>31</v>
      </c>
      <c r="BJ1704" s="3">
        <f t="shared" si="802"/>
        <v>4.1500000000000004</v>
      </c>
      <c r="BK1704" s="3">
        <f t="shared" si="817"/>
        <v>0.61804809671209271</v>
      </c>
      <c r="BL1704">
        <v>2</v>
      </c>
      <c r="BM1704" s="3">
        <f t="shared" si="827"/>
        <v>1.5676640031579134</v>
      </c>
      <c r="BN1704" t="s">
        <v>33</v>
      </c>
      <c r="BO1704" s="3">
        <f t="shared" si="818"/>
        <v>36.954216867469881</v>
      </c>
      <c r="BP1704" t="s">
        <v>33</v>
      </c>
      <c r="BQ1704" t="s">
        <v>33</v>
      </c>
      <c r="BR1704" t="s">
        <v>33</v>
      </c>
      <c r="BS1704" t="s">
        <v>33</v>
      </c>
      <c r="BT1704" t="s">
        <v>31</v>
      </c>
      <c r="BU1704" t="s">
        <v>227</v>
      </c>
      <c r="BV1704">
        <v>2004</v>
      </c>
      <c r="BW1704" t="s">
        <v>381</v>
      </c>
      <c r="BX1704" t="s">
        <v>78</v>
      </c>
      <c r="BY1704" t="s">
        <v>33</v>
      </c>
      <c r="BZ1704" t="s">
        <v>385</v>
      </c>
      <c r="CA1704" t="str">
        <f t="shared" si="819"/>
        <v>low acid</v>
      </c>
    </row>
    <row r="1705" spans="1:79">
      <c r="A1705" t="s">
        <v>384</v>
      </c>
      <c r="B1705" t="s">
        <v>565</v>
      </c>
      <c r="C1705" t="s">
        <v>563</v>
      </c>
      <c r="D1705" t="s">
        <v>378</v>
      </c>
      <c r="E1705" t="s">
        <v>77</v>
      </c>
      <c r="F1705" t="s">
        <v>32</v>
      </c>
      <c r="G1705">
        <v>30</v>
      </c>
      <c r="H1705">
        <v>35</v>
      </c>
      <c r="I1705" t="b">
        <v>1</v>
      </c>
      <c r="J1705">
        <v>6750</v>
      </c>
      <c r="K1705">
        <v>20</v>
      </c>
      <c r="L1705">
        <v>25</v>
      </c>
      <c r="M1705" s="4">
        <v>250</v>
      </c>
      <c r="N1705" s="3">
        <f t="shared" si="821"/>
        <v>251.11113243387931</v>
      </c>
      <c r="O1705">
        <v>2</v>
      </c>
      <c r="P1705" t="s">
        <v>33</v>
      </c>
      <c r="Q1705" s="8">
        <f t="shared" si="828"/>
        <v>1.4200000000000001E-2</v>
      </c>
      <c r="R1705" t="s">
        <v>183</v>
      </c>
      <c r="S1705" t="s">
        <v>612</v>
      </c>
      <c r="T1705" s="11">
        <v>6</v>
      </c>
      <c r="U1705">
        <v>2.7</v>
      </c>
      <c r="V1705">
        <v>2</v>
      </c>
      <c r="W1705">
        <v>8.5000000000000006E-3</v>
      </c>
      <c r="X1705" s="8">
        <f t="shared" si="834"/>
        <v>8.4823001646924419E-3</v>
      </c>
      <c r="Y1705">
        <f t="shared" si="835"/>
        <v>0.6</v>
      </c>
      <c r="Z1705" s="3">
        <f t="shared" si="826"/>
        <v>0.59734508202059444</v>
      </c>
      <c r="AA1705">
        <f t="shared" si="836"/>
        <v>3.5500000000000003</v>
      </c>
      <c r="AB1705" s="6">
        <f t="shared" si="830"/>
        <v>3.5500000000000003</v>
      </c>
      <c r="AC1705" t="str">
        <f t="shared" si="833"/>
        <v>NA</v>
      </c>
      <c r="AD1705" s="4">
        <f>IFERROR(AB1705*T1705*AI1705, "NA")</f>
        <v>21.3</v>
      </c>
      <c r="AE1705" s="3">
        <f t="shared" si="831"/>
        <v>106.5</v>
      </c>
      <c r="AF1705">
        <f t="shared" si="837"/>
        <v>42.6</v>
      </c>
      <c r="AG1705" t="str">
        <f t="shared" si="823"/>
        <v>NA</v>
      </c>
      <c r="AH1705" t="str">
        <f t="shared" si="824"/>
        <v>NA</v>
      </c>
      <c r="AI1705" s="1">
        <v>1</v>
      </c>
      <c r="AJ1705" t="s">
        <v>31</v>
      </c>
      <c r="AK1705">
        <v>4000</v>
      </c>
      <c r="AL1705" t="s">
        <v>545</v>
      </c>
      <c r="AM1705" t="s">
        <v>103</v>
      </c>
      <c r="AN1705" t="s">
        <v>130</v>
      </c>
      <c r="AO1705" t="s">
        <v>795</v>
      </c>
      <c r="AP1705">
        <v>7</v>
      </c>
      <c r="AQ1705" t="s">
        <v>33</v>
      </c>
      <c r="AR1705" t="s">
        <v>33</v>
      </c>
      <c r="AS1705" s="6" t="s">
        <v>33</v>
      </c>
      <c r="AT1705" s="3" t="str">
        <f t="shared" si="832"/>
        <v>NA</v>
      </c>
      <c r="AU1705" s="6">
        <v>3.45</v>
      </c>
      <c r="AV1705" t="b">
        <v>1</v>
      </c>
      <c r="AW1705" t="s">
        <v>172</v>
      </c>
      <c r="AX1705" t="s">
        <v>173</v>
      </c>
      <c r="AY1705" t="s">
        <v>236</v>
      </c>
      <c r="AZ1705" t="s">
        <v>33</v>
      </c>
      <c r="BA1705" s="18" t="s">
        <v>799</v>
      </c>
      <c r="BB1705" t="b">
        <v>0</v>
      </c>
      <c r="BC1705" t="s">
        <v>81</v>
      </c>
      <c r="BD1705">
        <v>24</v>
      </c>
      <c r="BE1705" t="s">
        <v>80</v>
      </c>
      <c r="BF1705" s="11">
        <v>48</v>
      </c>
      <c r="BG1705" t="s">
        <v>522</v>
      </c>
      <c r="BH1705" t="s">
        <v>31</v>
      </c>
      <c r="BI1705" t="s">
        <v>31</v>
      </c>
      <c r="BJ1705" s="3">
        <f t="shared" si="802"/>
        <v>3.45</v>
      </c>
      <c r="BK1705" s="3">
        <f t="shared" si="817"/>
        <v>0.53781909507327419</v>
      </c>
      <c r="BL1705">
        <v>2</v>
      </c>
      <c r="BM1705" s="3">
        <f t="shared" si="827"/>
        <v>1.4895305127014824</v>
      </c>
      <c r="BN1705" t="s">
        <v>33</v>
      </c>
      <c r="BO1705" s="3">
        <f t="shared" si="818"/>
        <v>30.869565217391301</v>
      </c>
      <c r="BP1705" t="s">
        <v>33</v>
      </c>
      <c r="BQ1705" t="s">
        <v>33</v>
      </c>
      <c r="BR1705" t="s">
        <v>33</v>
      </c>
      <c r="BS1705" t="s">
        <v>33</v>
      </c>
      <c r="BT1705" t="s">
        <v>31</v>
      </c>
      <c r="BU1705" t="s">
        <v>227</v>
      </c>
      <c r="BV1705">
        <v>2004</v>
      </c>
      <c r="BW1705" t="s">
        <v>381</v>
      </c>
      <c r="BX1705" t="s">
        <v>78</v>
      </c>
      <c r="BY1705" t="s">
        <v>33</v>
      </c>
      <c r="BZ1705" t="s">
        <v>385</v>
      </c>
      <c r="CA1705" t="str">
        <f t="shared" si="819"/>
        <v>low acid</v>
      </c>
    </row>
    <row r="1706" spans="1:79">
      <c r="A1706" t="s">
        <v>384</v>
      </c>
      <c r="B1706" t="s">
        <v>565</v>
      </c>
      <c r="C1706" t="s">
        <v>563</v>
      </c>
      <c r="D1706" t="s">
        <v>378</v>
      </c>
      <c r="E1706" t="s">
        <v>77</v>
      </c>
      <c r="F1706" t="s">
        <v>32</v>
      </c>
      <c r="G1706">
        <v>30</v>
      </c>
      <c r="H1706">
        <v>36</v>
      </c>
      <c r="I1706" t="b">
        <v>1</v>
      </c>
      <c r="J1706">
        <v>4125</v>
      </c>
      <c r="K1706">
        <v>11.3</v>
      </c>
      <c r="L1706">
        <v>15</v>
      </c>
      <c r="M1706" s="4">
        <v>250</v>
      </c>
      <c r="N1706" s="3">
        <f t="shared" si="821"/>
        <v>251.11113243387931</v>
      </c>
      <c r="O1706">
        <v>4</v>
      </c>
      <c r="P1706" t="s">
        <v>33</v>
      </c>
      <c r="Q1706" s="8">
        <f t="shared" si="828"/>
        <v>1.4200000000000001E-2</v>
      </c>
      <c r="R1706" t="s">
        <v>183</v>
      </c>
      <c r="S1706" t="s">
        <v>612</v>
      </c>
      <c r="T1706" s="11">
        <v>6</v>
      </c>
      <c r="U1706">
        <v>2.7</v>
      </c>
      <c r="V1706">
        <v>2</v>
      </c>
      <c r="W1706">
        <v>8.5000000000000006E-3</v>
      </c>
      <c r="X1706" s="8">
        <f t="shared" si="834"/>
        <v>8.4823001646924419E-3</v>
      </c>
      <c r="Y1706">
        <f t="shared" si="835"/>
        <v>0.6</v>
      </c>
      <c r="Z1706" s="3">
        <f t="shared" si="826"/>
        <v>0.59734508202059444</v>
      </c>
      <c r="AA1706">
        <f t="shared" si="836"/>
        <v>3.5500000000000003</v>
      </c>
      <c r="AB1706" s="6">
        <f t="shared" si="830"/>
        <v>3.5500000000000003</v>
      </c>
      <c r="AC1706" t="str">
        <f t="shared" si="833"/>
        <v>NA</v>
      </c>
      <c r="AD1706" s="4">
        <f>IFERROR(AB1706*T1706*AI1706, "NA")</f>
        <v>21.3</v>
      </c>
      <c r="AE1706" s="3">
        <f t="shared" si="831"/>
        <v>76.680000000000007</v>
      </c>
      <c r="AF1706">
        <f t="shared" si="837"/>
        <v>85.2</v>
      </c>
      <c r="AG1706" t="str">
        <f t="shared" si="823"/>
        <v>NA</v>
      </c>
      <c r="AH1706" t="str">
        <f t="shared" si="824"/>
        <v>NA</v>
      </c>
      <c r="AI1706" s="1">
        <v>1</v>
      </c>
      <c r="AJ1706" t="s">
        <v>31</v>
      </c>
      <c r="AK1706">
        <v>4000</v>
      </c>
      <c r="AL1706" t="s">
        <v>545</v>
      </c>
      <c r="AM1706" t="s">
        <v>103</v>
      </c>
      <c r="AN1706" t="s">
        <v>130</v>
      </c>
      <c r="AO1706" t="s">
        <v>795</v>
      </c>
      <c r="AP1706">
        <v>7</v>
      </c>
      <c r="AQ1706" t="s">
        <v>33</v>
      </c>
      <c r="AR1706" t="s">
        <v>33</v>
      </c>
      <c r="AS1706" s="6" t="s">
        <v>33</v>
      </c>
      <c r="AT1706" s="3" t="str">
        <f t="shared" si="832"/>
        <v>NA</v>
      </c>
      <c r="AU1706" s="6">
        <v>3.5459999999999998</v>
      </c>
      <c r="AV1706" t="b">
        <v>1</v>
      </c>
      <c r="AW1706" t="s">
        <v>172</v>
      </c>
      <c r="AX1706" t="s">
        <v>173</v>
      </c>
      <c r="AY1706" t="s">
        <v>236</v>
      </c>
      <c r="AZ1706" t="s">
        <v>33</v>
      </c>
      <c r="BA1706" s="18" t="s">
        <v>799</v>
      </c>
      <c r="BB1706" t="b">
        <v>0</v>
      </c>
      <c r="BC1706" t="s">
        <v>81</v>
      </c>
      <c r="BD1706">
        <v>24</v>
      </c>
      <c r="BE1706" t="s">
        <v>80</v>
      </c>
      <c r="BF1706" s="11">
        <v>48</v>
      </c>
      <c r="BG1706" t="s">
        <v>522</v>
      </c>
      <c r="BH1706" t="s">
        <v>31</v>
      </c>
      <c r="BI1706" t="s">
        <v>31</v>
      </c>
      <c r="BJ1706" s="3">
        <f t="shared" si="802"/>
        <v>3.5459999999999998</v>
      </c>
      <c r="BK1706" s="3">
        <f t="shared" si="817"/>
        <v>0.54973873126489903</v>
      </c>
      <c r="BL1706">
        <v>2</v>
      </c>
      <c r="BM1706" s="3">
        <f t="shared" si="827"/>
        <v>1.334943372941126</v>
      </c>
      <c r="BN1706" t="s">
        <v>33</v>
      </c>
      <c r="BO1706" s="3">
        <f t="shared" si="818"/>
        <v>21.624365482233504</v>
      </c>
      <c r="BP1706" t="s">
        <v>33</v>
      </c>
      <c r="BQ1706" t="s">
        <v>33</v>
      </c>
      <c r="BR1706" t="s">
        <v>33</v>
      </c>
      <c r="BS1706" t="s">
        <v>33</v>
      </c>
      <c r="BT1706" t="s">
        <v>31</v>
      </c>
      <c r="BU1706" t="s">
        <v>227</v>
      </c>
      <c r="BV1706">
        <v>2004</v>
      </c>
      <c r="BW1706" t="s">
        <v>381</v>
      </c>
      <c r="BX1706" t="s">
        <v>78</v>
      </c>
      <c r="BY1706" t="s">
        <v>33</v>
      </c>
      <c r="BZ1706" t="s">
        <v>385</v>
      </c>
      <c r="CA1706" t="str">
        <f t="shared" si="819"/>
        <v>low acid</v>
      </c>
    </row>
    <row r="1707" spans="1:79">
      <c r="A1707" t="s">
        <v>384</v>
      </c>
      <c r="B1707" t="s">
        <v>565</v>
      </c>
      <c r="C1707" t="s">
        <v>563</v>
      </c>
      <c r="D1707" t="s">
        <v>378</v>
      </c>
      <c r="E1707" t="s">
        <v>77</v>
      </c>
      <c r="F1707" t="s">
        <v>32</v>
      </c>
      <c r="G1707">
        <v>30</v>
      </c>
      <c r="H1707">
        <v>34</v>
      </c>
      <c r="I1707" t="b">
        <v>1</v>
      </c>
      <c r="J1707">
        <v>5438</v>
      </c>
      <c r="K1707">
        <v>15.6</v>
      </c>
      <c r="L1707">
        <v>20</v>
      </c>
      <c r="M1707" s="4">
        <v>250</v>
      </c>
      <c r="N1707" s="3">
        <f t="shared" si="821"/>
        <v>251.11113243387931</v>
      </c>
      <c r="O1707">
        <v>2</v>
      </c>
      <c r="P1707" t="s">
        <v>33</v>
      </c>
      <c r="Q1707" s="8">
        <f t="shared" si="828"/>
        <v>1.4200000000000001E-2</v>
      </c>
      <c r="R1707" t="s">
        <v>183</v>
      </c>
      <c r="S1707" t="s">
        <v>612</v>
      </c>
      <c r="T1707" s="11">
        <v>6</v>
      </c>
      <c r="U1707">
        <v>2.7</v>
      </c>
      <c r="V1707">
        <v>2</v>
      </c>
      <c r="W1707">
        <v>8.5000000000000006E-3</v>
      </c>
      <c r="X1707" s="8">
        <f t="shared" si="834"/>
        <v>8.4823001646924419E-3</v>
      </c>
      <c r="Y1707">
        <f t="shared" si="835"/>
        <v>0.6</v>
      </c>
      <c r="Z1707" s="3">
        <f t="shared" si="826"/>
        <v>0.59734508202059444</v>
      </c>
      <c r="AA1707">
        <f t="shared" si="836"/>
        <v>3.5500000000000003</v>
      </c>
      <c r="AB1707" s="6">
        <f t="shared" si="830"/>
        <v>3.5500000000000003</v>
      </c>
      <c r="AC1707" t="str">
        <f t="shared" si="833"/>
        <v>NA</v>
      </c>
      <c r="AD1707" s="4">
        <f>IFERROR(AB1707*T1707*AI1707, "NA")</f>
        <v>21.3</v>
      </c>
      <c r="AE1707" s="3">
        <f t="shared" si="831"/>
        <v>68.160000000000011</v>
      </c>
      <c r="AF1707">
        <f t="shared" si="837"/>
        <v>42.6</v>
      </c>
      <c r="AG1707" t="str">
        <f t="shared" si="823"/>
        <v>NA</v>
      </c>
      <c r="AH1707" t="str">
        <f t="shared" si="824"/>
        <v>NA</v>
      </c>
      <c r="AI1707" s="1">
        <v>1</v>
      </c>
      <c r="AJ1707" t="s">
        <v>31</v>
      </c>
      <c r="AK1707">
        <v>4000</v>
      </c>
      <c r="AL1707" t="s">
        <v>545</v>
      </c>
      <c r="AM1707" t="s">
        <v>103</v>
      </c>
      <c r="AN1707" t="s">
        <v>130</v>
      </c>
      <c r="AO1707" t="s">
        <v>795</v>
      </c>
      <c r="AP1707">
        <v>7</v>
      </c>
      <c r="AQ1707" t="s">
        <v>33</v>
      </c>
      <c r="AR1707" t="s">
        <v>33</v>
      </c>
      <c r="AS1707" s="6" t="s">
        <v>33</v>
      </c>
      <c r="AT1707" s="3" t="str">
        <f t="shared" si="832"/>
        <v>NA</v>
      </c>
      <c r="AU1707" s="6">
        <v>2.0579999999999998</v>
      </c>
      <c r="AV1707" t="b">
        <v>1</v>
      </c>
      <c r="AW1707" t="s">
        <v>172</v>
      </c>
      <c r="AX1707" t="s">
        <v>173</v>
      </c>
      <c r="AY1707" t="s">
        <v>236</v>
      </c>
      <c r="AZ1707" t="s">
        <v>33</v>
      </c>
      <c r="BA1707" s="18" t="s">
        <v>799</v>
      </c>
      <c r="BB1707" t="b">
        <v>0</v>
      </c>
      <c r="BC1707" t="s">
        <v>81</v>
      </c>
      <c r="BD1707">
        <v>24</v>
      </c>
      <c r="BE1707" t="s">
        <v>80</v>
      </c>
      <c r="BF1707" s="11">
        <v>48</v>
      </c>
      <c r="BG1707" t="s">
        <v>522</v>
      </c>
      <c r="BH1707" t="s">
        <v>31</v>
      </c>
      <c r="BI1707" t="s">
        <v>31</v>
      </c>
      <c r="BJ1707" s="3">
        <f t="shared" si="802"/>
        <v>2.0579999999999998</v>
      </c>
      <c r="BK1707" s="3">
        <f t="shared" si="817"/>
        <v>0.31344537042641407</v>
      </c>
      <c r="BL1707">
        <v>2</v>
      </c>
      <c r="BM1707" s="3">
        <f t="shared" si="827"/>
        <v>1.5200842113322297</v>
      </c>
      <c r="BN1707" t="s">
        <v>33</v>
      </c>
      <c r="BO1707" s="3">
        <f t="shared" si="818"/>
        <v>33.119533527696802</v>
      </c>
      <c r="BP1707" t="s">
        <v>33</v>
      </c>
      <c r="BQ1707" t="s">
        <v>33</v>
      </c>
      <c r="BR1707" t="s">
        <v>33</v>
      </c>
      <c r="BS1707" t="s">
        <v>33</v>
      </c>
      <c r="BT1707" t="s">
        <v>31</v>
      </c>
      <c r="BU1707" t="s">
        <v>227</v>
      </c>
      <c r="BV1707">
        <v>2004</v>
      </c>
      <c r="BW1707" t="s">
        <v>381</v>
      </c>
      <c r="BX1707" t="s">
        <v>78</v>
      </c>
      <c r="BY1707" t="s">
        <v>33</v>
      </c>
      <c r="BZ1707" t="s">
        <v>385</v>
      </c>
      <c r="CA1707" t="str">
        <f t="shared" si="819"/>
        <v>low acid</v>
      </c>
    </row>
    <row r="1708" spans="1:79">
      <c r="A1708" t="s">
        <v>171</v>
      </c>
      <c r="B1708" t="s">
        <v>567</v>
      </c>
      <c r="C1708" t="s">
        <v>564</v>
      </c>
      <c r="D1708" t="s">
        <v>33</v>
      </c>
      <c r="E1708" t="s">
        <v>77</v>
      </c>
      <c r="F1708" t="s">
        <v>32</v>
      </c>
      <c r="G1708">
        <v>17</v>
      </c>
      <c r="H1708">
        <v>37</v>
      </c>
      <c r="I1708" t="b">
        <v>1</v>
      </c>
      <c r="J1708" t="s">
        <v>33</v>
      </c>
      <c r="K1708" t="s">
        <v>33</v>
      </c>
      <c r="L1708">
        <v>41</v>
      </c>
      <c r="M1708" s="4">
        <v>3</v>
      </c>
      <c r="N1708" s="6">
        <f t="shared" si="821"/>
        <v>17.482517482517483</v>
      </c>
      <c r="O1708">
        <v>2.5</v>
      </c>
      <c r="P1708" t="s">
        <v>33</v>
      </c>
      <c r="Q1708">
        <f t="shared" si="828"/>
        <v>20</v>
      </c>
      <c r="R1708" t="s">
        <v>183</v>
      </c>
      <c r="S1708" t="s">
        <v>612</v>
      </c>
      <c r="T1708" s="11">
        <v>1</v>
      </c>
      <c r="U1708">
        <v>6</v>
      </c>
      <c r="V1708" s="4" t="s">
        <v>33</v>
      </c>
      <c r="W1708">
        <v>28.6</v>
      </c>
      <c r="X1708" s="8">
        <f t="shared" ref="X1708:X1715" si="838">W1708</f>
        <v>28.6</v>
      </c>
      <c r="Y1708" s="8">
        <f t="shared" ref="Y1708:Y1715" si="839">500/60</f>
        <v>8.3333333333333339</v>
      </c>
      <c r="Z1708" s="9">
        <f t="shared" si="826"/>
        <v>1.4300000000000002</v>
      </c>
      <c r="AA1708" t="s">
        <v>33</v>
      </c>
      <c r="AB1708" s="6">
        <f t="shared" si="830"/>
        <v>60</v>
      </c>
      <c r="AC1708" t="str">
        <f>IFERROR(M1708*#REF!,"NA")</f>
        <v>NA</v>
      </c>
      <c r="AD1708" s="4">
        <f t="shared" ref="AD1708:AD1726" si="840">AB1708*T1708*AI1708</f>
        <v>60</v>
      </c>
      <c r="AE1708" s="3">
        <f t="shared" si="831"/>
        <v>1210.32</v>
      </c>
      <c r="AF1708">
        <f>O1708*60</f>
        <v>150</v>
      </c>
      <c r="AG1708" t="str">
        <f t="shared" si="823"/>
        <v>NA</v>
      </c>
      <c r="AH1708" t="str">
        <f t="shared" si="824"/>
        <v>NA</v>
      </c>
      <c r="AI1708">
        <v>1</v>
      </c>
      <c r="AJ1708" t="s">
        <v>31</v>
      </c>
      <c r="AK1708">
        <v>4800</v>
      </c>
      <c r="AL1708" t="s">
        <v>169</v>
      </c>
      <c r="AM1708" t="s">
        <v>103</v>
      </c>
      <c r="AN1708" t="s">
        <v>130</v>
      </c>
      <c r="AO1708" t="s">
        <v>795</v>
      </c>
      <c r="AP1708">
        <v>6.8</v>
      </c>
      <c r="AQ1708" t="s">
        <v>33</v>
      </c>
      <c r="AR1708" t="s">
        <v>33</v>
      </c>
      <c r="AS1708" t="s">
        <v>33</v>
      </c>
      <c r="AT1708" s="3" t="str">
        <f t="shared" si="832"/>
        <v>NA</v>
      </c>
      <c r="AU1708" s="6">
        <v>3.5</v>
      </c>
      <c r="AV1708" t="b">
        <v>1</v>
      </c>
      <c r="AW1708" t="s">
        <v>92</v>
      </c>
      <c r="AX1708" t="s">
        <v>119</v>
      </c>
      <c r="AY1708" t="s">
        <v>519</v>
      </c>
      <c r="AZ1708" t="s">
        <v>33</v>
      </c>
      <c r="BA1708" s="18" t="s">
        <v>801</v>
      </c>
      <c r="BB1708" t="b">
        <v>0</v>
      </c>
      <c r="BC1708" t="s">
        <v>81</v>
      </c>
      <c r="BD1708">
        <v>18</v>
      </c>
      <c r="BE1708" t="s">
        <v>80</v>
      </c>
      <c r="BF1708" s="11">
        <v>24</v>
      </c>
      <c r="BG1708" t="s">
        <v>568</v>
      </c>
      <c r="BH1708" t="s">
        <v>31</v>
      </c>
      <c r="BI1708" t="s">
        <v>31</v>
      </c>
      <c r="BJ1708" s="3">
        <f t="shared" si="802"/>
        <v>3.5</v>
      </c>
      <c r="BK1708" s="3">
        <f t="shared" si="817"/>
        <v>0.54406804435027567</v>
      </c>
      <c r="BL1708">
        <v>2</v>
      </c>
      <c r="BM1708" s="3">
        <f t="shared" si="827"/>
        <v>2.5388321655204638</v>
      </c>
      <c r="BN1708" t="s">
        <v>33</v>
      </c>
      <c r="BO1708" s="3">
        <f t="shared" si="818"/>
        <v>345.80571428571426</v>
      </c>
      <c r="BP1708" t="s">
        <v>33</v>
      </c>
      <c r="BQ1708" t="s">
        <v>33</v>
      </c>
      <c r="BR1708" t="s">
        <v>33</v>
      </c>
      <c r="BS1708" t="s">
        <v>33</v>
      </c>
      <c r="BT1708" t="s">
        <v>31</v>
      </c>
      <c r="BU1708" t="s">
        <v>166</v>
      </c>
      <c r="BV1708">
        <v>2000</v>
      </c>
      <c r="BW1708" s="5" t="s">
        <v>165</v>
      </c>
      <c r="BX1708" t="s">
        <v>78</v>
      </c>
      <c r="BY1708" t="s">
        <v>523</v>
      </c>
      <c r="BZ1708" t="s">
        <v>170</v>
      </c>
      <c r="CA1708" t="str">
        <f t="shared" si="819"/>
        <v>low acid</v>
      </c>
    </row>
    <row r="1709" spans="1:79">
      <c r="A1709" t="s">
        <v>167</v>
      </c>
      <c r="B1709" t="s">
        <v>567</v>
      </c>
      <c r="C1709" t="s">
        <v>564</v>
      </c>
      <c r="D1709" t="s">
        <v>33</v>
      </c>
      <c r="E1709" t="s">
        <v>77</v>
      </c>
      <c r="F1709" t="s">
        <v>32</v>
      </c>
      <c r="G1709">
        <v>17</v>
      </c>
      <c r="H1709">
        <v>37</v>
      </c>
      <c r="I1709" t="b">
        <v>1</v>
      </c>
      <c r="J1709" t="s">
        <v>33</v>
      </c>
      <c r="K1709" t="s">
        <v>33</v>
      </c>
      <c r="L1709">
        <v>41</v>
      </c>
      <c r="M1709" s="4">
        <v>3</v>
      </c>
      <c r="N1709" s="3">
        <f t="shared" si="821"/>
        <v>17.482517482517483</v>
      </c>
      <c r="O1709">
        <v>2.5</v>
      </c>
      <c r="P1709" t="s">
        <v>33</v>
      </c>
      <c r="Q1709">
        <f t="shared" si="828"/>
        <v>20</v>
      </c>
      <c r="R1709" t="s">
        <v>183</v>
      </c>
      <c r="S1709" t="s">
        <v>612</v>
      </c>
      <c r="T1709" s="11">
        <v>1</v>
      </c>
      <c r="U1709">
        <v>6</v>
      </c>
      <c r="V1709" s="4" t="s">
        <v>33</v>
      </c>
      <c r="W1709">
        <v>28.6</v>
      </c>
      <c r="X1709" s="8">
        <f t="shared" si="838"/>
        <v>28.6</v>
      </c>
      <c r="Y1709" s="6">
        <f t="shared" si="839"/>
        <v>8.3333333333333339</v>
      </c>
      <c r="Z1709" s="3">
        <f t="shared" si="826"/>
        <v>1.4300000000000002</v>
      </c>
      <c r="AA1709" t="s">
        <v>33</v>
      </c>
      <c r="AB1709" s="6">
        <f t="shared" si="830"/>
        <v>60</v>
      </c>
      <c r="AC1709" t="str">
        <f>IFERROR(M1709*P1709,"NA")</f>
        <v>NA</v>
      </c>
      <c r="AD1709" s="4">
        <f t="shared" si="840"/>
        <v>60</v>
      </c>
      <c r="AE1709" s="3">
        <f t="shared" si="831"/>
        <v>1210.32</v>
      </c>
      <c r="AF1709">
        <f>O1709*60</f>
        <v>150</v>
      </c>
      <c r="AG1709" t="str">
        <f t="shared" si="823"/>
        <v>NA</v>
      </c>
      <c r="AH1709" t="str">
        <f t="shared" si="824"/>
        <v>NA</v>
      </c>
      <c r="AI1709">
        <v>1</v>
      </c>
      <c r="AJ1709" t="s">
        <v>31</v>
      </c>
      <c r="AK1709">
        <v>4800</v>
      </c>
      <c r="AL1709" t="s">
        <v>169</v>
      </c>
      <c r="AM1709" t="s">
        <v>103</v>
      </c>
      <c r="AN1709" t="s">
        <v>130</v>
      </c>
      <c r="AO1709" t="s">
        <v>795</v>
      </c>
      <c r="AP1709">
        <v>6.8</v>
      </c>
      <c r="AQ1709" t="s">
        <v>33</v>
      </c>
      <c r="AR1709" t="s">
        <v>33</v>
      </c>
      <c r="AS1709" t="s">
        <v>33</v>
      </c>
      <c r="AT1709" s="3" t="str">
        <f t="shared" si="832"/>
        <v>NA</v>
      </c>
      <c r="AU1709" s="6">
        <v>4.5999999999999996</v>
      </c>
      <c r="AV1709" t="b">
        <v>1</v>
      </c>
      <c r="AW1709" t="s">
        <v>29</v>
      </c>
      <c r="AX1709" t="s">
        <v>30</v>
      </c>
      <c r="AY1709" t="s">
        <v>517</v>
      </c>
      <c r="AZ1709" t="s">
        <v>33</v>
      </c>
      <c r="BA1709" s="18" t="s">
        <v>798</v>
      </c>
      <c r="BB1709" t="b">
        <v>0</v>
      </c>
      <c r="BC1709" t="s">
        <v>81</v>
      </c>
      <c r="BD1709">
        <v>18</v>
      </c>
      <c r="BE1709" t="s">
        <v>80</v>
      </c>
      <c r="BF1709" s="11">
        <v>24</v>
      </c>
      <c r="BG1709" t="s">
        <v>568</v>
      </c>
      <c r="BH1709" t="s">
        <v>31</v>
      </c>
      <c r="BI1709" t="s">
        <v>31</v>
      </c>
      <c r="BJ1709" s="3">
        <f t="shared" ref="BJ1709:BJ1726" si="841">AU1709</f>
        <v>4.5999999999999996</v>
      </c>
      <c r="BK1709" s="3">
        <f t="shared" si="817"/>
        <v>0.66275783168157409</v>
      </c>
      <c r="BL1709">
        <v>2</v>
      </c>
      <c r="BM1709" s="3">
        <f t="shared" si="827"/>
        <v>2.4201423781891656</v>
      </c>
      <c r="BN1709" t="s">
        <v>33</v>
      </c>
      <c r="BO1709" s="3">
        <f t="shared" si="818"/>
        <v>263.11304347826086</v>
      </c>
      <c r="BP1709" t="s">
        <v>33</v>
      </c>
      <c r="BQ1709" t="s">
        <v>33</v>
      </c>
      <c r="BR1709" t="s">
        <v>33</v>
      </c>
      <c r="BS1709" t="s">
        <v>33</v>
      </c>
      <c r="BT1709" t="s">
        <v>31</v>
      </c>
      <c r="BU1709" t="s">
        <v>166</v>
      </c>
      <c r="BV1709">
        <v>2000</v>
      </c>
      <c r="BW1709" s="1" t="s">
        <v>165</v>
      </c>
      <c r="BX1709" t="s">
        <v>78</v>
      </c>
      <c r="BY1709" t="s">
        <v>523</v>
      </c>
      <c r="BZ1709" t="s">
        <v>175</v>
      </c>
      <c r="CA1709" t="str">
        <f t="shared" si="819"/>
        <v>low acid</v>
      </c>
    </row>
    <row r="1710" spans="1:79">
      <c r="A1710" t="s">
        <v>171</v>
      </c>
      <c r="B1710" t="s">
        <v>567</v>
      </c>
      <c r="C1710" t="s">
        <v>564</v>
      </c>
      <c r="D1710" t="s">
        <v>33</v>
      </c>
      <c r="E1710" t="s">
        <v>77</v>
      </c>
      <c r="F1710" t="s">
        <v>32</v>
      </c>
      <c r="G1710">
        <v>17</v>
      </c>
      <c r="H1710">
        <v>37</v>
      </c>
      <c r="I1710" t="b">
        <v>1</v>
      </c>
      <c r="J1710" t="s">
        <v>33</v>
      </c>
      <c r="K1710" t="s">
        <v>33</v>
      </c>
      <c r="L1710">
        <v>41</v>
      </c>
      <c r="M1710" s="4">
        <v>3</v>
      </c>
      <c r="N1710" s="6">
        <f t="shared" si="821"/>
        <v>10.198135198135198</v>
      </c>
      <c r="O1710">
        <v>2.5</v>
      </c>
      <c r="P1710" t="s">
        <v>33</v>
      </c>
      <c r="Q1710">
        <f t="shared" si="828"/>
        <v>11.666666666666664</v>
      </c>
      <c r="R1710" t="s">
        <v>183</v>
      </c>
      <c r="S1710" t="s">
        <v>612</v>
      </c>
      <c r="T1710" s="11">
        <v>1</v>
      </c>
      <c r="U1710">
        <v>6</v>
      </c>
      <c r="V1710" s="4" t="s">
        <v>33</v>
      </c>
      <c r="W1710">
        <v>28.6</v>
      </c>
      <c r="X1710" s="8">
        <f t="shared" si="838"/>
        <v>28.6</v>
      </c>
      <c r="Y1710" s="8">
        <f t="shared" si="839"/>
        <v>8.3333333333333339</v>
      </c>
      <c r="Z1710" s="9">
        <f t="shared" si="826"/>
        <v>2.451428571428572</v>
      </c>
      <c r="AA1710" t="s">
        <v>33</v>
      </c>
      <c r="AB1710" s="6">
        <f t="shared" si="830"/>
        <v>35</v>
      </c>
      <c r="AC1710" t="str">
        <f>IFERROR(M1710*#REF!,"NA")</f>
        <v>NA</v>
      </c>
      <c r="AD1710" s="4">
        <f t="shared" si="840"/>
        <v>35</v>
      </c>
      <c r="AE1710" s="3">
        <f t="shared" si="831"/>
        <v>706.01999999999987</v>
      </c>
      <c r="AF1710">
        <f>O1710*35</f>
        <v>87.5</v>
      </c>
      <c r="AG1710" t="str">
        <f t="shared" si="823"/>
        <v>NA</v>
      </c>
      <c r="AH1710" t="str">
        <f t="shared" si="824"/>
        <v>NA</v>
      </c>
      <c r="AI1710">
        <v>1</v>
      </c>
      <c r="AJ1710" t="s">
        <v>31</v>
      </c>
      <c r="AK1710">
        <v>4800</v>
      </c>
      <c r="AL1710" t="s">
        <v>169</v>
      </c>
      <c r="AM1710" t="s">
        <v>103</v>
      </c>
      <c r="AN1710" t="s">
        <v>130</v>
      </c>
      <c r="AO1710" t="s">
        <v>795</v>
      </c>
      <c r="AP1710">
        <v>6.8</v>
      </c>
      <c r="AQ1710" t="s">
        <v>33</v>
      </c>
      <c r="AR1710" t="s">
        <v>33</v>
      </c>
      <c r="AS1710" t="s">
        <v>33</v>
      </c>
      <c r="AT1710" s="3" t="str">
        <f t="shared" si="832"/>
        <v>NA</v>
      </c>
      <c r="AU1710" s="6">
        <v>1.8</v>
      </c>
      <c r="AV1710" t="b">
        <v>1</v>
      </c>
      <c r="AW1710" t="s">
        <v>92</v>
      </c>
      <c r="AX1710" t="s">
        <v>119</v>
      </c>
      <c r="AY1710" t="s">
        <v>519</v>
      </c>
      <c r="AZ1710" t="s">
        <v>33</v>
      </c>
      <c r="BA1710" s="18" t="s">
        <v>801</v>
      </c>
      <c r="BB1710" t="b">
        <v>0</v>
      </c>
      <c r="BC1710" t="s">
        <v>81</v>
      </c>
      <c r="BD1710">
        <v>18</v>
      </c>
      <c r="BE1710" t="s">
        <v>80</v>
      </c>
      <c r="BF1710" s="11">
        <v>24</v>
      </c>
      <c r="BG1710" t="s">
        <v>568</v>
      </c>
      <c r="BH1710" t="s">
        <v>31</v>
      </c>
      <c r="BI1710" t="s">
        <v>31</v>
      </c>
      <c r="BJ1710" s="3">
        <f t="shared" si="841"/>
        <v>1.8</v>
      </c>
      <c r="BK1710" s="3">
        <f t="shared" si="817"/>
        <v>0.25527250510330607</v>
      </c>
      <c r="BL1710">
        <v>2</v>
      </c>
      <c r="BM1710" s="3">
        <f t="shared" si="827"/>
        <v>2.5935444987340652</v>
      </c>
      <c r="BN1710" t="s">
        <v>33</v>
      </c>
      <c r="BO1710" s="3">
        <f t="shared" si="818"/>
        <v>392.23333333333323</v>
      </c>
      <c r="BP1710" t="s">
        <v>33</v>
      </c>
      <c r="BQ1710" t="s">
        <v>33</v>
      </c>
      <c r="BR1710" t="s">
        <v>33</v>
      </c>
      <c r="BS1710" t="s">
        <v>33</v>
      </c>
      <c r="BT1710" t="s">
        <v>31</v>
      </c>
      <c r="BU1710" t="s">
        <v>166</v>
      </c>
      <c r="BV1710">
        <v>2000</v>
      </c>
      <c r="BW1710" s="5" t="s">
        <v>165</v>
      </c>
      <c r="BX1710" t="s">
        <v>78</v>
      </c>
      <c r="BY1710" t="s">
        <v>523</v>
      </c>
      <c r="BZ1710" t="s">
        <v>170</v>
      </c>
      <c r="CA1710" t="str">
        <f t="shared" si="819"/>
        <v>low acid</v>
      </c>
    </row>
    <row r="1711" spans="1:79">
      <c r="A1711" t="s">
        <v>167</v>
      </c>
      <c r="B1711" t="s">
        <v>567</v>
      </c>
      <c r="C1711" t="s">
        <v>564</v>
      </c>
      <c r="D1711" t="s">
        <v>33</v>
      </c>
      <c r="E1711" t="s">
        <v>77</v>
      </c>
      <c r="F1711" t="s">
        <v>32</v>
      </c>
      <c r="G1711">
        <v>17</v>
      </c>
      <c r="H1711">
        <v>37</v>
      </c>
      <c r="I1711" t="b">
        <v>1</v>
      </c>
      <c r="J1711" t="s">
        <v>33</v>
      </c>
      <c r="K1711" t="s">
        <v>33</v>
      </c>
      <c r="L1711">
        <v>41</v>
      </c>
      <c r="M1711" s="4">
        <v>3</v>
      </c>
      <c r="N1711" s="3">
        <f t="shared" si="821"/>
        <v>10.198135198135198</v>
      </c>
      <c r="O1711">
        <v>2.5</v>
      </c>
      <c r="P1711" t="s">
        <v>33</v>
      </c>
      <c r="Q1711">
        <f t="shared" si="828"/>
        <v>11.666666666666664</v>
      </c>
      <c r="R1711" t="s">
        <v>183</v>
      </c>
      <c r="S1711" t="s">
        <v>612</v>
      </c>
      <c r="T1711" s="11">
        <v>1</v>
      </c>
      <c r="U1711">
        <v>6</v>
      </c>
      <c r="V1711" s="4" t="s">
        <v>33</v>
      </c>
      <c r="W1711">
        <v>28.6</v>
      </c>
      <c r="X1711" s="8">
        <f t="shared" si="838"/>
        <v>28.6</v>
      </c>
      <c r="Y1711" s="6">
        <f t="shared" si="839"/>
        <v>8.3333333333333339</v>
      </c>
      <c r="Z1711" s="3">
        <f t="shared" si="826"/>
        <v>2.451428571428572</v>
      </c>
      <c r="AA1711" t="s">
        <v>33</v>
      </c>
      <c r="AB1711" s="6">
        <f t="shared" si="830"/>
        <v>35</v>
      </c>
      <c r="AC1711" t="str">
        <f>IFERROR(M1711*P1711,"NA")</f>
        <v>NA</v>
      </c>
      <c r="AD1711" s="4">
        <f t="shared" si="840"/>
        <v>35</v>
      </c>
      <c r="AE1711" s="3">
        <f t="shared" si="831"/>
        <v>706.01999999999987</v>
      </c>
      <c r="AF1711">
        <f>O1711*35</f>
        <v>87.5</v>
      </c>
      <c r="AG1711" t="str">
        <f t="shared" si="823"/>
        <v>NA</v>
      </c>
      <c r="AH1711" t="str">
        <f t="shared" si="824"/>
        <v>NA</v>
      </c>
      <c r="AI1711">
        <v>1</v>
      </c>
      <c r="AJ1711" t="s">
        <v>31</v>
      </c>
      <c r="AK1711">
        <v>4800</v>
      </c>
      <c r="AL1711" t="s">
        <v>169</v>
      </c>
      <c r="AM1711" t="s">
        <v>103</v>
      </c>
      <c r="AN1711" t="s">
        <v>130</v>
      </c>
      <c r="AO1711" t="s">
        <v>795</v>
      </c>
      <c r="AP1711">
        <v>6.8</v>
      </c>
      <c r="AQ1711" t="s">
        <v>33</v>
      </c>
      <c r="AR1711" t="s">
        <v>33</v>
      </c>
      <c r="AS1711" t="s">
        <v>33</v>
      </c>
      <c r="AT1711" s="3" t="str">
        <f t="shared" si="832"/>
        <v>NA</v>
      </c>
      <c r="AU1711" s="6">
        <v>4.2</v>
      </c>
      <c r="AV1711" t="b">
        <v>1</v>
      </c>
      <c r="AW1711" t="s">
        <v>29</v>
      </c>
      <c r="AX1711" t="s">
        <v>30</v>
      </c>
      <c r="AY1711" t="s">
        <v>517</v>
      </c>
      <c r="AZ1711" t="s">
        <v>33</v>
      </c>
      <c r="BA1711" s="18" t="s">
        <v>798</v>
      </c>
      <c r="BB1711" t="b">
        <v>0</v>
      </c>
      <c r="BC1711" t="s">
        <v>81</v>
      </c>
      <c r="BD1711">
        <v>18</v>
      </c>
      <c r="BE1711" t="s">
        <v>80</v>
      </c>
      <c r="BF1711" s="11">
        <v>24</v>
      </c>
      <c r="BG1711" t="s">
        <v>568</v>
      </c>
      <c r="BH1711" t="s">
        <v>31</v>
      </c>
      <c r="BI1711" t="s">
        <v>31</v>
      </c>
      <c r="BJ1711" s="3">
        <f t="shared" si="841"/>
        <v>4.2</v>
      </c>
      <c r="BK1711" s="3">
        <f t="shared" si="817"/>
        <v>0.62324929039790045</v>
      </c>
      <c r="BL1711">
        <v>2</v>
      </c>
      <c r="BM1711" s="3">
        <f t="shared" si="827"/>
        <v>2.2255677134394709</v>
      </c>
      <c r="BN1711" t="s">
        <v>33</v>
      </c>
      <c r="BO1711" s="3">
        <f t="shared" si="818"/>
        <v>168.09999999999997</v>
      </c>
      <c r="BP1711" t="s">
        <v>33</v>
      </c>
      <c r="BQ1711" t="s">
        <v>33</v>
      </c>
      <c r="BR1711" t="s">
        <v>33</v>
      </c>
      <c r="BS1711" t="s">
        <v>33</v>
      </c>
      <c r="BT1711" t="s">
        <v>31</v>
      </c>
      <c r="BU1711" t="s">
        <v>166</v>
      </c>
      <c r="BV1711">
        <v>2000</v>
      </c>
      <c r="BW1711" s="1" t="s">
        <v>165</v>
      </c>
      <c r="BX1711" t="s">
        <v>78</v>
      </c>
      <c r="BY1711" t="s">
        <v>523</v>
      </c>
      <c r="BZ1711" t="s">
        <v>175</v>
      </c>
      <c r="CA1711" t="str">
        <f t="shared" si="819"/>
        <v>low acid</v>
      </c>
    </row>
    <row r="1712" spans="1:79">
      <c r="A1712" t="s">
        <v>171</v>
      </c>
      <c r="B1712" t="s">
        <v>567</v>
      </c>
      <c r="C1712" t="s">
        <v>564</v>
      </c>
      <c r="D1712" t="s">
        <v>33</v>
      </c>
      <c r="E1712" t="s">
        <v>77</v>
      </c>
      <c r="F1712" t="s">
        <v>32</v>
      </c>
      <c r="G1712">
        <v>17</v>
      </c>
      <c r="H1712">
        <v>37</v>
      </c>
      <c r="I1712" t="b">
        <v>1</v>
      </c>
      <c r="J1712" t="s">
        <v>33</v>
      </c>
      <c r="K1712" t="s">
        <v>33</v>
      </c>
      <c r="L1712">
        <v>41</v>
      </c>
      <c r="M1712" s="4">
        <v>3</v>
      </c>
      <c r="N1712" s="6">
        <f t="shared" si="821"/>
        <v>5.8275058275058278</v>
      </c>
      <c r="O1712">
        <v>2.5</v>
      </c>
      <c r="P1712" t="s">
        <v>33</v>
      </c>
      <c r="Q1712">
        <f t="shared" si="828"/>
        <v>6.6666666666666652</v>
      </c>
      <c r="R1712" t="s">
        <v>183</v>
      </c>
      <c r="S1712" t="s">
        <v>612</v>
      </c>
      <c r="T1712" s="11">
        <v>1</v>
      </c>
      <c r="U1712">
        <v>6</v>
      </c>
      <c r="V1712" s="4" t="s">
        <v>33</v>
      </c>
      <c r="W1712">
        <v>28.6</v>
      </c>
      <c r="X1712" s="8">
        <f t="shared" si="838"/>
        <v>28.6</v>
      </c>
      <c r="Y1712" s="8">
        <f t="shared" si="839"/>
        <v>8.3333333333333339</v>
      </c>
      <c r="Z1712" s="9">
        <f t="shared" si="826"/>
        <v>4.2900000000000009</v>
      </c>
      <c r="AA1712" t="s">
        <v>33</v>
      </c>
      <c r="AB1712" s="6">
        <f t="shared" si="830"/>
        <v>20</v>
      </c>
      <c r="AC1712" t="str">
        <f>IFERROR(M1712*#REF!,"NA")</f>
        <v>NA</v>
      </c>
      <c r="AD1712" s="4">
        <f t="shared" si="840"/>
        <v>20</v>
      </c>
      <c r="AE1712" s="3">
        <f t="shared" si="831"/>
        <v>403.43999999999988</v>
      </c>
      <c r="AF1712">
        <f>O1712*20</f>
        <v>50</v>
      </c>
      <c r="AG1712" t="str">
        <f t="shared" si="823"/>
        <v>NA</v>
      </c>
      <c r="AH1712" t="str">
        <f t="shared" si="824"/>
        <v>NA</v>
      </c>
      <c r="AI1712">
        <v>1</v>
      </c>
      <c r="AJ1712" t="s">
        <v>31</v>
      </c>
      <c r="AK1712">
        <v>4800</v>
      </c>
      <c r="AL1712" t="s">
        <v>169</v>
      </c>
      <c r="AM1712" t="s">
        <v>103</v>
      </c>
      <c r="AN1712" t="s">
        <v>130</v>
      </c>
      <c r="AO1712" t="s">
        <v>795</v>
      </c>
      <c r="AP1712">
        <v>6.8</v>
      </c>
      <c r="AQ1712" t="s">
        <v>33</v>
      </c>
      <c r="AR1712" t="s">
        <v>33</v>
      </c>
      <c r="AS1712" t="s">
        <v>33</v>
      </c>
      <c r="AT1712" s="3" t="str">
        <f t="shared" si="832"/>
        <v>NA</v>
      </c>
      <c r="AU1712" s="6">
        <v>1.5</v>
      </c>
      <c r="AV1712" t="b">
        <v>1</v>
      </c>
      <c r="AW1712" t="s">
        <v>92</v>
      </c>
      <c r="AX1712" t="s">
        <v>119</v>
      </c>
      <c r="AY1712" t="s">
        <v>519</v>
      </c>
      <c r="AZ1712" t="s">
        <v>33</v>
      </c>
      <c r="BA1712" s="18" t="s">
        <v>801</v>
      </c>
      <c r="BB1712" t="b">
        <v>0</v>
      </c>
      <c r="BC1712" t="s">
        <v>81</v>
      </c>
      <c r="BD1712">
        <v>18</v>
      </c>
      <c r="BE1712" t="s">
        <v>80</v>
      </c>
      <c r="BF1712" s="11">
        <v>24</v>
      </c>
      <c r="BG1712" t="s">
        <v>568</v>
      </c>
      <c r="BH1712" t="s">
        <v>31</v>
      </c>
      <c r="BI1712" t="s">
        <v>31</v>
      </c>
      <c r="BJ1712" s="3">
        <f t="shared" si="841"/>
        <v>1.5</v>
      </c>
      <c r="BK1712" s="3">
        <f t="shared" si="817"/>
        <v>0.17609125905568124</v>
      </c>
      <c r="BL1712">
        <v>2</v>
      </c>
      <c r="BM1712" s="3">
        <f t="shared" si="827"/>
        <v>2.4296876960953955</v>
      </c>
      <c r="BN1712" t="s">
        <v>33</v>
      </c>
      <c r="BO1712" s="3">
        <f t="shared" si="818"/>
        <v>268.95999999999992</v>
      </c>
      <c r="BP1712" t="s">
        <v>33</v>
      </c>
      <c r="BQ1712" t="s">
        <v>33</v>
      </c>
      <c r="BR1712" t="s">
        <v>33</v>
      </c>
      <c r="BS1712" t="s">
        <v>33</v>
      </c>
      <c r="BT1712" t="s">
        <v>31</v>
      </c>
      <c r="BU1712" t="s">
        <v>166</v>
      </c>
      <c r="BV1712">
        <v>2000</v>
      </c>
      <c r="BW1712" s="5" t="s">
        <v>165</v>
      </c>
      <c r="BX1712" t="s">
        <v>78</v>
      </c>
      <c r="BY1712" t="s">
        <v>523</v>
      </c>
      <c r="BZ1712" t="s">
        <v>170</v>
      </c>
      <c r="CA1712" t="str">
        <f t="shared" si="819"/>
        <v>low acid</v>
      </c>
    </row>
    <row r="1713" spans="1:79">
      <c r="A1713" t="s">
        <v>167</v>
      </c>
      <c r="B1713" t="s">
        <v>567</v>
      </c>
      <c r="C1713" t="s">
        <v>564</v>
      </c>
      <c r="D1713" t="s">
        <v>33</v>
      </c>
      <c r="E1713" t="s">
        <v>77</v>
      </c>
      <c r="F1713" t="s">
        <v>32</v>
      </c>
      <c r="G1713">
        <v>17</v>
      </c>
      <c r="H1713">
        <v>37</v>
      </c>
      <c r="I1713" t="b">
        <v>1</v>
      </c>
      <c r="J1713" t="s">
        <v>33</v>
      </c>
      <c r="K1713" t="s">
        <v>33</v>
      </c>
      <c r="L1713">
        <v>41</v>
      </c>
      <c r="M1713" s="4">
        <v>3</v>
      </c>
      <c r="N1713" s="3">
        <f t="shared" si="821"/>
        <v>5.8275058275058278</v>
      </c>
      <c r="O1713">
        <v>2.5</v>
      </c>
      <c r="P1713" t="s">
        <v>33</v>
      </c>
      <c r="Q1713">
        <f t="shared" si="828"/>
        <v>6.6666666666666652</v>
      </c>
      <c r="R1713" t="s">
        <v>183</v>
      </c>
      <c r="S1713" t="s">
        <v>612</v>
      </c>
      <c r="T1713" s="11">
        <v>1</v>
      </c>
      <c r="U1713">
        <v>6</v>
      </c>
      <c r="V1713" s="4" t="s">
        <v>33</v>
      </c>
      <c r="W1713">
        <v>28.6</v>
      </c>
      <c r="X1713" s="8">
        <f t="shared" si="838"/>
        <v>28.6</v>
      </c>
      <c r="Y1713" s="6">
        <f t="shared" si="839"/>
        <v>8.3333333333333339</v>
      </c>
      <c r="Z1713" s="3">
        <f t="shared" si="826"/>
        <v>4.2900000000000009</v>
      </c>
      <c r="AA1713" t="s">
        <v>33</v>
      </c>
      <c r="AB1713" s="6">
        <f t="shared" si="830"/>
        <v>20</v>
      </c>
      <c r="AC1713" t="str">
        <f>IFERROR(M1713*P1713,"NA")</f>
        <v>NA</v>
      </c>
      <c r="AD1713" s="4">
        <f t="shared" si="840"/>
        <v>20</v>
      </c>
      <c r="AE1713" s="3">
        <f t="shared" si="831"/>
        <v>403.43999999999988</v>
      </c>
      <c r="AF1713">
        <f>O1713*20</f>
        <v>50</v>
      </c>
      <c r="AG1713" t="str">
        <f t="shared" si="823"/>
        <v>NA</v>
      </c>
      <c r="AH1713" t="str">
        <f t="shared" si="824"/>
        <v>NA</v>
      </c>
      <c r="AI1713">
        <v>1</v>
      </c>
      <c r="AJ1713" t="s">
        <v>31</v>
      </c>
      <c r="AK1713">
        <v>4800</v>
      </c>
      <c r="AL1713" t="s">
        <v>169</v>
      </c>
      <c r="AM1713" t="s">
        <v>103</v>
      </c>
      <c r="AN1713" t="s">
        <v>130</v>
      </c>
      <c r="AO1713" t="s">
        <v>795</v>
      </c>
      <c r="AP1713">
        <v>6.8</v>
      </c>
      <c r="AQ1713" t="s">
        <v>33</v>
      </c>
      <c r="AR1713" t="s">
        <v>33</v>
      </c>
      <c r="AS1713" t="s">
        <v>33</v>
      </c>
      <c r="AT1713" s="3" t="str">
        <f t="shared" si="832"/>
        <v>NA</v>
      </c>
      <c r="AU1713" s="6">
        <v>3.5</v>
      </c>
      <c r="AV1713" t="b">
        <v>1</v>
      </c>
      <c r="AW1713" t="s">
        <v>29</v>
      </c>
      <c r="AX1713" t="s">
        <v>30</v>
      </c>
      <c r="AY1713" t="s">
        <v>517</v>
      </c>
      <c r="AZ1713" t="s">
        <v>33</v>
      </c>
      <c r="BA1713" s="18" t="s">
        <v>798</v>
      </c>
      <c r="BB1713" t="b">
        <v>0</v>
      </c>
      <c r="BC1713" t="s">
        <v>81</v>
      </c>
      <c r="BD1713">
        <v>18</v>
      </c>
      <c r="BE1713" t="s">
        <v>80</v>
      </c>
      <c r="BF1713" s="11">
        <v>24</v>
      </c>
      <c r="BG1713" t="s">
        <v>568</v>
      </c>
      <c r="BH1713" t="s">
        <v>31</v>
      </c>
      <c r="BI1713" t="s">
        <v>31</v>
      </c>
      <c r="BJ1713" s="3">
        <f t="shared" si="841"/>
        <v>3.5</v>
      </c>
      <c r="BK1713" s="3">
        <f t="shared" si="817"/>
        <v>0.54406804435027567</v>
      </c>
      <c r="BL1713">
        <v>2</v>
      </c>
      <c r="BM1713" s="3">
        <f t="shared" si="827"/>
        <v>2.0617109108008012</v>
      </c>
      <c r="BN1713" t="s">
        <v>33</v>
      </c>
      <c r="BO1713" s="3">
        <f t="shared" si="818"/>
        <v>115.26857142857139</v>
      </c>
      <c r="BP1713" t="s">
        <v>33</v>
      </c>
      <c r="BQ1713" t="s">
        <v>33</v>
      </c>
      <c r="BR1713" t="s">
        <v>33</v>
      </c>
      <c r="BS1713" t="s">
        <v>33</v>
      </c>
      <c r="BT1713" t="s">
        <v>31</v>
      </c>
      <c r="BU1713" t="s">
        <v>166</v>
      </c>
      <c r="BV1713">
        <v>2000</v>
      </c>
      <c r="BW1713" s="1" t="s">
        <v>165</v>
      </c>
      <c r="BX1713" t="s">
        <v>78</v>
      </c>
      <c r="BY1713" t="s">
        <v>523</v>
      </c>
      <c r="BZ1713" t="s">
        <v>175</v>
      </c>
      <c r="CA1713" t="str">
        <f t="shared" si="819"/>
        <v>low acid</v>
      </c>
    </row>
    <row r="1714" spans="1:79">
      <c r="A1714" t="s">
        <v>171</v>
      </c>
      <c r="B1714" t="s">
        <v>567</v>
      </c>
      <c r="C1714" t="s">
        <v>564</v>
      </c>
      <c r="D1714" t="s">
        <v>33</v>
      </c>
      <c r="E1714" t="s">
        <v>77</v>
      </c>
      <c r="F1714" t="s">
        <v>32</v>
      </c>
      <c r="G1714">
        <v>17</v>
      </c>
      <c r="H1714">
        <v>37</v>
      </c>
      <c r="I1714" t="b">
        <v>1</v>
      </c>
      <c r="J1714" t="s">
        <v>33</v>
      </c>
      <c r="K1714" t="s">
        <v>33</v>
      </c>
      <c r="L1714">
        <v>41</v>
      </c>
      <c r="M1714" s="4">
        <v>3</v>
      </c>
      <c r="N1714" s="6">
        <f t="shared" si="821"/>
        <v>2.9137529137529139</v>
      </c>
      <c r="O1714">
        <v>2.5</v>
      </c>
      <c r="P1714" t="s">
        <v>33</v>
      </c>
      <c r="Q1714">
        <f t="shared" si="828"/>
        <v>3.3333333333333326</v>
      </c>
      <c r="R1714" t="s">
        <v>183</v>
      </c>
      <c r="S1714" t="s">
        <v>612</v>
      </c>
      <c r="T1714" s="11">
        <v>1</v>
      </c>
      <c r="U1714">
        <v>6</v>
      </c>
      <c r="V1714" s="4" t="s">
        <v>33</v>
      </c>
      <c r="W1714">
        <v>28.6</v>
      </c>
      <c r="X1714" s="8">
        <f t="shared" si="838"/>
        <v>28.6</v>
      </c>
      <c r="Y1714" s="8">
        <f t="shared" si="839"/>
        <v>8.3333333333333339</v>
      </c>
      <c r="Z1714" s="9">
        <f t="shared" si="826"/>
        <v>8.5800000000000018</v>
      </c>
      <c r="AA1714" t="s">
        <v>33</v>
      </c>
      <c r="AB1714" s="6">
        <f t="shared" si="830"/>
        <v>10</v>
      </c>
      <c r="AC1714" t="str">
        <f>IFERROR(M1714*#REF!,"NA")</f>
        <v>NA</v>
      </c>
      <c r="AD1714" s="4">
        <f t="shared" si="840"/>
        <v>10</v>
      </c>
      <c r="AE1714" s="3">
        <f t="shared" si="831"/>
        <v>201.71999999999994</v>
      </c>
      <c r="AF1714">
        <f>O1714*10</f>
        <v>25</v>
      </c>
      <c r="AG1714" t="str">
        <f t="shared" si="823"/>
        <v>NA</v>
      </c>
      <c r="AH1714" t="str">
        <f t="shared" si="824"/>
        <v>NA</v>
      </c>
      <c r="AI1714">
        <v>1</v>
      </c>
      <c r="AJ1714" t="s">
        <v>31</v>
      </c>
      <c r="AK1714">
        <v>4800</v>
      </c>
      <c r="AL1714" t="s">
        <v>169</v>
      </c>
      <c r="AM1714" t="s">
        <v>103</v>
      </c>
      <c r="AN1714" t="s">
        <v>130</v>
      </c>
      <c r="AO1714" t="s">
        <v>795</v>
      </c>
      <c r="AP1714">
        <v>6.8</v>
      </c>
      <c r="AQ1714" t="s">
        <v>33</v>
      </c>
      <c r="AR1714" t="s">
        <v>33</v>
      </c>
      <c r="AS1714" t="s">
        <v>33</v>
      </c>
      <c r="AT1714" s="3" t="str">
        <f t="shared" si="832"/>
        <v>NA</v>
      </c>
      <c r="AU1714" s="6">
        <v>0.5</v>
      </c>
      <c r="AV1714" t="b">
        <v>1</v>
      </c>
      <c r="AW1714" t="s">
        <v>92</v>
      </c>
      <c r="AX1714" t="s">
        <v>119</v>
      </c>
      <c r="AY1714" t="s">
        <v>519</v>
      </c>
      <c r="AZ1714" t="s">
        <v>33</v>
      </c>
      <c r="BA1714" s="18" t="s">
        <v>801</v>
      </c>
      <c r="BB1714" t="b">
        <v>0</v>
      </c>
      <c r="BC1714" t="s">
        <v>81</v>
      </c>
      <c r="BD1714">
        <v>18</v>
      </c>
      <c r="BE1714" t="s">
        <v>80</v>
      </c>
      <c r="BF1714" s="11">
        <v>24</v>
      </c>
      <c r="BG1714" t="s">
        <v>568</v>
      </c>
      <c r="BH1714" t="s">
        <v>31</v>
      </c>
      <c r="BI1714" t="s">
        <v>31</v>
      </c>
      <c r="BJ1714" s="3">
        <f t="shared" si="841"/>
        <v>0.5</v>
      </c>
      <c r="BK1714" s="3">
        <f t="shared" si="817"/>
        <v>-0.3010299956639812</v>
      </c>
      <c r="BL1714">
        <v>2</v>
      </c>
      <c r="BM1714" s="3">
        <f t="shared" si="827"/>
        <v>2.6057789551510768</v>
      </c>
      <c r="BN1714" t="s">
        <v>33</v>
      </c>
      <c r="BO1714" s="3">
        <f t="shared" si="818"/>
        <v>403.43999999999988</v>
      </c>
      <c r="BP1714" t="s">
        <v>33</v>
      </c>
      <c r="BQ1714" t="s">
        <v>33</v>
      </c>
      <c r="BR1714" t="s">
        <v>33</v>
      </c>
      <c r="BS1714" t="s">
        <v>33</v>
      </c>
      <c r="BT1714" t="s">
        <v>31</v>
      </c>
      <c r="BU1714" t="s">
        <v>166</v>
      </c>
      <c r="BV1714">
        <v>2000</v>
      </c>
      <c r="BW1714" s="5" t="s">
        <v>165</v>
      </c>
      <c r="BX1714" t="s">
        <v>78</v>
      </c>
      <c r="BY1714" t="s">
        <v>523</v>
      </c>
      <c r="BZ1714" t="s">
        <v>170</v>
      </c>
      <c r="CA1714" t="str">
        <f t="shared" si="819"/>
        <v>low acid</v>
      </c>
    </row>
    <row r="1715" spans="1:79">
      <c r="A1715" t="s">
        <v>167</v>
      </c>
      <c r="B1715" t="s">
        <v>567</v>
      </c>
      <c r="C1715" t="s">
        <v>564</v>
      </c>
      <c r="D1715" t="s">
        <v>33</v>
      </c>
      <c r="E1715" t="s">
        <v>77</v>
      </c>
      <c r="F1715" t="s">
        <v>32</v>
      </c>
      <c r="G1715">
        <v>17</v>
      </c>
      <c r="H1715">
        <v>37</v>
      </c>
      <c r="I1715" t="b">
        <v>1</v>
      </c>
      <c r="J1715" t="s">
        <v>33</v>
      </c>
      <c r="K1715" t="s">
        <v>33</v>
      </c>
      <c r="L1715">
        <v>41</v>
      </c>
      <c r="M1715" s="4">
        <v>3</v>
      </c>
      <c r="N1715" s="3">
        <f t="shared" ref="N1715:N1726" si="842">IFERROR(AF1715/((T1715*X1715/Y1715)*O1715*AI1715),"NA")</f>
        <v>2.9137529137529139</v>
      </c>
      <c r="O1715">
        <v>2.5</v>
      </c>
      <c r="P1715" t="s">
        <v>33</v>
      </c>
      <c r="Q1715">
        <f t="shared" si="828"/>
        <v>3.3333333333333326</v>
      </c>
      <c r="R1715" t="s">
        <v>183</v>
      </c>
      <c r="S1715" t="s">
        <v>612</v>
      </c>
      <c r="T1715" s="11">
        <v>1</v>
      </c>
      <c r="U1715">
        <v>6</v>
      </c>
      <c r="V1715" s="4" t="s">
        <v>33</v>
      </c>
      <c r="W1715">
        <v>28.6</v>
      </c>
      <c r="X1715" s="8">
        <f t="shared" si="838"/>
        <v>28.6</v>
      </c>
      <c r="Y1715" s="6">
        <f t="shared" si="839"/>
        <v>8.3333333333333339</v>
      </c>
      <c r="Z1715" s="3">
        <f t="shared" si="826"/>
        <v>8.5800000000000018</v>
      </c>
      <c r="AA1715" t="s">
        <v>33</v>
      </c>
      <c r="AB1715" s="6">
        <f t="shared" si="830"/>
        <v>10</v>
      </c>
      <c r="AC1715" t="str">
        <f t="shared" ref="AC1715:AC1726" si="843">IFERROR(M1715*P1715,"NA")</f>
        <v>NA</v>
      </c>
      <c r="AD1715" s="4">
        <f t="shared" si="840"/>
        <v>10</v>
      </c>
      <c r="AE1715" s="3">
        <f t="shared" si="831"/>
        <v>201.71999999999994</v>
      </c>
      <c r="AF1715">
        <f>O1715*10</f>
        <v>25</v>
      </c>
      <c r="AG1715" t="str">
        <f t="shared" ref="AG1715:AG1726" si="844">IFERROR((M1715*O1715*P1715), "NA")</f>
        <v>NA</v>
      </c>
      <c r="AH1715" t="str">
        <f t="shared" ref="AH1715:AH1726" si="845">IFERROR((AG1715*T1715*AI1715), "NA")</f>
        <v>NA</v>
      </c>
      <c r="AI1715">
        <v>1</v>
      </c>
      <c r="AJ1715" t="s">
        <v>31</v>
      </c>
      <c r="AK1715">
        <v>4800</v>
      </c>
      <c r="AL1715" t="s">
        <v>169</v>
      </c>
      <c r="AM1715" t="s">
        <v>103</v>
      </c>
      <c r="AN1715" t="s">
        <v>130</v>
      </c>
      <c r="AO1715" t="s">
        <v>795</v>
      </c>
      <c r="AP1715">
        <v>6.8</v>
      </c>
      <c r="AQ1715" t="s">
        <v>33</v>
      </c>
      <c r="AR1715" t="s">
        <v>33</v>
      </c>
      <c r="AS1715" t="s">
        <v>33</v>
      </c>
      <c r="AT1715" s="3" t="str">
        <f t="shared" si="832"/>
        <v>NA</v>
      </c>
      <c r="AU1715" s="6">
        <v>3.3</v>
      </c>
      <c r="AV1715" t="b">
        <v>1</v>
      </c>
      <c r="AW1715" t="s">
        <v>29</v>
      </c>
      <c r="AX1715" t="s">
        <v>30</v>
      </c>
      <c r="AY1715" t="s">
        <v>517</v>
      </c>
      <c r="AZ1715" t="s">
        <v>33</v>
      </c>
      <c r="BA1715" s="18" t="s">
        <v>798</v>
      </c>
      <c r="BB1715" t="b">
        <v>0</v>
      </c>
      <c r="BC1715" t="s">
        <v>81</v>
      </c>
      <c r="BD1715">
        <v>18</v>
      </c>
      <c r="BE1715" t="s">
        <v>80</v>
      </c>
      <c r="BF1715" s="11">
        <v>24</v>
      </c>
      <c r="BG1715" t="s">
        <v>568</v>
      </c>
      <c r="BH1715" t="s">
        <v>31</v>
      </c>
      <c r="BI1715" t="s">
        <v>31</v>
      </c>
      <c r="BJ1715" s="3">
        <f t="shared" si="841"/>
        <v>3.3</v>
      </c>
      <c r="BK1715" s="3">
        <f t="shared" si="817"/>
        <v>0.51851393987788741</v>
      </c>
      <c r="BL1715">
        <v>2</v>
      </c>
      <c r="BM1715" s="3">
        <f t="shared" si="827"/>
        <v>1.7862350196092083</v>
      </c>
      <c r="BN1715" t="s">
        <v>33</v>
      </c>
      <c r="BO1715" s="3">
        <f t="shared" si="818"/>
        <v>61.127272727272711</v>
      </c>
      <c r="BP1715" t="s">
        <v>33</v>
      </c>
      <c r="BQ1715" t="s">
        <v>33</v>
      </c>
      <c r="BR1715" t="s">
        <v>33</v>
      </c>
      <c r="BS1715" t="s">
        <v>33</v>
      </c>
      <c r="BT1715" t="s">
        <v>31</v>
      </c>
      <c r="BU1715" t="s">
        <v>166</v>
      </c>
      <c r="BV1715">
        <v>2000</v>
      </c>
      <c r="BW1715" s="1" t="s">
        <v>165</v>
      </c>
      <c r="BX1715" t="s">
        <v>78</v>
      </c>
      <c r="BY1715" t="s">
        <v>523</v>
      </c>
      <c r="BZ1715" t="s">
        <v>175</v>
      </c>
      <c r="CA1715" t="str">
        <f t="shared" si="819"/>
        <v>low acid</v>
      </c>
    </row>
    <row r="1716" spans="1:79">
      <c r="A1716" t="s">
        <v>315</v>
      </c>
      <c r="B1716" t="s">
        <v>565</v>
      </c>
      <c r="C1716" t="s">
        <v>563</v>
      </c>
      <c r="D1716" t="s">
        <v>118</v>
      </c>
      <c r="E1716" t="s">
        <v>77</v>
      </c>
      <c r="F1716" t="s">
        <v>32</v>
      </c>
      <c r="G1716">
        <v>10</v>
      </c>
      <c r="H1716">
        <v>35</v>
      </c>
      <c r="I1716" t="b">
        <v>0</v>
      </c>
      <c r="J1716" t="s">
        <v>33</v>
      </c>
      <c r="K1716" t="s">
        <v>33</v>
      </c>
      <c r="L1716">
        <v>25</v>
      </c>
      <c r="M1716" s="4" t="s">
        <v>33</v>
      </c>
      <c r="N1716" s="3">
        <f t="shared" si="842"/>
        <v>1314.3372268987532</v>
      </c>
      <c r="O1716">
        <v>2.5</v>
      </c>
      <c r="P1716" t="s">
        <v>33</v>
      </c>
      <c r="Q1716" s="8">
        <f t="shared" si="828"/>
        <v>1.2173435913211428E-2</v>
      </c>
      <c r="R1716" t="s">
        <v>183</v>
      </c>
      <c r="S1716" t="s">
        <v>613</v>
      </c>
      <c r="T1716" s="11">
        <v>4</v>
      </c>
      <c r="U1716">
        <v>2.93</v>
      </c>
      <c r="V1716">
        <v>2.2999999999999998</v>
      </c>
      <c r="W1716" t="s">
        <v>33</v>
      </c>
      <c r="X1716" s="8">
        <f t="shared" ref="X1716:X1726" si="846">IFERROR(((PI())*(((V1716*10^-1)/2)^2)*(U1716*10^-1)), "NA")</f>
        <v>1.2173435913211428E-2</v>
      </c>
      <c r="Y1716" s="6">
        <f t="shared" ref="Y1716:Y1726" si="847">60/60</f>
        <v>1</v>
      </c>
      <c r="Z1716" s="3">
        <f t="shared" ref="Z1716:Z1726" si="848">IFERROR(X1716*N1716*O1716*T1716*AI1716/AF1716, "NA")</f>
        <v>1</v>
      </c>
      <c r="AA1716" t="s">
        <v>33</v>
      </c>
      <c r="AB1716" s="6">
        <f t="shared" ref="AB1716:AB1726" si="849">IFERROR(((X1716*N1716)/Z1716), "NA")</f>
        <v>16</v>
      </c>
      <c r="AC1716" t="str">
        <f t="shared" si="843"/>
        <v>NA</v>
      </c>
      <c r="AD1716" s="4">
        <f t="shared" si="840"/>
        <v>64</v>
      </c>
      <c r="AE1716" s="3">
        <f t="shared" ref="AE1716:AE1726" si="850">IFERROR(((L1716^2)*N1716*O1716*AK1716*10^-6*Q1716*T1716*AI1716), "NA")</f>
        <v>600</v>
      </c>
      <c r="AF1716">
        <v>160</v>
      </c>
      <c r="AG1716" t="str">
        <f t="shared" si="844"/>
        <v>NA</v>
      </c>
      <c r="AH1716" t="str">
        <f t="shared" si="845"/>
        <v>NA</v>
      </c>
      <c r="AI1716">
        <v>1</v>
      </c>
      <c r="AJ1716" t="s">
        <v>31</v>
      </c>
      <c r="AK1716">
        <v>6000</v>
      </c>
      <c r="AL1716" t="s">
        <v>313</v>
      </c>
      <c r="AM1716" t="s">
        <v>103</v>
      </c>
      <c r="AN1716" t="s">
        <v>130</v>
      </c>
      <c r="AO1716" t="s">
        <v>795</v>
      </c>
      <c r="AP1716" t="s">
        <v>33</v>
      </c>
      <c r="AQ1716" t="s">
        <v>33</v>
      </c>
      <c r="AR1716" t="s">
        <v>33</v>
      </c>
      <c r="AS1716" t="s">
        <v>33</v>
      </c>
      <c r="AT1716" s="3" t="str">
        <f t="shared" si="832"/>
        <v>NA</v>
      </c>
      <c r="AU1716" s="6">
        <v>1.466</v>
      </c>
      <c r="AV1716" t="b">
        <v>1</v>
      </c>
      <c r="AW1716" t="s">
        <v>123</v>
      </c>
      <c r="AX1716" t="s">
        <v>88</v>
      </c>
      <c r="AY1716" t="s">
        <v>314</v>
      </c>
      <c r="AZ1716" t="s">
        <v>33</v>
      </c>
      <c r="BA1716" s="18" t="s">
        <v>579</v>
      </c>
      <c r="BB1716" t="b">
        <v>1</v>
      </c>
      <c r="BC1716" t="s">
        <v>81</v>
      </c>
      <c r="BD1716">
        <v>26</v>
      </c>
      <c r="BE1716" t="s">
        <v>80</v>
      </c>
      <c r="BF1716" s="11">
        <v>48</v>
      </c>
      <c r="BG1716" t="s">
        <v>395</v>
      </c>
      <c r="BH1716" t="s">
        <v>31</v>
      </c>
      <c r="BI1716" t="s">
        <v>31</v>
      </c>
      <c r="BJ1716" s="3">
        <f t="shared" si="841"/>
        <v>1.466</v>
      </c>
      <c r="BK1716" s="3">
        <f t="shared" si="817"/>
        <v>0.16613397030510912</v>
      </c>
      <c r="BL1716">
        <v>2</v>
      </c>
      <c r="BM1716" s="3">
        <f t="shared" si="827"/>
        <v>2.6120172800785344</v>
      </c>
      <c r="BN1716" t="s">
        <v>33</v>
      </c>
      <c r="BO1716" s="3">
        <f t="shared" si="818"/>
        <v>409.27694406548432</v>
      </c>
      <c r="BP1716" t="s">
        <v>33</v>
      </c>
      <c r="BQ1716" t="s">
        <v>33</v>
      </c>
      <c r="BR1716" t="s">
        <v>33</v>
      </c>
      <c r="BS1716" t="s">
        <v>33</v>
      </c>
      <c r="BT1716" t="s">
        <v>31</v>
      </c>
      <c r="BU1716" t="s">
        <v>276</v>
      </c>
      <c r="BV1716">
        <v>2003</v>
      </c>
      <c r="BW1716" s="2" t="s">
        <v>316</v>
      </c>
      <c r="BX1716" t="s">
        <v>78</v>
      </c>
      <c r="BY1716" t="s">
        <v>33</v>
      </c>
      <c r="BZ1716" t="s">
        <v>317</v>
      </c>
      <c r="CA1716" t="str">
        <f t="shared" si="819"/>
        <v>low acid</v>
      </c>
    </row>
    <row r="1717" spans="1:79">
      <c r="A1717" t="s">
        <v>315</v>
      </c>
      <c r="B1717" t="s">
        <v>565</v>
      </c>
      <c r="C1717" t="s">
        <v>563</v>
      </c>
      <c r="D1717" t="s">
        <v>118</v>
      </c>
      <c r="E1717" t="s">
        <v>77</v>
      </c>
      <c r="F1717" t="s">
        <v>32</v>
      </c>
      <c r="G1717">
        <v>10</v>
      </c>
      <c r="H1717">
        <v>35</v>
      </c>
      <c r="I1717" t="b">
        <v>0</v>
      </c>
      <c r="J1717" t="s">
        <v>33</v>
      </c>
      <c r="K1717" t="s">
        <v>33</v>
      </c>
      <c r="L1717">
        <v>25</v>
      </c>
      <c r="M1717" s="4" t="s">
        <v>33</v>
      </c>
      <c r="N1717" s="3">
        <f t="shared" si="842"/>
        <v>1232.1911502175813</v>
      </c>
      <c r="O1717">
        <v>2.5</v>
      </c>
      <c r="P1717" t="s">
        <v>33</v>
      </c>
      <c r="Q1717" s="8">
        <f t="shared" si="828"/>
        <v>1.2173435913211425E-2</v>
      </c>
      <c r="R1717" t="s">
        <v>183</v>
      </c>
      <c r="S1717" t="s">
        <v>613</v>
      </c>
      <c r="T1717" s="11">
        <v>4</v>
      </c>
      <c r="U1717">
        <v>2.93</v>
      </c>
      <c r="V1717">
        <v>2.2999999999999998</v>
      </c>
      <c r="W1717" t="s">
        <v>33</v>
      </c>
      <c r="X1717" s="8">
        <f t="shared" si="846"/>
        <v>1.2173435913211428E-2</v>
      </c>
      <c r="Y1717" s="6">
        <f t="shared" si="847"/>
        <v>1</v>
      </c>
      <c r="Z1717" s="3">
        <f t="shared" si="848"/>
        <v>1.0000000000000002</v>
      </c>
      <c r="AA1717" t="s">
        <v>33</v>
      </c>
      <c r="AB1717" s="6">
        <f t="shared" si="849"/>
        <v>14.999999999999998</v>
      </c>
      <c r="AC1717" t="str">
        <f t="shared" si="843"/>
        <v>NA</v>
      </c>
      <c r="AD1717" s="4">
        <f t="shared" si="840"/>
        <v>59.999999999999993</v>
      </c>
      <c r="AE1717" s="3">
        <f t="shared" si="850"/>
        <v>562.49999999999977</v>
      </c>
      <c r="AF1717">
        <v>150</v>
      </c>
      <c r="AG1717" t="str">
        <f t="shared" si="844"/>
        <v>NA</v>
      </c>
      <c r="AH1717" t="str">
        <f t="shared" si="845"/>
        <v>NA</v>
      </c>
      <c r="AI1717">
        <v>1</v>
      </c>
      <c r="AJ1717" t="s">
        <v>31</v>
      </c>
      <c r="AK1717">
        <v>6000</v>
      </c>
      <c r="AL1717" t="s">
        <v>313</v>
      </c>
      <c r="AM1717" t="s">
        <v>103</v>
      </c>
      <c r="AN1717" t="s">
        <v>130</v>
      </c>
      <c r="AO1717" t="s">
        <v>795</v>
      </c>
      <c r="AP1717" t="s">
        <v>33</v>
      </c>
      <c r="AQ1717" t="s">
        <v>33</v>
      </c>
      <c r="AR1717" t="s">
        <v>33</v>
      </c>
      <c r="AS1717" t="s">
        <v>33</v>
      </c>
      <c r="AT1717" s="3" t="str">
        <f t="shared" si="832"/>
        <v>NA</v>
      </c>
      <c r="AU1717" s="6">
        <v>2.1019999999999999</v>
      </c>
      <c r="AV1717" t="b">
        <v>1</v>
      </c>
      <c r="AW1717" t="s">
        <v>123</v>
      </c>
      <c r="AX1717" t="s">
        <v>88</v>
      </c>
      <c r="AY1717" t="s">
        <v>314</v>
      </c>
      <c r="AZ1717" t="s">
        <v>33</v>
      </c>
      <c r="BA1717" s="18" t="s">
        <v>579</v>
      </c>
      <c r="BB1717" t="b">
        <v>1</v>
      </c>
      <c r="BC1717" t="s">
        <v>81</v>
      </c>
      <c r="BD1717">
        <v>14</v>
      </c>
      <c r="BE1717" t="s">
        <v>80</v>
      </c>
      <c r="BF1717" s="11">
        <v>48</v>
      </c>
      <c r="BG1717" t="s">
        <v>395</v>
      </c>
      <c r="BH1717" t="s">
        <v>31</v>
      </c>
      <c r="BI1717" t="s">
        <v>31</v>
      </c>
      <c r="BJ1717" s="3">
        <f t="shared" si="841"/>
        <v>2.1019999999999999</v>
      </c>
      <c r="BK1717" s="3">
        <f t="shared" si="817"/>
        <v>0.32263271169222341</v>
      </c>
      <c r="BL1717">
        <v>2</v>
      </c>
      <c r="BM1717" s="3">
        <f t="shared" si="827"/>
        <v>2.4274898150911763</v>
      </c>
      <c r="BN1717" t="s">
        <v>33</v>
      </c>
      <c r="BO1717" s="3">
        <f t="shared" si="818"/>
        <v>267.60228353948611</v>
      </c>
      <c r="BP1717" t="s">
        <v>33</v>
      </c>
      <c r="BQ1717" t="s">
        <v>33</v>
      </c>
      <c r="BR1717" t="s">
        <v>33</v>
      </c>
      <c r="BS1717" t="s">
        <v>33</v>
      </c>
      <c r="BT1717" t="s">
        <v>31</v>
      </c>
      <c r="BU1717" t="s">
        <v>276</v>
      </c>
      <c r="BV1717">
        <v>2003</v>
      </c>
      <c r="BW1717" s="2" t="s">
        <v>316</v>
      </c>
      <c r="BX1717" t="s">
        <v>78</v>
      </c>
      <c r="BY1717" t="s">
        <v>33</v>
      </c>
      <c r="BZ1717" t="s">
        <v>317</v>
      </c>
      <c r="CA1717" t="str">
        <f t="shared" si="819"/>
        <v>low acid</v>
      </c>
    </row>
    <row r="1718" spans="1:79">
      <c r="A1718" t="s">
        <v>315</v>
      </c>
      <c r="B1718" t="s">
        <v>565</v>
      </c>
      <c r="C1718" t="s">
        <v>563</v>
      </c>
      <c r="D1718" t="s">
        <v>118</v>
      </c>
      <c r="E1718" t="s">
        <v>77</v>
      </c>
      <c r="F1718" t="s">
        <v>32</v>
      </c>
      <c r="G1718">
        <v>10</v>
      </c>
      <c r="H1718">
        <v>35</v>
      </c>
      <c r="I1718" t="b">
        <v>0</v>
      </c>
      <c r="J1718" t="s">
        <v>33</v>
      </c>
      <c r="K1718" t="s">
        <v>33</v>
      </c>
      <c r="L1718">
        <v>25</v>
      </c>
      <c r="M1718" s="4" t="s">
        <v>33</v>
      </c>
      <c r="N1718" s="3">
        <f t="shared" si="842"/>
        <v>1150.0450735364091</v>
      </c>
      <c r="O1718">
        <v>2.5</v>
      </c>
      <c r="P1718" t="s">
        <v>33</v>
      </c>
      <c r="Q1718" s="8">
        <f t="shared" si="828"/>
        <v>1.2173435913211428E-2</v>
      </c>
      <c r="R1718" t="s">
        <v>183</v>
      </c>
      <c r="S1718" t="s">
        <v>613</v>
      </c>
      <c r="T1718" s="11">
        <v>4</v>
      </c>
      <c r="U1718">
        <v>2.93</v>
      </c>
      <c r="V1718">
        <v>2.2999999999999998</v>
      </c>
      <c r="W1718" t="s">
        <v>33</v>
      </c>
      <c r="X1718" s="8">
        <f t="shared" si="846"/>
        <v>1.2173435913211428E-2</v>
      </c>
      <c r="Y1718" s="6">
        <f t="shared" si="847"/>
        <v>1</v>
      </c>
      <c r="Z1718" s="3">
        <f t="shared" si="848"/>
        <v>1</v>
      </c>
      <c r="AA1718" t="s">
        <v>33</v>
      </c>
      <c r="AB1718" s="6">
        <f t="shared" si="849"/>
        <v>14</v>
      </c>
      <c r="AC1718" t="str">
        <f t="shared" si="843"/>
        <v>NA</v>
      </c>
      <c r="AD1718" s="4">
        <f t="shared" si="840"/>
        <v>56</v>
      </c>
      <c r="AE1718" s="3">
        <f t="shared" si="850"/>
        <v>525</v>
      </c>
      <c r="AF1718">
        <v>140</v>
      </c>
      <c r="AG1718" t="str">
        <f t="shared" si="844"/>
        <v>NA</v>
      </c>
      <c r="AH1718" t="str">
        <f t="shared" si="845"/>
        <v>NA</v>
      </c>
      <c r="AI1718">
        <v>1</v>
      </c>
      <c r="AJ1718" t="s">
        <v>31</v>
      </c>
      <c r="AK1718">
        <v>6000</v>
      </c>
      <c r="AL1718" t="s">
        <v>313</v>
      </c>
      <c r="AM1718" t="s">
        <v>103</v>
      </c>
      <c r="AN1718" t="s">
        <v>130</v>
      </c>
      <c r="AO1718" t="s">
        <v>795</v>
      </c>
      <c r="AP1718" t="s">
        <v>33</v>
      </c>
      <c r="AQ1718" t="s">
        <v>33</v>
      </c>
      <c r="AR1718" t="s">
        <v>33</v>
      </c>
      <c r="AS1718" t="s">
        <v>33</v>
      </c>
      <c r="AT1718" s="3" t="str">
        <f t="shared" si="832"/>
        <v>NA</v>
      </c>
      <c r="AU1718" s="6">
        <v>1.2509999999999999</v>
      </c>
      <c r="AV1718" t="b">
        <v>1</v>
      </c>
      <c r="AW1718" t="s">
        <v>123</v>
      </c>
      <c r="AX1718" t="s">
        <v>88</v>
      </c>
      <c r="AY1718" t="s">
        <v>314</v>
      </c>
      <c r="AZ1718" t="s">
        <v>33</v>
      </c>
      <c r="BA1718" s="18" t="s">
        <v>579</v>
      </c>
      <c r="BB1718" t="b">
        <v>1</v>
      </c>
      <c r="BC1718" t="s">
        <v>81</v>
      </c>
      <c r="BD1718">
        <v>26</v>
      </c>
      <c r="BE1718" t="s">
        <v>80</v>
      </c>
      <c r="BF1718" s="11">
        <v>48</v>
      </c>
      <c r="BG1718" t="s">
        <v>395</v>
      </c>
      <c r="BH1718" t="s">
        <v>31</v>
      </c>
      <c r="BI1718" t="s">
        <v>31</v>
      </c>
      <c r="BJ1718" s="3">
        <f t="shared" si="841"/>
        <v>1.2509999999999999</v>
      </c>
      <c r="BK1718" s="3">
        <f t="shared" si="817"/>
        <v>9.7257309693419919E-2</v>
      </c>
      <c r="BL1718">
        <v>2</v>
      </c>
      <c r="BM1718" s="3">
        <f t="shared" si="827"/>
        <v>2.6229019937125369</v>
      </c>
      <c r="BN1718" t="s">
        <v>33</v>
      </c>
      <c r="BO1718" s="3">
        <f t="shared" si="818"/>
        <v>419.66426858513194</v>
      </c>
      <c r="BP1718" t="s">
        <v>33</v>
      </c>
      <c r="BQ1718" t="s">
        <v>33</v>
      </c>
      <c r="BR1718" t="s">
        <v>33</v>
      </c>
      <c r="BS1718" t="s">
        <v>33</v>
      </c>
      <c r="BT1718" t="s">
        <v>31</v>
      </c>
      <c r="BU1718" t="s">
        <v>276</v>
      </c>
      <c r="BV1718">
        <v>2003</v>
      </c>
      <c r="BW1718" s="2" t="s">
        <v>316</v>
      </c>
      <c r="BX1718" t="s">
        <v>78</v>
      </c>
      <c r="BY1718" t="s">
        <v>33</v>
      </c>
      <c r="BZ1718" t="s">
        <v>317</v>
      </c>
      <c r="CA1718" t="str">
        <f t="shared" si="819"/>
        <v>low acid</v>
      </c>
    </row>
    <row r="1719" spans="1:79">
      <c r="A1719" t="s">
        <v>315</v>
      </c>
      <c r="B1719" t="s">
        <v>565</v>
      </c>
      <c r="C1719" t="s">
        <v>563</v>
      </c>
      <c r="D1719" t="s">
        <v>118</v>
      </c>
      <c r="E1719" t="s">
        <v>77</v>
      </c>
      <c r="F1719" t="s">
        <v>32</v>
      </c>
      <c r="G1719">
        <v>10</v>
      </c>
      <c r="H1719">
        <v>35</v>
      </c>
      <c r="I1719" t="b">
        <v>0</v>
      </c>
      <c r="J1719" t="s">
        <v>33</v>
      </c>
      <c r="K1719" t="s">
        <v>33</v>
      </c>
      <c r="L1719">
        <v>25</v>
      </c>
      <c r="M1719" s="4" t="s">
        <v>33</v>
      </c>
      <c r="N1719" s="3">
        <f t="shared" si="842"/>
        <v>1067.8989968552371</v>
      </c>
      <c r="O1719">
        <v>2.5</v>
      </c>
      <c r="P1719" t="s">
        <v>33</v>
      </c>
      <c r="Q1719" s="8">
        <f t="shared" si="828"/>
        <v>1.2173435913211425E-2</v>
      </c>
      <c r="R1719" t="s">
        <v>183</v>
      </c>
      <c r="S1719" t="s">
        <v>613</v>
      </c>
      <c r="T1719" s="11">
        <v>4</v>
      </c>
      <c r="U1719">
        <v>2.93</v>
      </c>
      <c r="V1719">
        <v>2.2999999999999998</v>
      </c>
      <c r="W1719" t="s">
        <v>33</v>
      </c>
      <c r="X1719" s="8">
        <f t="shared" si="846"/>
        <v>1.2173435913211428E-2</v>
      </c>
      <c r="Y1719" s="6">
        <f t="shared" si="847"/>
        <v>1</v>
      </c>
      <c r="Z1719" s="3">
        <f t="shared" si="848"/>
        <v>1.0000000000000002</v>
      </c>
      <c r="AA1719" t="s">
        <v>33</v>
      </c>
      <c r="AB1719" s="6">
        <f t="shared" si="849"/>
        <v>12.999999999999998</v>
      </c>
      <c r="AC1719" t="str">
        <f t="shared" si="843"/>
        <v>NA</v>
      </c>
      <c r="AD1719" s="4">
        <f t="shared" si="840"/>
        <v>51.999999999999993</v>
      </c>
      <c r="AE1719" s="3">
        <f t="shared" si="850"/>
        <v>487.5</v>
      </c>
      <c r="AF1719">
        <v>130</v>
      </c>
      <c r="AG1719" t="str">
        <f t="shared" si="844"/>
        <v>NA</v>
      </c>
      <c r="AH1719" t="str">
        <f t="shared" si="845"/>
        <v>NA</v>
      </c>
      <c r="AI1719">
        <v>1</v>
      </c>
      <c r="AJ1719" t="s">
        <v>31</v>
      </c>
      <c r="AK1719">
        <v>6000</v>
      </c>
      <c r="AL1719" t="s">
        <v>313</v>
      </c>
      <c r="AM1719" t="s">
        <v>103</v>
      </c>
      <c r="AN1719" t="s">
        <v>130</v>
      </c>
      <c r="AO1719" t="s">
        <v>795</v>
      </c>
      <c r="AP1719" t="s">
        <v>33</v>
      </c>
      <c r="AQ1719" t="s">
        <v>33</v>
      </c>
      <c r="AR1719" t="s">
        <v>33</v>
      </c>
      <c r="AS1719" t="s">
        <v>33</v>
      </c>
      <c r="AT1719" s="3" t="str">
        <f t="shared" si="832"/>
        <v>NA</v>
      </c>
      <c r="AU1719" s="6">
        <v>1.9139999999999999</v>
      </c>
      <c r="AV1719" t="b">
        <v>1</v>
      </c>
      <c r="AW1719" t="s">
        <v>123</v>
      </c>
      <c r="AX1719" t="s">
        <v>88</v>
      </c>
      <c r="AY1719" t="s">
        <v>314</v>
      </c>
      <c r="AZ1719" t="s">
        <v>33</v>
      </c>
      <c r="BA1719" s="18" t="s">
        <v>579</v>
      </c>
      <c r="BB1719" t="b">
        <v>1</v>
      </c>
      <c r="BC1719" t="s">
        <v>81</v>
      </c>
      <c r="BD1719">
        <v>14</v>
      </c>
      <c r="BE1719" t="s">
        <v>80</v>
      </c>
      <c r="BF1719" s="11">
        <v>48</v>
      </c>
      <c r="BG1719" t="s">
        <v>395</v>
      </c>
      <c r="BH1719" t="s">
        <v>31</v>
      </c>
      <c r="BI1719" t="s">
        <v>31</v>
      </c>
      <c r="BJ1719" s="3">
        <f t="shared" si="841"/>
        <v>1.9139999999999999</v>
      </c>
      <c r="BK1719" s="3">
        <f t="shared" si="817"/>
        <v>0.28194193344082474</v>
      </c>
      <c r="BL1719">
        <v>2</v>
      </c>
      <c r="BM1719" s="3">
        <f t="shared" si="827"/>
        <v>2.4060326865937309</v>
      </c>
      <c r="BN1719" t="s">
        <v>33</v>
      </c>
      <c r="BO1719" s="3">
        <f t="shared" si="818"/>
        <v>254.70219435736678</v>
      </c>
      <c r="BP1719" t="s">
        <v>33</v>
      </c>
      <c r="BQ1719" t="s">
        <v>33</v>
      </c>
      <c r="BR1719" t="s">
        <v>33</v>
      </c>
      <c r="BS1719" t="s">
        <v>33</v>
      </c>
      <c r="BT1719" t="s">
        <v>31</v>
      </c>
      <c r="BU1719" t="s">
        <v>276</v>
      </c>
      <c r="BV1719">
        <v>2003</v>
      </c>
      <c r="BW1719" s="2" t="s">
        <v>316</v>
      </c>
      <c r="BX1719" t="s">
        <v>78</v>
      </c>
      <c r="BY1719" t="s">
        <v>33</v>
      </c>
      <c r="BZ1719" t="s">
        <v>317</v>
      </c>
      <c r="CA1719" t="str">
        <f t="shared" si="819"/>
        <v>low acid</v>
      </c>
    </row>
    <row r="1720" spans="1:79">
      <c r="A1720" t="s">
        <v>315</v>
      </c>
      <c r="B1720" t="s">
        <v>565</v>
      </c>
      <c r="C1720" t="s">
        <v>563</v>
      </c>
      <c r="D1720" t="s">
        <v>118</v>
      </c>
      <c r="E1720" t="s">
        <v>77</v>
      </c>
      <c r="F1720" t="s">
        <v>32</v>
      </c>
      <c r="G1720">
        <v>10</v>
      </c>
      <c r="H1720">
        <v>35</v>
      </c>
      <c r="I1720" t="b">
        <v>0</v>
      </c>
      <c r="J1720" t="s">
        <v>33</v>
      </c>
      <c r="K1720" t="s">
        <v>33</v>
      </c>
      <c r="L1720">
        <v>25</v>
      </c>
      <c r="M1720" s="4" t="s">
        <v>33</v>
      </c>
      <c r="N1720" s="3">
        <f t="shared" si="842"/>
        <v>1067.8989968552371</v>
      </c>
      <c r="O1720">
        <v>2.5</v>
      </c>
      <c r="P1720" t="s">
        <v>33</v>
      </c>
      <c r="Q1720" s="8">
        <f t="shared" si="828"/>
        <v>1.2173435913211425E-2</v>
      </c>
      <c r="R1720" t="s">
        <v>183</v>
      </c>
      <c r="S1720" t="s">
        <v>613</v>
      </c>
      <c r="T1720" s="11">
        <v>4</v>
      </c>
      <c r="U1720">
        <v>2.93</v>
      </c>
      <c r="V1720">
        <v>2.2999999999999998</v>
      </c>
      <c r="W1720" t="s">
        <v>33</v>
      </c>
      <c r="X1720" s="8">
        <f t="shared" si="846"/>
        <v>1.2173435913211428E-2</v>
      </c>
      <c r="Y1720" s="6">
        <f t="shared" si="847"/>
        <v>1</v>
      </c>
      <c r="Z1720" s="3">
        <f t="shared" si="848"/>
        <v>1.0000000000000002</v>
      </c>
      <c r="AA1720" t="s">
        <v>33</v>
      </c>
      <c r="AB1720" s="6">
        <f t="shared" si="849"/>
        <v>12.999999999999998</v>
      </c>
      <c r="AC1720" t="str">
        <f t="shared" si="843"/>
        <v>NA</v>
      </c>
      <c r="AD1720" s="4">
        <f t="shared" si="840"/>
        <v>51.999999999999993</v>
      </c>
      <c r="AE1720" s="3">
        <f t="shared" si="850"/>
        <v>487.5</v>
      </c>
      <c r="AF1720">
        <v>130</v>
      </c>
      <c r="AG1720" t="str">
        <f t="shared" si="844"/>
        <v>NA</v>
      </c>
      <c r="AH1720" t="str">
        <f t="shared" si="845"/>
        <v>NA</v>
      </c>
      <c r="AI1720">
        <v>1</v>
      </c>
      <c r="AJ1720" t="s">
        <v>31</v>
      </c>
      <c r="AK1720">
        <v>6000</v>
      </c>
      <c r="AL1720" t="s">
        <v>313</v>
      </c>
      <c r="AM1720" t="s">
        <v>103</v>
      </c>
      <c r="AN1720" t="s">
        <v>130</v>
      </c>
      <c r="AO1720" t="s">
        <v>795</v>
      </c>
      <c r="AP1720" t="s">
        <v>33</v>
      </c>
      <c r="AQ1720" t="s">
        <v>33</v>
      </c>
      <c r="AR1720" t="s">
        <v>33</v>
      </c>
      <c r="AS1720" t="s">
        <v>33</v>
      </c>
      <c r="AT1720" s="3" t="str">
        <f t="shared" si="832"/>
        <v>NA</v>
      </c>
      <c r="AU1720" s="6">
        <v>1.2070000000000001</v>
      </c>
      <c r="AV1720" t="b">
        <v>1</v>
      </c>
      <c r="AW1720" t="s">
        <v>123</v>
      </c>
      <c r="AX1720" t="s">
        <v>88</v>
      </c>
      <c r="AY1720" t="s">
        <v>314</v>
      </c>
      <c r="AZ1720" t="s">
        <v>33</v>
      </c>
      <c r="BA1720" s="18" t="s">
        <v>579</v>
      </c>
      <c r="BB1720" t="b">
        <v>1</v>
      </c>
      <c r="BC1720" t="s">
        <v>81</v>
      </c>
      <c r="BD1720">
        <v>26</v>
      </c>
      <c r="BE1720" t="s">
        <v>80</v>
      </c>
      <c r="BF1720" s="11">
        <v>48</v>
      </c>
      <c r="BG1720" t="s">
        <v>395</v>
      </c>
      <c r="BH1720" t="s">
        <v>31</v>
      </c>
      <c r="BI1720" t="s">
        <v>31</v>
      </c>
      <c r="BJ1720" s="3">
        <f t="shared" si="841"/>
        <v>1.2070000000000001</v>
      </c>
      <c r="BK1720" s="3">
        <f t="shared" si="817"/>
        <v>8.1707270097349238E-2</v>
      </c>
      <c r="BL1720">
        <v>2</v>
      </c>
      <c r="BM1720" s="3">
        <f t="shared" si="827"/>
        <v>2.6062673499372062</v>
      </c>
      <c r="BN1720" t="s">
        <v>33</v>
      </c>
      <c r="BO1720" s="3">
        <f t="shared" si="818"/>
        <v>403.89395194697596</v>
      </c>
      <c r="BP1720" t="s">
        <v>33</v>
      </c>
      <c r="BQ1720" t="s">
        <v>33</v>
      </c>
      <c r="BR1720" t="s">
        <v>33</v>
      </c>
      <c r="BS1720" t="s">
        <v>33</v>
      </c>
      <c r="BT1720" t="s">
        <v>31</v>
      </c>
      <c r="BU1720" t="s">
        <v>276</v>
      </c>
      <c r="BV1720">
        <v>2003</v>
      </c>
      <c r="BW1720" s="2" t="s">
        <v>316</v>
      </c>
      <c r="BX1720" t="s">
        <v>78</v>
      </c>
      <c r="BY1720" t="s">
        <v>33</v>
      </c>
      <c r="BZ1720" t="s">
        <v>317</v>
      </c>
      <c r="CA1720" t="str">
        <f t="shared" si="819"/>
        <v>low acid</v>
      </c>
    </row>
    <row r="1721" spans="1:79">
      <c r="A1721" t="s">
        <v>315</v>
      </c>
      <c r="B1721" t="s">
        <v>565</v>
      </c>
      <c r="C1721" t="s">
        <v>563</v>
      </c>
      <c r="D1721" t="s">
        <v>118</v>
      </c>
      <c r="E1721" t="s">
        <v>77</v>
      </c>
      <c r="F1721" t="s">
        <v>32</v>
      </c>
      <c r="G1721">
        <v>10</v>
      </c>
      <c r="H1721">
        <v>35</v>
      </c>
      <c r="I1721" t="b">
        <v>0</v>
      </c>
      <c r="J1721" t="s">
        <v>33</v>
      </c>
      <c r="K1721" t="s">
        <v>33</v>
      </c>
      <c r="L1721">
        <v>25</v>
      </c>
      <c r="M1721" s="4" t="s">
        <v>33</v>
      </c>
      <c r="N1721" s="3">
        <f t="shared" si="842"/>
        <v>944.67988183347893</v>
      </c>
      <c r="O1721">
        <v>2.5</v>
      </c>
      <c r="P1721" t="s">
        <v>33</v>
      </c>
      <c r="Q1721" s="8">
        <f t="shared" si="828"/>
        <v>1.2173435913211428E-2</v>
      </c>
      <c r="R1721" t="s">
        <v>183</v>
      </c>
      <c r="S1721" t="s">
        <v>613</v>
      </c>
      <c r="T1721" s="11">
        <v>4</v>
      </c>
      <c r="U1721">
        <v>2.93</v>
      </c>
      <c r="V1721">
        <v>2.2999999999999998</v>
      </c>
      <c r="W1721" t="s">
        <v>33</v>
      </c>
      <c r="X1721" s="8">
        <f t="shared" si="846"/>
        <v>1.2173435913211428E-2</v>
      </c>
      <c r="Y1721" s="6">
        <f t="shared" si="847"/>
        <v>1</v>
      </c>
      <c r="Z1721" s="3">
        <f t="shared" si="848"/>
        <v>1</v>
      </c>
      <c r="AA1721" t="s">
        <v>33</v>
      </c>
      <c r="AB1721" s="6">
        <f t="shared" si="849"/>
        <v>11.5</v>
      </c>
      <c r="AC1721" t="str">
        <f t="shared" si="843"/>
        <v>NA</v>
      </c>
      <c r="AD1721" s="4">
        <f t="shared" si="840"/>
        <v>46</v>
      </c>
      <c r="AE1721" s="3">
        <f t="shared" si="850"/>
        <v>431.25000000000006</v>
      </c>
      <c r="AF1721">
        <v>115</v>
      </c>
      <c r="AG1721" t="str">
        <f t="shared" si="844"/>
        <v>NA</v>
      </c>
      <c r="AH1721" t="str">
        <f t="shared" si="845"/>
        <v>NA</v>
      </c>
      <c r="AI1721">
        <v>1</v>
      </c>
      <c r="AJ1721" t="s">
        <v>31</v>
      </c>
      <c r="AK1721">
        <v>6000</v>
      </c>
      <c r="AL1721" t="s">
        <v>313</v>
      </c>
      <c r="AM1721" t="s">
        <v>103</v>
      </c>
      <c r="AN1721" t="s">
        <v>130</v>
      </c>
      <c r="AO1721" t="s">
        <v>795</v>
      </c>
      <c r="AP1721" t="s">
        <v>33</v>
      </c>
      <c r="AQ1721" t="s">
        <v>33</v>
      </c>
      <c r="AR1721" t="s">
        <v>33</v>
      </c>
      <c r="AS1721" t="s">
        <v>33</v>
      </c>
      <c r="AT1721" s="3" t="str">
        <f t="shared" si="832"/>
        <v>NA</v>
      </c>
      <c r="AU1721" s="6">
        <v>1.137</v>
      </c>
      <c r="AV1721" t="b">
        <v>1</v>
      </c>
      <c r="AW1721" t="s">
        <v>123</v>
      </c>
      <c r="AX1721" t="s">
        <v>88</v>
      </c>
      <c r="AY1721" t="s">
        <v>314</v>
      </c>
      <c r="AZ1721" t="s">
        <v>33</v>
      </c>
      <c r="BA1721" s="18" t="s">
        <v>579</v>
      </c>
      <c r="BB1721" t="b">
        <v>1</v>
      </c>
      <c r="BC1721" t="s">
        <v>81</v>
      </c>
      <c r="BD1721">
        <v>26</v>
      </c>
      <c r="BE1721" t="s">
        <v>80</v>
      </c>
      <c r="BF1721" s="11">
        <v>48</v>
      </c>
      <c r="BG1721" t="s">
        <v>395</v>
      </c>
      <c r="BH1721" t="s">
        <v>31</v>
      </c>
      <c r="BI1721" t="s">
        <v>31</v>
      </c>
      <c r="BJ1721" s="3">
        <f t="shared" si="841"/>
        <v>1.137</v>
      </c>
      <c r="BK1721" s="3">
        <f t="shared" si="817"/>
        <v>5.5760464687734781E-2</v>
      </c>
      <c r="BL1721">
        <v>2</v>
      </c>
      <c r="BM1721" s="3">
        <f t="shared" si="827"/>
        <v>2.5789686433935959</v>
      </c>
      <c r="BN1721" t="s">
        <v>33</v>
      </c>
      <c r="BO1721" s="3">
        <f t="shared" si="818"/>
        <v>379.28759894459108</v>
      </c>
      <c r="BP1721" t="s">
        <v>33</v>
      </c>
      <c r="BQ1721" t="s">
        <v>33</v>
      </c>
      <c r="BR1721" t="s">
        <v>33</v>
      </c>
      <c r="BS1721" t="s">
        <v>33</v>
      </c>
      <c r="BT1721" t="s">
        <v>31</v>
      </c>
      <c r="BU1721" t="s">
        <v>276</v>
      </c>
      <c r="BV1721">
        <v>2003</v>
      </c>
      <c r="BW1721" s="2" t="s">
        <v>316</v>
      </c>
      <c r="BX1721" t="s">
        <v>78</v>
      </c>
      <c r="BY1721" t="s">
        <v>33</v>
      </c>
      <c r="BZ1721" t="s">
        <v>317</v>
      </c>
      <c r="CA1721" t="str">
        <f t="shared" si="819"/>
        <v>low acid</v>
      </c>
    </row>
    <row r="1722" spans="1:79">
      <c r="A1722" t="s">
        <v>315</v>
      </c>
      <c r="B1722" t="s">
        <v>565</v>
      </c>
      <c r="C1722" t="s">
        <v>563</v>
      </c>
      <c r="D1722" t="s">
        <v>118</v>
      </c>
      <c r="E1722" t="s">
        <v>77</v>
      </c>
      <c r="F1722" t="s">
        <v>32</v>
      </c>
      <c r="G1722">
        <v>10</v>
      </c>
      <c r="H1722">
        <v>35</v>
      </c>
      <c r="I1722" t="b">
        <v>0</v>
      </c>
      <c r="J1722" t="s">
        <v>33</v>
      </c>
      <c r="K1722" t="s">
        <v>33</v>
      </c>
      <c r="L1722">
        <v>25</v>
      </c>
      <c r="M1722" s="4" t="s">
        <v>33</v>
      </c>
      <c r="N1722" s="3">
        <f t="shared" si="842"/>
        <v>821.46076681172076</v>
      </c>
      <c r="O1722">
        <v>2.5</v>
      </c>
      <c r="P1722" t="s">
        <v>33</v>
      </c>
      <c r="Q1722" s="8">
        <f t="shared" si="828"/>
        <v>1.2173435913211428E-2</v>
      </c>
      <c r="R1722" t="s">
        <v>183</v>
      </c>
      <c r="S1722" t="s">
        <v>613</v>
      </c>
      <c r="T1722" s="11">
        <v>4</v>
      </c>
      <c r="U1722">
        <v>2.93</v>
      </c>
      <c r="V1722">
        <v>2.2999999999999998</v>
      </c>
      <c r="W1722" t="s">
        <v>33</v>
      </c>
      <c r="X1722" s="8">
        <f t="shared" si="846"/>
        <v>1.2173435913211428E-2</v>
      </c>
      <c r="Y1722" s="6">
        <f t="shared" si="847"/>
        <v>1</v>
      </c>
      <c r="Z1722" s="3">
        <f t="shared" si="848"/>
        <v>1</v>
      </c>
      <c r="AA1722" t="s">
        <v>33</v>
      </c>
      <c r="AB1722" s="6">
        <f t="shared" si="849"/>
        <v>10</v>
      </c>
      <c r="AC1722" t="str">
        <f t="shared" si="843"/>
        <v>NA</v>
      </c>
      <c r="AD1722" s="4">
        <f t="shared" si="840"/>
        <v>40</v>
      </c>
      <c r="AE1722" s="3">
        <f t="shared" si="850"/>
        <v>374.99999999999994</v>
      </c>
      <c r="AF1722">
        <v>100</v>
      </c>
      <c r="AG1722" t="str">
        <f t="shared" si="844"/>
        <v>NA</v>
      </c>
      <c r="AH1722" t="str">
        <f t="shared" si="845"/>
        <v>NA</v>
      </c>
      <c r="AI1722">
        <v>1</v>
      </c>
      <c r="AJ1722" t="s">
        <v>31</v>
      </c>
      <c r="AK1722">
        <v>6000</v>
      </c>
      <c r="AL1722" t="s">
        <v>313</v>
      </c>
      <c r="AM1722" t="s">
        <v>103</v>
      </c>
      <c r="AN1722" t="s">
        <v>130</v>
      </c>
      <c r="AO1722" t="s">
        <v>795</v>
      </c>
      <c r="AP1722" t="s">
        <v>33</v>
      </c>
      <c r="AQ1722" t="s">
        <v>33</v>
      </c>
      <c r="AR1722" t="s">
        <v>33</v>
      </c>
      <c r="AS1722" t="s">
        <v>33</v>
      </c>
      <c r="AT1722" s="3" t="str">
        <f t="shared" si="832"/>
        <v>NA</v>
      </c>
      <c r="AU1722" s="6">
        <v>1.508</v>
      </c>
      <c r="AV1722" t="b">
        <v>1</v>
      </c>
      <c r="AW1722" t="s">
        <v>123</v>
      </c>
      <c r="AX1722" t="s">
        <v>88</v>
      </c>
      <c r="AY1722" t="s">
        <v>314</v>
      </c>
      <c r="AZ1722" t="s">
        <v>33</v>
      </c>
      <c r="BA1722" s="18" t="s">
        <v>579</v>
      </c>
      <c r="BB1722" t="b">
        <v>1</v>
      </c>
      <c r="BC1722" t="s">
        <v>81</v>
      </c>
      <c r="BD1722">
        <v>14</v>
      </c>
      <c r="BE1722" t="s">
        <v>80</v>
      </c>
      <c r="BF1722" s="11">
        <v>48</v>
      </c>
      <c r="BG1722" t="s">
        <v>395</v>
      </c>
      <c r="BH1722" t="s">
        <v>31</v>
      </c>
      <c r="BI1722" t="s">
        <v>31</v>
      </c>
      <c r="BJ1722" s="3">
        <f t="shared" si="841"/>
        <v>1.508</v>
      </c>
      <c r="BK1722" s="3">
        <f t="shared" si="817"/>
        <v>0.17840134153375525</v>
      </c>
      <c r="BL1722">
        <v>2</v>
      </c>
      <c r="BM1722" s="3">
        <f t="shared" si="827"/>
        <v>2.3956299261939633</v>
      </c>
      <c r="BN1722" t="s">
        <v>33</v>
      </c>
      <c r="BO1722" s="3">
        <f t="shared" si="818"/>
        <v>248.67374005305035</v>
      </c>
      <c r="BP1722" t="s">
        <v>33</v>
      </c>
      <c r="BQ1722" t="s">
        <v>33</v>
      </c>
      <c r="BR1722" t="s">
        <v>33</v>
      </c>
      <c r="BS1722" t="s">
        <v>33</v>
      </c>
      <c r="BT1722" t="s">
        <v>31</v>
      </c>
      <c r="BU1722" t="s">
        <v>276</v>
      </c>
      <c r="BV1722">
        <v>2003</v>
      </c>
      <c r="BW1722" s="2" t="s">
        <v>316</v>
      </c>
      <c r="BX1722" t="s">
        <v>78</v>
      </c>
      <c r="BY1722" t="s">
        <v>33</v>
      </c>
      <c r="BZ1722" t="s">
        <v>317</v>
      </c>
      <c r="CA1722" t="str">
        <f t="shared" si="819"/>
        <v>low acid</v>
      </c>
    </row>
    <row r="1723" spans="1:79">
      <c r="A1723" t="s">
        <v>315</v>
      </c>
      <c r="B1723" t="s">
        <v>565</v>
      </c>
      <c r="C1723" t="s">
        <v>563</v>
      </c>
      <c r="D1723" t="s">
        <v>118</v>
      </c>
      <c r="E1723" t="s">
        <v>77</v>
      </c>
      <c r="F1723" t="s">
        <v>32</v>
      </c>
      <c r="G1723">
        <v>10</v>
      </c>
      <c r="H1723">
        <v>35</v>
      </c>
      <c r="I1723" t="b">
        <v>0</v>
      </c>
      <c r="J1723" t="s">
        <v>33</v>
      </c>
      <c r="K1723" t="s">
        <v>33</v>
      </c>
      <c r="L1723">
        <v>25</v>
      </c>
      <c r="M1723" s="4" t="s">
        <v>33</v>
      </c>
      <c r="N1723" s="3">
        <f t="shared" si="842"/>
        <v>657.16861344937661</v>
      </c>
      <c r="O1723">
        <v>2.5</v>
      </c>
      <c r="P1723" t="s">
        <v>33</v>
      </c>
      <c r="Q1723" s="8">
        <f t="shared" si="828"/>
        <v>1.2173435913211428E-2</v>
      </c>
      <c r="R1723" t="s">
        <v>183</v>
      </c>
      <c r="S1723" t="s">
        <v>613</v>
      </c>
      <c r="T1723" s="11">
        <v>4</v>
      </c>
      <c r="U1723">
        <v>2.93</v>
      </c>
      <c r="V1723">
        <v>2.2999999999999998</v>
      </c>
      <c r="W1723" t="s">
        <v>33</v>
      </c>
      <c r="X1723" s="8">
        <f t="shared" si="846"/>
        <v>1.2173435913211428E-2</v>
      </c>
      <c r="Y1723" s="6">
        <f t="shared" si="847"/>
        <v>1</v>
      </c>
      <c r="Z1723" s="3">
        <f t="shared" si="848"/>
        <v>1</v>
      </c>
      <c r="AA1723" t="s">
        <v>33</v>
      </c>
      <c r="AB1723" s="6">
        <f t="shared" si="849"/>
        <v>8</v>
      </c>
      <c r="AC1723" t="str">
        <f t="shared" si="843"/>
        <v>NA</v>
      </c>
      <c r="AD1723" s="4">
        <f t="shared" si="840"/>
        <v>32</v>
      </c>
      <c r="AE1723" s="3">
        <f t="shared" si="850"/>
        <v>300</v>
      </c>
      <c r="AF1723">
        <v>80</v>
      </c>
      <c r="AG1723" t="str">
        <f t="shared" si="844"/>
        <v>NA</v>
      </c>
      <c r="AH1723" t="str">
        <f t="shared" si="845"/>
        <v>NA</v>
      </c>
      <c r="AI1723">
        <v>1</v>
      </c>
      <c r="AJ1723" t="s">
        <v>31</v>
      </c>
      <c r="AK1723">
        <v>6000</v>
      </c>
      <c r="AL1723" t="s">
        <v>313</v>
      </c>
      <c r="AM1723" t="s">
        <v>103</v>
      </c>
      <c r="AN1723" t="s">
        <v>130</v>
      </c>
      <c r="AO1723" t="s">
        <v>795</v>
      </c>
      <c r="AP1723" t="s">
        <v>33</v>
      </c>
      <c r="AQ1723" t="s">
        <v>33</v>
      </c>
      <c r="AR1723" t="s">
        <v>33</v>
      </c>
      <c r="AS1723" t="s">
        <v>33</v>
      </c>
      <c r="AT1723" s="3" t="str">
        <f t="shared" si="832"/>
        <v>NA</v>
      </c>
      <c r="AU1723" s="6">
        <v>1.113</v>
      </c>
      <c r="AV1723" t="b">
        <v>1</v>
      </c>
      <c r="AW1723" t="s">
        <v>123</v>
      </c>
      <c r="AX1723" t="s">
        <v>88</v>
      </c>
      <c r="AY1723" t="s">
        <v>314</v>
      </c>
      <c r="AZ1723" t="s">
        <v>33</v>
      </c>
      <c r="BA1723" s="18" t="s">
        <v>579</v>
      </c>
      <c r="BB1723" t="b">
        <v>1</v>
      </c>
      <c r="BC1723" t="s">
        <v>81</v>
      </c>
      <c r="BD1723">
        <v>14</v>
      </c>
      <c r="BE1723" t="s">
        <v>80</v>
      </c>
      <c r="BF1723" s="11">
        <v>48</v>
      </c>
      <c r="BG1723" t="s">
        <v>395</v>
      </c>
      <c r="BH1723" t="s">
        <v>31</v>
      </c>
      <c r="BI1723" t="s">
        <v>31</v>
      </c>
      <c r="BJ1723" s="3">
        <f t="shared" si="841"/>
        <v>1.113</v>
      </c>
      <c r="BK1723" s="3">
        <f t="shared" si="817"/>
        <v>4.6495164334708308E-2</v>
      </c>
      <c r="BL1723">
        <v>2</v>
      </c>
      <c r="BM1723" s="3">
        <f t="shared" si="827"/>
        <v>2.4306260903849539</v>
      </c>
      <c r="BN1723" t="s">
        <v>33</v>
      </c>
      <c r="BO1723" s="3">
        <f t="shared" si="818"/>
        <v>269.54177897574124</v>
      </c>
      <c r="BP1723" t="s">
        <v>33</v>
      </c>
      <c r="BQ1723" t="s">
        <v>33</v>
      </c>
      <c r="BR1723" t="s">
        <v>33</v>
      </c>
      <c r="BS1723" t="s">
        <v>33</v>
      </c>
      <c r="BT1723" t="s">
        <v>31</v>
      </c>
      <c r="BU1723" t="s">
        <v>276</v>
      </c>
      <c r="BV1723">
        <v>2003</v>
      </c>
      <c r="BW1723" s="2" t="s">
        <v>316</v>
      </c>
      <c r="BX1723" t="s">
        <v>78</v>
      </c>
      <c r="BY1723" t="s">
        <v>33</v>
      </c>
      <c r="BZ1723" t="s">
        <v>317</v>
      </c>
      <c r="CA1723" t="str">
        <f t="shared" si="819"/>
        <v>low acid</v>
      </c>
    </row>
    <row r="1724" spans="1:79">
      <c r="A1724" t="s">
        <v>315</v>
      </c>
      <c r="B1724" t="s">
        <v>565</v>
      </c>
      <c r="C1724" t="s">
        <v>563</v>
      </c>
      <c r="D1724" t="s">
        <v>118</v>
      </c>
      <c r="E1724" t="s">
        <v>77</v>
      </c>
      <c r="F1724" t="s">
        <v>32</v>
      </c>
      <c r="G1724">
        <v>10</v>
      </c>
      <c r="H1724">
        <v>35</v>
      </c>
      <c r="I1724" t="b">
        <v>0</v>
      </c>
      <c r="J1724" t="s">
        <v>33</v>
      </c>
      <c r="K1724" t="s">
        <v>33</v>
      </c>
      <c r="L1724">
        <v>25</v>
      </c>
      <c r="M1724" s="4" t="s">
        <v>33</v>
      </c>
      <c r="N1724" s="3">
        <f t="shared" si="842"/>
        <v>575.02253676820453</v>
      </c>
      <c r="O1724">
        <v>2.5</v>
      </c>
      <c r="P1724" t="s">
        <v>33</v>
      </c>
      <c r="Q1724" s="8">
        <f t="shared" si="828"/>
        <v>1.2173435913211428E-2</v>
      </c>
      <c r="R1724" t="s">
        <v>183</v>
      </c>
      <c r="S1724" t="s">
        <v>613</v>
      </c>
      <c r="T1724" s="11">
        <v>4</v>
      </c>
      <c r="U1724">
        <v>2.93</v>
      </c>
      <c r="V1724">
        <v>2.2999999999999998</v>
      </c>
      <c r="W1724" t="s">
        <v>33</v>
      </c>
      <c r="X1724" s="8">
        <f t="shared" si="846"/>
        <v>1.2173435913211428E-2</v>
      </c>
      <c r="Y1724" s="6">
        <f t="shared" si="847"/>
        <v>1</v>
      </c>
      <c r="Z1724" s="3">
        <f t="shared" si="848"/>
        <v>1</v>
      </c>
      <c r="AA1724" t="s">
        <v>33</v>
      </c>
      <c r="AB1724" s="6">
        <f t="shared" si="849"/>
        <v>7</v>
      </c>
      <c r="AC1724" t="str">
        <f t="shared" si="843"/>
        <v>NA</v>
      </c>
      <c r="AD1724" s="4">
        <f t="shared" si="840"/>
        <v>28</v>
      </c>
      <c r="AE1724" s="3">
        <f t="shared" si="850"/>
        <v>262.5</v>
      </c>
      <c r="AF1724">
        <v>70</v>
      </c>
      <c r="AG1724" t="str">
        <f t="shared" si="844"/>
        <v>NA</v>
      </c>
      <c r="AH1724" t="str">
        <f t="shared" si="845"/>
        <v>NA</v>
      </c>
      <c r="AI1724">
        <v>1</v>
      </c>
      <c r="AJ1724" t="s">
        <v>31</v>
      </c>
      <c r="AK1724">
        <v>6000</v>
      </c>
      <c r="AL1724" t="s">
        <v>313</v>
      </c>
      <c r="AM1724" t="s">
        <v>103</v>
      </c>
      <c r="AN1724" t="s">
        <v>130</v>
      </c>
      <c r="AO1724" t="s">
        <v>795</v>
      </c>
      <c r="AP1724" t="s">
        <v>33</v>
      </c>
      <c r="AQ1724" t="s">
        <v>33</v>
      </c>
      <c r="AR1724" t="s">
        <v>33</v>
      </c>
      <c r="AS1724" t="s">
        <v>33</v>
      </c>
      <c r="AT1724" s="3" t="str">
        <f t="shared" si="832"/>
        <v>NA</v>
      </c>
      <c r="AU1724" s="6">
        <v>0.89100000000000001</v>
      </c>
      <c r="AV1724" t="b">
        <v>1</v>
      </c>
      <c r="AW1724" t="s">
        <v>123</v>
      </c>
      <c r="AX1724" t="s">
        <v>88</v>
      </c>
      <c r="AY1724" t="s">
        <v>314</v>
      </c>
      <c r="AZ1724" t="s">
        <v>33</v>
      </c>
      <c r="BA1724" s="18" t="s">
        <v>579</v>
      </c>
      <c r="BB1724" t="b">
        <v>1</v>
      </c>
      <c r="BC1724" t="s">
        <v>81</v>
      </c>
      <c r="BD1724">
        <v>14</v>
      </c>
      <c r="BE1724" t="s">
        <v>80</v>
      </c>
      <c r="BF1724" s="11">
        <v>48</v>
      </c>
      <c r="BG1724" t="s">
        <v>395</v>
      </c>
      <c r="BH1724" t="s">
        <v>31</v>
      </c>
      <c r="BI1724" t="s">
        <v>31</v>
      </c>
      <c r="BJ1724" s="3">
        <f t="shared" si="841"/>
        <v>0.89100000000000001</v>
      </c>
      <c r="BK1724" s="3">
        <f t="shared" si="817"/>
        <v>-5.0122295963125202E-2</v>
      </c>
      <c r="BL1724">
        <v>2</v>
      </c>
      <c r="BM1724" s="3">
        <f t="shared" si="827"/>
        <v>2.4692516037051009</v>
      </c>
      <c r="BN1724" t="s">
        <v>33</v>
      </c>
      <c r="BO1724" s="3">
        <f t="shared" si="818"/>
        <v>294.61279461279463</v>
      </c>
      <c r="BP1724" t="s">
        <v>33</v>
      </c>
      <c r="BQ1724" t="s">
        <v>33</v>
      </c>
      <c r="BR1724" t="s">
        <v>33</v>
      </c>
      <c r="BS1724" t="s">
        <v>33</v>
      </c>
      <c r="BT1724" t="s">
        <v>31</v>
      </c>
      <c r="BU1724" t="s">
        <v>276</v>
      </c>
      <c r="BV1724">
        <v>2003</v>
      </c>
      <c r="BW1724" s="2" t="s">
        <v>316</v>
      </c>
      <c r="BX1724" t="s">
        <v>78</v>
      </c>
      <c r="BY1724" t="s">
        <v>33</v>
      </c>
      <c r="BZ1724" t="s">
        <v>317</v>
      </c>
      <c r="CA1724" t="str">
        <f t="shared" si="819"/>
        <v>low acid</v>
      </c>
    </row>
    <row r="1725" spans="1:79">
      <c r="A1725" t="s">
        <v>315</v>
      </c>
      <c r="B1725" t="s">
        <v>565</v>
      </c>
      <c r="C1725" t="s">
        <v>563</v>
      </c>
      <c r="D1725" t="s">
        <v>118</v>
      </c>
      <c r="E1725" t="s">
        <v>77</v>
      </c>
      <c r="F1725" t="s">
        <v>32</v>
      </c>
      <c r="G1725">
        <v>10</v>
      </c>
      <c r="H1725">
        <v>35</v>
      </c>
      <c r="I1725" t="b">
        <v>0</v>
      </c>
      <c r="J1725" t="s">
        <v>33</v>
      </c>
      <c r="K1725" t="s">
        <v>33</v>
      </c>
      <c r="L1725">
        <v>25</v>
      </c>
      <c r="M1725" s="4" t="s">
        <v>33</v>
      </c>
      <c r="N1725" s="3">
        <f t="shared" si="842"/>
        <v>575.02253676820453</v>
      </c>
      <c r="O1725">
        <v>2.5</v>
      </c>
      <c r="P1725" t="s">
        <v>33</v>
      </c>
      <c r="Q1725" s="8">
        <f t="shared" si="828"/>
        <v>1.2173435913211428E-2</v>
      </c>
      <c r="R1725" t="s">
        <v>183</v>
      </c>
      <c r="S1725" t="s">
        <v>613</v>
      </c>
      <c r="T1725" s="11">
        <v>4</v>
      </c>
      <c r="U1725">
        <v>2.93</v>
      </c>
      <c r="V1725">
        <v>2.2999999999999998</v>
      </c>
      <c r="W1725" t="s">
        <v>33</v>
      </c>
      <c r="X1725" s="8">
        <f t="shared" si="846"/>
        <v>1.2173435913211428E-2</v>
      </c>
      <c r="Y1725" s="6">
        <f t="shared" si="847"/>
        <v>1</v>
      </c>
      <c r="Z1725" s="3">
        <f t="shared" si="848"/>
        <v>1</v>
      </c>
      <c r="AA1725" t="s">
        <v>33</v>
      </c>
      <c r="AB1725" s="6">
        <f t="shared" si="849"/>
        <v>7</v>
      </c>
      <c r="AC1725" t="str">
        <f t="shared" si="843"/>
        <v>NA</v>
      </c>
      <c r="AD1725" s="4">
        <f t="shared" si="840"/>
        <v>28</v>
      </c>
      <c r="AE1725" s="3">
        <f t="shared" si="850"/>
        <v>262.5</v>
      </c>
      <c r="AF1725">
        <v>70</v>
      </c>
      <c r="AG1725" t="str">
        <f t="shared" si="844"/>
        <v>NA</v>
      </c>
      <c r="AH1725" t="str">
        <f t="shared" si="845"/>
        <v>NA</v>
      </c>
      <c r="AI1725">
        <v>1</v>
      </c>
      <c r="AJ1725" t="s">
        <v>31</v>
      </c>
      <c r="AK1725">
        <v>6000</v>
      </c>
      <c r="AL1725" t="s">
        <v>313</v>
      </c>
      <c r="AM1725" t="s">
        <v>103</v>
      </c>
      <c r="AN1725" t="s">
        <v>130</v>
      </c>
      <c r="AO1725" t="s">
        <v>795</v>
      </c>
      <c r="AP1725" t="s">
        <v>33</v>
      </c>
      <c r="AQ1725" t="s">
        <v>33</v>
      </c>
      <c r="AR1725" t="s">
        <v>33</v>
      </c>
      <c r="AS1725" t="s">
        <v>33</v>
      </c>
      <c r="AT1725" s="3" t="str">
        <f t="shared" si="832"/>
        <v>NA</v>
      </c>
      <c r="AU1725" s="6">
        <v>0.621</v>
      </c>
      <c r="AV1725" t="b">
        <v>1</v>
      </c>
      <c r="AW1725" t="s">
        <v>123</v>
      </c>
      <c r="AX1725" t="s">
        <v>88</v>
      </c>
      <c r="AY1725" t="s">
        <v>314</v>
      </c>
      <c r="AZ1725" t="s">
        <v>33</v>
      </c>
      <c r="BA1725" s="18" t="s">
        <v>579</v>
      </c>
      <c r="BB1725" t="b">
        <v>1</v>
      </c>
      <c r="BC1725" t="s">
        <v>81</v>
      </c>
      <c r="BD1725">
        <v>26</v>
      </c>
      <c r="BE1725" t="s">
        <v>80</v>
      </c>
      <c r="BF1725" s="11">
        <v>48</v>
      </c>
      <c r="BG1725" t="s">
        <v>395</v>
      </c>
      <c r="BH1725" t="s">
        <v>31</v>
      </c>
      <c r="BI1725" t="s">
        <v>31</v>
      </c>
      <c r="BJ1725" s="3">
        <f t="shared" si="841"/>
        <v>0.621</v>
      </c>
      <c r="BK1725" s="3">
        <f t="shared" si="817"/>
        <v>-0.20690839982341983</v>
      </c>
      <c r="BL1725">
        <v>2</v>
      </c>
      <c r="BM1725" s="3">
        <f t="shared" si="827"/>
        <v>2.6260377075653953</v>
      </c>
      <c r="BN1725" t="s">
        <v>33</v>
      </c>
      <c r="BO1725" s="3">
        <f t="shared" si="818"/>
        <v>422.70531400966183</v>
      </c>
      <c r="BP1725" t="s">
        <v>33</v>
      </c>
      <c r="BQ1725" t="s">
        <v>33</v>
      </c>
      <c r="BR1725" t="s">
        <v>33</v>
      </c>
      <c r="BS1725" t="s">
        <v>33</v>
      </c>
      <c r="BT1725" t="s">
        <v>31</v>
      </c>
      <c r="BU1725" t="s">
        <v>276</v>
      </c>
      <c r="BV1725">
        <v>2003</v>
      </c>
      <c r="BW1725" s="2" t="s">
        <v>316</v>
      </c>
      <c r="BX1725" t="s">
        <v>78</v>
      </c>
      <c r="BY1725" t="s">
        <v>33</v>
      </c>
      <c r="BZ1725" t="s">
        <v>317</v>
      </c>
      <c r="CA1725" t="str">
        <f t="shared" si="819"/>
        <v>low acid</v>
      </c>
    </row>
    <row r="1726" spans="1:79">
      <c r="A1726" t="s">
        <v>315</v>
      </c>
      <c r="B1726" t="s">
        <v>565</v>
      </c>
      <c r="C1726" t="s">
        <v>563</v>
      </c>
      <c r="D1726" t="s">
        <v>118</v>
      </c>
      <c r="E1726" t="s">
        <v>77</v>
      </c>
      <c r="F1726" t="s">
        <v>32</v>
      </c>
      <c r="G1726">
        <v>10</v>
      </c>
      <c r="H1726">
        <v>35</v>
      </c>
      <c r="I1726" t="b">
        <v>0</v>
      </c>
      <c r="J1726" t="s">
        <v>33</v>
      </c>
      <c r="K1726" t="s">
        <v>33</v>
      </c>
      <c r="L1726">
        <v>25</v>
      </c>
      <c r="M1726" s="4" t="s">
        <v>33</v>
      </c>
      <c r="N1726" s="3">
        <f t="shared" si="842"/>
        <v>451.80342174644642</v>
      </c>
      <c r="O1726">
        <v>2.5</v>
      </c>
      <c r="P1726" t="s">
        <v>33</v>
      </c>
      <c r="Q1726" s="8">
        <f t="shared" si="828"/>
        <v>1.2173435913211428E-2</v>
      </c>
      <c r="R1726" t="s">
        <v>183</v>
      </c>
      <c r="S1726" t="s">
        <v>613</v>
      </c>
      <c r="T1726" s="11">
        <v>4</v>
      </c>
      <c r="U1726">
        <v>2.93</v>
      </c>
      <c r="V1726">
        <v>2.2999999999999998</v>
      </c>
      <c r="W1726" t="s">
        <v>33</v>
      </c>
      <c r="X1726" s="8">
        <f t="shared" si="846"/>
        <v>1.2173435913211428E-2</v>
      </c>
      <c r="Y1726" s="6">
        <f t="shared" si="847"/>
        <v>1</v>
      </c>
      <c r="Z1726" s="3">
        <f t="shared" si="848"/>
        <v>1</v>
      </c>
      <c r="AA1726" t="s">
        <v>33</v>
      </c>
      <c r="AB1726" s="6">
        <f t="shared" si="849"/>
        <v>5.5</v>
      </c>
      <c r="AC1726" t="str">
        <f t="shared" si="843"/>
        <v>NA</v>
      </c>
      <c r="AD1726" s="4">
        <f t="shared" si="840"/>
        <v>22</v>
      </c>
      <c r="AE1726" s="3">
        <f t="shared" si="850"/>
        <v>206.24999999999994</v>
      </c>
      <c r="AF1726">
        <v>55</v>
      </c>
      <c r="AG1726" t="str">
        <f t="shared" si="844"/>
        <v>NA</v>
      </c>
      <c r="AH1726" t="str">
        <f t="shared" si="845"/>
        <v>NA</v>
      </c>
      <c r="AI1726">
        <v>1</v>
      </c>
      <c r="AJ1726" t="s">
        <v>31</v>
      </c>
      <c r="AK1726">
        <v>6000</v>
      </c>
      <c r="AL1726" t="s">
        <v>313</v>
      </c>
      <c r="AM1726" t="s">
        <v>103</v>
      </c>
      <c r="AN1726" t="s">
        <v>130</v>
      </c>
      <c r="AO1726" t="s">
        <v>795</v>
      </c>
      <c r="AP1726" t="s">
        <v>33</v>
      </c>
      <c r="AQ1726" t="s">
        <v>33</v>
      </c>
      <c r="AR1726" t="s">
        <v>33</v>
      </c>
      <c r="AS1726" t="s">
        <v>33</v>
      </c>
      <c r="AT1726" s="3" t="str">
        <f t="shared" si="832"/>
        <v>NA</v>
      </c>
      <c r="AU1726" s="6">
        <v>0.74399999999999999</v>
      </c>
      <c r="AV1726" t="b">
        <v>1</v>
      </c>
      <c r="AW1726" t="s">
        <v>123</v>
      </c>
      <c r="AX1726" t="s">
        <v>88</v>
      </c>
      <c r="AY1726" t="s">
        <v>314</v>
      </c>
      <c r="AZ1726" t="s">
        <v>33</v>
      </c>
      <c r="BA1726" s="18" t="s">
        <v>579</v>
      </c>
      <c r="BB1726" t="b">
        <v>1</v>
      </c>
      <c r="BC1726" t="s">
        <v>81</v>
      </c>
      <c r="BD1726">
        <v>14</v>
      </c>
      <c r="BE1726" t="s">
        <v>80</v>
      </c>
      <c r="BF1726" s="11">
        <v>48</v>
      </c>
      <c r="BG1726" t="s">
        <v>395</v>
      </c>
      <c r="BH1726" t="s">
        <v>31</v>
      </c>
      <c r="BI1726" t="s">
        <v>31</v>
      </c>
      <c r="BJ1726" s="3">
        <f t="shared" si="841"/>
        <v>0.74399999999999999</v>
      </c>
      <c r="BK1726" s="3">
        <f t="shared" si="817"/>
        <v>-0.1284270644541213</v>
      </c>
      <c r="BL1726">
        <v>2</v>
      </c>
      <c r="BM1726" s="3">
        <f t="shared" si="827"/>
        <v>2.4428210216760839</v>
      </c>
      <c r="BN1726" t="s">
        <v>33</v>
      </c>
      <c r="BO1726" s="3">
        <f t="shared" si="818"/>
        <v>277.21774193548379</v>
      </c>
      <c r="BP1726" t="s">
        <v>33</v>
      </c>
      <c r="BQ1726" t="s">
        <v>33</v>
      </c>
      <c r="BR1726" t="s">
        <v>33</v>
      </c>
      <c r="BS1726" t="s">
        <v>33</v>
      </c>
      <c r="BT1726" t="s">
        <v>31</v>
      </c>
      <c r="BU1726" t="s">
        <v>276</v>
      </c>
      <c r="BV1726">
        <v>2003</v>
      </c>
      <c r="BW1726" s="2" t="s">
        <v>316</v>
      </c>
      <c r="BX1726" t="s">
        <v>78</v>
      </c>
      <c r="BY1726" t="s">
        <v>33</v>
      </c>
      <c r="BZ1726" t="s">
        <v>317</v>
      </c>
      <c r="CA1726" t="str">
        <f t="shared" si="819"/>
        <v>low acid</v>
      </c>
    </row>
  </sheetData>
  <autoFilter ref="A1:CA1726" xr:uid="{248E90B2-7A39-4A4B-B487-309F648BDE76}"/>
  <phoneticPr fontId="2" type="noConversion"/>
  <hyperlinks>
    <hyperlink ref="BW540:BW570" r:id="rId1" tooltip="Persistent link using digital object identifier" display="https://doi.org/10.1016/j.ifset.2007.09.003" xr:uid="{8C5B9DE7-A8B1-4019-91D1-865023D61A06}"/>
    <hyperlink ref="BW503" r:id="rId2" tooltip="Persistent link using digital object identifier" display="https://doi.org/10.1016/j.ifset.2007.09.003" xr:uid="{1F35DF70-23C3-4035-93E5-2884F32BE0ED}"/>
    <hyperlink ref="BW1554" r:id="rId3" display="https://doi.org/10.1128/AEM.70.4.2289-2295.2004" xr:uid="{6D416220-0078-43B7-8B08-7F0777E21C36}"/>
    <hyperlink ref="BW46" r:id="rId4" tooltip="Persistent link using digital object identifier" display="https://doi.org/10.1016/j.jfoodeng.2014.08.020" xr:uid="{A49B62C6-1B3B-4498-8455-8782FF349893}"/>
    <hyperlink ref="BW455" r:id="rId5" tooltip="Persistent link using digital object identifier" display="https://doi.org/10.1016/j.jfoodeng.2014.08.020" xr:uid="{BFC3D87A-45C8-4D7C-9D80-1B64D38C7B83}"/>
    <hyperlink ref="BW421" r:id="rId6" tooltip="Persistent link using digital object identifier" display="https://doi.org/10.1016/j.jfoodeng.2014.08.020" xr:uid="{6FF41F1A-298A-4B58-9814-FADEFDE9E55B}"/>
    <hyperlink ref="BW712" r:id="rId7" display="https://doi.org/10.2202/1556-3758.1058" xr:uid="{7587110E-8BE1-460B-A61B-9F4E3D00B6B6}"/>
    <hyperlink ref="BW981" r:id="rId8" display="https://doi.org/10.2202/1556-3758.1058" xr:uid="{D72DFFCD-BBE7-4F54-B94D-7D64BB0330F8}"/>
    <hyperlink ref="BW1285" r:id="rId9" display="https://doi.org/10.2202/1556-3758.1058" xr:uid="{30EAB076-EF33-474B-AB21-490F9D1BE415}"/>
    <hyperlink ref="BW587" r:id="rId10" display="https://doi.org/10.2202/1556-3758.1058" xr:uid="{BF7E32D6-9D09-421F-936E-004B3DE658F7}"/>
    <hyperlink ref="BW796" r:id="rId11" display="https://doi.org/10.2202/1556-3758.1058" xr:uid="{052D15B4-9A5D-43FE-8679-70A840759CA4}"/>
    <hyperlink ref="BW1268" r:id="rId12" display="https://doi.org/10.2202/1556-3758.1058" xr:uid="{BD1BF50F-C9FC-435A-92D0-91FFEEFDF56E}"/>
    <hyperlink ref="BW1532" r:id="rId13" display="https://doi.org/10.2202/1556-3758.1058" xr:uid="{426C423F-5A18-4F6B-A6FC-B2F3872093A7}"/>
    <hyperlink ref="BW816" r:id="rId14" display="https://doi.org/10.2202/1556-3758.1058" xr:uid="{2AC6A30F-E066-4C17-8330-9DB4F296CB79}"/>
    <hyperlink ref="BW1037" r:id="rId15" display="https://doi.org/10.2202/1556-3758.1058" xr:uid="{DCC5EA3E-35DD-43F8-9124-2F98E4F3710B}"/>
    <hyperlink ref="BW1419" r:id="rId16" display="https://doi.org/10.2202/1556-3758.1058" xr:uid="{F2070319-E752-42AE-A9CD-78F6C66367FF}"/>
    <hyperlink ref="BW1561" r:id="rId17" display="https://doi.org/10.2202/1556-3758.1058" xr:uid="{C2BBC604-95B0-4C78-8F81-1CA4C7DF76E5}"/>
    <hyperlink ref="BW1085" r:id="rId18" display="https://doi.org/10.2202/1556-3758.1058" xr:uid="{2E7D5FCD-3D9E-4920-963C-AF9E369B423A}"/>
    <hyperlink ref="BW1216" r:id="rId19" display="https://doi.org/10.2202/1556-3758.1058" xr:uid="{F23371ED-125F-4716-A108-D928B58978A4}"/>
    <hyperlink ref="BW1435" r:id="rId20" display="https://doi.org/10.2202/1556-3758.1058" xr:uid="{9DAB091B-54CF-4E0A-9467-750264885EE7}"/>
    <hyperlink ref="BW1192" r:id="rId21" display="https://doi.org/10.2202/1556-3758.1058" xr:uid="{9227BE11-4773-4B27-B430-1A9EC024734B}"/>
    <hyperlink ref="BW1357" r:id="rId22" display="https://doi.org/10.2202/1556-3758.1058" xr:uid="{1DBD10B0-1A59-4CD8-8397-828C345257B5}"/>
    <hyperlink ref="BW1473" r:id="rId23" display="https://doi.org/10.2202/1556-3758.1058" xr:uid="{D3E137C9-532F-4307-BE6F-AFDCC9D69E0F}"/>
    <hyperlink ref="BW1294" r:id="rId24" display="https://doi.org/10.2202/1556-3758.1058" xr:uid="{F99A0499-0B11-4C78-AA42-36A8E5E4AE70}"/>
    <hyperlink ref="BW1379" r:id="rId25" display="https://doi.org/10.2202/1556-3758.1058" xr:uid="{88E3C12C-2184-47E6-AD69-58FAA307224D}"/>
    <hyperlink ref="BW1521" r:id="rId26" display="https://doi.org/10.2202/1556-3758.1058" xr:uid="{C5794160-8FDF-4F6D-B129-AAD6CCF6EE91}"/>
    <hyperlink ref="BW521:BW529" r:id="rId27" display="https://doi.org/10.1046/j.1365-2672.2003.01869.x" xr:uid="{DA0E5E42-25AC-45AC-9D17-E989048E45F7}"/>
    <hyperlink ref="BW1437" r:id="rId28" display="https://doi.org/10.1046/j.1365-2672.2003.01869.x" xr:uid="{D8A134FF-9FDA-4237-AAF2-BF640EF057F1}"/>
    <hyperlink ref="BW1717" r:id="rId29" tooltip="Persistent link using digital object identifier" display="https://doi.org/10.1016/S0168-1605(02)00247-7" xr:uid="{9FAB869E-6A27-487D-81E7-389C3B5A976B}"/>
    <hyperlink ref="BW1719" r:id="rId30" tooltip="Persistent link using digital object identifier" display="https://doi.org/10.1016/S0168-1605(02)00247-7" xr:uid="{A9E9BF94-34D3-4472-A204-9BAC014D0A1A}"/>
    <hyperlink ref="BW1722" r:id="rId31" tooltip="Persistent link using digital object identifier" display="https://doi.org/10.1016/S0168-1605(02)00247-7" xr:uid="{551FC18F-B68C-486D-847A-5369B267EC3E}"/>
    <hyperlink ref="BW1723" r:id="rId32" tooltip="Persistent link using digital object identifier" display="https://doi.org/10.1016/S0168-1605(02)00247-7" xr:uid="{8A2BCCC5-ED3D-4FD8-9DE9-9B06FB270622}"/>
    <hyperlink ref="BW1724" r:id="rId33" tooltip="Persistent link using digital object identifier" display="https://doi.org/10.1016/S0168-1605(02)00247-7" xr:uid="{91CCE2F8-C0E4-4591-BA9B-EE31D710A2EE}"/>
    <hyperlink ref="BW1726" r:id="rId34" tooltip="Persistent link using digital object identifier" display="https://doi.org/10.1016/S0168-1605(02)00247-7" xr:uid="{6975FE09-D191-4875-9ED5-93D92E3E7E32}"/>
    <hyperlink ref="BW1716" r:id="rId35" tooltip="Persistent link using digital object identifier" display="https://doi.org/10.1016/S0168-1605(02)00247-7" xr:uid="{A2CDCF2E-A795-4BCE-8BDF-3740127F8ADD}"/>
    <hyperlink ref="BW1718" r:id="rId36" tooltip="Persistent link using digital object identifier" display="https://doi.org/10.1016/S0168-1605(02)00247-7" xr:uid="{373357E8-963F-473B-9521-38B529350E33}"/>
    <hyperlink ref="BW1720" r:id="rId37" tooltip="Persistent link using digital object identifier" display="https://doi.org/10.1016/S0168-1605(02)00247-7" xr:uid="{0BF4A07F-81BB-4FF7-BFE9-1A05C7A607A0}"/>
    <hyperlink ref="BW1721" r:id="rId38" tooltip="Persistent link using digital object identifier" display="https://doi.org/10.1016/S0168-1605(02)00247-7" xr:uid="{3792999B-C649-470E-91C4-AD95613E9C35}"/>
    <hyperlink ref="BW1725" r:id="rId39" tooltip="Persistent link using digital object identifier" display="https://doi.org/10.1016/S0168-1605(02)00247-7" xr:uid="{7BB11858-52B2-43F2-B441-60FAFE4E76C9}"/>
    <hyperlink ref="BW133" r:id="rId40" tooltip="Persistent link using digital object identifier" display="https://doi.org/10.4315/0362-028X-64.6.777" xr:uid="{9DF4E7EA-40E7-4FCB-9BC1-5D51568C19A2}"/>
    <hyperlink ref="BW732" r:id="rId41" tooltip="Persistent link using digital object identifier" display="https://doi.org/10.4315/0362-028X-64.6.777" xr:uid="{C7A41EC9-542D-446A-9C72-C8CF48B6D9ED}"/>
    <hyperlink ref="BW1244" r:id="rId42" tooltip="Persistent link using digital object identifier" display="https://doi.org/10.4315/0362-028X-64.6.777" xr:uid="{D4022624-661E-4687-9735-A82AEF367619}"/>
    <hyperlink ref="BW1574" r:id="rId43" display="https://doi.org/10.1128/AEM.70.4.2289-2295.2004" xr:uid="{0BBCC922-4E03-461B-A391-C45AA6020E88}"/>
    <hyperlink ref="BW1589" r:id="rId44" display="https://doi.org/10.1128/AEM.70.4.2289-2295.2004" xr:uid="{61347981-329E-44B2-95D7-219BE57171CA}"/>
    <hyperlink ref="BW1497" r:id="rId45" tooltip="Persistent link using digital object identifier" display="https://doi.org/10.4315/0362-028X-64.6.777" xr:uid="{3EE05A66-779F-4FA9-8066-D3525DF12AE3}"/>
    <hyperlink ref="BW596" r:id="rId46" display="https://doi.org/10.1111/j.1745-4530.2009.00549.x" xr:uid="{DB45573A-1EA6-4973-B6B4-2C172E9AD562}"/>
    <hyperlink ref="BW725" r:id="rId47" display="https://doi.org/10.1111/j.1745-4530.2009.00549.x" xr:uid="{8D6CD327-E1FA-4741-A577-268398C16108}"/>
    <hyperlink ref="BW911" r:id="rId48" display="https://doi.org/10.1111/j.1745-4530.2009.00549.x" xr:uid="{555DCEEC-E07D-45A8-A35F-96555841B2C7}"/>
    <hyperlink ref="BW1063" r:id="rId49" display="https://doi.org/10.1111/j.1745-4530.2009.00549.x" xr:uid="{767CCF1D-BABF-4023-906A-0C2802470BF3}"/>
    <hyperlink ref="BW1277" r:id="rId50" display="https://doi.org/10.1111/j.1745-4530.2009.00549.x" xr:uid="{F8DFDBFF-5E43-454B-9690-777401B9F6D8}"/>
    <hyperlink ref="BW1190" r:id="rId51" display="https://doi.org/10.1111/j.1745-4530.2009.00549.x" xr:uid="{D654554E-8AA0-493D-A526-C8512FF48270}"/>
    <hyperlink ref="BW482" r:id="rId52" tooltip="Persistent link using digital object identifier" display="https://doi.org/10.1016/j.lwt.2014.09.028" xr:uid="{D9D313AB-52F9-40D7-BF9F-B25D06FC41BB}"/>
    <hyperlink ref="BW537" r:id="rId53" tooltip="Persistent link using digital object identifier" display="https://doi.org/10.1016/j.lwt.2014.09.028" xr:uid="{32216019-432F-461B-B4E0-76E085AE4BF9}"/>
    <hyperlink ref="BW681" r:id="rId54" tooltip="Persistent link using digital object identifier" display="https://doi.org/10.1016/j.lwt.2014.09.028" xr:uid="{6EE8B30B-7452-4399-8F40-448D9C09AD90}"/>
    <hyperlink ref="BW1155" r:id="rId55" tooltip="Persistent link using digital object identifier" display="https://doi.org/10.1016/j.lwt.2014.09.028" xr:uid="{CB5248FE-9655-45CB-95AC-328EE5023A3D}"/>
    <hyperlink ref="BW1126" r:id="rId56" tooltip="Persistent link using digital object identifier" display="https://doi.org/10.1016/j.lwt.2014.09.028" xr:uid="{DC2D430A-F702-4EC3-9883-8710CDCA3462}"/>
    <hyperlink ref="BW1223" r:id="rId57" tooltip="Persistent link using digital object identifier" display="https://doi.org/10.1016/j.lwt.2014.09.028" xr:uid="{4278C217-47F3-45B1-AB6B-D64B3BEDDDD8}"/>
    <hyperlink ref="BW71" r:id="rId58" tooltip="Persistent link using digital object identifier" display="https://doi.org/10.1016/j.foodcont.2013.07.011" xr:uid="{1D0BA34B-76A6-4D20-A1AD-2787B8A695FE}"/>
    <hyperlink ref="BW396" r:id="rId59" tooltip="Persistent link using digital object identifier" display="https://doi.org/10.1016/j.foodcont.2013.07.011" xr:uid="{FE1E323C-C8CA-446C-97B5-811B4854DDB8}"/>
    <hyperlink ref="BW67" r:id="rId60" tooltip="Persistent link using digital object identifier" display="https://doi.org/10.1016/j.foodcont.2013.07.011" xr:uid="{74D92108-462C-4FC7-A817-52F3008BD2F1}"/>
    <hyperlink ref="BW304" r:id="rId61" tooltip="Persistent link using digital object identifier" display="https://doi.org/10.1016/j.foodcont.2013.07.011" xr:uid="{3C9BFD16-7220-4AC6-8EDA-1C59F513C892}"/>
    <hyperlink ref="BW709" r:id="rId62" tooltip="Persistent link using digital object identifier" display="https://doi.org/10.1016/j.foodcont.2013.07.011" xr:uid="{076F87E6-D12D-4AE6-97D4-FC65B392C490}"/>
    <hyperlink ref="BW62" r:id="rId63" tooltip="Persistent link using digital object identifier" display="https://doi.org/10.1016/j.foodcont.2013.07.011" xr:uid="{A3A998B8-9D54-42D8-96A0-00A8082B21E9}"/>
    <hyperlink ref="BW251" r:id="rId64" tooltip="Persistent link using digital object identifier" display="https://doi.org/10.1016/j.foodcont.2013.07.011" xr:uid="{A1278515-A436-4A83-A09C-13823BB1B4C9}"/>
    <hyperlink ref="BW637" r:id="rId65" tooltip="Persistent link using digital object identifier" display="https://doi.org/10.1016/j.foodcont.2013.07.011" xr:uid="{3625E4A9-3271-4B73-99B7-409140065464}"/>
    <hyperlink ref="BW896" r:id="rId66" tooltip="Persistent link using digital object identifier" display="https://doi.org/10.1016/j.foodcont.2013.07.011" xr:uid="{589F72B5-6B5C-4692-AD5F-B83AD603B11E}"/>
    <hyperlink ref="BW177" r:id="rId67" tooltip="Persistent link using digital object identifier" display="https://doi.org/10.1016/j.foodcont.2013.07.011" xr:uid="{CDD74BC0-C203-445E-80DE-5B270CB0962D}"/>
    <hyperlink ref="BW502" r:id="rId68" tooltip="Persistent link using digital object identifier" display="https://doi.org/10.1016/j.foodcont.2013.07.011" xr:uid="{0CE71934-FC06-49CA-AA1A-0D65A815D195}"/>
    <hyperlink ref="BW761" r:id="rId69" tooltip="Persistent link using digital object identifier" display="https://doi.org/10.1016/j.foodcont.2013.07.011" xr:uid="{76314344-94F9-42B9-AD29-E55D4A0663DD}"/>
    <hyperlink ref="BW966" r:id="rId70" tooltip="Persistent link using digital object identifier" display="https://doi.org/10.1016/j.foodcont.2013.07.011" xr:uid="{01A3F854-1E01-4CBC-97A4-B2196D8EF98A}"/>
    <hyperlink ref="BW1095" r:id="rId71" tooltip="Persistent link using digital object identifier" display="https://doi.org/10.1016/j.foodcont.2013.07.011" xr:uid="{144B964B-9689-408F-AD58-3083F0630278}"/>
    <hyperlink ref="BW1191" r:id="rId72" tooltip="Persistent link using digital object identifier" display="https://doi.org/10.1016/j.foodcont.2013.07.011" xr:uid="{E2AA8639-05A8-40BF-A2D7-93DD717A7936}"/>
    <hyperlink ref="BW851" r:id="rId73" tooltip="Persistent link using digital object identifier" display="https://doi.org/10.1016/j.foodcont.2013.07.011" xr:uid="{6E554284-7947-4A4B-B9F0-BC135B3A5842}"/>
    <hyperlink ref="BW1066" r:id="rId74" tooltip="Persistent link using digital object identifier" display="https://doi.org/10.1016/j.foodcont.2013.07.011" xr:uid="{1F758BA0-AE27-41CF-BCEF-4F67EAA861F6}"/>
    <hyperlink ref="BW1278" r:id="rId75" tooltip="Persistent link using digital object identifier" display="https://doi.org/10.1016/j.foodcont.2013.07.011" xr:uid="{D466C971-89B8-492E-AF89-756117E75DA4}"/>
    <hyperlink ref="BW1301" r:id="rId76" tooltip="Persistent link using digital object identifier" display="https://doi.org/10.1016/j.foodcont.2013.07.011" xr:uid="{FBC5CE6C-EF00-4CC0-BF1C-14E5244CBAAB}"/>
    <hyperlink ref="BW1075" r:id="rId77" tooltip="Persistent link using digital object identifier" display="https://doi.org/10.1016/j.foodcont.2013.07.011" xr:uid="{EBCEE360-70CD-473F-9060-22FC0A223056}"/>
    <hyperlink ref="BW1249" r:id="rId78" tooltip="Persistent link using digital object identifier" display="https://doi.org/10.1016/j.foodcont.2013.07.011" xr:uid="{15A79F11-5F97-4AB1-BBB0-EBE83CA04175}"/>
    <hyperlink ref="BW1338" r:id="rId79" tooltip="Persistent link using digital object identifier" display="https://doi.org/10.1016/j.foodcont.2013.07.011" xr:uid="{FEE79DC4-953D-4CBB-8F1E-F52247327C9C}"/>
    <hyperlink ref="BW814" r:id="rId80" display="https://doi.org/10.1111/j.1750-3841.2008.00956.x" xr:uid="{DD3EBD6E-3A64-486B-9313-35BC3E74605B}"/>
    <hyperlink ref="BW11" r:id="rId81" display="https://doi.org/10.1111/j.1750-3841.2008.00956.x" xr:uid="{EFFCF6FB-60F4-4371-A388-EACEC0565FA3}"/>
    <hyperlink ref="BW1018" r:id="rId82" display="https://doi.org/10.1111/j.1750-3841.2008.00956.x" xr:uid="{CBECB976-8414-4196-8A79-F74014C16439}"/>
    <hyperlink ref="BW763" r:id="rId83" display="https://doi.org/10.1111/j.1750-3841.2008.00956.x" xr:uid="{E1CE2819-1019-426A-BBDB-49EEA8274461}"/>
    <hyperlink ref="BW42" r:id="rId84" display="https://doi.org/10.1111/j.1750-3841.2008.00956.x" xr:uid="{6246B925-A8F5-4D7F-9C09-88DDA309147F}"/>
    <hyperlink ref="BW904" r:id="rId85" display="https://doi.org/10.1111/j.1750-3841.2008.00956.x" xr:uid="{A362B01F-F40D-4CD4-BED0-8AE6633A8DC8}"/>
    <hyperlink ref="BW620" r:id="rId86" display="https://doi.org/10.1111/j.1750-3841.2008.00956.x" xr:uid="{47A63D0C-CEF5-4A99-8013-F5B884CB934B}"/>
    <hyperlink ref="BW162:BW172" r:id="rId87" display="https://doi.org/10.1177/1082013217715369" xr:uid="{0A830FE1-9E90-4C39-978E-87FA0FE9411C}"/>
    <hyperlink ref="BW1104" r:id="rId88" tooltip="Persistent link using digital object identifier" display="https://doi.org/10.1016/j.jfoodeng.2014.08.020" xr:uid="{D64129BF-980D-4781-9F05-FD754AE762A5}"/>
    <hyperlink ref="BW635" r:id="rId89" tooltip="Persistent link using digital object identifier" display="https://doi.org/10.1016/j.ijfoodmicro.2011.07.033" xr:uid="{7F72F374-8630-4D96-AEBA-E21BA949B069}"/>
    <hyperlink ref="BW649" r:id="rId90" tooltip="Persistent link using digital object identifier" display="https://doi.org/10.1016/j.ijfoodmicro.2011.07.033" xr:uid="{4213D70E-D55D-486B-AA01-71703CC8E43D}"/>
    <hyperlink ref="BW1235" r:id="rId91" tooltip="Persistent link using digital object identifier" display="https://doi.org/10.1016/j.ijfoodmicro.2011.07.033" xr:uid="{2002F2CD-A930-4564-AA9F-45E51DAF6C34}"/>
    <hyperlink ref="BW1482" r:id="rId92" tooltip="Persistent link using digital object identifier" display="https://doi.org/10.1016/j.ijfoodmicro.2011.07.033" xr:uid="{C4FA508A-15CC-41F8-9134-7ADEE7C9AB75}"/>
    <hyperlink ref="BW1547" r:id="rId93" tooltip="Persistent link using digital object identifier" display="https://doi.org/10.1016/j.ijfoodmicro.2011.07.033" xr:uid="{2D20A9EC-23C6-470A-B8E3-938585302560}"/>
    <hyperlink ref="BW668" r:id="rId94" tooltip="Persistent link using digital object identifier" display="https://doi.org/10.1016/j.ijfoodmicro.2011.07.033" xr:uid="{96AC9FB0-3967-4693-A010-810A3FA88263}"/>
    <hyperlink ref="BW853" r:id="rId95" tooltip="Persistent link using digital object identifier" display="https://doi.org/10.1016/j.ijfoodmicro.2011.07.033" xr:uid="{C34E300A-9009-4F9E-8A06-7AE4A28DA8AC}"/>
    <hyperlink ref="BW1365" r:id="rId96" tooltip="Persistent link using digital object identifier" display="https://doi.org/10.1016/j.ijfoodmicro.2011.07.033" xr:uid="{9E415E11-F80E-4E6D-B052-DAB6E450DE9A}"/>
    <hyperlink ref="BW1523" r:id="rId97" tooltip="Persistent link using digital object identifier" display="https://doi.org/10.1016/j.ijfoodmicro.2011.07.033" xr:uid="{1B9932C0-F74D-42F4-B026-8CF886BE77D5}"/>
    <hyperlink ref="BW1552" r:id="rId98" tooltip="Persistent link using digital object identifier" display="https://doi.org/10.1016/j.ijfoodmicro.2011.07.033" xr:uid="{A9F218D0-77A2-4EDD-BB69-FB8E76FAF459}"/>
    <hyperlink ref="BW811" r:id="rId99" tooltip="Persistent link using digital object identifier" display="https://doi.org/10.1016/j.ijfoodmicro.2011.07.033" xr:uid="{8D033FA2-0B7E-47D0-AC92-2A5A4BAF0524}"/>
    <hyperlink ref="BW940" r:id="rId100" tooltip="Persistent link using digital object identifier" display="https://doi.org/10.1016/j.ijfoodmicro.2011.07.033" xr:uid="{A88815D2-7B3F-4201-BA79-6E853663791E}"/>
    <hyperlink ref="BW1389" r:id="rId101" tooltip="Persistent link using digital object identifier" display="https://doi.org/10.1016/j.ijfoodmicro.2011.07.033" xr:uid="{A7E81487-776D-4238-AF0D-0C8823C5DB97}"/>
    <hyperlink ref="BW1537" r:id="rId102" tooltip="Persistent link using digital object identifier" display="https://doi.org/10.1016/j.ijfoodmicro.2011.07.033" xr:uid="{D1FB1AB8-9DC1-4AC8-A5D0-24F55A0B9718}"/>
    <hyperlink ref="BW477" r:id="rId103" tooltip="Persistent link using digital object identifier" display="https://doi.org/10.1016/j.foodcont.2013.07.011" xr:uid="{0CFEF91B-14AD-4532-8C7C-5F1875917B4C}"/>
    <hyperlink ref="BW614" r:id="rId104" tooltip="Persistent link using digital object identifier" display="https://doi.org/10.1016/j.foodcont.2013.07.011" xr:uid="{2AE2412A-F7F2-45AA-AADC-7A7E36982018}"/>
    <hyperlink ref="BW685" r:id="rId105" tooltip="Persistent link using digital object identifier" display="https://doi.org/10.1016/j.foodcont.2013.07.011" xr:uid="{4F00AB7B-A8BC-4A13-A36C-B467C6E03885}"/>
    <hyperlink ref="BW718" r:id="rId106" tooltip="Persistent link using digital object identifier" display="https://doi.org/10.1016/j.foodcont.2013.07.011" xr:uid="{3248C824-B3D5-46CA-8BEC-60CBD78B4967}"/>
    <hyperlink ref="BW881" r:id="rId107" tooltip="Persistent link using digital object identifier" display="https://doi.org/10.1016/j.foodcont.2013.07.011" xr:uid="{B56C1992-67F1-460D-A0E3-F34310DF605D}"/>
    <hyperlink ref="BW564" r:id="rId108" tooltip="Persistent link using digital object identifier" display="https://doi.org/10.1016/j.foodcont.2013.07.011" xr:uid="{5FD329A0-459B-4CE8-8CD5-A873191F6FC4}"/>
    <hyperlink ref="BW617" r:id="rId109" tooltip="Persistent link using digital object identifier" display="https://doi.org/10.1016/j.foodcont.2013.07.011" xr:uid="{8879CBA2-441F-48F5-9D76-F595AF8F7DD7}"/>
    <hyperlink ref="BW717" r:id="rId110" tooltip="Persistent link using digital object identifier" display="https://doi.org/10.1016/j.foodcont.2013.07.011" xr:uid="{1964DE8A-B90F-4133-8E43-1120A183AF1A}"/>
    <hyperlink ref="BW825" r:id="rId111" tooltip="Persistent link using digital object identifier" display="https://doi.org/10.1016/j.foodcont.2013.07.011" xr:uid="{99E9D389-82B1-4F95-AAD5-E708B163BE22}"/>
    <hyperlink ref="BW887" r:id="rId112" tooltip="Persistent link using digital object identifier" display="https://doi.org/10.1016/j.foodcont.2013.07.011" xr:uid="{DE13F5EF-EEFB-47D3-9B5D-516EBE13E9E4}"/>
    <hyperlink ref="BW977" r:id="rId113" tooltip="Persistent link using digital object identifier" display="https://doi.org/10.1016/j.foodcont.2013.07.011" xr:uid="{B7B8D013-8815-40C9-9560-BC3E12525694}"/>
    <hyperlink ref="BW676" r:id="rId114" tooltip="Persistent link using digital object identifier" display="https://doi.org/10.1016/j.foodcont.2013.07.011" xr:uid="{264098D8-5B5D-4187-93B0-93BFDEF2CFE9}"/>
    <hyperlink ref="BW734" r:id="rId115" tooltip="Persistent link using digital object identifier" display="https://doi.org/10.1016/j.foodcont.2013.07.011" xr:uid="{58EEF807-BC32-4E9D-A922-F23E5A91C690}"/>
    <hyperlink ref="BW808" r:id="rId116" tooltip="Persistent link using digital object identifier" display="https://doi.org/10.1016/j.foodcont.2013.07.011" xr:uid="{24679461-DF9E-4BE5-85CE-1D2FB0BFC1C2}"/>
    <hyperlink ref="BW897" r:id="rId117" tooltip="Persistent link using digital object identifier" display="https://doi.org/10.1016/j.foodcont.2013.07.011" xr:uid="{06759C8F-B014-444F-92DD-6D7796418389}"/>
    <hyperlink ref="BW984" r:id="rId118" tooltip="Persistent link using digital object identifier" display="https://doi.org/10.1016/j.foodcont.2013.07.011" xr:uid="{0F448473-8BE9-4240-A7EC-F7849506490F}"/>
    <hyperlink ref="BW1053" r:id="rId119" tooltip="Persistent link using digital object identifier" display="https://doi.org/10.1016/j.foodcont.2013.07.011" xr:uid="{4619645F-8707-4F89-BF82-A2A0C54425FE}"/>
    <hyperlink ref="BW800" r:id="rId120" tooltip="Persistent link using digital object identifier" display="https://doi.org/10.1016/j.foodcont.2013.07.011" xr:uid="{60228091-3ED9-4921-B1C8-98BD82C7DF41}"/>
    <hyperlink ref="BW930" r:id="rId121" tooltip="Persistent link using digital object identifier" display="https://doi.org/10.1016/j.foodcont.2013.07.011" xr:uid="{95A99277-769E-47F0-B0DC-4C8EFC295BF1}"/>
    <hyperlink ref="BW991" r:id="rId122" tooltip="Persistent link using digital object identifier" display="https://doi.org/10.1016/j.foodcont.2013.07.011" xr:uid="{2B4AA821-4BEE-494D-9DD2-964F4B550F29}"/>
    <hyperlink ref="BW1059" r:id="rId123" tooltip="Persistent link using digital object identifier" display="https://doi.org/10.1016/j.foodcont.2013.07.011" xr:uid="{811A1CA7-BFD9-4018-B2F8-AC81EF8D3418}"/>
    <hyperlink ref="BW953" r:id="rId124" tooltip="Persistent link using digital object identifier" display="https://doi.org/10.1016/j.foodcont.2013.07.011" xr:uid="{D034035F-5022-4EA0-9A99-9E0BAA088086}"/>
    <hyperlink ref="BW1039" r:id="rId125" tooltip="Persistent link using digital object identifier" display="https://doi.org/10.1016/j.foodcont.2013.07.011" xr:uid="{619ECF9A-9ACF-477C-85AD-9EC452645E53}"/>
    <hyperlink ref="BW1056" r:id="rId126" tooltip="Persistent link using digital object identifier" display="https://doi.org/10.1016/j.foodcont.2013.07.011" xr:uid="{6B654ABC-C988-4BFE-9B98-9750E0CDDED8}"/>
    <hyperlink ref="BW417" r:id="rId127" tooltip="Persistent link using digital object identifier" display="https://doi.org/10.4315/0362-028X-64.6.777" xr:uid="{EFC7AEDA-E257-4322-A9AE-BA13F4936675}"/>
    <hyperlink ref="BW1341" r:id="rId128" tooltip="Persistent link using digital object identifier" display="https://doi.org/10.4315/0362-028X-64.6.777" xr:uid="{BB21C1A5-D5D9-4A69-9075-39D5B8194DC3}"/>
    <hyperlink ref="BW713" r:id="rId129" display="https://doi.org/10.1111/j.1745-4530.2009.00549.x" xr:uid="{3C2E066D-02F3-41DB-B61B-FE6BD6F4AF7C}"/>
    <hyperlink ref="BW946" r:id="rId130" display="https://doi.org/10.1111/j.1745-4530.2009.00549.x" xr:uid="{67915E47-F2F5-4912-91B1-FE3632C8281F}"/>
    <hyperlink ref="BW1205" r:id="rId131" display="https://doi.org/10.1111/j.1745-4530.2009.00549.x" xr:uid="{C44626DE-DC79-4A30-9AF1-9B62B7044E35}"/>
    <hyperlink ref="BW1259" r:id="rId132" display="https://doi.org/10.1111/j.1745-4530.2009.00549.x" xr:uid="{C376DDF7-147C-47CB-8B5E-7229D228A6A2}"/>
    <hyperlink ref="BW1307" r:id="rId133" display="https://doi.org/10.1111/j.1745-4530.2009.00549.x" xr:uid="{7694775C-4174-4C7F-9B59-13FBDAE7CA38}"/>
    <hyperlink ref="BW533" r:id="rId134" display="https://doi.org/10.1111/jfpe.13779" xr:uid="{93F94452-C982-4284-ACE6-49FAD6528A7B}"/>
    <hyperlink ref="BW544" r:id="rId135" display="https://doi.org/10.1111/jfpe.13779" xr:uid="{980D023D-6BCC-42C5-8B07-EE771C734274}"/>
    <hyperlink ref="BW572" r:id="rId136" display="https://doi.org/10.1111/jfpe.13779" xr:uid="{7CCBB347-8317-4582-8324-042899863FDA}"/>
    <hyperlink ref="BW591" r:id="rId137" display="https://doi.org/10.1111/jfpe.13779" xr:uid="{DAE3EE75-1543-47CE-B794-5433B2C5FA9A}"/>
    <hyperlink ref="BW655" r:id="rId138" display="https://doi.org/10.1111/jfpe.13779" xr:uid="{B107DD38-E5EC-48E3-928A-13D3AE0E2B26}"/>
    <hyperlink ref="BW700" r:id="rId139" display="https://doi.org/10.1111/jfpe.13779" xr:uid="{A8D7170E-8C9D-4ECC-9546-0F8BC5822587}"/>
    <hyperlink ref="BW787" r:id="rId140" display="https://doi.org/10.1111/jfpe.13779" xr:uid="{9AB9ABD5-0A50-45C6-943C-321BA38065EB}"/>
    <hyperlink ref="BW880" r:id="rId141" display="https://doi.org/10.1111/jfpe.13779" xr:uid="{45F48ECD-FBB4-463D-BCF6-E460BBBF3356}"/>
    <hyperlink ref="BW1072" r:id="rId142" display="https://doi.org/10.1111/jfpe.13779" xr:uid="{BA2B542D-26E3-434E-BD39-F0E13DC5005A}"/>
    <hyperlink ref="BW1140" r:id="rId143" display="https://doi.org/10.1111/jfpe.13779" xr:uid="{6C0015B2-7A4E-4A6D-B4A3-AAA6CD3A9B28}"/>
    <hyperlink ref="BW1188" r:id="rId144" display="https://doi.org/10.1111/jfpe.13779" xr:uid="{0583F94F-67DF-42B8-9EFA-20AD534F9E72}"/>
    <hyperlink ref="BW1218" r:id="rId145" display="https://doi.org/10.1111/jfpe.13779" xr:uid="{E0C70D1E-64DC-41C8-8687-1DD61BF5E242}"/>
    <hyperlink ref="BW1182" r:id="rId146" display="https://doi.org/10.1111/jfpe.13779" xr:uid="{EC97267E-EBA1-42F7-A3A3-379DB766BCCA}"/>
    <hyperlink ref="BW1195" r:id="rId147" display="https://doi.org/10.1111/jfpe.13779" xr:uid="{D2FBB161-59FE-4068-91FD-0256D3260F0E}"/>
    <hyperlink ref="BW1246" r:id="rId148" display="https://doi.org/10.1111/jfpe.13779" xr:uid="{D0E08D3A-CA70-4D45-9FE9-93B0CB32852F}"/>
    <hyperlink ref="BW1242" r:id="rId149" display="https://doi.org/10.1111/jfpe.13779" xr:uid="{CECA8E1C-70DF-45F8-9BD7-A4929CE9D346}"/>
    <hyperlink ref="BW1263" r:id="rId150" display="https://doi.org/10.1111/jfpe.13779" xr:uid="{797A70FA-1167-47B4-9EB1-27B043BEEBC5}"/>
    <hyperlink ref="BW1286" r:id="rId151" display="https://doi.org/10.1111/jfpe.13779" xr:uid="{6686D1E3-EE3C-47D7-81F0-685D72D4928D}"/>
    <hyperlink ref="BW1291" r:id="rId152" display="https://doi.org/10.1111/jfpe.13779" xr:uid="{DC2DBAE6-E716-4886-9957-C348BB941D52}"/>
    <hyperlink ref="BW726" r:id="rId153" display="https://doi.org/10.1111/j.1745-4530.2009.00549.x" xr:uid="{FA5F3614-6426-423B-84BA-CB45FB940A52}"/>
    <hyperlink ref="BW645" r:id="rId154" display="https://doi.org/10.1111/j.1745-4530.2009.00549.x" xr:uid="{36092E58-3550-4A2C-92A0-1E11BB451C92}"/>
    <hyperlink ref="BW443" r:id="rId155" tooltip="Persistent link using digital object identifier" display="https://doi.org/10.1016/j.foodcont.2013.07.011" xr:uid="{12AEA684-CB55-437E-9918-AD711BC737EA}"/>
    <hyperlink ref="BW453" r:id="rId156" display="https://doi.org/10.1111/j.1750-3841.2008.00956.x" xr:uid="{54C189CD-7080-4DEE-8D5C-38B77FC6A640}"/>
    <hyperlink ref="BW854" r:id="rId157" display="https://doi.org/10.1111/j.1745-4530.2009.00549.x" xr:uid="{908EAF57-05D4-43ED-AD73-E5361E4CC3AA}"/>
    <hyperlink ref="BW546" r:id="rId158" display="https://doi.org/10.1111/j.1745-4530.2009.00549.x" xr:uid="{F0E88B23-D2B9-4D27-A6C9-C87EA18B7796}"/>
    <hyperlink ref="BW1541" r:id="rId159" display="https://doi.org/10.2202/1556-3758.1058" xr:uid="{26A4CE2C-F635-4A08-A5FA-BD99F4692004}"/>
    <hyperlink ref="BW364" r:id="rId160" display="https://doi.org/10.1111/j.1745-4530.2009.00549.x" xr:uid="{AF79734C-B39B-471E-B214-9A3F2419F383}"/>
    <hyperlink ref="BW302" r:id="rId161" display="https://doi.org/10.1111/j.1745-4530.2009.00549.x" xr:uid="{2FF9E830-C0D4-4DC5-9884-C5F0FA851453}"/>
    <hyperlink ref="BW334" r:id="rId162" display="https://doi.org/10.1111/j.1745-4530.2009.00549.x" xr:uid="{5649A8EF-420D-439D-BB3B-E822CC4F6BDD}"/>
    <hyperlink ref="BW316" r:id="rId163" display="https://doi.org/10.1111/j.1745-4530.2009.00549.x" xr:uid="{411C4977-5C9C-4E52-8711-09CD68369CF0}"/>
    <hyperlink ref="BW830:BW831" r:id="rId164" display="http://dx.doi.org/10.1016/j.ijfoodmicro.2007.04.009" xr:uid="{CEE4A26C-970A-4277-9CEA-F6D45009AB4F}"/>
    <hyperlink ref="BW846:BW847" r:id="rId165" display="http://dx.doi.org/10.1016/j.ijfoodmicro.2007.04.009" xr:uid="{BBA30D8E-3CD4-489F-9F10-21B3A60EEC57}"/>
    <hyperlink ref="BW831:BW845" r:id="rId166" display="http://dx.doi.org/10.1016/j.ijfoodmicro.2007.04.009" xr:uid="{994325B6-2451-4465-A4EA-33446F429BF5}"/>
    <hyperlink ref="BW1374" r:id="rId167" xr:uid="{E755C068-F5F4-4DCF-9D92-C17E393DAB5A}"/>
    <hyperlink ref="BW1641" r:id="rId168" xr:uid="{1D65977D-FA4E-416D-BC5D-ADC09EEF7942}"/>
    <hyperlink ref="BW1593" r:id="rId169" tooltip="Persistent link using digital object identifier" display="https://doi.org/10.4315/0362-028X-64.6.777" xr:uid="{B3AB52F1-F731-4BE5-A6F5-A50EE18145E5}"/>
    <hyperlink ref="BW1579" r:id="rId170" tooltip="Persistent link using digital object identifier" display="https://doi.org/10.4315/0362-028X-64.6.777" xr:uid="{20BE0C3C-9412-480E-AF37-9CE78F231FDE}"/>
    <hyperlink ref="BW1570" r:id="rId171" tooltip="Persistent link using digital object identifier" display="https://doi.org/10.4315/0362-028X-64.6.777" xr:uid="{294EFF30-3145-46CF-A547-363DA616D29A}"/>
    <hyperlink ref="BW1397" r:id="rId172" tooltip="Persistent link using digital object identifier" display="https://doi.org/10.4315/0362-028X-64.6.777" xr:uid="{A851CB08-5ACF-4767-B234-334A0EA6BC75}"/>
    <hyperlink ref="BW1299" r:id="rId173" tooltip="Persistent link using digital object identifier" display="https://doi.org/10.4315/0362-028X-64.6.777" xr:uid="{7F823D3B-E81B-407B-80FC-5E6E51894797}"/>
  </hyperlinks>
  <pageMargins left="0.7" right="0.7" top="0.75" bottom="0.75" header="0.3" footer="0.3"/>
  <drawing r:id="rId17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E55E3-3BAB-4003-BD6C-1074D0C28065}">
  <sheetPr codeName="Sheet2"/>
  <dimension ref="A1"/>
  <sheetViews>
    <sheetView topLeftCell="G110" workbookViewId="0">
      <selection activeCell="B148" sqref="B148"/>
    </sheetView>
  </sheetViews>
  <sheetFormatPr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PEFInactivationData</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Pampoukis, Georgios</dc:creator>
  <cp:lastModifiedBy>Pampoukis, Georgios</cp:lastModifiedBy>
  <dcterms:created xsi:type="dcterms:W3CDTF">2023-08-12T11:00:57Z</dcterms:created>
  <dcterms:modified xsi:type="dcterms:W3CDTF">2025-07-29T14:31:59Z</dcterms:modified>
</cp:coreProperties>
</file>